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990" yWindow="0" windowWidth="11955" windowHeight="9105" tabRatio="715" firstSheet="3" activeTab="4"/>
  </bookViews>
  <sheets>
    <sheet name="Summary per LGU" sheetId="27" r:id="rId1"/>
    <sheet name="Retrieved masterlist HYBRID" sheetId="35" r:id="rId2"/>
    <sheet name="Vald  per FA Pioneer" sheetId="33" r:id="rId3"/>
    <sheet name="Vald  per FA SL Bigante" sheetId="29" r:id="rId4"/>
    <sheet name="INBRED CONSOL" sheetId="43" r:id="rId5"/>
  </sheets>
  <definedNames>
    <definedName name="_xlnm._FilterDatabase" localSheetId="1" hidden="1">'Retrieved masterlist HYBRID'!$A$1:$BE$1</definedName>
    <definedName name="_xlnm._FilterDatabase" localSheetId="2" hidden="1">'Vald  per FA Pioneer'!$A$6:$R$6</definedName>
    <definedName name="_xlnm._FilterDatabase" localSheetId="3" hidden="1">'Vald  per FA SL Bigante'!$A$5:$DZ$6</definedName>
  </definedNames>
  <calcPr calcId="144525"/>
  <fileRecoveryPr autoRecover="0"/>
</workbook>
</file>

<file path=xl/calcChain.xml><?xml version="1.0" encoding="utf-8"?>
<calcChain xmlns="http://schemas.openxmlformats.org/spreadsheetml/2006/main">
  <c r="S45" i="43" l="1"/>
  <c r="P46" i="43"/>
  <c r="P47" i="43"/>
  <c r="P48" i="43"/>
  <c r="P49" i="43"/>
  <c r="P45" i="43"/>
  <c r="M46" i="43"/>
  <c r="M47" i="43"/>
  <c r="M48" i="43"/>
  <c r="M49" i="43"/>
  <c r="M45" i="43"/>
  <c r="AY49" i="43"/>
  <c r="AX49" i="43"/>
  <c r="AU49" i="43"/>
  <c r="AT49" i="43"/>
  <c r="AQ49" i="43"/>
  <c r="AP49" i="43"/>
  <c r="AL49" i="43"/>
  <c r="BA49" i="43" s="1"/>
  <c r="AK49" i="43"/>
  <c r="AZ49" i="43" s="1"/>
  <c r="AE49" i="43"/>
  <c r="AB49" i="43"/>
  <c r="Y49" i="43"/>
  <c r="X49" i="43"/>
  <c r="AF49" i="43" s="1"/>
  <c r="AG49" i="43" s="1"/>
  <c r="V49" i="43"/>
  <c r="S49" i="43"/>
  <c r="AX48" i="43"/>
  <c r="AY48" i="43" s="1"/>
  <c r="AT48" i="43"/>
  <c r="AU48" i="43" s="1"/>
  <c r="AP48" i="43"/>
  <c r="AQ48" i="43" s="1"/>
  <c r="AK48" i="43"/>
  <c r="AL48" i="43" s="1"/>
  <c r="BA48" i="43" s="1"/>
  <c r="AE48" i="43"/>
  <c r="AB48" i="43"/>
  <c r="X48" i="43"/>
  <c r="Y48" i="43" s="1"/>
  <c r="V48" i="43"/>
  <c r="S48" i="43"/>
  <c r="AX47" i="43"/>
  <c r="AY47" i="43" s="1"/>
  <c r="AT47" i="43"/>
  <c r="AU47" i="43" s="1"/>
  <c r="AP47" i="43"/>
  <c r="AQ47" i="43" s="1"/>
  <c r="AK47" i="43"/>
  <c r="AL47" i="43" s="1"/>
  <c r="BA47" i="43" s="1"/>
  <c r="AF47" i="43"/>
  <c r="AG47" i="43" s="1"/>
  <c r="AE47" i="43"/>
  <c r="AB47" i="43"/>
  <c r="X47" i="43"/>
  <c r="Y47" i="43" s="1"/>
  <c r="V47" i="43"/>
  <c r="S47" i="43"/>
  <c r="AX46" i="43"/>
  <c r="AY46" i="43" s="1"/>
  <c r="AT46" i="43"/>
  <c r="AU46" i="43" s="1"/>
  <c r="AP46" i="43"/>
  <c r="AQ46" i="43" s="1"/>
  <c r="AK46" i="43"/>
  <c r="AL46" i="43" s="1"/>
  <c r="BA46" i="43" s="1"/>
  <c r="AE46" i="43"/>
  <c r="AB46" i="43"/>
  <c r="X46" i="43"/>
  <c r="Y46" i="43" s="1"/>
  <c r="V46" i="43"/>
  <c r="S46" i="43"/>
  <c r="AZ48" i="43" l="1"/>
  <c r="AF48" i="43"/>
  <c r="AG48" i="43" s="1"/>
  <c r="AZ47" i="43"/>
  <c r="AZ46" i="43"/>
  <c r="AF46" i="43"/>
  <c r="AG46" i="43" s="1"/>
  <c r="BA25" i="43"/>
  <c r="AX25" i="43"/>
  <c r="AT25" i="43"/>
  <c r="AP25" i="43"/>
  <c r="AK25" i="43"/>
  <c r="AZ25" i="43" s="1"/>
  <c r="AD25" i="43"/>
  <c r="AA25" i="43"/>
  <c r="X25" i="43"/>
  <c r="V25" i="43"/>
  <c r="S25" i="43"/>
  <c r="P25" i="43"/>
  <c r="M25" i="43"/>
  <c r="BA24" i="43"/>
  <c r="AX24" i="43"/>
  <c r="AT24" i="43"/>
  <c r="AP24" i="43"/>
  <c r="AK24" i="43"/>
  <c r="AD24" i="43"/>
  <c r="AA24" i="43"/>
  <c r="X24" i="43"/>
  <c r="V24" i="43"/>
  <c r="S24" i="43"/>
  <c r="P24" i="43"/>
  <c r="M24" i="43"/>
  <c r="BA23" i="43"/>
  <c r="AX23" i="43"/>
  <c r="AT23" i="43"/>
  <c r="AP23" i="43"/>
  <c r="AK23" i="43"/>
  <c r="AD23" i="43"/>
  <c r="AA23" i="43"/>
  <c r="X23" i="43"/>
  <c r="V23" i="43"/>
  <c r="S23" i="43"/>
  <c r="P23" i="43"/>
  <c r="M23" i="43"/>
  <c r="BA22" i="43"/>
  <c r="AX22" i="43"/>
  <c r="AT22" i="43"/>
  <c r="AP22" i="43"/>
  <c r="AK22" i="43"/>
  <c r="AD22" i="43"/>
  <c r="AA22" i="43"/>
  <c r="X22" i="43"/>
  <c r="V22" i="43"/>
  <c r="S22" i="43"/>
  <c r="P22" i="43"/>
  <c r="M22" i="43"/>
  <c r="BA21" i="43"/>
  <c r="AX21" i="43"/>
  <c r="AT21" i="43"/>
  <c r="AP21" i="43"/>
  <c r="AK21" i="43"/>
  <c r="AZ21" i="43" s="1"/>
  <c r="AD21" i="43"/>
  <c r="AA21" i="43"/>
  <c r="X21" i="43"/>
  <c r="V21" i="43"/>
  <c r="S21" i="43"/>
  <c r="P21" i="43"/>
  <c r="M21" i="43"/>
  <c r="AF24" i="43" l="1"/>
  <c r="AF25" i="43"/>
  <c r="AF21" i="43"/>
  <c r="AZ22" i="43"/>
  <c r="AZ23" i="43"/>
  <c r="AF22" i="43"/>
  <c r="AF23" i="43"/>
  <c r="AZ24" i="43"/>
  <c r="BA108" i="43"/>
  <c r="AX108" i="43"/>
  <c r="AT108" i="43"/>
  <c r="AP108" i="43"/>
  <c r="AK108" i="43"/>
  <c r="AD108" i="43"/>
  <c r="AA108" i="43"/>
  <c r="X108" i="43"/>
  <c r="V108" i="43"/>
  <c r="S108" i="43"/>
  <c r="P108" i="43"/>
  <c r="M108" i="43"/>
  <c r="V117" i="43"/>
  <c r="V116" i="43"/>
  <c r="V115" i="43"/>
  <c r="V114" i="43"/>
  <c r="S117" i="43"/>
  <c r="S116" i="43"/>
  <c r="S115" i="43"/>
  <c r="S114" i="43"/>
  <c r="P117" i="43"/>
  <c r="P116" i="43"/>
  <c r="P115" i="43"/>
  <c r="P114" i="43"/>
  <c r="M115" i="43"/>
  <c r="M116" i="43"/>
  <c r="M117" i="43"/>
  <c r="M114" i="43"/>
  <c r="U110" i="43"/>
  <c r="T110" i="43"/>
  <c r="R110" i="43"/>
  <c r="Q110" i="43"/>
  <c r="T98" i="43"/>
  <c r="R98" i="43"/>
  <c r="Q98" i="43"/>
  <c r="P93" i="43"/>
  <c r="BA94" i="43"/>
  <c r="AX94" i="43"/>
  <c r="AT94" i="43"/>
  <c r="AP94" i="43"/>
  <c r="AK94" i="43"/>
  <c r="AD94" i="43"/>
  <c r="AA94" i="43"/>
  <c r="X94" i="43"/>
  <c r="V94" i="43"/>
  <c r="S94" i="43"/>
  <c r="P94" i="43"/>
  <c r="M94" i="43"/>
  <c r="BA93" i="43"/>
  <c r="AX93" i="43"/>
  <c r="AT93" i="43"/>
  <c r="AP93" i="43"/>
  <c r="AK93" i="43"/>
  <c r="AD93" i="43"/>
  <c r="AA93" i="43"/>
  <c r="X93" i="43"/>
  <c r="V93" i="43"/>
  <c r="S93" i="43"/>
  <c r="M93" i="43"/>
  <c r="BA77" i="43"/>
  <c r="AW77" i="43"/>
  <c r="AX77" i="43" s="1"/>
  <c r="AS77" i="43"/>
  <c r="AR77" i="43"/>
  <c r="AO77" i="43"/>
  <c r="AP77" i="43" s="1"/>
  <c r="AK77" i="43"/>
  <c r="AC77" i="43"/>
  <c r="AD77" i="43" s="1"/>
  <c r="AA77" i="43"/>
  <c r="V77" i="43"/>
  <c r="S77" i="43"/>
  <c r="P77" i="43"/>
  <c r="M77" i="43"/>
  <c r="S76" i="43"/>
  <c r="S75" i="43"/>
  <c r="P75" i="43"/>
  <c r="P76" i="43"/>
  <c r="M75" i="43"/>
  <c r="M76" i="43"/>
  <c r="P65" i="43"/>
  <c r="P74" i="43"/>
  <c r="M74" i="43"/>
  <c r="V87" i="43"/>
  <c r="S87" i="43"/>
  <c r="P87" i="43"/>
  <c r="M87" i="43"/>
  <c r="AF108" i="43" l="1"/>
  <c r="AZ77" i="43"/>
  <c r="AZ93" i="43"/>
  <c r="AZ94" i="43"/>
  <c r="AZ108" i="43"/>
  <c r="AF94" i="43"/>
  <c r="AF93" i="43"/>
  <c r="AT77" i="43"/>
  <c r="AF77" i="43"/>
  <c r="P33" i="43"/>
  <c r="P34" i="43"/>
  <c r="P32" i="43"/>
  <c r="P29" i="43"/>
  <c r="P30" i="43"/>
  <c r="M32" i="43"/>
  <c r="M33" i="43"/>
  <c r="V13" i="43"/>
  <c r="V14" i="43"/>
  <c r="V15" i="43"/>
  <c r="V16" i="43"/>
  <c r="S13" i="43"/>
  <c r="S14" i="43"/>
  <c r="S15" i="43"/>
  <c r="S16" i="43"/>
  <c r="P13" i="43"/>
  <c r="P14" i="43"/>
  <c r="P15" i="43"/>
  <c r="P16" i="43"/>
  <c r="M13" i="43"/>
  <c r="M14" i="43"/>
  <c r="M15" i="43"/>
  <c r="M16" i="43"/>
  <c r="L10" i="43"/>
  <c r="K10" i="43"/>
  <c r="Y17" i="29" l="1"/>
  <c r="V17" i="29"/>
  <c r="AF429" i="29" l="1"/>
  <c r="AF430" i="29"/>
  <c r="AF431" i="29"/>
  <c r="AF432" i="29"/>
  <c r="AF433" i="29"/>
  <c r="AF434" i="29"/>
  <c r="AC432" i="29"/>
  <c r="AC433" i="29"/>
  <c r="AC434" i="29"/>
  <c r="AC429" i="29"/>
  <c r="AC430" i="29"/>
  <c r="AC431" i="29"/>
  <c r="V16" i="29" l="1"/>
  <c r="V12" i="29"/>
  <c r="Y12" i="29"/>
  <c r="AC12" i="29"/>
  <c r="AF12" i="29"/>
  <c r="AI12" i="29"/>
  <c r="AK12" i="29"/>
  <c r="AL12" i="29" s="1"/>
  <c r="AN12" i="29"/>
  <c r="AQ12" i="29"/>
  <c r="AR12" i="29" s="1"/>
  <c r="AV12" i="29"/>
  <c r="AZ12" i="29"/>
  <c r="BA12" i="29" s="1"/>
  <c r="BC12" i="29"/>
  <c r="BG12" i="29" s="1"/>
  <c r="BE12" i="29"/>
  <c r="BF12" i="29" s="1"/>
  <c r="BI12" i="29"/>
  <c r="BN12" i="29"/>
  <c r="BP12" i="29"/>
  <c r="BQ12" i="29" s="1"/>
  <c r="BS12" i="29"/>
  <c r="BT12" i="29" s="1"/>
  <c r="BV12" i="29"/>
  <c r="CG12" i="29"/>
  <c r="CJ12" i="29"/>
  <c r="CL12" i="29"/>
  <c r="CM12" i="29" s="1"/>
  <c r="CO12" i="29"/>
  <c r="CT12" i="29"/>
  <c r="DL12" i="29" s="1"/>
  <c r="CW12" i="29"/>
  <c r="CY12" i="29"/>
  <c r="CZ12" i="29" s="1"/>
  <c r="DB12" i="29"/>
  <c r="V14" i="29"/>
  <c r="Y14" i="29"/>
  <c r="AC14" i="29"/>
  <c r="AF14" i="29"/>
  <c r="AI14" i="29"/>
  <c r="AK14" i="29"/>
  <c r="AL14" i="29"/>
  <c r="AN14" i="29"/>
  <c r="AO14" i="29" s="1"/>
  <c r="AQ14" i="29"/>
  <c r="AR14" i="29"/>
  <c r="AV14" i="29"/>
  <c r="BI14" i="29" s="1"/>
  <c r="BJ14" i="29" s="1"/>
  <c r="AZ14" i="29"/>
  <c r="BA14" i="29" s="1"/>
  <c r="BC14" i="29"/>
  <c r="BD14" i="29"/>
  <c r="BN14" i="29"/>
  <c r="BP14" i="29"/>
  <c r="BQ14" i="29" s="1"/>
  <c r="BR14" i="29"/>
  <c r="BS14" i="29"/>
  <c r="BT14" i="29" s="1"/>
  <c r="BV14" i="29"/>
  <c r="BW14" i="29" s="1"/>
  <c r="CG14" i="29"/>
  <c r="CJ14" i="29"/>
  <c r="CL14" i="29"/>
  <c r="CM14" i="29" s="1"/>
  <c r="CO14" i="29"/>
  <c r="CP14" i="29"/>
  <c r="CT14" i="29"/>
  <c r="CW14" i="29"/>
  <c r="CY14" i="29"/>
  <c r="CZ14" i="29"/>
  <c r="DB14" i="29"/>
  <c r="DC14" i="29" s="1"/>
  <c r="Y16" i="29"/>
  <c r="V21" i="29"/>
  <c r="Y21" i="29"/>
  <c r="V22" i="29"/>
  <c r="Y22" i="29"/>
  <c r="V23" i="29"/>
  <c r="Y23" i="29"/>
  <c r="V25" i="29"/>
  <c r="Y25" i="29"/>
  <c r="V26" i="29"/>
  <c r="Y26" i="29"/>
  <c r="V27" i="29"/>
  <c r="Y27" i="29"/>
  <c r="V28" i="29"/>
  <c r="Y28" i="29"/>
  <c r="V29" i="29"/>
  <c r="Y29" i="29"/>
  <c r="V31" i="29"/>
  <c r="Y31" i="29"/>
  <c r="V32" i="29"/>
  <c r="Y32" i="29"/>
  <c r="Y33" i="29"/>
  <c r="V34" i="29"/>
  <c r="Y34" i="29"/>
  <c r="V35" i="29"/>
  <c r="Y35" i="29"/>
  <c r="V36" i="29"/>
  <c r="Y36" i="29"/>
  <c r="Y37" i="29"/>
  <c r="V39" i="29"/>
  <c r="Y39" i="29"/>
  <c r="V41" i="29"/>
  <c r="Y41" i="29"/>
  <c r="V42" i="29"/>
  <c r="Y42" i="29"/>
  <c r="V44" i="29"/>
  <c r="Y44" i="29"/>
  <c r="V45" i="29"/>
  <c r="Y45" i="29"/>
  <c r="V46" i="29"/>
  <c r="Y46" i="29"/>
  <c r="V48" i="29"/>
  <c r="Y48" i="29"/>
  <c r="V51" i="29"/>
  <c r="Y51" i="29"/>
  <c r="V52" i="29"/>
  <c r="Y52" i="29"/>
  <c r="V53" i="29"/>
  <c r="Y53" i="29"/>
  <c r="V54" i="29"/>
  <c r="Y54" i="29"/>
  <c r="V55" i="29"/>
  <c r="Y55" i="29"/>
  <c r="V56" i="29"/>
  <c r="Y56" i="29"/>
  <c r="V57" i="29"/>
  <c r="Y57" i="29"/>
  <c r="V58" i="29"/>
  <c r="Y58" i="29"/>
  <c r="V59" i="29"/>
  <c r="Y59" i="29"/>
  <c r="V61" i="29"/>
  <c r="Y61" i="29"/>
  <c r="V62" i="29"/>
  <c r="Y62" i="29"/>
  <c r="V63" i="29"/>
  <c r="Y63" i="29"/>
  <c r="V65" i="29"/>
  <c r="Y65" i="29"/>
  <c r="V66" i="29"/>
  <c r="Y66" i="29"/>
  <c r="V67" i="29"/>
  <c r="Y67" i="29"/>
  <c r="V68" i="29"/>
  <c r="Y68" i="29"/>
  <c r="V69" i="29"/>
  <c r="Y69" i="29"/>
  <c r="V70" i="29"/>
  <c r="Y70" i="29"/>
  <c r="V71" i="29"/>
  <c r="Y71" i="29"/>
  <c r="V72" i="29"/>
  <c r="Y72" i="29"/>
  <c r="V73" i="29"/>
  <c r="Y73" i="29"/>
  <c r="V75" i="29"/>
  <c r="Y75" i="29"/>
  <c r="V76" i="29"/>
  <c r="Y76" i="29"/>
  <c r="V78" i="29"/>
  <c r="Y78" i="29"/>
  <c r="V79" i="29"/>
  <c r="Y79" i="29"/>
  <c r="V80" i="29"/>
  <c r="Y80" i="29"/>
  <c r="V81" i="29"/>
  <c r="Y81" i="29"/>
  <c r="V84" i="29"/>
  <c r="Y84" i="29"/>
  <c r="V85" i="29"/>
  <c r="Y85" i="29"/>
  <c r="V86" i="29"/>
  <c r="Y86" i="29"/>
  <c r="Y87" i="29"/>
  <c r="V88" i="29"/>
  <c r="Y88" i="29"/>
  <c r="BX12" i="29" l="1"/>
  <c r="BY12" i="29" s="1"/>
  <c r="AS14" i="29"/>
  <c r="AT14" i="29" s="1"/>
  <c r="AS12" i="29"/>
  <c r="BJ12" i="29"/>
  <c r="AO12" i="29"/>
  <c r="BE14" i="29"/>
  <c r="BF14" i="29" s="1"/>
  <c r="BG14" i="29"/>
  <c r="DG12" i="29"/>
  <c r="AW12" i="29"/>
  <c r="AW14" i="29"/>
  <c r="DC12" i="29"/>
  <c r="DJ12" i="29" s="1"/>
  <c r="DK12" i="29" s="1"/>
  <c r="CP12" i="29"/>
  <c r="BD12" i="29"/>
  <c r="BW12" i="29"/>
  <c r="BH12" i="29"/>
  <c r="AT12" i="29"/>
  <c r="DH12" i="29"/>
  <c r="BK12" i="29"/>
  <c r="BH14" i="29"/>
  <c r="BX14" i="29"/>
  <c r="BY14" i="29" s="1"/>
  <c r="AD51" i="33"/>
  <c r="AC51" i="33"/>
  <c r="BK106" i="35"/>
  <c r="BH106" i="35"/>
  <c r="BG106" i="35"/>
  <c r="AS248" i="35"/>
  <c r="AR248" i="35"/>
  <c r="AV248" i="35"/>
  <c r="AG51" i="33"/>
  <c r="O25" i="27"/>
  <c r="BK14" i="29" l="1"/>
  <c r="BZ14" i="29" s="1"/>
  <c r="BZ12" i="29"/>
  <c r="BL12" i="29"/>
  <c r="BL14" i="29"/>
  <c r="AG104" i="33"/>
  <c r="AD104" i="33"/>
  <c r="AC104" i="33"/>
  <c r="AD99" i="33"/>
  <c r="AC99" i="33"/>
  <c r="AG99" i="33"/>
  <c r="S410" i="33"/>
  <c r="S97" i="33"/>
  <c r="N497" i="35" l="1"/>
  <c r="N472" i="35"/>
  <c r="J472" i="35"/>
  <c r="N203" i="35" l="1"/>
  <c r="K203" i="35"/>
  <c r="J203" i="35"/>
  <c r="AC353" i="33"/>
  <c r="BK45" i="35"/>
  <c r="BH45" i="35"/>
  <c r="BG45" i="35"/>
  <c r="AG47" i="33"/>
  <c r="AH47" i="33" s="1"/>
  <c r="AJ47" i="33" s="1"/>
  <c r="AD47" i="33"/>
  <c r="AC47" i="33"/>
  <c r="AH51" i="33"/>
  <c r="AJ51" i="33" s="1"/>
  <c r="BK510" i="35"/>
  <c r="AE51" i="33" l="1"/>
  <c r="R31" i="27"/>
  <c r="AH48" i="33"/>
  <c r="AH49" i="33"/>
  <c r="AH50" i="33"/>
  <c r="AH52" i="33"/>
  <c r="AH53" i="33"/>
  <c r="AH46" i="33"/>
  <c r="AE46" i="33"/>
  <c r="AE48" i="33"/>
  <c r="Y46" i="33"/>
  <c r="Y48" i="33"/>
  <c r="T46" i="33"/>
  <c r="Z46" i="33" s="1"/>
  <c r="AJ46" i="33" s="1"/>
  <c r="T48" i="33"/>
  <c r="Z48" i="33" s="1"/>
  <c r="AJ48" i="33" s="1"/>
  <c r="Q46" i="33"/>
  <c r="Q48" i="33"/>
  <c r="N46" i="33"/>
  <c r="N48" i="33"/>
  <c r="BK91" i="35" l="1"/>
  <c r="BH91" i="35"/>
  <c r="BG91" i="35"/>
  <c r="BK324" i="35"/>
  <c r="BH324" i="35"/>
  <c r="BG324" i="35"/>
  <c r="BH313" i="35" l="1"/>
  <c r="BG313" i="35"/>
  <c r="BK313" i="35"/>
  <c r="BK307" i="35"/>
  <c r="BH307" i="35"/>
  <c r="BK306" i="35"/>
  <c r="BK312" i="35"/>
  <c r="BK329" i="35" l="1"/>
  <c r="BH310" i="35"/>
  <c r="BK309" i="35"/>
  <c r="BK387" i="35"/>
  <c r="BK390" i="35"/>
  <c r="AG310" i="33"/>
  <c r="BK511" i="35"/>
  <c r="BK509" i="35"/>
  <c r="BK508" i="35"/>
  <c r="BK507" i="35"/>
  <c r="AL111" i="35" l="1"/>
  <c r="AI111" i="35"/>
  <c r="AH111" i="35"/>
  <c r="BH510" i="35"/>
  <c r="BG510" i="35"/>
  <c r="AG125" i="33" l="1"/>
  <c r="AD125" i="33"/>
  <c r="AC125" i="33"/>
  <c r="AG46" i="33" l="1"/>
  <c r="AD46" i="33"/>
  <c r="AC46" i="33"/>
  <c r="AG48" i="33"/>
  <c r="AD48" i="33"/>
  <c r="AC48" i="33"/>
  <c r="AG53" i="33"/>
  <c r="AD53" i="33"/>
  <c r="AC53" i="33"/>
  <c r="BK42" i="35" l="1"/>
  <c r="BH42" i="35"/>
  <c r="BG42" i="35"/>
  <c r="BK48" i="35"/>
  <c r="BH48" i="35"/>
  <c r="BG48" i="35"/>
  <c r="BK46" i="35"/>
  <c r="BH46" i="35"/>
  <c r="BG46" i="35"/>
  <c r="AG50" i="33"/>
  <c r="AD50" i="33"/>
  <c r="AC50" i="33"/>
  <c r="AD310" i="33" l="1"/>
  <c r="AC310" i="33"/>
  <c r="BK241" i="35"/>
  <c r="BK243" i="35"/>
  <c r="BH243" i="35"/>
  <c r="BG243" i="35"/>
  <c r="BK149" i="35" l="1"/>
  <c r="AG284" i="33" l="1"/>
  <c r="AD284" i="33"/>
  <c r="AC284" i="33"/>
  <c r="AG26" i="33"/>
  <c r="AD26" i="33"/>
  <c r="AC26" i="33"/>
  <c r="P31" i="27" l="1"/>
  <c r="O31" i="27"/>
  <c r="N31" i="27"/>
  <c r="M31" i="27"/>
  <c r="P17" i="27"/>
  <c r="P26" i="27"/>
  <c r="P54" i="27" l="1"/>
  <c r="AG518" i="33"/>
  <c r="AD518" i="33"/>
  <c r="AC518" i="33"/>
  <c r="BK327" i="35"/>
  <c r="BH327" i="35"/>
  <c r="BG327" i="35"/>
  <c r="AG335" i="33"/>
  <c r="AG353" i="33"/>
  <c r="AD353" i="33"/>
  <c r="AG328" i="33" l="1"/>
  <c r="AD328" i="33"/>
  <c r="AC328" i="33"/>
  <c r="AG346" i="33"/>
  <c r="AD346" i="33"/>
  <c r="AC346" i="33"/>
  <c r="BK472" i="35" l="1"/>
  <c r="BH472" i="35"/>
  <c r="BG472" i="35"/>
  <c r="BG29" i="35" l="1"/>
  <c r="BH29" i="35"/>
  <c r="BK29" i="35"/>
  <c r="AT32" i="43" l="1"/>
  <c r="AT27" i="43"/>
  <c r="AT19" i="43"/>
  <c r="AT12" i="43"/>
  <c r="AT10" i="43"/>
  <c r="AT28" i="43"/>
  <c r="AT33" i="43"/>
  <c r="AT34" i="43"/>
  <c r="AT8" i="43" l="1"/>
  <c r="AU8" i="43" s="1"/>
  <c r="AX8" i="43"/>
  <c r="AL291" i="35" l="1"/>
  <c r="AI291" i="35" l="1"/>
  <c r="AH291" i="35"/>
  <c r="AG313" i="33"/>
  <c r="AD313" i="33" l="1"/>
  <c r="AC313" i="33"/>
  <c r="AG315" i="33"/>
  <c r="AD315" i="33"/>
  <c r="AC315" i="33"/>
  <c r="AG307" i="33"/>
  <c r="AD307" i="33"/>
  <c r="AC307" i="33"/>
  <c r="AG314" i="33"/>
  <c r="AD314" i="33"/>
  <c r="AC314" i="33"/>
  <c r="G68" i="27" l="1"/>
  <c r="G70" i="27" s="1"/>
  <c r="AH286" i="33" l="1"/>
  <c r="AE286" i="33"/>
  <c r="S280" i="33"/>
  <c r="W286" i="33"/>
  <c r="Z286" i="33" s="1"/>
  <c r="V286" i="33"/>
  <c r="Y286" i="33" s="1"/>
  <c r="AV458" i="35"/>
  <c r="BO458" i="29"/>
  <c r="BR447" i="29"/>
  <c r="N458" i="35"/>
  <c r="K458" i="35"/>
  <c r="J458" i="35"/>
  <c r="BK458" i="35"/>
  <c r="BH458" i="35"/>
  <c r="BG458" i="35"/>
  <c r="BK450" i="35"/>
  <c r="BK455" i="35"/>
  <c r="BK439" i="35"/>
  <c r="BK446" i="35"/>
  <c r="AL327" i="35"/>
  <c r="AH327" i="35"/>
  <c r="AG341" i="33"/>
  <c r="AD341" i="33"/>
  <c r="AC341" i="33"/>
  <c r="BH329" i="35"/>
  <c r="BG329" i="35"/>
  <c r="AJ286" i="33" l="1"/>
  <c r="AV403" i="35"/>
  <c r="AS403" i="35"/>
  <c r="AR403" i="35"/>
  <c r="AG272" i="33"/>
  <c r="AD272" i="33"/>
  <c r="AC272" i="33"/>
  <c r="S270" i="33"/>
  <c r="V272" i="33"/>
  <c r="P272" i="33"/>
  <c r="M272" i="33"/>
  <c r="L272" i="33"/>
  <c r="V276" i="33"/>
  <c r="P276" i="33"/>
  <c r="O276" i="33"/>
  <c r="M276" i="33"/>
  <c r="L276" i="33"/>
  <c r="BK360" i="35"/>
  <c r="BG360" i="35"/>
  <c r="S497" i="33"/>
  <c r="Y167" i="33" l="1"/>
  <c r="AB97" i="33"/>
  <c r="BG507" i="35" l="1"/>
  <c r="BR507" i="29"/>
  <c r="BK474" i="35"/>
  <c r="BG474" i="35"/>
  <c r="AV479" i="29"/>
  <c r="AV480" i="29"/>
  <c r="BI480" i="29" s="1"/>
  <c r="AZ479" i="29"/>
  <c r="AZ480" i="29"/>
  <c r="BC479" i="29"/>
  <c r="BC480" i="29"/>
  <c r="BE479" i="29"/>
  <c r="BE480" i="29"/>
  <c r="BG479" i="29"/>
  <c r="BG480" i="29"/>
  <c r="BI479" i="29"/>
  <c r="BK479" i="29" s="1"/>
  <c r="BP479" i="29"/>
  <c r="BP480" i="29"/>
  <c r="BS479" i="29"/>
  <c r="BX479" i="29" s="1"/>
  <c r="BS480" i="29"/>
  <c r="BV479" i="29"/>
  <c r="BV480" i="29"/>
  <c r="BK242" i="35"/>
  <c r="BK236" i="35"/>
  <c r="BK229" i="35"/>
  <c r="BL229" i="35" s="1"/>
  <c r="BN229" i="35" s="1"/>
  <c r="BH229" i="35"/>
  <c r="BG229" i="35"/>
  <c r="BK231" i="35"/>
  <c r="AW229" i="35"/>
  <c r="AY229" i="35" s="1"/>
  <c r="BR228" i="29"/>
  <c r="BF229" i="35"/>
  <c r="BC229" i="29"/>
  <c r="BG229" i="29" s="1"/>
  <c r="BI229" i="29"/>
  <c r="BE229" i="29"/>
  <c r="BR229" i="29"/>
  <c r="BS229" i="29" s="1"/>
  <c r="BX229" i="29" s="1"/>
  <c r="CJ229" i="29"/>
  <c r="CO229" i="29"/>
  <c r="DH229" i="29" s="1"/>
  <c r="DB229" i="29"/>
  <c r="DG229" i="29" s="1"/>
  <c r="CW229" i="29"/>
  <c r="CT229" i="29"/>
  <c r="CG229" i="29"/>
  <c r="V346" i="33"/>
  <c r="O346" i="33"/>
  <c r="L346" i="33"/>
  <c r="V329" i="33"/>
  <c r="AG329" i="33"/>
  <c r="AG330" i="33"/>
  <c r="AH330" i="33"/>
  <c r="AC329" i="33"/>
  <c r="O329" i="33"/>
  <c r="L329" i="33"/>
  <c r="Q328" i="33"/>
  <c r="AH329" i="33"/>
  <c r="AH331" i="33"/>
  <c r="AH332" i="33"/>
  <c r="AG332" i="33"/>
  <c r="AC332" i="33"/>
  <c r="V332" i="33"/>
  <c r="P332" i="33"/>
  <c r="L332" i="33"/>
  <c r="AG348" i="33"/>
  <c r="AC348" i="33"/>
  <c r="V348" i="33"/>
  <c r="P348" i="33"/>
  <c r="L348" i="33"/>
  <c r="O284" i="33"/>
  <c r="M284" i="33"/>
  <c r="V284" i="33"/>
  <c r="BK331" i="35"/>
  <c r="BG331" i="35"/>
  <c r="BK333" i="35"/>
  <c r="BG333" i="35"/>
  <c r="BK334" i="35"/>
  <c r="BH334" i="35"/>
  <c r="BG334" i="35"/>
  <c r="BK336" i="35"/>
  <c r="BH336" i="35"/>
  <c r="BG336" i="35"/>
  <c r="BK338" i="35"/>
  <c r="BK341" i="35"/>
  <c r="BH341" i="35"/>
  <c r="BG341" i="35"/>
  <c r="BK342" i="35"/>
  <c r="BG342" i="35"/>
  <c r="BK263" i="35"/>
  <c r="BH263" i="35"/>
  <c r="BG263" i="35"/>
  <c r="BK408" i="35"/>
  <c r="BG408" i="35"/>
  <c r="BK411" i="35"/>
  <c r="BK409" i="35"/>
  <c r="BR410" i="29"/>
  <c r="BR409" i="29"/>
  <c r="BR407" i="29"/>
  <c r="BR408" i="29"/>
  <c r="BK365" i="35"/>
  <c r="BH362" i="35"/>
  <c r="BG362" i="35"/>
  <c r="BG365" i="35"/>
  <c r="BR365" i="29"/>
  <c r="DL229" i="29" l="1"/>
  <c r="DJ229" i="29"/>
  <c r="BI229" i="35"/>
  <c r="BK480" i="29"/>
  <c r="BX480" i="29"/>
  <c r="BL145" i="35"/>
  <c r="BL146" i="35"/>
  <c r="BN146" i="35" s="1"/>
  <c r="BF146" i="35"/>
  <c r="BD145" i="35"/>
  <c r="BF145" i="35" s="1"/>
  <c r="BI145" i="35"/>
  <c r="BI146" i="35"/>
  <c r="BC145" i="29"/>
  <c r="BG145" i="29" s="1"/>
  <c r="BE145" i="29"/>
  <c r="BI144" i="29"/>
  <c r="BI145" i="29"/>
  <c r="BS145" i="29"/>
  <c r="BR144" i="29"/>
  <c r="BS144" i="29" s="1"/>
  <c r="BX144" i="29" s="1"/>
  <c r="BV144" i="29"/>
  <c r="BV145" i="29"/>
  <c r="AW145" i="35"/>
  <c r="AY145" i="35" s="1"/>
  <c r="AW146" i="35"/>
  <c r="AY146" i="35" s="1"/>
  <c r="AT145" i="35"/>
  <c r="AT146" i="35"/>
  <c r="AJ145" i="35"/>
  <c r="AJ146" i="35"/>
  <c r="AM145" i="35"/>
  <c r="AO145" i="35" s="1"/>
  <c r="AM146" i="35"/>
  <c r="AO146" i="35" s="1"/>
  <c r="AY144" i="29"/>
  <c r="CO145" i="29"/>
  <c r="AG144" i="35"/>
  <c r="BC144" i="29"/>
  <c r="AZ144" i="29"/>
  <c r="BE144" i="29" s="1"/>
  <c r="AZ147" i="29"/>
  <c r="BK364" i="35"/>
  <c r="BC362" i="35"/>
  <c r="AL507" i="35"/>
  <c r="AH507" i="35"/>
  <c r="AY507" i="29"/>
  <c r="AY510" i="29"/>
  <c r="AV383" i="35"/>
  <c r="AR383" i="35"/>
  <c r="AQ383" i="35"/>
  <c r="CN383" i="29"/>
  <c r="AS160" i="35"/>
  <c r="AV160" i="35"/>
  <c r="CK248" i="29"/>
  <c r="AW99" i="35"/>
  <c r="DJ144" i="29" l="1"/>
  <c r="DH145" i="29"/>
  <c r="DJ145" i="29"/>
  <c r="BG144" i="29"/>
  <c r="BK144" i="29" s="1"/>
  <c r="BZ144" i="29" s="1"/>
  <c r="BX145" i="29"/>
  <c r="BN145" i="35"/>
  <c r="BK145" i="29"/>
  <c r="BZ145" i="29" s="1"/>
  <c r="DH144" i="29"/>
  <c r="CT172" i="29" l="1"/>
  <c r="CG172" i="29"/>
  <c r="CJ172" i="29"/>
  <c r="CO172" i="29"/>
  <c r="DJ172" i="29" s="1"/>
  <c r="DB172" i="29"/>
  <c r="DG172" i="29" s="1"/>
  <c r="CW172" i="29"/>
  <c r="DB154" i="29"/>
  <c r="CT77" i="29"/>
  <c r="CW77" i="29"/>
  <c r="DB77" i="29"/>
  <c r="CW414" i="29"/>
  <c r="CW415" i="29"/>
  <c r="CW416" i="29"/>
  <c r="CW417" i="29"/>
  <c r="CY415" i="29"/>
  <c r="CY416" i="29"/>
  <c r="CY417" i="29"/>
  <c r="DB415" i="29"/>
  <c r="DB417" i="29"/>
  <c r="DH172" i="29" l="1"/>
  <c r="AW1" i="29"/>
  <c r="AS157" i="35" l="1"/>
  <c r="AR157" i="35"/>
  <c r="AV157" i="35"/>
  <c r="AD33" i="27"/>
  <c r="AR252" i="35"/>
  <c r="AL257" i="35"/>
  <c r="CG98" i="29" l="1"/>
  <c r="CJ98" i="29"/>
  <c r="AL236" i="35" l="1"/>
  <c r="AY241" i="29"/>
  <c r="AY236" i="29"/>
  <c r="BF251" i="35" l="1"/>
  <c r="BO256" i="29"/>
  <c r="BO252" i="29"/>
  <c r="BK252" i="35"/>
  <c r="BH252" i="35"/>
  <c r="BG252" i="35"/>
  <c r="AV252" i="35"/>
  <c r="AS252" i="35"/>
  <c r="BH450" i="35" l="1"/>
  <c r="BG450" i="35"/>
  <c r="BH446" i="35"/>
  <c r="BG446" i="35"/>
  <c r="BH439" i="35"/>
  <c r="BG439" i="35"/>
  <c r="BH455" i="35"/>
  <c r="BG455" i="35"/>
  <c r="BK453" i="35"/>
  <c r="BF439" i="35"/>
  <c r="BO446" i="29"/>
  <c r="BP456" i="29"/>
  <c r="BX456" i="29" s="1"/>
  <c r="BO450" i="29"/>
  <c r="BR455" i="29"/>
  <c r="BR439" i="29"/>
  <c r="BR446" i="29"/>
  <c r="BR450" i="29"/>
  <c r="N455" i="35" l="1"/>
  <c r="K455" i="35"/>
  <c r="J455" i="35"/>
  <c r="H437" i="35"/>
  <c r="I438" i="35"/>
  <c r="I439" i="35"/>
  <c r="I440" i="35"/>
  <c r="I441" i="35"/>
  <c r="I442" i="35"/>
  <c r="I443" i="35"/>
  <c r="I444" i="35"/>
  <c r="I445" i="35"/>
  <c r="I446" i="35"/>
  <c r="I447" i="35"/>
  <c r="I448" i="35"/>
  <c r="I449" i="35"/>
  <c r="I450" i="35"/>
  <c r="I451" i="35"/>
  <c r="I452" i="35"/>
  <c r="I453" i="35"/>
  <c r="I454" i="35"/>
  <c r="I455" i="35"/>
  <c r="I456" i="35"/>
  <c r="I457" i="35"/>
  <c r="I458" i="35"/>
  <c r="I459" i="35"/>
  <c r="I460" i="35"/>
  <c r="I461" i="35"/>
  <c r="I462" i="35"/>
  <c r="I463" i="35"/>
  <c r="I464" i="35"/>
  <c r="I437" i="35"/>
  <c r="I436" i="35"/>
  <c r="F437" i="35"/>
  <c r="AJ458" i="29"/>
  <c r="AJ455" i="29"/>
  <c r="O60" i="33" l="1"/>
  <c r="M2" i="27" l="1"/>
  <c r="N295" i="35" l="1"/>
  <c r="K295" i="35"/>
  <c r="J295" i="35"/>
  <c r="N254" i="35" l="1"/>
  <c r="J254" i="35"/>
  <c r="AM254" i="29"/>
  <c r="N205" i="35"/>
  <c r="K205" i="35"/>
  <c r="J205" i="35"/>
  <c r="N450" i="35" l="1"/>
  <c r="J450" i="35"/>
  <c r="O456" i="35"/>
  <c r="Q456" i="35" s="1"/>
  <c r="L456" i="35"/>
  <c r="AK456" i="29"/>
  <c r="AS456" i="29" s="1"/>
  <c r="DJ456" i="29" s="1"/>
  <c r="AJ450" i="29"/>
  <c r="AC456" i="29"/>
  <c r="AF456" i="29"/>
  <c r="BL456" i="35"/>
  <c r="BN456" i="35" s="1"/>
  <c r="BI456" i="35"/>
  <c r="AJ456" i="35"/>
  <c r="AM456" i="35"/>
  <c r="AO456" i="35" s="1"/>
  <c r="AW456" i="35"/>
  <c r="AY456" i="35" s="1"/>
  <c r="AT456" i="35"/>
  <c r="AS446" i="35"/>
  <c r="AR446" i="35"/>
  <c r="AS458" i="35"/>
  <c r="AR458" i="35"/>
  <c r="AV450" i="35"/>
  <c r="AS450" i="35"/>
  <c r="AR450" i="35"/>
  <c r="BB458" i="29" l="1"/>
  <c r="BB450" i="29"/>
  <c r="BF454" i="35"/>
  <c r="BK452" i="35"/>
  <c r="BH452" i="35"/>
  <c r="BG452" i="35"/>
  <c r="BK463" i="35"/>
  <c r="BH463" i="35"/>
  <c r="BG463" i="35"/>
  <c r="BK448" i="35"/>
  <c r="BG448" i="35"/>
  <c r="BK454" i="35"/>
  <c r="BH454" i="35"/>
  <c r="BG454" i="35"/>
  <c r="BR454" i="29"/>
  <c r="AW75" i="43" l="1"/>
  <c r="AS75" i="43"/>
  <c r="AR75" i="43"/>
  <c r="AO75" i="43"/>
  <c r="AO71" i="43" s="1"/>
  <c r="AC75" i="43"/>
  <c r="AW76" i="43"/>
  <c r="AX76" i="43" s="1"/>
  <c r="AS76" i="43"/>
  <c r="AR76" i="43"/>
  <c r="AR71" i="43" s="1"/>
  <c r="AO76" i="43"/>
  <c r="AC76" i="43"/>
  <c r="AD76" i="43" s="1"/>
  <c r="AV74" i="43"/>
  <c r="AS74" i="43"/>
  <c r="AR74" i="43"/>
  <c r="AM74" i="43"/>
  <c r="AM71" i="43" s="1"/>
  <c r="Z74" i="43"/>
  <c r="AA74" i="43" s="1"/>
  <c r="V74" i="43"/>
  <c r="W74" i="43"/>
  <c r="AD116" i="43"/>
  <c r="AX112" i="43"/>
  <c r="AT112" i="43"/>
  <c r="AP112" i="43"/>
  <c r="AK112" i="43"/>
  <c r="AD112" i="43"/>
  <c r="AA112" i="43"/>
  <c r="X112" i="43"/>
  <c r="V112" i="43"/>
  <c r="S112" i="43"/>
  <c r="P112" i="43"/>
  <c r="M112" i="43"/>
  <c r="BA111" i="43"/>
  <c r="AX111" i="43"/>
  <c r="AP111" i="43"/>
  <c r="AK111" i="43"/>
  <c r="AF111" i="43"/>
  <c r="AX110" i="43"/>
  <c r="AT110" i="43"/>
  <c r="AU110" i="43" s="1"/>
  <c r="AP110" i="43"/>
  <c r="AK110" i="43"/>
  <c r="AD110" i="43"/>
  <c r="AA110" i="43"/>
  <c r="AB110" i="43" s="1"/>
  <c r="X110" i="43"/>
  <c r="V110" i="43"/>
  <c r="S110" i="43"/>
  <c r="P110" i="43"/>
  <c r="M110" i="43"/>
  <c r="BA107" i="43"/>
  <c r="AX107" i="43"/>
  <c r="AP107" i="43"/>
  <c r="AK107" i="43"/>
  <c r="AF107" i="43"/>
  <c r="BA106" i="43"/>
  <c r="AX106" i="43"/>
  <c r="AT106" i="43"/>
  <c r="AP106" i="43"/>
  <c r="AK106" i="43"/>
  <c r="AD106" i="43"/>
  <c r="AA106" i="43"/>
  <c r="X106" i="43"/>
  <c r="V106" i="43"/>
  <c r="S106" i="43"/>
  <c r="P106" i="43"/>
  <c r="M106" i="43"/>
  <c r="BA105" i="43"/>
  <c r="AX105" i="43"/>
  <c r="AT105" i="43"/>
  <c r="AP105" i="43"/>
  <c r="AK105" i="43"/>
  <c r="AD105" i="43"/>
  <c r="AA105" i="43"/>
  <c r="X105" i="43"/>
  <c r="V105" i="43"/>
  <c r="S105" i="43"/>
  <c r="P105" i="43"/>
  <c r="M105" i="43"/>
  <c r="BA104" i="43"/>
  <c r="AX104" i="43"/>
  <c r="AT104" i="43"/>
  <c r="AP104" i="43"/>
  <c r="AK104" i="43"/>
  <c r="AD104" i="43"/>
  <c r="AA104" i="43"/>
  <c r="X104" i="43"/>
  <c r="V104" i="43"/>
  <c r="S104" i="43"/>
  <c r="P104" i="43"/>
  <c r="M104" i="43"/>
  <c r="BA103" i="43"/>
  <c r="AX103" i="43"/>
  <c r="AT103" i="43"/>
  <c r="AP103" i="43"/>
  <c r="AK103" i="43"/>
  <c r="AD103" i="43"/>
  <c r="AA103" i="43"/>
  <c r="X103" i="43"/>
  <c r="V103" i="43"/>
  <c r="S103" i="43"/>
  <c r="P103" i="43"/>
  <c r="M103" i="43"/>
  <c r="BA102" i="43"/>
  <c r="AX102" i="43"/>
  <c r="AT102" i="43"/>
  <c r="AP102" i="43"/>
  <c r="AK102" i="43"/>
  <c r="AD102" i="43"/>
  <c r="AA102" i="43"/>
  <c r="X102" i="43"/>
  <c r="V102" i="43"/>
  <c r="S102" i="43"/>
  <c r="P102" i="43"/>
  <c r="M102" i="43"/>
  <c r="BA101" i="43"/>
  <c r="AX101" i="43"/>
  <c r="AT101" i="43"/>
  <c r="AP101" i="43"/>
  <c r="AK101" i="43"/>
  <c r="AD101" i="43"/>
  <c r="AA101" i="43"/>
  <c r="X101" i="43"/>
  <c r="V101" i="43"/>
  <c r="S101" i="43"/>
  <c r="P101" i="43"/>
  <c r="M101" i="43"/>
  <c r="AX100" i="43"/>
  <c r="AT100" i="43"/>
  <c r="AP100" i="43"/>
  <c r="AK100" i="43"/>
  <c r="AD100" i="43"/>
  <c r="AA100" i="43"/>
  <c r="X100" i="43"/>
  <c r="V100" i="43"/>
  <c r="S100" i="43"/>
  <c r="P100" i="43"/>
  <c r="M100" i="43"/>
  <c r="BA99" i="43"/>
  <c r="AX99" i="43"/>
  <c r="AP99" i="43"/>
  <c r="AK99" i="43"/>
  <c r="AF99" i="43"/>
  <c r="BA98" i="43"/>
  <c r="AX98" i="43"/>
  <c r="AT98" i="43"/>
  <c r="AP98" i="43"/>
  <c r="AK98" i="43"/>
  <c r="AD98" i="43"/>
  <c r="AA98" i="43"/>
  <c r="X98" i="43"/>
  <c r="V98" i="43"/>
  <c r="S98" i="43"/>
  <c r="P98" i="43"/>
  <c r="M98" i="43"/>
  <c r="BA97" i="43"/>
  <c r="AX97" i="43"/>
  <c r="AT97" i="43"/>
  <c r="AP97" i="43"/>
  <c r="AK97" i="43"/>
  <c r="AD97" i="43"/>
  <c r="AA97" i="43"/>
  <c r="X97" i="43"/>
  <c r="V97" i="43"/>
  <c r="S97" i="43"/>
  <c r="P97" i="43"/>
  <c r="M97" i="43"/>
  <c r="BA96" i="43"/>
  <c r="AX96" i="43"/>
  <c r="AT96" i="43"/>
  <c r="AP96" i="43"/>
  <c r="AK96" i="43"/>
  <c r="AD96" i="43"/>
  <c r="AA96" i="43"/>
  <c r="X96" i="43"/>
  <c r="V96" i="43"/>
  <c r="S96" i="43"/>
  <c r="P96" i="43"/>
  <c r="M96" i="43"/>
  <c r="BA95" i="43"/>
  <c r="AX95" i="43"/>
  <c r="AP95" i="43"/>
  <c r="AK95" i="43"/>
  <c r="AF95" i="43"/>
  <c r="BA92" i="43"/>
  <c r="AX92" i="43"/>
  <c r="AT92" i="43"/>
  <c r="AP92" i="43"/>
  <c r="AK92" i="43"/>
  <c r="AD92" i="43"/>
  <c r="AA92" i="43"/>
  <c r="X92" i="43"/>
  <c r="V92" i="43"/>
  <c r="S92" i="43"/>
  <c r="P92" i="43"/>
  <c r="M92" i="43"/>
  <c r="AX91" i="43"/>
  <c r="AT91" i="43"/>
  <c r="AP91" i="43"/>
  <c r="AK91" i="43"/>
  <c r="AD91" i="43"/>
  <c r="AA91" i="43"/>
  <c r="X91" i="43"/>
  <c r="V91" i="43"/>
  <c r="S91" i="43"/>
  <c r="P91" i="43"/>
  <c r="M91" i="43"/>
  <c r="BA90" i="43"/>
  <c r="AX90" i="43"/>
  <c r="AP90" i="43"/>
  <c r="AK90" i="43"/>
  <c r="AF90" i="43"/>
  <c r="BA89" i="43"/>
  <c r="AX89" i="43"/>
  <c r="AT89" i="43"/>
  <c r="AP89" i="43"/>
  <c r="AK89" i="43"/>
  <c r="AD89" i="43"/>
  <c r="AA89" i="43"/>
  <c r="X89" i="43"/>
  <c r="V89" i="43"/>
  <c r="S89" i="43"/>
  <c r="P89" i="43"/>
  <c r="M89" i="43"/>
  <c r="BA88" i="43"/>
  <c r="AX88" i="43"/>
  <c r="AT88" i="43"/>
  <c r="AP88" i="43"/>
  <c r="AK88" i="43"/>
  <c r="AD88" i="43"/>
  <c r="AA88" i="43"/>
  <c r="X88" i="43"/>
  <c r="V88" i="43"/>
  <c r="S88" i="43"/>
  <c r="P88" i="43"/>
  <c r="M88" i="43"/>
  <c r="BA86" i="43"/>
  <c r="AX86" i="43"/>
  <c r="AT86" i="43"/>
  <c r="AP86" i="43"/>
  <c r="AK86" i="43"/>
  <c r="AD86" i="43"/>
  <c r="AA86" i="43"/>
  <c r="X86" i="43"/>
  <c r="V86" i="43"/>
  <c r="S86" i="43"/>
  <c r="P86" i="43"/>
  <c r="M86" i="43"/>
  <c r="BA85" i="43"/>
  <c r="AX85" i="43"/>
  <c r="AT85" i="43"/>
  <c r="AP85" i="43"/>
  <c r="AK85" i="43"/>
  <c r="AD85" i="43"/>
  <c r="AA85" i="43"/>
  <c r="X85" i="43"/>
  <c r="V85" i="43"/>
  <c r="S85" i="43"/>
  <c r="P85" i="43"/>
  <c r="M85" i="43"/>
  <c r="BA84" i="43"/>
  <c r="AX84" i="43"/>
  <c r="AT84" i="43"/>
  <c r="AP84" i="43"/>
  <c r="AK84" i="43"/>
  <c r="AD84" i="43"/>
  <c r="AA84" i="43"/>
  <c r="X84" i="43"/>
  <c r="V84" i="43"/>
  <c r="S84" i="43"/>
  <c r="P84" i="43"/>
  <c r="M84" i="43"/>
  <c r="BA83" i="43"/>
  <c r="AX83" i="43"/>
  <c r="AT83" i="43"/>
  <c r="AP83" i="43"/>
  <c r="AK83" i="43"/>
  <c r="AD83" i="43"/>
  <c r="AA83" i="43"/>
  <c r="X83" i="43"/>
  <c r="V83" i="43"/>
  <c r="S83" i="43"/>
  <c r="P83" i="43"/>
  <c r="M83" i="43"/>
  <c r="BA82" i="43"/>
  <c r="AX82" i="43"/>
  <c r="AT82" i="43"/>
  <c r="AP82" i="43"/>
  <c r="AK82" i="43"/>
  <c r="AD82" i="43"/>
  <c r="AA82" i="43"/>
  <c r="X82" i="43"/>
  <c r="V82" i="43"/>
  <c r="S82" i="43"/>
  <c r="P82" i="43"/>
  <c r="M82" i="43"/>
  <c r="AX81" i="43"/>
  <c r="AT81" i="43"/>
  <c r="AP81" i="43"/>
  <c r="AK81" i="43"/>
  <c r="AD81" i="43"/>
  <c r="AA81" i="43"/>
  <c r="X81" i="43"/>
  <c r="V81" i="43"/>
  <c r="S81" i="43"/>
  <c r="P81" i="43"/>
  <c r="M81" i="43"/>
  <c r="BA80" i="43"/>
  <c r="AX80" i="43"/>
  <c r="AP80" i="43"/>
  <c r="AK80" i="43"/>
  <c r="AF80" i="43"/>
  <c r="BA79" i="43"/>
  <c r="AX79" i="43"/>
  <c r="AT79" i="43"/>
  <c r="AP79" i="43"/>
  <c r="AK79" i="43"/>
  <c r="AD79" i="43"/>
  <c r="AA79" i="43"/>
  <c r="X79" i="43"/>
  <c r="V79" i="43"/>
  <c r="S79" i="43"/>
  <c r="P79" i="43"/>
  <c r="M79" i="43"/>
  <c r="BA78" i="43"/>
  <c r="AX78" i="43"/>
  <c r="AP78" i="43"/>
  <c r="AK78" i="43"/>
  <c r="AF78" i="43"/>
  <c r="BA76" i="43"/>
  <c r="AP76" i="43"/>
  <c r="AK76" i="43"/>
  <c r="AA76" i="43"/>
  <c r="V76" i="43"/>
  <c r="BA75" i="43"/>
  <c r="AX75" i="43"/>
  <c r="AK75" i="43"/>
  <c r="AD75" i="43"/>
  <c r="AA75" i="43"/>
  <c r="V75" i="43"/>
  <c r="AX74" i="43"/>
  <c r="AP74" i="43"/>
  <c r="AK74" i="43"/>
  <c r="X74" i="43"/>
  <c r="BA73" i="43"/>
  <c r="AX73" i="43"/>
  <c r="AT73" i="43"/>
  <c r="AP73" i="43"/>
  <c r="AK73" i="43"/>
  <c r="AD73" i="43"/>
  <c r="AA73" i="43"/>
  <c r="X73" i="43"/>
  <c r="V73" i="43"/>
  <c r="S73" i="43"/>
  <c r="P73" i="43"/>
  <c r="M73" i="43"/>
  <c r="AX72" i="43"/>
  <c r="AT72" i="43"/>
  <c r="AP72" i="43"/>
  <c r="AK72" i="43"/>
  <c r="AD72" i="43"/>
  <c r="AA72" i="43"/>
  <c r="X72" i="43"/>
  <c r="V72" i="43"/>
  <c r="S72" i="43"/>
  <c r="P72" i="43"/>
  <c r="M72" i="43"/>
  <c r="AV71" i="43"/>
  <c r="AN71" i="43"/>
  <c r="AJ71" i="43"/>
  <c r="AI71" i="43"/>
  <c r="AH71" i="43"/>
  <c r="Z71" i="43"/>
  <c r="U71" i="43"/>
  <c r="R71" i="43"/>
  <c r="Q71" i="43"/>
  <c r="O71" i="43"/>
  <c r="N71" i="43"/>
  <c r="L71" i="43"/>
  <c r="K71" i="43"/>
  <c r="A71" i="43"/>
  <c r="BA70" i="43"/>
  <c r="AX70" i="43"/>
  <c r="AT70" i="43"/>
  <c r="AP70" i="43"/>
  <c r="AK70" i="43"/>
  <c r="AD70" i="43"/>
  <c r="AA70" i="43"/>
  <c r="X70" i="43"/>
  <c r="V70" i="43"/>
  <c r="S70" i="43"/>
  <c r="P70" i="43"/>
  <c r="M70" i="43"/>
  <c r="BA69" i="43"/>
  <c r="AX69" i="43"/>
  <c r="AT69" i="43"/>
  <c r="AP69" i="43"/>
  <c r="AK69" i="43"/>
  <c r="AD69" i="43"/>
  <c r="AA69" i="43"/>
  <c r="X69" i="43"/>
  <c r="V69" i="43"/>
  <c r="S69" i="43"/>
  <c r="P69" i="43"/>
  <c r="M69" i="43"/>
  <c r="BA68" i="43"/>
  <c r="AX68" i="43"/>
  <c r="AT68" i="43"/>
  <c r="AP68" i="43"/>
  <c r="AK68" i="43"/>
  <c r="AD68" i="43"/>
  <c r="AA68" i="43"/>
  <c r="X68" i="43"/>
  <c r="V68" i="43"/>
  <c r="S68" i="43"/>
  <c r="P68" i="43"/>
  <c r="M68" i="43"/>
  <c r="BA67" i="43"/>
  <c r="AX67" i="43"/>
  <c r="AT67" i="43"/>
  <c r="AP67" i="43"/>
  <c r="AK67" i="43"/>
  <c r="AD67" i="43"/>
  <c r="AA67" i="43"/>
  <c r="X67" i="43"/>
  <c r="V67" i="43"/>
  <c r="S67" i="43"/>
  <c r="P67" i="43"/>
  <c r="M67" i="43"/>
  <c r="BA66" i="43"/>
  <c r="AX66" i="43"/>
  <c r="AT66" i="43"/>
  <c r="AP66" i="43"/>
  <c r="AK66" i="43"/>
  <c r="AD66" i="43"/>
  <c r="AA66" i="43"/>
  <c r="X66" i="43"/>
  <c r="V66" i="43"/>
  <c r="S66" i="43"/>
  <c r="P66" i="43"/>
  <c r="M66" i="43"/>
  <c r="BA65" i="43"/>
  <c r="AX65" i="43"/>
  <c r="AT65" i="43"/>
  <c r="AP65" i="43"/>
  <c r="AK65" i="43"/>
  <c r="AD65" i="43"/>
  <c r="AA65" i="43"/>
  <c r="X65" i="43"/>
  <c r="V65" i="43"/>
  <c r="S65" i="43"/>
  <c r="AX64" i="43"/>
  <c r="AT64" i="43"/>
  <c r="AP64" i="43"/>
  <c r="AK64" i="43"/>
  <c r="AD64" i="43"/>
  <c r="AA64" i="43"/>
  <c r="X64" i="43"/>
  <c r="V64" i="43"/>
  <c r="S64" i="43"/>
  <c r="P64" i="43"/>
  <c r="M64" i="43"/>
  <c r="BA63" i="43"/>
  <c r="AX63" i="43"/>
  <c r="AP63" i="43"/>
  <c r="AK63" i="43"/>
  <c r="AF63" i="43"/>
  <c r="BA62" i="43"/>
  <c r="AX62" i="43"/>
  <c r="AP62" i="43"/>
  <c r="AK62" i="43"/>
  <c r="AF62" i="43"/>
  <c r="AX61" i="43"/>
  <c r="AT61" i="43"/>
  <c r="AP61" i="43"/>
  <c r="AK61" i="43"/>
  <c r="AD61" i="43"/>
  <c r="AA61" i="43"/>
  <c r="X61" i="43"/>
  <c r="V61" i="43"/>
  <c r="S61" i="43"/>
  <c r="P61" i="43"/>
  <c r="M61" i="43"/>
  <c r="BA60" i="43"/>
  <c r="AX60" i="43"/>
  <c r="AP60" i="43"/>
  <c r="AK60" i="43"/>
  <c r="AF60" i="43"/>
  <c r="AX59" i="43"/>
  <c r="AT59" i="43"/>
  <c r="AP59" i="43"/>
  <c r="AK59" i="43"/>
  <c r="AD59" i="43"/>
  <c r="AA59" i="43"/>
  <c r="X59" i="43"/>
  <c r="V59" i="43"/>
  <c r="S59" i="43"/>
  <c r="P59" i="43"/>
  <c r="M59" i="43"/>
  <c r="BA58" i="43"/>
  <c r="AX58" i="43"/>
  <c r="AP58" i="43"/>
  <c r="AK58" i="43"/>
  <c r="AF58" i="43"/>
  <c r="AX57" i="43"/>
  <c r="AT57" i="43"/>
  <c r="AP57" i="43"/>
  <c r="AK57" i="43"/>
  <c r="AD57" i="43"/>
  <c r="AA57" i="43"/>
  <c r="X57" i="43"/>
  <c r="V57" i="43"/>
  <c r="S57" i="43"/>
  <c r="P57" i="43"/>
  <c r="M57" i="43"/>
  <c r="BA56" i="43"/>
  <c r="AX56" i="43"/>
  <c r="AP56" i="43"/>
  <c r="AK56" i="43"/>
  <c r="AF56" i="43"/>
  <c r="BA55" i="43"/>
  <c r="AX55" i="43"/>
  <c r="AT55" i="43"/>
  <c r="AP55" i="43"/>
  <c r="AK55" i="43"/>
  <c r="AD55" i="43"/>
  <c r="AA55" i="43"/>
  <c r="X55" i="43"/>
  <c r="V55" i="43"/>
  <c r="S55" i="43"/>
  <c r="P55" i="43"/>
  <c r="M55" i="43"/>
  <c r="AX54" i="43"/>
  <c r="AT54" i="43"/>
  <c r="AP54" i="43"/>
  <c r="AK54" i="43"/>
  <c r="AD54" i="43"/>
  <c r="AA54" i="43"/>
  <c r="X54" i="43"/>
  <c r="V54" i="43"/>
  <c r="S54" i="43"/>
  <c r="P54" i="43"/>
  <c r="M54" i="43"/>
  <c r="BA53" i="43"/>
  <c r="AX53" i="43"/>
  <c r="AP53" i="43"/>
  <c r="AK53" i="43"/>
  <c r="AF53" i="43"/>
  <c r="BA52" i="43"/>
  <c r="AX52" i="43"/>
  <c r="AT52" i="43"/>
  <c r="AP52" i="43"/>
  <c r="AK52" i="43"/>
  <c r="AD52" i="43"/>
  <c r="AA52" i="43"/>
  <c r="X52" i="43"/>
  <c r="V52" i="43"/>
  <c r="S52" i="43"/>
  <c r="P52" i="43"/>
  <c r="M52" i="43"/>
  <c r="BA51" i="43"/>
  <c r="AX51" i="43"/>
  <c r="AT51" i="43"/>
  <c r="AP51" i="43"/>
  <c r="AK51" i="43"/>
  <c r="AD51" i="43"/>
  <c r="AA51" i="43"/>
  <c r="X51" i="43"/>
  <c r="V51" i="43"/>
  <c r="S51" i="43"/>
  <c r="P51" i="43"/>
  <c r="M51" i="43"/>
  <c r="BA50" i="43"/>
  <c r="AX50" i="43"/>
  <c r="AP50" i="43"/>
  <c r="AK50" i="43"/>
  <c r="AF50" i="43"/>
  <c r="AX45" i="43"/>
  <c r="AT45" i="43"/>
  <c r="AP45" i="43"/>
  <c r="AK45" i="43"/>
  <c r="X45" i="43"/>
  <c r="AF45" i="43" s="1"/>
  <c r="V45" i="43"/>
  <c r="BA44" i="43"/>
  <c r="AX44" i="43"/>
  <c r="AP44" i="43"/>
  <c r="AK44" i="43"/>
  <c r="AF44" i="43"/>
  <c r="BA43" i="43"/>
  <c r="AX43" i="43"/>
  <c r="AT43" i="43"/>
  <c r="AP43" i="43"/>
  <c r="AK43" i="43"/>
  <c r="AD43" i="43"/>
  <c r="AA43" i="43"/>
  <c r="X43" i="43"/>
  <c r="V43" i="43"/>
  <c r="S43" i="43"/>
  <c r="P43" i="43"/>
  <c r="M43" i="43"/>
  <c r="BA42" i="43"/>
  <c r="AX42" i="43"/>
  <c r="AT42" i="43"/>
  <c r="AP42" i="43"/>
  <c r="AK42" i="43"/>
  <c r="AD42" i="43"/>
  <c r="AA42" i="43"/>
  <c r="X42" i="43"/>
  <c r="V42" i="43"/>
  <c r="S42" i="43"/>
  <c r="P42" i="43"/>
  <c r="M42" i="43"/>
  <c r="BA41" i="43"/>
  <c r="AX41" i="43"/>
  <c r="AT41" i="43"/>
  <c r="AP41" i="43"/>
  <c r="AK41" i="43"/>
  <c r="AD41" i="43"/>
  <c r="AA41" i="43"/>
  <c r="X41" i="43"/>
  <c r="V41" i="43"/>
  <c r="S41" i="43"/>
  <c r="P41" i="43"/>
  <c r="M41" i="43"/>
  <c r="AX40" i="43"/>
  <c r="AT40" i="43"/>
  <c r="AP40" i="43"/>
  <c r="AK40" i="43"/>
  <c r="AD40" i="43"/>
  <c r="AA40" i="43"/>
  <c r="X40" i="43"/>
  <c r="V40" i="43"/>
  <c r="S40" i="43"/>
  <c r="P40" i="43"/>
  <c r="M40" i="43"/>
  <c r="BA39" i="43"/>
  <c r="AX39" i="43"/>
  <c r="AP39" i="43"/>
  <c r="AK39" i="43"/>
  <c r="AF39" i="43"/>
  <c r="AX38" i="43"/>
  <c r="AT38" i="43"/>
  <c r="AP38" i="43"/>
  <c r="AK38" i="43"/>
  <c r="AD38" i="43"/>
  <c r="AA38" i="43"/>
  <c r="X38" i="43"/>
  <c r="V38" i="43"/>
  <c r="S38" i="43"/>
  <c r="P38" i="43"/>
  <c r="M38" i="43"/>
  <c r="BA37" i="43"/>
  <c r="AX37" i="43"/>
  <c r="AP37" i="43"/>
  <c r="AK37" i="43"/>
  <c r="AF37" i="43"/>
  <c r="AX36" i="43"/>
  <c r="AP36" i="43"/>
  <c r="AK36" i="43"/>
  <c r="AD36" i="43"/>
  <c r="AA36" i="43"/>
  <c r="X36" i="43"/>
  <c r="V36" i="43"/>
  <c r="S36" i="43"/>
  <c r="P36" i="43"/>
  <c r="M36" i="43"/>
  <c r="AW35" i="43"/>
  <c r="AV35" i="43"/>
  <c r="AR35" i="43"/>
  <c r="AO35" i="43"/>
  <c r="AN35" i="43"/>
  <c r="AM35" i="43"/>
  <c r="AJ35" i="43"/>
  <c r="AI35" i="43"/>
  <c r="AH35" i="43"/>
  <c r="AC35" i="43"/>
  <c r="Z35" i="43"/>
  <c r="W35" i="43"/>
  <c r="U35" i="43"/>
  <c r="T35" i="43"/>
  <c r="R35" i="43"/>
  <c r="Q35" i="43"/>
  <c r="O35" i="43"/>
  <c r="N35" i="43"/>
  <c r="L35" i="43"/>
  <c r="K35" i="43"/>
  <c r="A35" i="43"/>
  <c r="BA34" i="43"/>
  <c r="AX34" i="43"/>
  <c r="AP34" i="43"/>
  <c r="AK34" i="43"/>
  <c r="AD34" i="43"/>
  <c r="AA34" i="43"/>
  <c r="X34" i="43"/>
  <c r="V34" i="43"/>
  <c r="S34" i="43"/>
  <c r="M34" i="43"/>
  <c r="BA33" i="43"/>
  <c r="AX33" i="43"/>
  <c r="AP33" i="43"/>
  <c r="AK33" i="43"/>
  <c r="AD33" i="43"/>
  <c r="AA33" i="43"/>
  <c r="X33" i="43"/>
  <c r="V33" i="43"/>
  <c r="S33" i="43"/>
  <c r="AX32" i="43"/>
  <c r="AP32" i="43"/>
  <c r="AK32" i="43"/>
  <c r="AD32" i="43"/>
  <c r="AA32" i="43"/>
  <c r="X32" i="43"/>
  <c r="V32" i="43"/>
  <c r="S32" i="43"/>
  <c r="BA31" i="43"/>
  <c r="AX31" i="43"/>
  <c r="AP31" i="43"/>
  <c r="AK31" i="43"/>
  <c r="AF31" i="43"/>
  <c r="BA28" i="43"/>
  <c r="AX28" i="43"/>
  <c r="AP28" i="43"/>
  <c r="AK28" i="43"/>
  <c r="AD28" i="43"/>
  <c r="AA28" i="43"/>
  <c r="X28" i="43"/>
  <c r="V28" i="43"/>
  <c r="S28" i="43"/>
  <c r="P28" i="43"/>
  <c r="M28" i="43"/>
  <c r="AX27" i="43"/>
  <c r="AP27" i="43"/>
  <c r="AK27" i="43"/>
  <c r="AD27" i="43"/>
  <c r="AA27" i="43"/>
  <c r="X27" i="43"/>
  <c r="V27" i="43"/>
  <c r="S27" i="43"/>
  <c r="P27" i="43"/>
  <c r="M27" i="43"/>
  <c r="BA26" i="43"/>
  <c r="AX26" i="43"/>
  <c r="AP26" i="43"/>
  <c r="AK26" i="43"/>
  <c r="AF26" i="43"/>
  <c r="BA19" i="43"/>
  <c r="AX19" i="43"/>
  <c r="AP19" i="43"/>
  <c r="AK19" i="43"/>
  <c r="AD19" i="43"/>
  <c r="AA19" i="43"/>
  <c r="X19" i="43"/>
  <c r="V19" i="43"/>
  <c r="S19" i="43"/>
  <c r="P19" i="43"/>
  <c r="M19" i="43"/>
  <c r="BA18" i="43"/>
  <c r="AX18" i="43"/>
  <c r="AP18" i="43"/>
  <c r="AK18" i="43"/>
  <c r="AF18" i="43"/>
  <c r="AX12" i="43"/>
  <c r="AY12" i="43" s="1"/>
  <c r="AP12" i="43"/>
  <c r="AQ12" i="43" s="1"/>
  <c r="AK12" i="43"/>
  <c r="AL12" i="43" s="1"/>
  <c r="AD12" i="43"/>
  <c r="AA12" i="43"/>
  <c r="AB12" i="43" s="1"/>
  <c r="X12" i="43"/>
  <c r="Y12" i="43" s="1"/>
  <c r="V12" i="43"/>
  <c r="S12" i="43"/>
  <c r="P12" i="43"/>
  <c r="M12" i="43"/>
  <c r="BA11" i="43"/>
  <c r="AX11" i="43"/>
  <c r="AP11" i="43"/>
  <c r="AK11" i="43"/>
  <c r="AF11" i="43"/>
  <c r="AX10" i="43"/>
  <c r="AY10" i="43" s="1"/>
  <c r="AP10" i="43"/>
  <c r="AQ10" i="43" s="1"/>
  <c r="AK10" i="43"/>
  <c r="AD10" i="43"/>
  <c r="AA10" i="43"/>
  <c r="AB10" i="43" s="1"/>
  <c r="X10" i="43"/>
  <c r="Y10" i="43" s="1"/>
  <c r="V10" i="43"/>
  <c r="S10" i="43"/>
  <c r="P10" i="43"/>
  <c r="M10" i="43"/>
  <c r="BA9" i="43"/>
  <c r="AX9" i="43"/>
  <c r="AP9" i="43"/>
  <c r="AK9" i="43"/>
  <c r="AY8" i="43"/>
  <c r="AP8" i="43"/>
  <c r="AQ8" i="43" s="1"/>
  <c r="AK8" i="43"/>
  <c r="AD8" i="43"/>
  <c r="AE8" i="43" s="1"/>
  <c r="AA8" i="43"/>
  <c r="X8" i="43"/>
  <c r="Y8" i="43" s="1"/>
  <c r="V8" i="43"/>
  <c r="S8" i="43"/>
  <c r="P8" i="43"/>
  <c r="M8" i="43"/>
  <c r="AW7" i="43"/>
  <c r="AV7" i="43"/>
  <c r="AS7" i="43"/>
  <c r="AR7" i="43"/>
  <c r="AO7" i="43"/>
  <c r="AN7" i="43"/>
  <c r="AM7" i="43"/>
  <c r="AJ7" i="43"/>
  <c r="AI7" i="43"/>
  <c r="AH7" i="43"/>
  <c r="AC7" i="43"/>
  <c r="Z7" i="43"/>
  <c r="W7" i="43"/>
  <c r="U7" i="43"/>
  <c r="T7" i="43"/>
  <c r="R7" i="43"/>
  <c r="Q7" i="43"/>
  <c r="O7" i="43"/>
  <c r="N7" i="43"/>
  <c r="L7" i="43"/>
  <c r="K7" i="43"/>
  <c r="A7" i="43"/>
  <c r="E6" i="43"/>
  <c r="AP75" i="43" l="1"/>
  <c r="AT76" i="43"/>
  <c r="T71" i="43"/>
  <c r="T6" i="43" s="1"/>
  <c r="AL110" i="43"/>
  <c r="AB57" i="43"/>
  <c r="AU57" i="43"/>
  <c r="AS71" i="43"/>
  <c r="AT74" i="43"/>
  <c r="AS35" i="43"/>
  <c r="W71" i="43"/>
  <c r="W6" i="43" s="1"/>
  <c r="AW71" i="43"/>
  <c r="AW6" i="43" s="1"/>
  <c r="AT75" i="43"/>
  <c r="Y91" i="43"/>
  <c r="AQ91" i="43"/>
  <c r="Y100" i="43"/>
  <c r="AQ100" i="43"/>
  <c r="Y112" i="43"/>
  <c r="AF103" i="43"/>
  <c r="AU112" i="43"/>
  <c r="AC71" i="43"/>
  <c r="AC6" i="43" s="1"/>
  <c r="AE112" i="43"/>
  <c r="AF104" i="43"/>
  <c r="AJ6" i="43"/>
  <c r="AU45" i="43"/>
  <c r="AY100" i="43"/>
  <c r="AZ106" i="43"/>
  <c r="AZ69" i="43"/>
  <c r="AZ70" i="43"/>
  <c r="AZ112" i="43"/>
  <c r="Y57" i="43"/>
  <c r="AF75" i="43"/>
  <c r="AF83" i="43"/>
  <c r="AF89" i="43"/>
  <c r="AB91" i="43"/>
  <c r="AU91" i="43"/>
  <c r="AF92" i="43"/>
  <c r="AU54" i="43"/>
  <c r="AZ78" i="43"/>
  <c r="AF102" i="43"/>
  <c r="AY112" i="43"/>
  <c r="S74" i="43"/>
  <c r="S71" i="43" s="1"/>
  <c r="L6" i="43"/>
  <c r="AR6" i="43"/>
  <c r="N6" i="43"/>
  <c r="AZ50" i="43"/>
  <c r="AY91" i="43"/>
  <c r="AZ92" i="43"/>
  <c r="AE110" i="43"/>
  <c r="AY110" i="43"/>
  <c r="AZ111" i="43"/>
  <c r="AB112" i="43"/>
  <c r="AZ31" i="43"/>
  <c r="AZ60" i="43"/>
  <c r="AZ62" i="43"/>
  <c r="AZ101" i="43"/>
  <c r="AE54" i="43"/>
  <c r="AB64" i="43"/>
  <c r="AZ43" i="43"/>
  <c r="AY45" i="43"/>
  <c r="AZ56" i="43"/>
  <c r="Y81" i="43"/>
  <c r="AF85" i="43"/>
  <c r="AF101" i="43"/>
  <c r="AQ110" i="43"/>
  <c r="AZ19" i="43"/>
  <c r="AA35" i="43"/>
  <c r="AZ38" i="43"/>
  <c r="AF43" i="43"/>
  <c r="Y54" i="43"/>
  <c r="AZ58" i="43"/>
  <c r="Y59" i="43"/>
  <c r="AQ59" i="43"/>
  <c r="AZ80" i="43"/>
  <c r="AF88" i="43"/>
  <c r="AF97" i="43"/>
  <c r="AZ107" i="43"/>
  <c r="AZ79" i="43"/>
  <c r="AB81" i="43"/>
  <c r="AF106" i="43"/>
  <c r="AP7" i="43"/>
  <c r="AF55" i="43"/>
  <c r="AE57" i="43"/>
  <c r="AU64" i="43"/>
  <c r="AF84" i="43"/>
  <c r="AF98" i="43"/>
  <c r="A6" i="43"/>
  <c r="AH6" i="43"/>
  <c r="AV6" i="43"/>
  <c r="AF19" i="43"/>
  <c r="AZ26" i="43"/>
  <c r="AQ27" i="43"/>
  <c r="AE27" i="43"/>
  <c r="AL40" i="43"/>
  <c r="AZ54" i="43"/>
  <c r="AZ55" i="43"/>
  <c r="AB61" i="43"/>
  <c r="AL81" i="43"/>
  <c r="AQ81" i="43"/>
  <c r="AZ88" i="43"/>
  <c r="AZ95" i="43"/>
  <c r="AZ97" i="43"/>
  <c r="AZ98" i="43"/>
  <c r="AB100" i="43"/>
  <c r="AF40" i="43"/>
  <c r="AZ41" i="43"/>
  <c r="AZ42" i="43"/>
  <c r="AQ45" i="43"/>
  <c r="AZ51" i="43"/>
  <c r="AB54" i="43"/>
  <c r="AU61" i="43"/>
  <c r="AZ65" i="43"/>
  <c r="AF67" i="43"/>
  <c r="AF68" i="43"/>
  <c r="AZ76" i="43"/>
  <c r="AB27" i="43"/>
  <c r="S35" i="43"/>
  <c r="Y36" i="43"/>
  <c r="Y40" i="43"/>
  <c r="AQ40" i="43"/>
  <c r="Y45" i="43"/>
  <c r="AY54" i="43"/>
  <c r="AF59" i="43"/>
  <c r="AU59" i="43"/>
  <c r="AY61" i="43"/>
  <c r="AE64" i="43"/>
  <c r="AY64" i="43"/>
  <c r="AF65" i="43"/>
  <c r="AY72" i="43"/>
  <c r="AZ73" i="43"/>
  <c r="AF27" i="43"/>
  <c r="AY27" i="43"/>
  <c r="AZ28" i="43"/>
  <c r="Y32" i="43"/>
  <c r="AQ32" i="43"/>
  <c r="AO6" i="43"/>
  <c r="AZ36" i="43"/>
  <c r="AZ37" i="43"/>
  <c r="AU40" i="43"/>
  <c r="AF41" i="43"/>
  <c r="AZ44" i="43"/>
  <c r="AZ45" i="43"/>
  <c r="AF52" i="43"/>
  <c r="AZ53" i="43"/>
  <c r="AQ54" i="43"/>
  <c r="AZ57" i="43"/>
  <c r="AY57" i="43"/>
  <c r="AY59" i="43"/>
  <c r="AZ61" i="43"/>
  <c r="AZ63" i="43"/>
  <c r="AL64" i="43"/>
  <c r="AQ64" i="43"/>
  <c r="AU81" i="43"/>
  <c r="AF82" i="43"/>
  <c r="AF86" i="43"/>
  <c r="AE91" i="43"/>
  <c r="AF96" i="43"/>
  <c r="AE100" i="43"/>
  <c r="AU100" i="43"/>
  <c r="AZ104" i="43"/>
  <c r="AZ105" i="43"/>
  <c r="Y110" i="43"/>
  <c r="AZ110" i="43"/>
  <c r="AZ85" i="43"/>
  <c r="AZ90" i="43"/>
  <c r="AL91" i="43"/>
  <c r="AZ96" i="43"/>
  <c r="AZ99" i="43"/>
  <c r="AL100" i="43"/>
  <c r="AY81" i="43"/>
  <c r="AL112" i="43"/>
  <c r="AZ83" i="43"/>
  <c r="AZ89" i="43"/>
  <c r="AZ102" i="43"/>
  <c r="AZ103" i="43"/>
  <c r="AF105" i="43"/>
  <c r="AF112" i="43"/>
  <c r="AQ112" i="43"/>
  <c r="AN6" i="43"/>
  <c r="AK7" i="43"/>
  <c r="AI6" i="43"/>
  <c r="M71" i="43"/>
  <c r="Q6" i="43"/>
  <c r="O6" i="43"/>
  <c r="K6" i="43"/>
  <c r="U6" i="43"/>
  <c r="AE36" i="43"/>
  <c r="AD35" i="43"/>
  <c r="P7" i="43"/>
  <c r="AZ18" i="43"/>
  <c r="AZ34" i="43"/>
  <c r="P35" i="43"/>
  <c r="AL36" i="43"/>
  <c r="V35" i="43"/>
  <c r="AE10" i="43"/>
  <c r="AF10" i="43"/>
  <c r="AG10" i="43" s="1"/>
  <c r="AL32" i="43"/>
  <c r="AZ32" i="43"/>
  <c r="AB36" i="43"/>
  <c r="AB8" i="43"/>
  <c r="AF8" i="43"/>
  <c r="AG8" i="43" s="1"/>
  <c r="AZ11" i="43"/>
  <c r="AX35" i="43"/>
  <c r="V7" i="43"/>
  <c r="AZ9" i="43"/>
  <c r="AF32" i="43"/>
  <c r="AF34" i="43"/>
  <c r="M35" i="43"/>
  <c r="X35" i="43"/>
  <c r="AY36" i="43"/>
  <c r="AY38" i="43"/>
  <c r="AB40" i="43"/>
  <c r="AY40" i="43"/>
  <c r="AF42" i="43"/>
  <c r="AE45" i="43"/>
  <c r="AB45" i="43"/>
  <c r="AZ52" i="43"/>
  <c r="AE59" i="43"/>
  <c r="AQ61" i="43"/>
  <c r="AB72" i="43"/>
  <c r="AF73" i="43"/>
  <c r="P71" i="43"/>
  <c r="AA71" i="43"/>
  <c r="AZ59" i="43"/>
  <c r="AQ38" i="43"/>
  <c r="AU38" i="43"/>
  <c r="AE40" i="43"/>
  <c r="AF51" i="43"/>
  <c r="AL54" i="43"/>
  <c r="AL57" i="43"/>
  <c r="AF66" i="43"/>
  <c r="AF76" i="43"/>
  <c r="M7" i="43"/>
  <c r="BA12" i="43"/>
  <c r="Y27" i="43"/>
  <c r="AY32" i="43"/>
  <c r="AZ33" i="43"/>
  <c r="AF36" i="43"/>
  <c r="AQ36" i="43"/>
  <c r="AP35" i="43"/>
  <c r="AB38" i="43"/>
  <c r="AZ39" i="43"/>
  <c r="AZ40" i="43"/>
  <c r="AF54" i="43"/>
  <c r="AF57" i="43"/>
  <c r="AQ57" i="43"/>
  <c r="AB59" i="43"/>
  <c r="Y64" i="43"/>
  <c r="AF69" i="43"/>
  <c r="AF70" i="43"/>
  <c r="AM6" i="43"/>
  <c r="V71" i="43"/>
  <c r="AP71" i="43"/>
  <c r="AZ75" i="43"/>
  <c r="R6" i="43"/>
  <c r="AD71" i="43"/>
  <c r="AF74" i="43"/>
  <c r="AX71" i="43"/>
  <c r="AQ72" i="43"/>
  <c r="Z6" i="43"/>
  <c r="S7" i="43"/>
  <c r="AZ8" i="43"/>
  <c r="AZ10" i="43"/>
  <c r="AD7" i="43"/>
  <c r="AL27" i="43"/>
  <c r="AF28" i="43"/>
  <c r="AB32" i="43"/>
  <c r="X7" i="43"/>
  <c r="AE32" i="43"/>
  <c r="AA7" i="43"/>
  <c r="AX7" i="43"/>
  <c r="AE12" i="43"/>
  <c r="AF12" i="43"/>
  <c r="AG12" i="43" s="1"/>
  <c r="AZ12" i="43"/>
  <c r="AZ27" i="43"/>
  <c r="AF33" i="43"/>
  <c r="AL8" i="43"/>
  <c r="AL10" i="43"/>
  <c r="BA10" i="43" s="1"/>
  <c r="AK35" i="43"/>
  <c r="AL45" i="43"/>
  <c r="AL59" i="43"/>
  <c r="BA59" i="43" s="1"/>
  <c r="AZ66" i="43"/>
  <c r="AZ68" i="43"/>
  <c r="AL72" i="43"/>
  <c r="AK71" i="43"/>
  <c r="AZ72" i="43"/>
  <c r="Y38" i="43"/>
  <c r="AE38" i="43"/>
  <c r="AL38" i="43"/>
  <c r="Y61" i="43"/>
  <c r="AE61" i="43"/>
  <c r="AL61" i="43"/>
  <c r="AZ67" i="43"/>
  <c r="X71" i="43"/>
  <c r="Y72" i="43"/>
  <c r="AF38" i="43"/>
  <c r="AF61" i="43"/>
  <c r="AZ64" i="43"/>
  <c r="AF64" i="43"/>
  <c r="AF72" i="43"/>
  <c r="AE72" i="43"/>
  <c r="AE81" i="43"/>
  <c r="AF81" i="43"/>
  <c r="AZ81" i="43"/>
  <c r="AZ82" i="43"/>
  <c r="AZ86" i="43"/>
  <c r="AF79" i="43"/>
  <c r="AZ84" i="43"/>
  <c r="AF91" i="43"/>
  <c r="AG91" i="43" s="1"/>
  <c r="AF100" i="43"/>
  <c r="AZ91" i="43"/>
  <c r="AZ100" i="43"/>
  <c r="AF110" i="43"/>
  <c r="AG98" i="33"/>
  <c r="AD98" i="33"/>
  <c r="AC98" i="33"/>
  <c r="V98" i="33"/>
  <c r="P98" i="33"/>
  <c r="O98" i="33"/>
  <c r="M98" i="33"/>
  <c r="L98" i="33"/>
  <c r="AG110" i="33"/>
  <c r="AD110" i="33"/>
  <c r="AC110" i="33"/>
  <c r="V110" i="33"/>
  <c r="O110" i="33"/>
  <c r="M110" i="33"/>
  <c r="L110" i="33"/>
  <c r="V99" i="33"/>
  <c r="O99" i="33"/>
  <c r="L99" i="33"/>
  <c r="AC105" i="33"/>
  <c r="V105" i="33"/>
  <c r="O105" i="33"/>
  <c r="L105" i="33"/>
  <c r="AH109" i="33"/>
  <c r="AG109" i="33"/>
  <c r="AE109" i="33"/>
  <c r="AD109" i="33"/>
  <c r="AC109" i="33"/>
  <c r="W109" i="33"/>
  <c r="Z109" i="33" s="1"/>
  <c r="AJ109" i="33" s="1"/>
  <c r="V109" i="33"/>
  <c r="Y109" i="33" s="1"/>
  <c r="T109" i="33"/>
  <c r="O109" i="33"/>
  <c r="Q109" i="33" s="1"/>
  <c r="M109" i="33"/>
  <c r="N109" i="33" s="1"/>
  <c r="L109" i="33"/>
  <c r="AG219" i="33"/>
  <c r="AD219" i="33"/>
  <c r="AC219" i="33"/>
  <c r="S219" i="33"/>
  <c r="T219" i="33" s="1"/>
  <c r="V219" i="33"/>
  <c r="T217" i="33"/>
  <c r="T218" i="33"/>
  <c r="AU72" i="43" l="1"/>
  <c r="BA100" i="43"/>
  <c r="BA91" i="43"/>
  <c r="AT71" i="43"/>
  <c r="BA81" i="43"/>
  <c r="BA27" i="43"/>
  <c r="BA45" i="43"/>
  <c r="BA40" i="43"/>
  <c r="AS6" i="43"/>
  <c r="AU3" i="43" s="1"/>
  <c r="BA110" i="43"/>
  <c r="AG110" i="43"/>
  <c r="AG100" i="43"/>
  <c r="AG27" i="43"/>
  <c r="BA32" i="43"/>
  <c r="AA6" i="43"/>
  <c r="AG32" i="43"/>
  <c r="AQ7" i="43"/>
  <c r="AP6" i="43"/>
  <c r="AB71" i="43"/>
  <c r="BA54" i="43"/>
  <c r="AQ71" i="43"/>
  <c r="BA38" i="43"/>
  <c r="BA61" i="43"/>
  <c r="AK6" i="43"/>
  <c r="AG112" i="43"/>
  <c r="AG54" i="43"/>
  <c r="AG61" i="43"/>
  <c r="AZ35" i="43"/>
  <c r="AG45" i="43"/>
  <c r="AG36" i="43"/>
  <c r="AY7" i="43"/>
  <c r="AY35" i="43"/>
  <c r="AG59" i="43"/>
  <c r="AQ35" i="43"/>
  <c r="AE71" i="43"/>
  <c r="BA112" i="43"/>
  <c r="AL35" i="43"/>
  <c r="AG40" i="43"/>
  <c r="AT36" i="43"/>
  <c r="BA36" i="43"/>
  <c r="Y7" i="43"/>
  <c r="AU71" i="43"/>
  <c r="AG57" i="43"/>
  <c r="BA64" i="43"/>
  <c r="AY71" i="43"/>
  <c r="M6" i="43"/>
  <c r="Y219" i="33"/>
  <c r="AU32" i="43"/>
  <c r="AG38" i="43"/>
  <c r="AE35" i="43"/>
  <c r="AE7" i="43"/>
  <c r="BA57" i="43"/>
  <c r="Y35" i="43"/>
  <c r="AB7" i="43"/>
  <c r="V6" i="43"/>
  <c r="AB35" i="43"/>
  <c r="P6" i="43"/>
  <c r="S6" i="43"/>
  <c r="AD6" i="43"/>
  <c r="AX6" i="43"/>
  <c r="AG64" i="43"/>
  <c r="Y71" i="43"/>
  <c r="BA72" i="43"/>
  <c r="AL71" i="43"/>
  <c r="BA8" i="43"/>
  <c r="AL7" i="43"/>
  <c r="AZ7" i="43"/>
  <c r="AF71" i="43"/>
  <c r="AG72" i="43"/>
  <c r="X6" i="43"/>
  <c r="AF35" i="43"/>
  <c r="AG81" i="43"/>
  <c r="AZ71" i="43"/>
  <c r="AF7" i="43"/>
  <c r="AA36" i="27"/>
  <c r="BA7" i="43" l="1"/>
  <c r="AG7" i="43"/>
  <c r="AQ6" i="43"/>
  <c r="AY6" i="43"/>
  <c r="Y6" i="43"/>
  <c r="AE6" i="43"/>
  <c r="AU36" i="43"/>
  <c r="AU35" i="43" s="1"/>
  <c r="AT35" i="43"/>
  <c r="BA35" i="43"/>
  <c r="AG35" i="43"/>
  <c r="BA71" i="43"/>
  <c r="AB6" i="43"/>
  <c r="AF5" i="43"/>
  <c r="AG71" i="43"/>
  <c r="AF6" i="43"/>
  <c r="AZ6" i="43"/>
  <c r="AZ1" i="43" s="1"/>
  <c r="AL6" i="43"/>
  <c r="AG5" i="43" l="1"/>
  <c r="AG6" i="43"/>
  <c r="BA6" i="43"/>
  <c r="AF1" i="43"/>
  <c r="BH507" i="35" l="1"/>
  <c r="BR505" i="29"/>
  <c r="BF505" i="35"/>
  <c r="AL510" i="35"/>
  <c r="AI510" i="35"/>
  <c r="AH510" i="35"/>
  <c r="W329" i="33" l="1"/>
  <c r="Z329" i="33" s="1"/>
  <c r="AJ329" i="33" s="1"/>
  <c r="W330" i="33"/>
  <c r="W331" i="33"/>
  <c r="W332" i="33"/>
  <c r="Z332" i="33" s="1"/>
  <c r="AJ332" i="33" s="1"/>
  <c r="W333" i="33"/>
  <c r="W334" i="33"/>
  <c r="W335" i="33"/>
  <c r="W336" i="33"/>
  <c r="W337" i="33"/>
  <c r="W338" i="33"/>
  <c r="W339" i="33"/>
  <c r="W340" i="33"/>
  <c r="W341" i="33"/>
  <c r="W342" i="33"/>
  <c r="W343" i="33"/>
  <c r="W344" i="33"/>
  <c r="W345" i="33"/>
  <c r="W346" i="33"/>
  <c r="W347" i="33"/>
  <c r="W348" i="33"/>
  <c r="W349" i="33"/>
  <c r="W350" i="33"/>
  <c r="W351" i="33"/>
  <c r="W352" i="33"/>
  <c r="W353" i="33"/>
  <c r="W354" i="33"/>
  <c r="W355" i="33"/>
  <c r="Y329" i="33"/>
  <c r="Y330" i="33"/>
  <c r="Y331" i="33"/>
  <c r="Y332" i="33"/>
  <c r="Y333" i="33"/>
  <c r="Y334" i="33"/>
  <c r="Y335" i="33"/>
  <c r="Y336" i="33"/>
  <c r="Y337" i="33"/>
  <c r="Y338" i="33"/>
  <c r="Y339" i="33"/>
  <c r="Y340" i="33"/>
  <c r="Y341" i="33"/>
  <c r="Y342" i="33"/>
  <c r="Y343" i="33"/>
  <c r="Y344" i="33"/>
  <c r="Y345" i="33"/>
  <c r="Y346" i="33"/>
  <c r="Y347" i="33"/>
  <c r="Y348" i="33"/>
  <c r="Y349" i="33"/>
  <c r="Y350" i="33"/>
  <c r="Y351" i="33"/>
  <c r="Y352" i="33"/>
  <c r="Y353" i="33"/>
  <c r="Y354" i="33"/>
  <c r="Y355" i="33"/>
  <c r="Z331" i="33"/>
  <c r="AJ331" i="33" s="1"/>
  <c r="Z340" i="33"/>
  <c r="W215" i="33"/>
  <c r="Y215" i="33"/>
  <c r="Z215" i="33"/>
  <c r="T192" i="33"/>
  <c r="T193" i="33"/>
  <c r="T194" i="33"/>
  <c r="T195" i="33"/>
  <c r="W192" i="33"/>
  <c r="W193" i="33"/>
  <c r="W194" i="33"/>
  <c r="W195" i="33"/>
  <c r="Z192" i="33"/>
  <c r="Y192" i="33"/>
  <c r="Y193" i="33"/>
  <c r="Y194" i="33"/>
  <c r="Y195" i="33"/>
  <c r="Z193" i="33"/>
  <c r="Z194" i="33"/>
  <c r="Z195" i="33"/>
  <c r="W68" i="33"/>
  <c r="Z68" i="33" s="1"/>
  <c r="Y66" i="33"/>
  <c r="Y67" i="33"/>
  <c r="Y68" i="33"/>
  <c r="Y69" i="33"/>
  <c r="Y70" i="33"/>
  <c r="Y71" i="33"/>
  <c r="Y72" i="33"/>
  <c r="Y73" i="33"/>
  <c r="Y74" i="33"/>
  <c r="Y75" i="33"/>
  <c r="Y76" i="33"/>
  <c r="Y77" i="33"/>
  <c r="Y78" i="33"/>
  <c r="Y79" i="33"/>
  <c r="Y80" i="33"/>
  <c r="Y57" i="33"/>
  <c r="V27" i="27" l="1"/>
  <c r="V246" i="33"/>
  <c r="AB246" i="33"/>
  <c r="AC246" i="33"/>
  <c r="AD246" i="33"/>
  <c r="AG246" i="33"/>
  <c r="AB54" i="33"/>
  <c r="AC54" i="33"/>
  <c r="AD54" i="33"/>
  <c r="AG54" i="33"/>
  <c r="V54" i="33"/>
  <c r="S246" i="33"/>
  <c r="S54" i="33"/>
  <c r="M246" i="33"/>
  <c r="O246" i="33"/>
  <c r="P246" i="33"/>
  <c r="L246" i="33"/>
  <c r="P54" i="33"/>
  <c r="M54" i="33"/>
  <c r="O54" i="33"/>
  <c r="L54" i="33"/>
  <c r="BK322" i="35" l="1"/>
  <c r="BH322" i="35"/>
  <c r="BG322" i="35"/>
  <c r="BH326" i="35"/>
  <c r="BG326" i="35"/>
  <c r="BK320" i="35"/>
  <c r="BH320" i="35"/>
  <c r="BG320" i="35"/>
  <c r="BH318" i="35"/>
  <c r="BG318" i="35"/>
  <c r="BK317" i="35"/>
  <c r="BH317" i="35"/>
  <c r="BG317" i="35"/>
  <c r="BH312" i="35"/>
  <c r="BG312" i="35"/>
  <c r="BH306" i="35"/>
  <c r="BG306" i="35"/>
  <c r="BR322" i="29"/>
  <c r="AL322" i="35"/>
  <c r="AI322" i="35"/>
  <c r="AH322" i="35"/>
  <c r="AL326" i="35"/>
  <c r="AH326" i="35"/>
  <c r="J497" i="35"/>
  <c r="K497" i="35"/>
  <c r="BH453" i="35"/>
  <c r="BG453" i="35"/>
  <c r="BH437" i="35"/>
  <c r="BG437" i="35"/>
  <c r="BK438" i="35" l="1"/>
  <c r="BH438" i="35"/>
  <c r="BG438" i="35"/>
  <c r="BK442" i="35"/>
  <c r="BG442" i="35"/>
  <c r="BK443" i="35"/>
  <c r="BH443" i="35"/>
  <c r="BG443" i="35"/>
  <c r="BK444" i="35"/>
  <c r="BH444" i="35"/>
  <c r="BG444" i="35"/>
  <c r="BK445" i="35"/>
  <c r="BH445" i="35"/>
  <c r="BG445" i="35"/>
  <c r="BH448" i="35"/>
  <c r="BK449" i="35"/>
  <c r="BH449" i="35"/>
  <c r="BG449" i="35"/>
  <c r="BK459" i="35"/>
  <c r="BH459" i="35"/>
  <c r="BG459" i="35"/>
  <c r="AL446" i="35"/>
  <c r="AL449" i="35"/>
  <c r="AH449" i="35"/>
  <c r="AI446" i="35"/>
  <c r="AH446" i="35"/>
  <c r="N452" i="35"/>
  <c r="K452" i="35"/>
  <c r="J452" i="35"/>
  <c r="N362" i="35" l="1"/>
  <c r="K362" i="35"/>
  <c r="J362" i="35"/>
  <c r="N364" i="35"/>
  <c r="K364" i="35"/>
  <c r="J364" i="35"/>
  <c r="BK339" i="35"/>
  <c r="BK275" i="35" l="1"/>
  <c r="BH275" i="35"/>
  <c r="BG275" i="35"/>
  <c r="BH266" i="35"/>
  <c r="BG266" i="35"/>
  <c r="BH182" i="35"/>
  <c r="BK12" i="35"/>
  <c r="BK142" i="35"/>
  <c r="BH142" i="35"/>
  <c r="BG142" i="35"/>
  <c r="BR141" i="29"/>
  <c r="BG92" i="35"/>
  <c r="BK92" i="35"/>
  <c r="Y158" i="35"/>
  <c r="V158" i="35"/>
  <c r="U158" i="35"/>
  <c r="Y157" i="35"/>
  <c r="V157" i="35"/>
  <c r="U157" i="35"/>
  <c r="N92" i="35"/>
  <c r="BH258" i="35" l="1"/>
  <c r="BG258" i="35"/>
  <c r="BH257" i="35"/>
  <c r="BG257" i="35"/>
  <c r="BF510" i="35"/>
  <c r="BS505" i="29"/>
  <c r="BR510" i="29"/>
  <c r="BR511" i="29"/>
  <c r="BG511" i="35"/>
  <c r="BH511" i="35"/>
  <c r="BH508" i="35"/>
  <c r="BG508" i="35"/>
  <c r="BR508" i="29"/>
  <c r="AM256" i="35"/>
  <c r="AO256" i="35" s="1"/>
  <c r="AL254" i="35"/>
  <c r="AI254" i="35"/>
  <c r="AH254" i="35"/>
  <c r="AL252" i="35"/>
  <c r="AI252" i="35"/>
  <c r="AH252" i="35"/>
  <c r="AL251" i="35"/>
  <c r="AH251" i="35"/>
  <c r="AI257" i="35"/>
  <c r="AH257" i="35"/>
  <c r="AR160" i="35"/>
  <c r="BG267" i="35" l="1"/>
  <c r="BK267" i="35"/>
  <c r="BH272" i="35"/>
  <c r="BG272" i="35"/>
  <c r="BK272" i="35"/>
  <c r="BU263" i="29"/>
  <c r="AD10" i="27" l="1"/>
  <c r="BK245" i="35"/>
  <c r="BH245" i="35"/>
  <c r="BG245" i="35"/>
  <c r="BK239" i="35"/>
  <c r="BG240" i="35"/>
  <c r="BK240" i="35"/>
  <c r="BH240" i="35"/>
  <c r="BR240" i="29"/>
  <c r="BR239" i="29"/>
  <c r="BR245" i="29"/>
  <c r="BG307" i="35"/>
  <c r="AD9" i="27" l="1"/>
  <c r="O49" i="27"/>
  <c r="O13" i="27"/>
  <c r="U49" i="27"/>
  <c r="U13" i="27"/>
  <c r="W11" i="27"/>
  <c r="W15" i="27"/>
  <c r="W18" i="27"/>
  <c r="W31" i="27"/>
  <c r="AD11" i="27"/>
  <c r="AD13" i="27"/>
  <c r="AD15" i="27"/>
  <c r="AD16" i="27"/>
  <c r="AD18" i="27"/>
  <c r="AE18" i="27" s="1"/>
  <c r="AD19" i="27"/>
  <c r="AD20" i="27"/>
  <c r="AD22" i="27"/>
  <c r="AD24" i="27"/>
  <c r="AD25" i="27"/>
  <c r="AD27" i="27"/>
  <c r="AD30" i="27"/>
  <c r="AD31" i="27"/>
  <c r="AD34" i="27"/>
  <c r="AD35" i="27"/>
  <c r="AD38" i="27"/>
  <c r="AD43" i="27"/>
  <c r="AD44" i="27"/>
  <c r="AD46" i="27"/>
  <c r="AD48" i="27"/>
  <c r="AD49" i="27"/>
  <c r="AD51" i="27"/>
  <c r="AD54" i="27"/>
  <c r="AD55" i="27"/>
  <c r="Q11" i="27"/>
  <c r="Q15" i="27"/>
  <c r="Q18" i="27"/>
  <c r="Q31" i="27"/>
  <c r="M51" i="27"/>
  <c r="AF7" i="35"/>
  <c r="AG7" i="35"/>
  <c r="AQ7" i="35"/>
  <c r="AR7" i="35"/>
  <c r="AS7" i="35"/>
  <c r="AV7" i="35"/>
  <c r="AE31" i="27" l="1"/>
  <c r="AE15" i="27"/>
  <c r="AE11" i="27"/>
  <c r="AV418" i="35"/>
  <c r="AW418" i="35" s="1"/>
  <c r="AS418" i="35"/>
  <c r="AR418" i="35"/>
  <c r="AT418" i="35" l="1"/>
  <c r="AM416" i="35" l="1"/>
  <c r="AM417" i="35"/>
  <c r="AM418" i="35"/>
  <c r="AO418" i="35" s="1"/>
  <c r="AJ416" i="35"/>
  <c r="AJ418" i="35"/>
  <c r="CI417" i="29"/>
  <c r="CH417" i="29"/>
  <c r="CJ417" i="29" s="1"/>
  <c r="CF417" i="29"/>
  <c r="CE417" i="29"/>
  <c r="CO417" i="29"/>
  <c r="CL417" i="29"/>
  <c r="DH417" i="29" s="1"/>
  <c r="CO181" i="29"/>
  <c r="CL181" i="29"/>
  <c r="CG181" i="29"/>
  <c r="CJ181" i="29"/>
  <c r="DJ417" i="29" l="1"/>
  <c r="CG417" i="29"/>
  <c r="DL417" i="29" s="1"/>
  <c r="AH118" i="33"/>
  <c r="AH119" i="33"/>
  <c r="AH120" i="33"/>
  <c r="AH121" i="33"/>
  <c r="AH122" i="33"/>
  <c r="AH123" i="33"/>
  <c r="AH124" i="33"/>
  <c r="AH125" i="33"/>
  <c r="AH126" i="33"/>
  <c r="AH127" i="33"/>
  <c r="AH128" i="33"/>
  <c r="AH129" i="33"/>
  <c r="AH130" i="33"/>
  <c r="AH131" i="33"/>
  <c r="AH132" i="33"/>
  <c r="AH133" i="33"/>
  <c r="AH134" i="33"/>
  <c r="AH135" i="33"/>
  <c r="AH136" i="33"/>
  <c r="AH137" i="33"/>
  <c r="AH138" i="33"/>
  <c r="AH139" i="33"/>
  <c r="AH140" i="33"/>
  <c r="AH141" i="33"/>
  <c r="AH142" i="33"/>
  <c r="AH143" i="33"/>
  <c r="AH144" i="33"/>
  <c r="AH145" i="33"/>
  <c r="AH146" i="33"/>
  <c r="AH147" i="33"/>
  <c r="AH148" i="33"/>
  <c r="AH149" i="33"/>
  <c r="AH150" i="33"/>
  <c r="AH151" i="33"/>
  <c r="AH152" i="33"/>
  <c r="AH153" i="33"/>
  <c r="AH154" i="33"/>
  <c r="AH155" i="33"/>
  <c r="AH156" i="33"/>
  <c r="AH157" i="33"/>
  <c r="AH158" i="33"/>
  <c r="AH159" i="33"/>
  <c r="AH160" i="33"/>
  <c r="AH161" i="33"/>
  <c r="AH162" i="33"/>
  <c r="AH163" i="33"/>
  <c r="AH164" i="33"/>
  <c r="AH165" i="33"/>
  <c r="AH166" i="33"/>
  <c r="AH167" i="33"/>
  <c r="AH168" i="33"/>
  <c r="AH169" i="33"/>
  <c r="AH170" i="33"/>
  <c r="AH171" i="33"/>
  <c r="AH172" i="33"/>
  <c r="AH173" i="33"/>
  <c r="AH174" i="33"/>
  <c r="AH175" i="33"/>
  <c r="AH176" i="33"/>
  <c r="AH177" i="33"/>
  <c r="AH178" i="33"/>
  <c r="AH179" i="33"/>
  <c r="AH180" i="33"/>
  <c r="AH181" i="33"/>
  <c r="AH182" i="33"/>
  <c r="AH183" i="33"/>
  <c r="AH184" i="33"/>
  <c r="AH185" i="33"/>
  <c r="AH186" i="33"/>
  <c r="AH187" i="33"/>
  <c r="AH188" i="33"/>
  <c r="AH189" i="33"/>
  <c r="AH190" i="33"/>
  <c r="AH191" i="33"/>
  <c r="AH192" i="33"/>
  <c r="AH193" i="33"/>
  <c r="AH194" i="33"/>
  <c r="AH195" i="33"/>
  <c r="AH196" i="33"/>
  <c r="AH197" i="33"/>
  <c r="AH198" i="33"/>
  <c r="AH199" i="33"/>
  <c r="AH200" i="33"/>
  <c r="AH201" i="33"/>
  <c r="AH202" i="33"/>
  <c r="AH203" i="33"/>
  <c r="AH204" i="33"/>
  <c r="AH205" i="33"/>
  <c r="AH206" i="33"/>
  <c r="AH207" i="33"/>
  <c r="AH208" i="33"/>
  <c r="AH209" i="33"/>
  <c r="AH210" i="33"/>
  <c r="AH211" i="33"/>
  <c r="AH212" i="33"/>
  <c r="AH213" i="33"/>
  <c r="AH214" i="33"/>
  <c r="AH215" i="33"/>
  <c r="AH216" i="33"/>
  <c r="AH217" i="33"/>
  <c r="AH218" i="33"/>
  <c r="AH219" i="33"/>
  <c r="AH220" i="33"/>
  <c r="AH221" i="33"/>
  <c r="AH222" i="33"/>
  <c r="AH223" i="33"/>
  <c r="AH224" i="33"/>
  <c r="AH225" i="33"/>
  <c r="AH226" i="33"/>
  <c r="AH227" i="33"/>
  <c r="AH228" i="33"/>
  <c r="AH229" i="33"/>
  <c r="AH230" i="33"/>
  <c r="AH231" i="33"/>
  <c r="AH232" i="33"/>
  <c r="AH233" i="33"/>
  <c r="AH234" i="33"/>
  <c r="AH235" i="33"/>
  <c r="AH236" i="33"/>
  <c r="AH237" i="33"/>
  <c r="AH238" i="33"/>
  <c r="AH239" i="33"/>
  <c r="AH240" i="33"/>
  <c r="AH241" i="33"/>
  <c r="AH242" i="33"/>
  <c r="AH243" i="33"/>
  <c r="AH244" i="33"/>
  <c r="AH245" i="33"/>
  <c r="AH98" i="33"/>
  <c r="AH99" i="33"/>
  <c r="AH100" i="33"/>
  <c r="AH101" i="33"/>
  <c r="AH102" i="33"/>
  <c r="AH103" i="33"/>
  <c r="AH104" i="33"/>
  <c r="AH105" i="33"/>
  <c r="AH106" i="33"/>
  <c r="AH107" i="33"/>
  <c r="AH108" i="33"/>
  <c r="AH110" i="33"/>
  <c r="AH111" i="33"/>
  <c r="AH112" i="33"/>
  <c r="AH113" i="33"/>
  <c r="AH114" i="33"/>
  <c r="AH115" i="33"/>
  <c r="AH97" i="33"/>
  <c r="AH67" i="33"/>
  <c r="AH68" i="33"/>
  <c r="AH69" i="33"/>
  <c r="AH70" i="33"/>
  <c r="AH71" i="33"/>
  <c r="AH72" i="33"/>
  <c r="AH73" i="33"/>
  <c r="AH74" i="33"/>
  <c r="AH75" i="33"/>
  <c r="AH76" i="33"/>
  <c r="AH77" i="33"/>
  <c r="AH78" i="33"/>
  <c r="AH79" i="33"/>
  <c r="AH80" i="33"/>
  <c r="AH66" i="33"/>
  <c r="AI66" i="33" l="1"/>
  <c r="K507" i="35"/>
  <c r="J507" i="35"/>
  <c r="K504" i="35"/>
  <c r="J504" i="35"/>
  <c r="K499" i="35"/>
  <c r="J499" i="35"/>
  <c r="J501" i="35"/>
  <c r="K501" i="35"/>
  <c r="K496" i="35"/>
  <c r="J496" i="35"/>
  <c r="K495" i="35"/>
  <c r="J495" i="35"/>
  <c r="K493" i="35"/>
  <c r="J493" i="35"/>
  <c r="K490" i="35"/>
  <c r="J490" i="35"/>
  <c r="K481" i="35"/>
  <c r="J481" i="35"/>
  <c r="K474" i="35"/>
  <c r="J474" i="35"/>
  <c r="K463" i="35"/>
  <c r="J463" i="35"/>
  <c r="K462" i="35"/>
  <c r="J462" i="35"/>
  <c r="K460" i="35"/>
  <c r="J460" i="35"/>
  <c r="K459" i="35"/>
  <c r="J459" i="35"/>
  <c r="K457" i="35"/>
  <c r="J457" i="35"/>
  <c r="K454" i="35"/>
  <c r="J454" i="35"/>
  <c r="K451" i="35"/>
  <c r="J451" i="35"/>
  <c r="K438" i="35"/>
  <c r="J438" i="35"/>
  <c r="K449" i="35"/>
  <c r="J449" i="35"/>
  <c r="K437" i="35"/>
  <c r="J437" i="35"/>
  <c r="K427" i="35"/>
  <c r="J427" i="35"/>
  <c r="K422" i="35"/>
  <c r="J422" i="35"/>
  <c r="K421" i="35"/>
  <c r="J421" i="35"/>
  <c r="K420" i="35"/>
  <c r="J420" i="35"/>
  <c r="K419" i="35"/>
  <c r="J419" i="35"/>
  <c r="K417" i="35"/>
  <c r="J417" i="35"/>
  <c r="K415" i="35"/>
  <c r="J415" i="35"/>
  <c r="K414" i="35"/>
  <c r="J414" i="35"/>
  <c r="K380" i="35"/>
  <c r="J380" i="35"/>
  <c r="K389" i="35"/>
  <c r="J389" i="35"/>
  <c r="K390" i="35"/>
  <c r="J390" i="35"/>
  <c r="L390" i="35" s="1"/>
  <c r="K386" i="35"/>
  <c r="J386" i="35"/>
  <c r="K385" i="35"/>
  <c r="J385" i="35"/>
  <c r="K382" i="35"/>
  <c r="J382" i="35"/>
  <c r="K381" i="35"/>
  <c r="J381" i="35"/>
  <c r="K378" i="35"/>
  <c r="J378" i="35"/>
  <c r="K360" i="35"/>
  <c r="J360" i="35"/>
  <c r="K359" i="35"/>
  <c r="J359" i="35"/>
  <c r="K358" i="35"/>
  <c r="J358" i="35"/>
  <c r="K356" i="35"/>
  <c r="J356" i="35"/>
  <c r="K355" i="35"/>
  <c r="J355" i="35"/>
  <c r="K354" i="35"/>
  <c r="J354" i="35"/>
  <c r="K353" i="35"/>
  <c r="J353" i="35"/>
  <c r="K352" i="35"/>
  <c r="J352" i="35"/>
  <c r="J350" i="35"/>
  <c r="K348" i="35"/>
  <c r="J348" i="35"/>
  <c r="K347" i="35"/>
  <c r="J347" i="35"/>
  <c r="K344" i="35"/>
  <c r="J344" i="35"/>
  <c r="K319" i="35"/>
  <c r="J319" i="35"/>
  <c r="K329" i="35"/>
  <c r="J329" i="35"/>
  <c r="K320" i="35"/>
  <c r="J320" i="35"/>
  <c r="K317" i="35"/>
  <c r="J317" i="35"/>
  <c r="K312" i="35"/>
  <c r="J312" i="35"/>
  <c r="K306" i="35"/>
  <c r="J306" i="35"/>
  <c r="J342" i="35"/>
  <c r="K342" i="35"/>
  <c r="K341" i="35"/>
  <c r="J341" i="35"/>
  <c r="J338" i="35"/>
  <c r="K337" i="35"/>
  <c r="J337" i="35"/>
  <c r="K336" i="35"/>
  <c r="J336" i="35"/>
  <c r="J335" i="35"/>
  <c r="J334" i="35"/>
  <c r="K333" i="35"/>
  <c r="J333" i="35"/>
  <c r="K331" i="35"/>
  <c r="J331" i="35"/>
  <c r="K304" i="35"/>
  <c r="J304" i="35"/>
  <c r="K303" i="35" l="1"/>
  <c r="J303" i="35"/>
  <c r="K302" i="35"/>
  <c r="J302" i="35"/>
  <c r="K301" i="35"/>
  <c r="J301" i="35"/>
  <c r="K300" i="35"/>
  <c r="J300" i="35"/>
  <c r="K299" i="35"/>
  <c r="J299" i="35"/>
  <c r="K298" i="35"/>
  <c r="J298" i="35"/>
  <c r="J297" i="35"/>
  <c r="K297" i="35"/>
  <c r="K296" i="35"/>
  <c r="J296" i="35"/>
  <c r="K294" i="35"/>
  <c r="J294" i="35"/>
  <c r="K293" i="35"/>
  <c r="J293" i="35"/>
  <c r="K292" i="35"/>
  <c r="J292" i="35"/>
  <c r="K291" i="35"/>
  <c r="J291" i="35"/>
  <c r="K290" i="35"/>
  <c r="J290" i="35"/>
  <c r="K289" i="35"/>
  <c r="J289" i="35"/>
  <c r="K288" i="35"/>
  <c r="J288" i="35"/>
  <c r="K286" i="35"/>
  <c r="J286" i="35"/>
  <c r="K285" i="35"/>
  <c r="J285" i="35"/>
  <c r="K284" i="35"/>
  <c r="J284" i="35"/>
  <c r="K281" i="35"/>
  <c r="J281" i="35"/>
  <c r="K280" i="35"/>
  <c r="J280" i="35"/>
  <c r="K275" i="35"/>
  <c r="J275" i="35"/>
  <c r="K265" i="35"/>
  <c r="J265" i="35"/>
  <c r="K258" i="35"/>
  <c r="J258" i="35"/>
  <c r="K255" i="35"/>
  <c r="J255" i="35"/>
  <c r="K254" i="35"/>
  <c r="K253" i="35"/>
  <c r="J253" i="35"/>
  <c r="K252" i="35"/>
  <c r="J252" i="35"/>
  <c r="K251" i="35"/>
  <c r="J251" i="35"/>
  <c r="K245" i="35"/>
  <c r="J245" i="35"/>
  <c r="K240" i="35"/>
  <c r="J240" i="35"/>
  <c r="L238" i="35"/>
  <c r="K239" i="35"/>
  <c r="J239" i="35"/>
  <c r="L239" i="35" s="1"/>
  <c r="K237" i="35"/>
  <c r="J237" i="35"/>
  <c r="K236" i="35"/>
  <c r="J236" i="35"/>
  <c r="K235" i="35"/>
  <c r="J235" i="35"/>
  <c r="K234" i="35"/>
  <c r="J234" i="35"/>
  <c r="K232" i="35"/>
  <c r="J232" i="35"/>
  <c r="K231" i="35"/>
  <c r="J231" i="35"/>
  <c r="K230" i="35"/>
  <c r="J230" i="35"/>
  <c r="K228" i="35"/>
  <c r="J228" i="35"/>
  <c r="K243" i="35"/>
  <c r="J243" i="35"/>
  <c r="K208" i="35"/>
  <c r="J208" i="35"/>
  <c r="K189" i="35"/>
  <c r="J189" i="35"/>
  <c r="K211" i="35"/>
  <c r="J211" i="35"/>
  <c r="K209" i="35"/>
  <c r="J209" i="35"/>
  <c r="K206" i="35"/>
  <c r="J206" i="35"/>
  <c r="K217" i="35"/>
  <c r="J217" i="35"/>
  <c r="K175" i="35"/>
  <c r="J175" i="35"/>
  <c r="K169" i="35"/>
  <c r="J169" i="35"/>
  <c r="K172" i="35"/>
  <c r="J172" i="35"/>
  <c r="K167" i="35"/>
  <c r="J167" i="35"/>
  <c r="K161" i="35"/>
  <c r="J161" i="35"/>
  <c r="K156" i="35"/>
  <c r="J156" i="35"/>
  <c r="K154" i="35"/>
  <c r="J154" i="35"/>
  <c r="K151" i="35"/>
  <c r="J151" i="35"/>
  <c r="K144" i="35"/>
  <c r="J144" i="35"/>
  <c r="K119" i="35"/>
  <c r="J119" i="35"/>
  <c r="K118" i="35"/>
  <c r="J118" i="35"/>
  <c r="K117" i="35"/>
  <c r="J117" i="35"/>
  <c r="K115" i="35"/>
  <c r="J115" i="35"/>
  <c r="J111" i="35"/>
  <c r="K111" i="35"/>
  <c r="K109" i="35"/>
  <c r="J109" i="35"/>
  <c r="K92" i="35" l="1"/>
  <c r="J92" i="35"/>
  <c r="K89" i="35"/>
  <c r="J89" i="35"/>
  <c r="K88" i="35"/>
  <c r="J88" i="35"/>
  <c r="K84" i="35"/>
  <c r="J84" i="35"/>
  <c r="K86" i="35"/>
  <c r="J86" i="35"/>
  <c r="K82" i="35"/>
  <c r="J82" i="35"/>
  <c r="K81" i="35"/>
  <c r="J81" i="35"/>
  <c r="K80" i="35"/>
  <c r="J80" i="35"/>
  <c r="K74" i="35"/>
  <c r="J74" i="35"/>
  <c r="K62" i="35"/>
  <c r="J62" i="35"/>
  <c r="K60" i="35"/>
  <c r="J60" i="35"/>
  <c r="K59" i="35"/>
  <c r="J59" i="35"/>
  <c r="K57" i="35"/>
  <c r="J57" i="35"/>
  <c r="K56" i="35"/>
  <c r="J56" i="35"/>
  <c r="K54" i="35"/>
  <c r="J54" i="35"/>
  <c r="K53" i="35"/>
  <c r="J53" i="35"/>
  <c r="K37" i="35"/>
  <c r="J37" i="35"/>
  <c r="K36" i="35"/>
  <c r="J36" i="35"/>
  <c r="K34" i="35"/>
  <c r="J34" i="35"/>
  <c r="K33" i="35"/>
  <c r="J33" i="35"/>
  <c r="K32" i="35"/>
  <c r="J32" i="35"/>
  <c r="K29" i="35"/>
  <c r="J29" i="35"/>
  <c r="K14" i="35"/>
  <c r="J14" i="35"/>
  <c r="K510" i="35"/>
  <c r="J510" i="35"/>
  <c r="K505" i="35"/>
  <c r="J505" i="35"/>
  <c r="K166" i="35" l="1"/>
  <c r="J166" i="35"/>
  <c r="J174" i="35"/>
  <c r="K174" i="35"/>
  <c r="K176" i="35"/>
  <c r="J176" i="35"/>
  <c r="AD53" i="27" l="1"/>
  <c r="Z36" i="27" l="1"/>
  <c r="Y21" i="27"/>
  <c r="Z21" i="27"/>
  <c r="Z8" i="27"/>
  <c r="Z7" i="27" l="1"/>
  <c r="AD42" i="27"/>
  <c r="AD52" i="27" l="1"/>
  <c r="AD14" i="27" l="1"/>
  <c r="AD29" i="27"/>
  <c r="AD26" i="27" l="1"/>
  <c r="AD32" i="27" l="1"/>
  <c r="CW114" i="29" l="1"/>
  <c r="AC8" i="27"/>
  <c r="AC21" i="27"/>
  <c r="AD37" i="27" l="1"/>
  <c r="AC36" i="27"/>
  <c r="AC7" i="27" s="1"/>
  <c r="AD41" i="27"/>
  <c r="AH41" i="27" l="1"/>
  <c r="AH23" i="27"/>
  <c r="AH21" i="27" s="1"/>
  <c r="AD47" i="27"/>
  <c r="AD12" i="27" l="1"/>
  <c r="Y36" i="27"/>
  <c r="AD40" i="27" l="1"/>
  <c r="AD23" i="27"/>
  <c r="AD17" i="27"/>
  <c r="AD8" i="27"/>
  <c r="Y8" i="27"/>
  <c r="Y7" i="27" s="1"/>
  <c r="AH493" i="33" l="1"/>
  <c r="AE493" i="33"/>
  <c r="W493" i="33"/>
  <c r="T493" i="33"/>
  <c r="Q493" i="33"/>
  <c r="N493" i="33"/>
  <c r="AH298" i="33"/>
  <c r="AE298" i="33"/>
  <c r="T298" i="33"/>
  <c r="W298" i="33"/>
  <c r="Q298" i="33"/>
  <c r="N298" i="33"/>
  <c r="Z493" i="33" l="1"/>
  <c r="AJ493" i="33" s="1"/>
  <c r="Z298" i="33"/>
  <c r="AJ298" i="33" s="1"/>
  <c r="AD28" i="27"/>
  <c r="AD21" i="27" s="1"/>
  <c r="BU333" i="29" l="1"/>
  <c r="BR333" i="29"/>
  <c r="BH333" i="35"/>
  <c r="AH8" i="27" l="1"/>
  <c r="AI8" i="27"/>
  <c r="AI21" i="27"/>
  <c r="AH36" i="27"/>
  <c r="AI36" i="27"/>
  <c r="AD50" i="27"/>
  <c r="AD45" i="27"/>
  <c r="AA8" i="27"/>
  <c r="AB8" i="27"/>
  <c r="AA21" i="27"/>
  <c r="AB21" i="27"/>
  <c r="AB36" i="27"/>
  <c r="AI7" i="27" l="1"/>
  <c r="AB7" i="27"/>
  <c r="AH7" i="27"/>
  <c r="AA7" i="27"/>
  <c r="AW449" i="35" l="1"/>
  <c r="CL178" i="29" l="1"/>
  <c r="CO178" i="29"/>
  <c r="CT178" i="29"/>
  <c r="CW178" i="29"/>
  <c r="CY178" i="29"/>
  <c r="DB178" i="29"/>
  <c r="BV178" i="29"/>
  <c r="BS178" i="29"/>
  <c r="BP178" i="29"/>
  <c r="BN178" i="29"/>
  <c r="BC178" i="29"/>
  <c r="AZ178" i="29"/>
  <c r="AV178" i="29"/>
  <c r="V178" i="29"/>
  <c r="Y178" i="29"/>
  <c r="AC178" i="29"/>
  <c r="AF178" i="29"/>
  <c r="AK178" i="29"/>
  <c r="AN178" i="29"/>
  <c r="AQ178" i="29"/>
  <c r="BP512" i="35"/>
  <c r="BP511" i="35"/>
  <c r="BP510" i="35"/>
  <c r="BP509" i="35"/>
  <c r="BP508" i="35"/>
  <c r="BP507" i="35"/>
  <c r="BP506" i="35"/>
  <c r="BP505" i="35"/>
  <c r="BP503" i="35"/>
  <c r="BP502" i="35"/>
  <c r="BP501" i="35"/>
  <c r="BP500" i="35"/>
  <c r="BP499" i="35"/>
  <c r="BP498" i="35"/>
  <c r="BP497" i="35"/>
  <c r="BP496" i="35"/>
  <c r="BP495" i="35"/>
  <c r="BP494" i="35"/>
  <c r="BP493" i="35"/>
  <c r="BP492" i="35"/>
  <c r="BP491" i="35"/>
  <c r="BP490" i="35"/>
  <c r="BP489" i="35"/>
  <c r="BP488" i="35"/>
  <c r="BP487" i="35"/>
  <c r="BP486" i="35"/>
  <c r="BP485" i="35"/>
  <c r="BP484" i="35"/>
  <c r="BP483" i="35"/>
  <c r="BP482" i="35"/>
  <c r="BP481" i="35"/>
  <c r="BP480" i="35"/>
  <c r="BP479" i="35"/>
  <c r="BP478" i="35"/>
  <c r="BP477" i="35"/>
  <c r="BP476" i="35"/>
  <c r="BP475" i="35"/>
  <c r="BP474" i="35"/>
  <c r="BP473" i="35"/>
  <c r="BP472" i="35"/>
  <c r="BP471" i="35"/>
  <c r="BP469" i="35"/>
  <c r="BP468" i="35"/>
  <c r="BP467" i="35"/>
  <c r="BP465" i="35"/>
  <c r="BP464" i="35"/>
  <c r="BP463" i="35"/>
  <c r="BP462" i="35"/>
  <c r="BP461" i="35"/>
  <c r="BP460" i="35"/>
  <c r="BP459" i="35"/>
  <c r="BP458" i="35"/>
  <c r="BP457" i="35"/>
  <c r="BP455" i="35"/>
  <c r="BP454" i="35"/>
  <c r="BP453" i="35"/>
  <c r="BP452" i="35"/>
  <c r="BP451" i="35"/>
  <c r="BP450" i="35"/>
  <c r="BP449" i="35"/>
  <c r="BP448" i="35"/>
  <c r="BP447" i="35"/>
  <c r="BP446" i="35"/>
  <c r="BP445" i="35"/>
  <c r="BP444" i="35"/>
  <c r="BP443" i="35"/>
  <c r="BP442" i="35"/>
  <c r="BP441" i="35"/>
  <c r="BP440" i="35"/>
  <c r="BP439" i="35"/>
  <c r="BP438" i="35"/>
  <c r="BP436" i="35"/>
  <c r="BP435" i="35"/>
  <c r="BP434" i="35"/>
  <c r="BP433" i="35"/>
  <c r="BP432" i="35"/>
  <c r="BP431" i="35"/>
  <c r="BP430" i="35"/>
  <c r="BP429" i="35"/>
  <c r="BP428" i="35"/>
  <c r="BP427" i="35"/>
  <c r="BP426" i="35"/>
  <c r="BP425" i="35"/>
  <c r="BP424" i="35"/>
  <c r="BP423" i="35"/>
  <c r="BP422" i="35"/>
  <c r="BP421" i="35"/>
  <c r="BP420" i="35"/>
  <c r="BP419" i="35"/>
  <c r="BP417" i="35"/>
  <c r="BP416" i="35"/>
  <c r="BP415" i="35"/>
  <c r="BP414" i="35"/>
  <c r="BP412" i="35"/>
  <c r="BP411" i="35"/>
  <c r="BP410" i="35"/>
  <c r="BP409" i="35"/>
  <c r="BP407" i="35"/>
  <c r="BP405" i="35"/>
  <c r="BP404" i="35"/>
  <c r="BP403" i="35"/>
  <c r="BP402" i="35"/>
  <c r="BP401" i="35"/>
  <c r="BP400" i="35"/>
  <c r="BP399" i="35"/>
  <c r="BP398" i="35"/>
  <c r="BP396" i="35"/>
  <c r="BP395" i="35"/>
  <c r="BP394" i="35"/>
  <c r="BP393" i="35"/>
  <c r="BP392" i="35"/>
  <c r="BP391" i="35"/>
  <c r="BP390" i="35"/>
  <c r="BP389" i="35"/>
  <c r="BP388" i="35"/>
  <c r="BP387" i="35"/>
  <c r="BP386" i="35"/>
  <c r="BP385" i="35"/>
  <c r="BP384" i="35"/>
  <c r="BP383" i="35"/>
  <c r="BP382" i="35"/>
  <c r="BP381" i="35"/>
  <c r="BP380" i="35"/>
  <c r="BP379" i="35"/>
  <c r="BP378" i="35"/>
  <c r="BP376" i="35"/>
  <c r="BP375" i="35"/>
  <c r="BP374" i="35"/>
  <c r="BP373" i="35"/>
  <c r="BP372" i="35"/>
  <c r="BP371" i="35"/>
  <c r="BP370" i="35"/>
  <c r="BP369" i="35"/>
  <c r="BP368" i="35"/>
  <c r="BP366" i="35"/>
  <c r="BP365" i="35"/>
  <c r="BP364" i="35"/>
  <c r="BP363" i="35"/>
  <c r="BP361" i="35"/>
  <c r="BP360" i="35"/>
  <c r="BP359" i="35"/>
  <c r="BP358" i="35"/>
  <c r="BP357" i="35"/>
  <c r="BP356" i="35"/>
  <c r="BP355" i="35"/>
  <c r="BP354" i="35"/>
  <c r="BP353" i="35"/>
  <c r="BP352" i="35"/>
  <c r="BP351" i="35"/>
  <c r="BP350" i="35"/>
  <c r="BP349" i="35"/>
  <c r="BP348" i="35"/>
  <c r="BP347" i="35"/>
  <c r="BP346" i="35"/>
  <c r="BP345" i="35"/>
  <c r="BP343" i="35"/>
  <c r="BP342" i="35"/>
  <c r="BP341" i="35"/>
  <c r="BP340" i="35"/>
  <c r="BP339" i="35"/>
  <c r="BP338" i="35"/>
  <c r="BP337" i="35"/>
  <c r="BP336" i="35"/>
  <c r="BP335" i="35"/>
  <c r="BP334" i="35"/>
  <c r="BP333" i="35"/>
  <c r="BP332" i="35"/>
  <c r="BP330" i="35"/>
  <c r="BP329" i="35"/>
  <c r="BP328" i="35"/>
  <c r="BP327" i="35"/>
  <c r="BP326" i="35"/>
  <c r="BP325" i="35"/>
  <c r="BP324" i="35"/>
  <c r="BP323" i="35"/>
  <c r="BP322" i="35"/>
  <c r="BP321" i="35"/>
  <c r="BP320" i="35"/>
  <c r="BP319" i="35"/>
  <c r="BP318" i="35"/>
  <c r="BP317" i="35"/>
  <c r="BP316" i="35"/>
  <c r="BP315" i="35"/>
  <c r="BP314" i="35"/>
  <c r="BP313" i="35"/>
  <c r="BP312" i="35"/>
  <c r="BP311" i="35"/>
  <c r="BP310" i="35"/>
  <c r="BP309" i="35"/>
  <c r="BP308" i="35"/>
  <c r="BP307" i="35"/>
  <c r="BP305" i="35"/>
  <c r="BP304" i="35"/>
  <c r="BP303" i="35"/>
  <c r="BP302" i="35"/>
  <c r="BP301" i="35"/>
  <c r="BP300" i="35"/>
  <c r="BP299" i="35"/>
  <c r="BP298" i="35"/>
  <c r="BP297" i="35"/>
  <c r="BP296" i="35"/>
  <c r="BP295" i="35"/>
  <c r="BP294" i="35"/>
  <c r="BP293" i="35"/>
  <c r="BP292" i="35"/>
  <c r="BP291" i="35"/>
  <c r="BP290" i="35"/>
  <c r="BP289" i="35"/>
  <c r="BP288" i="35"/>
  <c r="BP287" i="35"/>
  <c r="BP286" i="35"/>
  <c r="BP285" i="35"/>
  <c r="BP283" i="35"/>
  <c r="BP282" i="35"/>
  <c r="BP281" i="35"/>
  <c r="BP280" i="35"/>
  <c r="BP279" i="35"/>
  <c r="BP278" i="35"/>
  <c r="BP277" i="35"/>
  <c r="BP276" i="35"/>
  <c r="BP275" i="35"/>
  <c r="BP274" i="35"/>
  <c r="BP273" i="35"/>
  <c r="BP272" i="35"/>
  <c r="BP271" i="35"/>
  <c r="BP270" i="35"/>
  <c r="BP269" i="35"/>
  <c r="BP268" i="35"/>
  <c r="BP267" i="35"/>
  <c r="BP266" i="35"/>
  <c r="BP265" i="35"/>
  <c r="BP264" i="35"/>
  <c r="BP263" i="35"/>
  <c r="BP262" i="35"/>
  <c r="BP261" i="35"/>
  <c r="BP259" i="35"/>
  <c r="BP258" i="35"/>
  <c r="BP257" i="35"/>
  <c r="BP256" i="35"/>
  <c r="BP255" i="35"/>
  <c r="BP254" i="35"/>
  <c r="BP253" i="35"/>
  <c r="BP252" i="35"/>
  <c r="BP251" i="35"/>
  <c r="BP249" i="35"/>
  <c r="BP247" i="35"/>
  <c r="BP246" i="35"/>
  <c r="BP245" i="35"/>
  <c r="BP244" i="35"/>
  <c r="BP243" i="35"/>
  <c r="BP242" i="35"/>
  <c r="BP241" i="35"/>
  <c r="BP240" i="35"/>
  <c r="BP239" i="35"/>
  <c r="BP238" i="35"/>
  <c r="BP237" i="35"/>
  <c r="BP236" i="35"/>
  <c r="BP235" i="35"/>
  <c r="BP234" i="35"/>
  <c r="BP233" i="35"/>
  <c r="BP232" i="35"/>
  <c r="BP231" i="35"/>
  <c r="BP230" i="35"/>
  <c r="BP228" i="35"/>
  <c r="BP226" i="35"/>
  <c r="BP224" i="35"/>
  <c r="BP223" i="35"/>
  <c r="BP222" i="35"/>
  <c r="BP221" i="35"/>
  <c r="BP220" i="35"/>
  <c r="BP219" i="35"/>
  <c r="BP218" i="35"/>
  <c r="BP217" i="35"/>
  <c r="BP216" i="35"/>
  <c r="BP215" i="35"/>
  <c r="BP214" i="35"/>
  <c r="BP213" i="35"/>
  <c r="BP212" i="35"/>
  <c r="BP211" i="35"/>
  <c r="BP210" i="35"/>
  <c r="BP209" i="35"/>
  <c r="BP208" i="35"/>
  <c r="BP207" i="35"/>
  <c r="BP206" i="35"/>
  <c r="BP205" i="35"/>
  <c r="BP204" i="35"/>
  <c r="BP203" i="35"/>
  <c r="BP202" i="35"/>
  <c r="BP201" i="35"/>
  <c r="BP200" i="35"/>
  <c r="BP199" i="35"/>
  <c r="BP198" i="35"/>
  <c r="BP197" i="35"/>
  <c r="BP196" i="35"/>
  <c r="BP195" i="35"/>
  <c r="BP194" i="35"/>
  <c r="BP193" i="35"/>
  <c r="BP192" i="35"/>
  <c r="BP191" i="35"/>
  <c r="BP190" i="35"/>
  <c r="BP189" i="35"/>
  <c r="BP188" i="35"/>
  <c r="BP187" i="35"/>
  <c r="BP186" i="35"/>
  <c r="BP184" i="35"/>
  <c r="BP183" i="35"/>
  <c r="BP182" i="35"/>
  <c r="BP181" i="35"/>
  <c r="BP180" i="35"/>
  <c r="BP178" i="35"/>
  <c r="BP177" i="35"/>
  <c r="BP176" i="35"/>
  <c r="BP175" i="35"/>
  <c r="BP174" i="35"/>
  <c r="BP172" i="35"/>
  <c r="BP171" i="35"/>
  <c r="BP170" i="35"/>
  <c r="BP169" i="35"/>
  <c r="BP168" i="35"/>
  <c r="BP167" i="35"/>
  <c r="BP166" i="35"/>
  <c r="BP164" i="35"/>
  <c r="BP163" i="35"/>
  <c r="BP162" i="35"/>
  <c r="BP161" i="35"/>
  <c r="BP160" i="35"/>
  <c r="BP159" i="35"/>
  <c r="BP158" i="35"/>
  <c r="BP157" i="35"/>
  <c r="BP156" i="35"/>
  <c r="BP155" i="35"/>
  <c r="BP154" i="35"/>
  <c r="BP153" i="35"/>
  <c r="BP152" i="35"/>
  <c r="BP150" i="35"/>
  <c r="BP149" i="35"/>
  <c r="BP148" i="35"/>
  <c r="BP147" i="35"/>
  <c r="BP143" i="35"/>
  <c r="BP142" i="35"/>
  <c r="BP141" i="35"/>
  <c r="BP140" i="35"/>
  <c r="BP139" i="35"/>
  <c r="BP138" i="35"/>
  <c r="BP136" i="35"/>
  <c r="BP135" i="35"/>
  <c r="BP134" i="35"/>
  <c r="BP133" i="35"/>
  <c r="BP131" i="35"/>
  <c r="BP130" i="35"/>
  <c r="BP129" i="35"/>
  <c r="BP128" i="35"/>
  <c r="BP127" i="35"/>
  <c r="BP126" i="35"/>
  <c r="BP125" i="35"/>
  <c r="BP124" i="35"/>
  <c r="BP123" i="35"/>
  <c r="BP121" i="35"/>
  <c r="BP120" i="35"/>
  <c r="BP119" i="35"/>
  <c r="BP118" i="35"/>
  <c r="BP117" i="35"/>
  <c r="BP116" i="35"/>
  <c r="BP115" i="35"/>
  <c r="BP114" i="35"/>
  <c r="BP113" i="35"/>
  <c r="BP112" i="35"/>
  <c r="BP111" i="35"/>
  <c r="BP110" i="35"/>
  <c r="BP108" i="35"/>
  <c r="BP107" i="35"/>
  <c r="BP106" i="35"/>
  <c r="BP105" i="35"/>
  <c r="BP104" i="35"/>
  <c r="BP103" i="35"/>
  <c r="BP102" i="35"/>
  <c r="BP101" i="35"/>
  <c r="BP100" i="35"/>
  <c r="BP99" i="35"/>
  <c r="BP98" i="35"/>
  <c r="BP97" i="35"/>
  <c r="BP96" i="35"/>
  <c r="BP95" i="35"/>
  <c r="BP94" i="35"/>
  <c r="BP93" i="35"/>
  <c r="BP92" i="35"/>
  <c r="BP90" i="35"/>
  <c r="BP89" i="35"/>
  <c r="BP88" i="35"/>
  <c r="BP87" i="35"/>
  <c r="BP86" i="35"/>
  <c r="BP85" i="35"/>
  <c r="BP84" i="35"/>
  <c r="BP83" i="35"/>
  <c r="BP82" i="35"/>
  <c r="BP81" i="35"/>
  <c r="BP80" i="35"/>
  <c r="BP79" i="35"/>
  <c r="BP78" i="35"/>
  <c r="BP77" i="35"/>
  <c r="BP75" i="35"/>
  <c r="BP74" i="35"/>
  <c r="BP73" i="35"/>
  <c r="BP72" i="35"/>
  <c r="BP71" i="35"/>
  <c r="BP70" i="35"/>
  <c r="BP69" i="35"/>
  <c r="BP68" i="35"/>
  <c r="BP67" i="35"/>
  <c r="BP66" i="35"/>
  <c r="BP65" i="35"/>
  <c r="BP64" i="35"/>
  <c r="BP63" i="35"/>
  <c r="BP61" i="35"/>
  <c r="BP60" i="35"/>
  <c r="BP59" i="35"/>
  <c r="BP58" i="35"/>
  <c r="BP57" i="35"/>
  <c r="BP56" i="35"/>
  <c r="BP55" i="35"/>
  <c r="BP54" i="35"/>
  <c r="BP53" i="35"/>
  <c r="BP51" i="35"/>
  <c r="BP49" i="35"/>
  <c r="BP48" i="35"/>
  <c r="BP46" i="35"/>
  <c r="BP45" i="35"/>
  <c r="BP41" i="35"/>
  <c r="BP40" i="35"/>
  <c r="BP38" i="35"/>
  <c r="BP37" i="35"/>
  <c r="BP36" i="35"/>
  <c r="BP35" i="35"/>
  <c r="BP34" i="35"/>
  <c r="BP33" i="35"/>
  <c r="BP32" i="35"/>
  <c r="BP31" i="35"/>
  <c r="BP30" i="35"/>
  <c r="BP28" i="35"/>
  <c r="BP27" i="35"/>
  <c r="BP26" i="35"/>
  <c r="BP25" i="35"/>
  <c r="BP24" i="35"/>
  <c r="BP22" i="35"/>
  <c r="BP21" i="35"/>
  <c r="BP20" i="35"/>
  <c r="BP18" i="35"/>
  <c r="BP16" i="35"/>
  <c r="BP15" i="35"/>
  <c r="BP13" i="35"/>
  <c r="DH178" i="29" l="1"/>
  <c r="DG178" i="29"/>
  <c r="BE178" i="29"/>
  <c r="BX178" i="29"/>
  <c r="BG178" i="29"/>
  <c r="BI178" i="29"/>
  <c r="AS178" i="29"/>
  <c r="AE226" i="33"/>
  <c r="Y226" i="33"/>
  <c r="W226" i="33"/>
  <c r="T226" i="33"/>
  <c r="T227" i="33"/>
  <c r="Q226" i="33"/>
  <c r="N226" i="33"/>
  <c r="AE228" i="33"/>
  <c r="AE229" i="33"/>
  <c r="Y228" i="33"/>
  <c r="T228" i="33"/>
  <c r="W228" i="33"/>
  <c r="N228" i="33"/>
  <c r="Q228" i="33"/>
  <c r="Y542" i="33"/>
  <c r="Y541" i="33"/>
  <c r="Y540" i="33"/>
  <c r="Y539" i="33"/>
  <c r="Y538" i="33"/>
  <c r="Y537" i="33"/>
  <c r="Y536" i="33"/>
  <c r="Y535" i="33"/>
  <c r="Y534" i="33"/>
  <c r="Y533" i="33"/>
  <c r="Y532" i="33"/>
  <c r="Y531" i="33"/>
  <c r="Y530" i="33"/>
  <c r="Y529" i="33"/>
  <c r="Y528" i="33"/>
  <c r="Y527" i="33"/>
  <c r="Y526" i="33"/>
  <c r="Y525" i="33"/>
  <c r="Y524" i="33"/>
  <c r="Y523" i="33"/>
  <c r="Y522" i="33"/>
  <c r="Y521" i="33"/>
  <c r="Y520" i="33"/>
  <c r="Y519" i="33"/>
  <c r="Y518" i="33"/>
  <c r="Y517" i="33"/>
  <c r="Y516" i="33"/>
  <c r="Y515" i="33"/>
  <c r="Y514" i="33"/>
  <c r="Y513" i="33"/>
  <c r="Y512" i="33"/>
  <c r="Y511" i="33"/>
  <c r="Y510" i="33"/>
  <c r="Y509" i="33"/>
  <c r="Y508" i="33"/>
  <c r="Y507" i="33"/>
  <c r="Y506" i="33"/>
  <c r="Y505" i="33"/>
  <c r="Y504" i="33"/>
  <c r="Y503" i="33"/>
  <c r="Y502" i="33"/>
  <c r="Y501" i="33"/>
  <c r="Y500" i="33"/>
  <c r="Y499" i="33"/>
  <c r="Y498" i="33"/>
  <c r="Y497" i="33"/>
  <c r="Y496" i="33"/>
  <c r="Y495" i="33"/>
  <c r="Y494" i="33"/>
  <c r="Y492" i="33"/>
  <c r="Y491" i="33"/>
  <c r="Y490" i="33"/>
  <c r="Y489" i="33"/>
  <c r="Y488" i="33"/>
  <c r="Y487" i="33"/>
  <c r="Y486" i="33"/>
  <c r="Y485" i="33"/>
  <c r="Y484" i="33"/>
  <c r="Y483" i="33"/>
  <c r="Y482" i="33"/>
  <c r="Y481" i="33"/>
  <c r="Y480" i="33"/>
  <c r="Y479" i="33"/>
  <c r="Y478" i="33"/>
  <c r="Y477" i="33"/>
  <c r="Y476" i="33"/>
  <c r="Y475" i="33"/>
  <c r="Y474" i="33"/>
  <c r="Y473" i="33"/>
  <c r="Y472" i="33"/>
  <c r="Y471" i="33"/>
  <c r="Y470" i="33"/>
  <c r="Y469" i="33"/>
  <c r="Y468" i="33"/>
  <c r="Y467" i="33"/>
  <c r="Y466" i="33"/>
  <c r="Y465" i="33"/>
  <c r="Y464" i="33"/>
  <c r="Y463" i="33"/>
  <c r="Y462" i="33"/>
  <c r="Y461" i="33"/>
  <c r="Y460" i="33"/>
  <c r="Y459" i="33"/>
  <c r="Y458" i="33"/>
  <c r="Y457" i="33"/>
  <c r="Y456" i="33"/>
  <c r="Y455" i="33"/>
  <c r="Y454" i="33"/>
  <c r="Y453" i="33"/>
  <c r="Y452" i="33"/>
  <c r="Y451" i="33"/>
  <c r="Y450" i="33"/>
  <c r="Y449" i="33"/>
  <c r="Y448" i="33"/>
  <c r="Y447" i="33"/>
  <c r="Y446" i="33"/>
  <c r="Y445" i="33"/>
  <c r="Y444" i="33"/>
  <c r="Y443" i="33"/>
  <c r="Y442" i="33"/>
  <c r="Y441" i="33"/>
  <c r="Y440" i="33"/>
  <c r="Y439" i="33"/>
  <c r="Y438" i="33"/>
  <c r="Y437" i="33"/>
  <c r="Y436" i="33"/>
  <c r="Y435" i="33"/>
  <c r="Y434" i="33"/>
  <c r="Y433" i="33"/>
  <c r="Y432" i="33"/>
  <c r="Y431" i="33"/>
  <c r="Y430" i="33"/>
  <c r="Y429" i="33"/>
  <c r="Y428" i="33"/>
  <c r="Y427" i="33"/>
  <c r="Y426" i="33"/>
  <c r="Y425" i="33"/>
  <c r="Y424" i="33"/>
  <c r="Y423" i="33"/>
  <c r="Y422" i="33"/>
  <c r="Y421" i="33"/>
  <c r="Y420" i="33"/>
  <c r="Y419" i="33"/>
  <c r="Y418" i="33"/>
  <c r="Y417" i="33"/>
  <c r="Y416" i="33"/>
  <c r="Y415" i="33"/>
  <c r="Y414" i="33"/>
  <c r="Y413" i="33"/>
  <c r="Y412" i="33"/>
  <c r="Y411" i="33"/>
  <c r="Y410" i="33"/>
  <c r="Y409" i="33"/>
  <c r="Y408" i="33"/>
  <c r="Y407" i="33"/>
  <c r="Y406" i="33"/>
  <c r="Y405" i="33"/>
  <c r="Y404" i="33"/>
  <c r="Y403" i="33"/>
  <c r="Y402" i="33"/>
  <c r="Y401" i="33"/>
  <c r="Y400" i="33"/>
  <c r="Y399" i="33"/>
  <c r="Y398" i="33"/>
  <c r="Y397" i="33"/>
  <c r="Y396" i="33"/>
  <c r="Y395" i="33"/>
  <c r="Y394" i="33"/>
  <c r="Y393" i="33"/>
  <c r="Y392" i="33"/>
  <c r="Y391" i="33"/>
  <c r="Y390" i="33"/>
  <c r="Y389" i="33"/>
  <c r="Y388" i="33"/>
  <c r="Y387" i="33"/>
  <c r="Y386" i="33"/>
  <c r="Y385" i="33"/>
  <c r="Y384" i="33"/>
  <c r="Y383" i="33"/>
  <c r="Y382" i="33"/>
  <c r="Y381" i="33"/>
  <c r="Y380" i="33"/>
  <c r="Y379" i="33"/>
  <c r="Y378" i="33"/>
  <c r="Y377" i="33"/>
  <c r="Y376" i="33"/>
  <c r="Y375" i="33"/>
  <c r="Y374" i="33"/>
  <c r="Y373" i="33"/>
  <c r="Y372" i="33"/>
  <c r="Y371" i="33"/>
  <c r="Y370" i="33"/>
  <c r="Y369" i="33"/>
  <c r="Y368" i="33"/>
  <c r="Y367" i="33"/>
  <c r="Y366" i="33"/>
  <c r="Y365" i="33"/>
  <c r="Y364" i="33"/>
  <c r="Y363" i="33"/>
  <c r="Y362" i="33"/>
  <c r="Y361" i="33"/>
  <c r="Y360" i="33"/>
  <c r="Y359" i="33"/>
  <c r="Y358" i="33"/>
  <c r="Y357" i="33"/>
  <c r="Y356" i="33"/>
  <c r="Y328" i="33"/>
  <c r="Y327" i="33"/>
  <c r="Y326" i="33"/>
  <c r="Y325" i="33"/>
  <c r="Y324" i="33"/>
  <c r="Y323" i="33"/>
  <c r="Y322" i="33"/>
  <c r="Y321" i="33"/>
  <c r="Y320" i="33"/>
  <c r="Y319" i="33"/>
  <c r="Y318" i="33"/>
  <c r="Y317" i="33"/>
  <c r="Y316" i="33"/>
  <c r="Y315" i="33"/>
  <c r="Y314" i="33"/>
  <c r="Y313" i="33"/>
  <c r="Y312" i="33"/>
  <c r="Y311" i="33"/>
  <c r="Y310" i="33"/>
  <c r="Y309" i="33"/>
  <c r="Y308" i="33"/>
  <c r="Y307" i="33"/>
  <c r="Y306" i="33"/>
  <c r="Y305" i="33"/>
  <c r="Y304" i="33"/>
  <c r="Y303" i="33"/>
  <c r="Y302" i="33"/>
  <c r="Y301" i="33"/>
  <c r="Y300" i="33"/>
  <c r="Y299" i="33"/>
  <c r="Y297" i="33"/>
  <c r="Y296" i="33"/>
  <c r="Y295" i="33"/>
  <c r="Y294" i="33"/>
  <c r="Y293" i="33"/>
  <c r="Y292" i="33"/>
  <c r="Y291" i="33"/>
  <c r="Y290" i="33"/>
  <c r="Y289" i="33"/>
  <c r="Y288" i="33"/>
  <c r="Y287" i="33"/>
  <c r="Y285" i="33"/>
  <c r="Y284" i="33"/>
  <c r="Y283" i="33"/>
  <c r="Y282" i="33"/>
  <c r="Y281" i="33"/>
  <c r="Y280" i="33"/>
  <c r="Y279" i="33"/>
  <c r="Y278" i="33"/>
  <c r="Y277" i="33"/>
  <c r="Y276" i="33"/>
  <c r="Y275" i="33"/>
  <c r="Y274" i="33"/>
  <c r="Y273" i="33"/>
  <c r="Y272" i="33"/>
  <c r="Y271" i="33"/>
  <c r="Y270" i="33"/>
  <c r="Y269" i="33"/>
  <c r="Y268" i="33"/>
  <c r="Y267" i="33"/>
  <c r="Y266" i="33"/>
  <c r="Y265" i="33"/>
  <c r="Y264" i="33"/>
  <c r="Y263" i="33"/>
  <c r="Y262" i="33"/>
  <c r="Y261" i="33"/>
  <c r="Y260" i="33"/>
  <c r="Y259" i="33"/>
  <c r="Y258" i="33"/>
  <c r="Y257" i="33"/>
  <c r="Y256" i="33"/>
  <c r="Y255" i="33"/>
  <c r="Y254" i="33"/>
  <c r="Y253" i="33"/>
  <c r="Y252" i="33"/>
  <c r="Y251" i="33"/>
  <c r="Y250" i="33"/>
  <c r="Y249" i="33"/>
  <c r="Y248" i="33"/>
  <c r="Y244" i="33"/>
  <c r="Y243" i="33"/>
  <c r="Y242" i="33"/>
  <c r="Y241" i="33"/>
  <c r="Y240" i="33"/>
  <c r="Y239" i="33"/>
  <c r="Y238" i="33"/>
  <c r="Y237" i="33"/>
  <c r="Y236" i="33"/>
  <c r="Y235" i="33"/>
  <c r="Y234" i="33"/>
  <c r="Y233" i="33"/>
  <c r="Y232" i="33"/>
  <c r="Y231" i="33"/>
  <c r="Y230" i="33"/>
  <c r="Y229" i="33"/>
  <c r="Y227" i="33"/>
  <c r="Y225" i="33"/>
  <c r="Y224" i="33"/>
  <c r="Y223" i="33"/>
  <c r="Y222" i="33"/>
  <c r="Y221" i="33"/>
  <c r="Y220" i="33"/>
  <c r="Y218" i="33"/>
  <c r="Y217" i="33"/>
  <c r="Y216" i="33"/>
  <c r="Y214" i="33"/>
  <c r="Y213" i="33"/>
  <c r="Y212" i="33"/>
  <c r="Y211" i="33"/>
  <c r="Y210" i="33"/>
  <c r="Y209" i="33"/>
  <c r="Y208" i="33"/>
  <c r="Y207" i="33"/>
  <c r="Y206" i="33"/>
  <c r="Y205" i="33"/>
  <c r="Y204" i="33"/>
  <c r="Y203" i="33"/>
  <c r="Y202" i="33"/>
  <c r="Y201" i="33"/>
  <c r="Y200" i="33"/>
  <c r="Y199" i="33"/>
  <c r="Y198" i="33"/>
  <c r="Y197" i="33"/>
  <c r="Y196" i="33"/>
  <c r="Y191" i="33"/>
  <c r="Y190" i="33"/>
  <c r="Y189" i="33"/>
  <c r="Y188" i="33"/>
  <c r="Y187" i="33"/>
  <c r="Y186" i="33"/>
  <c r="Y185" i="33"/>
  <c r="Y184" i="33"/>
  <c r="Y183" i="33"/>
  <c r="Y182" i="33"/>
  <c r="Y181" i="33"/>
  <c r="Y180" i="33"/>
  <c r="Y179" i="33"/>
  <c r="Y178" i="33"/>
  <c r="Y177" i="33"/>
  <c r="Y176" i="33"/>
  <c r="Y175" i="33"/>
  <c r="Y174" i="33"/>
  <c r="Y173" i="33"/>
  <c r="Y172" i="33"/>
  <c r="Y171" i="33"/>
  <c r="Y170" i="33"/>
  <c r="Y169" i="33"/>
  <c r="Y168" i="33"/>
  <c r="Y166" i="33"/>
  <c r="Y165" i="33"/>
  <c r="Y164" i="33"/>
  <c r="Y163" i="33"/>
  <c r="Y162" i="33"/>
  <c r="Y161" i="33"/>
  <c r="Y160" i="33"/>
  <c r="Y159" i="33"/>
  <c r="Y158" i="33"/>
  <c r="Y157" i="33"/>
  <c r="Y156" i="33"/>
  <c r="Y155" i="33"/>
  <c r="Y154" i="33"/>
  <c r="Y153" i="33"/>
  <c r="Y152" i="33"/>
  <c r="Y151" i="33"/>
  <c r="Y150" i="33"/>
  <c r="Y149" i="33"/>
  <c r="Y148" i="33"/>
  <c r="Y147" i="33"/>
  <c r="Y146" i="33"/>
  <c r="Y145" i="33"/>
  <c r="Y144" i="33"/>
  <c r="Y143" i="33"/>
  <c r="Y142" i="33"/>
  <c r="Y141" i="33"/>
  <c r="Y140" i="33"/>
  <c r="Y139" i="33"/>
  <c r="Y138" i="33"/>
  <c r="Y137" i="33"/>
  <c r="Y136" i="33"/>
  <c r="Y135" i="33"/>
  <c r="Y134" i="33"/>
  <c r="Y133" i="33"/>
  <c r="Y132" i="33"/>
  <c r="Y131" i="33"/>
  <c r="Y130" i="33"/>
  <c r="Y129" i="33"/>
  <c r="Y128" i="33"/>
  <c r="Y127" i="33"/>
  <c r="Y126" i="33"/>
  <c r="Y125" i="33"/>
  <c r="Y124" i="33"/>
  <c r="Y123" i="33"/>
  <c r="Y122" i="33"/>
  <c r="Y121" i="33"/>
  <c r="Y120" i="33"/>
  <c r="Y119" i="33"/>
  <c r="Y118" i="33"/>
  <c r="Y117" i="33"/>
  <c r="Y116" i="33"/>
  <c r="Y115" i="33"/>
  <c r="Y114" i="33"/>
  <c r="Y113" i="33"/>
  <c r="Y112" i="33"/>
  <c r="Y111" i="33"/>
  <c r="Y110" i="33"/>
  <c r="Y108" i="33"/>
  <c r="Y107" i="33"/>
  <c r="Y106" i="33"/>
  <c r="Y105" i="33"/>
  <c r="Y104" i="33"/>
  <c r="Y103" i="33"/>
  <c r="Y102" i="33"/>
  <c r="Y101" i="33"/>
  <c r="Y100" i="33"/>
  <c r="Y99" i="33"/>
  <c r="Y98" i="33"/>
  <c r="Y97" i="33"/>
  <c r="Y96" i="33"/>
  <c r="Y95" i="33"/>
  <c r="Y94" i="33"/>
  <c r="Y93" i="33"/>
  <c r="Y92" i="33"/>
  <c r="Y91" i="33"/>
  <c r="Y90" i="33"/>
  <c r="Y89" i="33"/>
  <c r="Y88" i="33"/>
  <c r="Y87" i="33"/>
  <c r="Y86" i="33"/>
  <c r="Y85" i="33"/>
  <c r="Y84" i="33"/>
  <c r="Y83" i="33"/>
  <c r="Y82" i="33"/>
  <c r="Y81" i="33"/>
  <c r="Y65" i="33"/>
  <c r="Y64" i="33"/>
  <c r="Y63" i="33"/>
  <c r="Y62" i="33"/>
  <c r="Y61" i="33"/>
  <c r="Y60" i="33"/>
  <c r="Y59" i="33"/>
  <c r="Y58" i="33"/>
  <c r="Y56" i="33"/>
  <c r="Y53" i="33"/>
  <c r="Y52" i="33"/>
  <c r="Y50" i="33"/>
  <c r="Y49" i="33"/>
  <c r="Y45" i="33"/>
  <c r="Y44" i="33"/>
  <c r="Y43" i="33"/>
  <c r="Y42" i="33"/>
  <c r="Y41" i="33"/>
  <c r="Y40" i="33"/>
  <c r="Y39" i="33"/>
  <c r="Y38" i="33"/>
  <c r="Y37" i="33"/>
  <c r="Y36" i="33"/>
  <c r="Y35" i="33"/>
  <c r="Y34" i="33"/>
  <c r="Y33" i="33"/>
  <c r="Y32" i="33"/>
  <c r="Y31" i="33"/>
  <c r="Y30" i="33"/>
  <c r="Y29" i="33"/>
  <c r="Y28" i="33"/>
  <c r="Y27" i="33"/>
  <c r="Y26" i="33"/>
  <c r="Y25" i="33"/>
  <c r="Y24" i="33"/>
  <c r="Y23" i="33"/>
  <c r="Y22" i="33"/>
  <c r="Y21" i="33"/>
  <c r="Y20" i="33"/>
  <c r="Y19" i="33"/>
  <c r="Y18" i="33"/>
  <c r="Y17" i="33"/>
  <c r="Y16" i="33"/>
  <c r="Y15" i="33"/>
  <c r="Y14" i="33"/>
  <c r="Y13" i="33"/>
  <c r="Y12" i="33"/>
  <c r="Y11" i="33"/>
  <c r="N233" i="33"/>
  <c r="Q233" i="33"/>
  <c r="N234" i="33"/>
  <c r="Q234" i="33"/>
  <c r="W227" i="33"/>
  <c r="AE227" i="33"/>
  <c r="N227" i="33"/>
  <c r="Q227" i="33"/>
  <c r="AE234" i="33"/>
  <c r="W234" i="33"/>
  <c r="T234" i="33"/>
  <c r="AE233" i="33"/>
  <c r="T233" i="33"/>
  <c r="W233" i="33"/>
  <c r="Y246" i="33" l="1"/>
  <c r="Y54" i="33"/>
  <c r="Z233" i="33"/>
  <c r="AJ233" i="33" s="1"/>
  <c r="BK178" i="29"/>
  <c r="Z234" i="33"/>
  <c r="AJ234" i="33" s="1"/>
  <c r="Z228" i="33"/>
  <c r="AJ228" i="33" s="1"/>
  <c r="Z226" i="33"/>
  <c r="AJ226" i="33" s="1"/>
  <c r="Z227" i="33"/>
  <c r="AJ227" i="33" s="1"/>
  <c r="BZ178" i="29" l="1"/>
  <c r="AJ542" i="33"/>
  <c r="AE542" i="33"/>
  <c r="AH541" i="33"/>
  <c r="AE541" i="33"/>
  <c r="W541" i="33"/>
  <c r="T541" i="33"/>
  <c r="Q541" i="33"/>
  <c r="N541" i="33"/>
  <c r="AH540" i="33"/>
  <c r="AE540" i="33"/>
  <c r="W540" i="33"/>
  <c r="T540" i="33"/>
  <c r="Q540" i="33"/>
  <c r="N540" i="33"/>
  <c r="AH539" i="33"/>
  <c r="AE539" i="33"/>
  <c r="W539" i="33"/>
  <c r="T539" i="33"/>
  <c r="Q539" i="33"/>
  <c r="N539" i="33"/>
  <c r="AH538" i="33"/>
  <c r="AE538" i="33"/>
  <c r="W538" i="33"/>
  <c r="T538" i="33"/>
  <c r="Q538" i="33"/>
  <c r="N538" i="33"/>
  <c r="AH537" i="33"/>
  <c r="AE537" i="33"/>
  <c r="W537" i="33"/>
  <c r="T537" i="33"/>
  <c r="Q537" i="33"/>
  <c r="N537" i="33"/>
  <c r="AH536" i="33"/>
  <c r="AE536" i="33"/>
  <c r="W536" i="33"/>
  <c r="T536" i="33"/>
  <c r="Q536" i="33"/>
  <c r="N536" i="33"/>
  <c r="AH535" i="33"/>
  <c r="AE535" i="33"/>
  <c r="W535" i="33"/>
  <c r="T535" i="33"/>
  <c r="Q535" i="33"/>
  <c r="N535" i="33"/>
  <c r="AH534" i="33"/>
  <c r="AE534" i="33"/>
  <c r="W534" i="33"/>
  <c r="T534" i="33"/>
  <c r="Q534" i="33"/>
  <c r="N534" i="33"/>
  <c r="AH533" i="33"/>
  <c r="AE533" i="33"/>
  <c r="W533" i="33"/>
  <c r="T533" i="33"/>
  <c r="Q533" i="33"/>
  <c r="N533" i="33"/>
  <c r="AH532" i="33"/>
  <c r="AE532" i="33"/>
  <c r="W532" i="33"/>
  <c r="T532" i="33"/>
  <c r="Q532" i="33"/>
  <c r="N532" i="33"/>
  <c r="AH531" i="33"/>
  <c r="AE531" i="33"/>
  <c r="W531" i="33"/>
  <c r="T531" i="33"/>
  <c r="Q531" i="33"/>
  <c r="N531" i="33"/>
  <c r="AH530" i="33"/>
  <c r="AE530" i="33"/>
  <c r="W530" i="33"/>
  <c r="T530" i="33"/>
  <c r="Q530" i="33"/>
  <c r="N530" i="33"/>
  <c r="AH529" i="33"/>
  <c r="AE529" i="33"/>
  <c r="W529" i="33"/>
  <c r="T529" i="33"/>
  <c r="Q529" i="33"/>
  <c r="N529" i="33"/>
  <c r="AH528" i="33"/>
  <c r="AE528" i="33"/>
  <c r="W528" i="33"/>
  <c r="T528" i="33"/>
  <c r="Q528" i="33"/>
  <c r="N528" i="33"/>
  <c r="AH527" i="33"/>
  <c r="AE527" i="33"/>
  <c r="W527" i="33"/>
  <c r="T527" i="33"/>
  <c r="Q527" i="33"/>
  <c r="N527" i="33"/>
  <c r="AH526" i="33"/>
  <c r="AE526" i="33"/>
  <c r="W526" i="33"/>
  <c r="T526" i="33"/>
  <c r="Q526" i="33"/>
  <c r="N526" i="33"/>
  <c r="AH525" i="33"/>
  <c r="AE525" i="33"/>
  <c r="W525" i="33"/>
  <c r="T525" i="33"/>
  <c r="Q525" i="33"/>
  <c r="N525" i="33"/>
  <c r="AH524" i="33"/>
  <c r="AE524" i="33"/>
  <c r="W524" i="33"/>
  <c r="T524" i="33"/>
  <c r="Q524" i="33"/>
  <c r="N524" i="33"/>
  <c r="AH523" i="33"/>
  <c r="AE523" i="33"/>
  <c r="W523" i="33"/>
  <c r="T523" i="33"/>
  <c r="Q523" i="33"/>
  <c r="N523" i="33"/>
  <c r="AH522" i="33"/>
  <c r="AE522" i="33"/>
  <c r="W522" i="33"/>
  <c r="T522" i="33"/>
  <c r="Q522" i="33"/>
  <c r="N522" i="33"/>
  <c r="AH521" i="33"/>
  <c r="AE521" i="33"/>
  <c r="W521" i="33"/>
  <c r="T521" i="33"/>
  <c r="Q521" i="33"/>
  <c r="N521" i="33"/>
  <c r="AH520" i="33"/>
  <c r="AE520" i="33"/>
  <c r="W520" i="33"/>
  <c r="Z520" i="33" s="1"/>
  <c r="Q520" i="33"/>
  <c r="N520" i="33"/>
  <c r="AH519" i="33"/>
  <c r="AE519" i="33"/>
  <c r="W519" i="33"/>
  <c r="T519" i="33"/>
  <c r="Q519" i="33"/>
  <c r="N519" i="33"/>
  <c r="AH518" i="33"/>
  <c r="AE518" i="33"/>
  <c r="W518" i="33"/>
  <c r="T518" i="33"/>
  <c r="Q518" i="33"/>
  <c r="N518" i="33"/>
  <c r="AH517" i="33"/>
  <c r="AE517" i="33"/>
  <c r="W517" i="33"/>
  <c r="T517" i="33"/>
  <c r="Q517" i="33"/>
  <c r="N517" i="33"/>
  <c r="AH516" i="33"/>
  <c r="AE516" i="33"/>
  <c r="W516" i="33"/>
  <c r="T516" i="33"/>
  <c r="Q516" i="33"/>
  <c r="N516" i="33"/>
  <c r="AH515" i="33"/>
  <c r="AE515" i="33"/>
  <c r="W515" i="33"/>
  <c r="T515" i="33"/>
  <c r="Q515" i="33"/>
  <c r="N515" i="33"/>
  <c r="AH514" i="33"/>
  <c r="AE514" i="33"/>
  <c r="W514" i="33"/>
  <c r="T514" i="33"/>
  <c r="Q514" i="33"/>
  <c r="N514" i="33"/>
  <c r="AH513" i="33"/>
  <c r="AE513" i="33"/>
  <c r="W513" i="33"/>
  <c r="T513" i="33"/>
  <c r="Q513" i="33"/>
  <c r="N513" i="33"/>
  <c r="AH512" i="33"/>
  <c r="AE512" i="33"/>
  <c r="W512" i="33"/>
  <c r="T512" i="33"/>
  <c r="Q512" i="33"/>
  <c r="N512" i="33"/>
  <c r="AH511" i="33"/>
  <c r="AE511" i="33"/>
  <c r="W511" i="33"/>
  <c r="T511" i="33"/>
  <c r="Q511" i="33"/>
  <c r="N511" i="33"/>
  <c r="AH510" i="33"/>
  <c r="AE510" i="33"/>
  <c r="W510" i="33"/>
  <c r="T510" i="33"/>
  <c r="Q510" i="33"/>
  <c r="N510" i="33"/>
  <c r="AH509" i="33"/>
  <c r="AE509" i="33"/>
  <c r="W509" i="33"/>
  <c r="T509" i="33"/>
  <c r="Q509" i="33"/>
  <c r="N509" i="33"/>
  <c r="AH508" i="33"/>
  <c r="AE508" i="33"/>
  <c r="W508" i="33"/>
  <c r="T508" i="33"/>
  <c r="Q508" i="33"/>
  <c r="N508" i="33"/>
  <c r="AH507" i="33"/>
  <c r="AE507" i="33"/>
  <c r="W507" i="33"/>
  <c r="Z507" i="33" s="1"/>
  <c r="Q507" i="33"/>
  <c r="N507" i="33"/>
  <c r="AH506" i="33"/>
  <c r="AE506" i="33"/>
  <c r="W506" i="33"/>
  <c r="T506" i="33"/>
  <c r="Q506" i="33"/>
  <c r="N506" i="33"/>
  <c r="AH505" i="33"/>
  <c r="AE505" i="33"/>
  <c r="W505" i="33"/>
  <c r="T505" i="33"/>
  <c r="Q505" i="33"/>
  <c r="N505" i="33"/>
  <c r="AH504" i="33"/>
  <c r="AE504" i="33"/>
  <c r="W504" i="33"/>
  <c r="T504" i="33"/>
  <c r="Q504" i="33"/>
  <c r="N504" i="33"/>
  <c r="AH503" i="33"/>
  <c r="AE503" i="33"/>
  <c r="W503" i="33"/>
  <c r="T503" i="33"/>
  <c r="Q503" i="33"/>
  <c r="N503" i="33"/>
  <c r="AH502" i="33"/>
  <c r="AE502" i="33"/>
  <c r="W502" i="33"/>
  <c r="T502" i="33"/>
  <c r="Q502" i="33"/>
  <c r="N502" i="33"/>
  <c r="AH501" i="33"/>
  <c r="AE501" i="33"/>
  <c r="W501" i="33"/>
  <c r="T501" i="33"/>
  <c r="Q501" i="33"/>
  <c r="N501" i="33"/>
  <c r="AH500" i="33"/>
  <c r="AE500" i="33"/>
  <c r="W500" i="33"/>
  <c r="T500" i="33"/>
  <c r="Q500" i="33"/>
  <c r="N500" i="33"/>
  <c r="AH499" i="33"/>
  <c r="AE499" i="33"/>
  <c r="W499" i="33"/>
  <c r="T499" i="33"/>
  <c r="Q499" i="33"/>
  <c r="N499" i="33"/>
  <c r="AH498" i="33"/>
  <c r="AE498" i="33"/>
  <c r="W498" i="33"/>
  <c r="T498" i="33"/>
  <c r="Q498" i="33"/>
  <c r="N498" i="33"/>
  <c r="AH497" i="33"/>
  <c r="AE497" i="33"/>
  <c r="W497" i="33"/>
  <c r="T497" i="33"/>
  <c r="Q497" i="33"/>
  <c r="N497" i="33"/>
  <c r="AH496" i="33"/>
  <c r="AE496" i="33"/>
  <c r="W496" i="33"/>
  <c r="T496" i="33"/>
  <c r="Q496" i="33"/>
  <c r="N496" i="33"/>
  <c r="AH495" i="33"/>
  <c r="AE495" i="33"/>
  <c r="W495" i="33"/>
  <c r="T495" i="33"/>
  <c r="Q495" i="33"/>
  <c r="N495" i="33"/>
  <c r="AH494" i="33"/>
  <c r="AE494" i="33"/>
  <c r="W494" i="33"/>
  <c r="T494" i="33"/>
  <c r="Q494" i="33"/>
  <c r="N494" i="33"/>
  <c r="AH492" i="33"/>
  <c r="AE492" i="33"/>
  <c r="W492" i="33"/>
  <c r="T492" i="33"/>
  <c r="Q492" i="33"/>
  <c r="N492" i="33"/>
  <c r="AH491" i="33"/>
  <c r="AE491" i="33"/>
  <c r="W491" i="33"/>
  <c r="T491" i="33"/>
  <c r="Q491" i="33"/>
  <c r="N491" i="33"/>
  <c r="AH490" i="33"/>
  <c r="AE490" i="33"/>
  <c r="W490" i="33"/>
  <c r="T490" i="33"/>
  <c r="Q490" i="33"/>
  <c r="N490" i="33"/>
  <c r="AH489" i="33"/>
  <c r="AE489" i="33"/>
  <c r="W489" i="33"/>
  <c r="T489" i="33"/>
  <c r="Q489" i="33"/>
  <c r="N489" i="33"/>
  <c r="AH488" i="33"/>
  <c r="AE488" i="33"/>
  <c r="W488" i="33"/>
  <c r="T488" i="33"/>
  <c r="Q488" i="33"/>
  <c r="N488" i="33"/>
  <c r="AH487" i="33"/>
  <c r="AE487" i="33"/>
  <c r="W487" i="33"/>
  <c r="T487" i="33"/>
  <c r="Q487" i="33"/>
  <c r="N487" i="33"/>
  <c r="AH486" i="33"/>
  <c r="AE486" i="33"/>
  <c r="W486" i="33"/>
  <c r="T486" i="33"/>
  <c r="Q486" i="33"/>
  <c r="N486" i="33"/>
  <c r="AH485" i="33"/>
  <c r="AE485" i="33"/>
  <c r="W485" i="33"/>
  <c r="T485" i="33"/>
  <c r="Q485" i="33"/>
  <c r="N485" i="33"/>
  <c r="AH484" i="33"/>
  <c r="AE484" i="33"/>
  <c r="W484" i="33"/>
  <c r="T484" i="33"/>
  <c r="Q484" i="33"/>
  <c r="N484" i="33"/>
  <c r="AH483" i="33"/>
  <c r="AE483" i="33"/>
  <c r="W483" i="33"/>
  <c r="T483" i="33"/>
  <c r="Q483" i="33"/>
  <c r="N483" i="33"/>
  <c r="AH482" i="33"/>
  <c r="AE482" i="33"/>
  <c r="W482" i="33"/>
  <c r="T482" i="33"/>
  <c r="Q482" i="33"/>
  <c r="N482" i="33"/>
  <c r="AH481" i="33"/>
  <c r="AE481" i="33"/>
  <c r="W481" i="33"/>
  <c r="T481" i="33"/>
  <c r="Q481" i="33"/>
  <c r="N481" i="33"/>
  <c r="AH480" i="33"/>
  <c r="AE480" i="33"/>
  <c r="W480" i="33"/>
  <c r="T480" i="33"/>
  <c r="Q480" i="33"/>
  <c r="N480" i="33"/>
  <c r="AH479" i="33"/>
  <c r="AE479" i="33"/>
  <c r="W479" i="33"/>
  <c r="T479" i="33"/>
  <c r="Q479" i="33"/>
  <c r="N479" i="33"/>
  <c r="AH478" i="33"/>
  <c r="AE478" i="33"/>
  <c r="W478" i="33"/>
  <c r="T478" i="33"/>
  <c r="Q478" i="33"/>
  <c r="N478" i="33"/>
  <c r="AH477" i="33"/>
  <c r="AE477" i="33"/>
  <c r="W477" i="33"/>
  <c r="T477" i="33"/>
  <c r="Q477" i="33"/>
  <c r="N477" i="33"/>
  <c r="AH476" i="33"/>
  <c r="AE476" i="33"/>
  <c r="W476" i="33"/>
  <c r="T476" i="33"/>
  <c r="Q476" i="33"/>
  <c r="N476" i="33"/>
  <c r="AH475" i="33"/>
  <c r="AE475" i="33"/>
  <c r="W475" i="33"/>
  <c r="T475" i="33"/>
  <c r="Q475" i="33"/>
  <c r="N475" i="33"/>
  <c r="AH474" i="33"/>
  <c r="AE474" i="33"/>
  <c r="W474" i="33"/>
  <c r="T474" i="33"/>
  <c r="Q474" i="33"/>
  <c r="N474" i="33"/>
  <c r="AH473" i="33"/>
  <c r="AE473" i="33"/>
  <c r="W473" i="33"/>
  <c r="T473" i="33"/>
  <c r="Q473" i="33"/>
  <c r="N473" i="33"/>
  <c r="AH472" i="33"/>
  <c r="AE472" i="33"/>
  <c r="W472" i="33"/>
  <c r="T472" i="33"/>
  <c r="Q472" i="33"/>
  <c r="N472" i="33"/>
  <c r="AH471" i="33"/>
  <c r="AE471" i="33"/>
  <c r="W471" i="33"/>
  <c r="T471" i="33"/>
  <c r="Q471" i="33"/>
  <c r="N471" i="33"/>
  <c r="AH470" i="33"/>
  <c r="AE470" i="33"/>
  <c r="W470" i="33"/>
  <c r="T470" i="33"/>
  <c r="Q470" i="33"/>
  <c r="N470" i="33"/>
  <c r="AH469" i="33"/>
  <c r="AE469" i="33"/>
  <c r="W469" i="33"/>
  <c r="T469" i="33"/>
  <c r="Q469" i="33"/>
  <c r="N469" i="33"/>
  <c r="AH468" i="33"/>
  <c r="AE468" i="33"/>
  <c r="W468" i="33"/>
  <c r="T468" i="33"/>
  <c r="Q468" i="33"/>
  <c r="N468" i="33"/>
  <c r="AH467" i="33"/>
  <c r="AE467" i="33"/>
  <c r="W467" i="33"/>
  <c r="T467" i="33"/>
  <c r="Q467" i="33"/>
  <c r="N467" i="33"/>
  <c r="AH466" i="33"/>
  <c r="AE466" i="33"/>
  <c r="W466" i="33"/>
  <c r="T466" i="33"/>
  <c r="Q466" i="33"/>
  <c r="N466" i="33"/>
  <c r="AH465" i="33"/>
  <c r="AE465" i="33"/>
  <c r="W465" i="33"/>
  <c r="T465" i="33"/>
  <c r="Q465" i="33"/>
  <c r="N465" i="33"/>
  <c r="AH464" i="33"/>
  <c r="AE464" i="33"/>
  <c r="W464" i="33"/>
  <c r="T464" i="33"/>
  <c r="Q464" i="33"/>
  <c r="N464" i="33"/>
  <c r="AH463" i="33"/>
  <c r="AE463" i="33"/>
  <c r="W463" i="33"/>
  <c r="T463" i="33"/>
  <c r="Q463" i="33"/>
  <c r="N463" i="33"/>
  <c r="AH462" i="33"/>
  <c r="AE462" i="33"/>
  <c r="W462" i="33"/>
  <c r="T462" i="33"/>
  <c r="Q462" i="33"/>
  <c r="N462" i="33"/>
  <c r="AH461" i="33"/>
  <c r="AE461" i="33"/>
  <c r="W461" i="33"/>
  <c r="T461" i="33"/>
  <c r="Q461" i="33"/>
  <c r="N461" i="33"/>
  <c r="AH460" i="33"/>
  <c r="AE460" i="33"/>
  <c r="W460" i="33"/>
  <c r="T460" i="33"/>
  <c r="Q460" i="33"/>
  <c r="N460" i="33"/>
  <c r="AH459" i="33"/>
  <c r="AE459" i="33"/>
  <c r="W459" i="33"/>
  <c r="T459" i="33"/>
  <c r="Q459" i="33"/>
  <c r="N459" i="33"/>
  <c r="AH458" i="33"/>
  <c r="AE458" i="33"/>
  <c r="W458" i="33"/>
  <c r="T458" i="33"/>
  <c r="Q458" i="33"/>
  <c r="N458" i="33"/>
  <c r="AH457" i="33"/>
  <c r="AE457" i="33"/>
  <c r="W457" i="33"/>
  <c r="T457" i="33"/>
  <c r="Q457" i="33"/>
  <c r="N457" i="33"/>
  <c r="AH456" i="33"/>
  <c r="AE456" i="33"/>
  <c r="W456" i="33"/>
  <c r="T456" i="33"/>
  <c r="Q456" i="33"/>
  <c r="N456" i="33"/>
  <c r="AH455" i="33"/>
  <c r="AE455" i="33"/>
  <c r="W455" i="33"/>
  <c r="T455" i="33"/>
  <c r="Q455" i="33"/>
  <c r="N455" i="33"/>
  <c r="AH454" i="33"/>
  <c r="AE454" i="33"/>
  <c r="W454" i="33"/>
  <c r="T454" i="33"/>
  <c r="Q454" i="33"/>
  <c r="N454" i="33"/>
  <c r="AH453" i="33"/>
  <c r="AE453" i="33"/>
  <c r="W453" i="33"/>
  <c r="T453" i="33"/>
  <c r="Q453" i="33"/>
  <c r="N453" i="33"/>
  <c r="AH452" i="33"/>
  <c r="AE452" i="33"/>
  <c r="W452" i="33"/>
  <c r="T452" i="33"/>
  <c r="Q452" i="33"/>
  <c r="N452" i="33"/>
  <c r="AH451" i="33"/>
  <c r="AE451" i="33"/>
  <c r="W451" i="33"/>
  <c r="T451" i="33"/>
  <c r="Q451" i="33"/>
  <c r="N451" i="33"/>
  <c r="AH450" i="33"/>
  <c r="AE450" i="33"/>
  <c r="W450" i="33"/>
  <c r="T450" i="33"/>
  <c r="Q450" i="33"/>
  <c r="N450" i="33"/>
  <c r="AH449" i="33"/>
  <c r="AE449" i="33"/>
  <c r="W449" i="33"/>
  <c r="T449" i="33"/>
  <c r="Q449" i="33"/>
  <c r="N449" i="33"/>
  <c r="AH448" i="33"/>
  <c r="AE448" i="33"/>
  <c r="W448" i="33"/>
  <c r="T448" i="33"/>
  <c r="Q448" i="33"/>
  <c r="N448" i="33"/>
  <c r="AH447" i="33"/>
  <c r="AE447" i="33"/>
  <c r="W447" i="33"/>
  <c r="T447" i="33"/>
  <c r="Q447" i="33"/>
  <c r="N447" i="33"/>
  <c r="AH446" i="33"/>
  <c r="AE446" i="33"/>
  <c r="W446" i="33"/>
  <c r="T446" i="33"/>
  <c r="Q446" i="33"/>
  <c r="N446" i="33"/>
  <c r="AH445" i="33"/>
  <c r="AE445" i="33"/>
  <c r="W445" i="33"/>
  <c r="T445" i="33"/>
  <c r="Q445" i="33"/>
  <c r="N445" i="33"/>
  <c r="AH444" i="33"/>
  <c r="AE444" i="33"/>
  <c r="W444" i="33"/>
  <c r="T444" i="33"/>
  <c r="Q444" i="33"/>
  <c r="N444" i="33"/>
  <c r="AH443" i="33"/>
  <c r="AE443" i="33"/>
  <c r="W443" i="33"/>
  <c r="T443" i="33"/>
  <c r="Q443" i="33"/>
  <c r="N443" i="33"/>
  <c r="AH442" i="33"/>
  <c r="AE442" i="33"/>
  <c r="W442" i="33"/>
  <c r="T442" i="33"/>
  <c r="Q442" i="33"/>
  <c r="N442" i="33"/>
  <c r="AH441" i="33"/>
  <c r="AE441" i="33"/>
  <c r="W441" i="33"/>
  <c r="T441" i="33"/>
  <c r="Q441" i="33"/>
  <c r="N441" i="33"/>
  <c r="AH440" i="33"/>
  <c r="AE440" i="33"/>
  <c r="W440" i="33"/>
  <c r="T440" i="33"/>
  <c r="Q440" i="33"/>
  <c r="N440" i="33"/>
  <c r="AH439" i="33"/>
  <c r="AE439" i="33"/>
  <c r="W439" i="33"/>
  <c r="T439" i="33"/>
  <c r="Q439" i="33"/>
  <c r="N439" i="33"/>
  <c r="AH438" i="33"/>
  <c r="AE438" i="33"/>
  <c r="W438" i="33"/>
  <c r="T438" i="33"/>
  <c r="Q438" i="33"/>
  <c r="N438" i="33"/>
  <c r="AH437" i="33"/>
  <c r="AE437" i="33"/>
  <c r="W437" i="33"/>
  <c r="T437" i="33"/>
  <c r="Q437" i="33"/>
  <c r="N437" i="33"/>
  <c r="AH436" i="33"/>
  <c r="AE436" i="33"/>
  <c r="W436" i="33"/>
  <c r="T436" i="33"/>
  <c r="Q436" i="33"/>
  <c r="N436" i="33"/>
  <c r="AH435" i="33"/>
  <c r="AE435" i="33"/>
  <c r="W435" i="33"/>
  <c r="T435" i="33"/>
  <c r="Q435" i="33"/>
  <c r="N435" i="33"/>
  <c r="AH434" i="33"/>
  <c r="AE434" i="33"/>
  <c r="W434" i="33"/>
  <c r="T434" i="33"/>
  <c r="Q434" i="33"/>
  <c r="N434" i="33"/>
  <c r="AH433" i="33"/>
  <c r="AE433" i="33"/>
  <c r="W433" i="33"/>
  <c r="T433" i="33"/>
  <c r="Q433" i="33"/>
  <c r="N433" i="33"/>
  <c r="AH432" i="33"/>
  <c r="AE432" i="33"/>
  <c r="W432" i="33"/>
  <c r="T432" i="33"/>
  <c r="Q432" i="33"/>
  <c r="N432" i="33"/>
  <c r="AH431" i="33"/>
  <c r="AE431" i="33"/>
  <c r="W431" i="33"/>
  <c r="T431" i="33"/>
  <c r="Q431" i="33"/>
  <c r="N431" i="33"/>
  <c r="AH430" i="33"/>
  <c r="AE430" i="33"/>
  <c r="W430" i="33"/>
  <c r="T430" i="33"/>
  <c r="Q430" i="33"/>
  <c r="N430" i="33"/>
  <c r="AH429" i="33"/>
  <c r="AE429" i="33"/>
  <c r="W429" i="33"/>
  <c r="T429" i="33"/>
  <c r="Q429" i="33"/>
  <c r="N429" i="33"/>
  <c r="AH428" i="33"/>
  <c r="AE428" i="33"/>
  <c r="W428" i="33"/>
  <c r="T428" i="33"/>
  <c r="Q428" i="33"/>
  <c r="N428" i="33"/>
  <c r="AH427" i="33"/>
  <c r="AE427" i="33"/>
  <c r="W427" i="33"/>
  <c r="T427" i="33"/>
  <c r="Q427" i="33"/>
  <c r="N427" i="33"/>
  <c r="AH426" i="33"/>
  <c r="AE426" i="33"/>
  <c r="W426" i="33"/>
  <c r="T426" i="33"/>
  <c r="Q426" i="33"/>
  <c r="N426" i="33"/>
  <c r="AH425" i="33"/>
  <c r="AE425" i="33"/>
  <c r="W425" i="33"/>
  <c r="T425" i="33"/>
  <c r="Q425" i="33"/>
  <c r="N425" i="33"/>
  <c r="AH424" i="33"/>
  <c r="AE424" i="33"/>
  <c r="W424" i="33"/>
  <c r="T424" i="33"/>
  <c r="Q424" i="33"/>
  <c r="N424" i="33"/>
  <c r="AH423" i="33"/>
  <c r="AE423" i="33"/>
  <c r="W423" i="33"/>
  <c r="T423" i="33"/>
  <c r="Q423" i="33"/>
  <c r="N423" i="33"/>
  <c r="AH422" i="33"/>
  <c r="AE422" i="33"/>
  <c r="W422" i="33"/>
  <c r="T422" i="33"/>
  <c r="Q422" i="33"/>
  <c r="N422" i="33"/>
  <c r="AH421" i="33"/>
  <c r="AE421" i="33"/>
  <c r="W421" i="33"/>
  <c r="T421" i="33"/>
  <c r="Q421" i="33"/>
  <c r="N421" i="33"/>
  <c r="AH420" i="33"/>
  <c r="AE420" i="33"/>
  <c r="W420" i="33"/>
  <c r="T420" i="33"/>
  <c r="Q420" i="33"/>
  <c r="N420" i="33"/>
  <c r="AH419" i="33"/>
  <c r="AE419" i="33"/>
  <c r="W419" i="33"/>
  <c r="T419" i="33"/>
  <c r="Q419" i="33"/>
  <c r="N419" i="33"/>
  <c r="AH418" i="33"/>
  <c r="AE418" i="33"/>
  <c r="W418" i="33"/>
  <c r="T418" i="33"/>
  <c r="Q418" i="33"/>
  <c r="N418" i="33"/>
  <c r="AH417" i="33"/>
  <c r="AE417" i="33"/>
  <c r="W417" i="33"/>
  <c r="T417" i="33"/>
  <c r="Q417" i="33"/>
  <c r="N417" i="33"/>
  <c r="AH416" i="33"/>
  <c r="AE416" i="33"/>
  <c r="W416" i="33"/>
  <c r="T416" i="33"/>
  <c r="Q416" i="33"/>
  <c r="N416" i="33"/>
  <c r="AH415" i="33"/>
  <c r="AE415" i="33"/>
  <c r="W415" i="33"/>
  <c r="T415" i="33"/>
  <c r="Q415" i="33"/>
  <c r="N415" i="33"/>
  <c r="AH414" i="33"/>
  <c r="AE414" i="33"/>
  <c r="W414" i="33"/>
  <c r="T414" i="33"/>
  <c r="Q414" i="33"/>
  <c r="N414" i="33"/>
  <c r="AH413" i="33"/>
  <c r="AE413" i="33"/>
  <c r="W413" i="33"/>
  <c r="T413" i="33"/>
  <c r="Q413" i="33"/>
  <c r="N413" i="33"/>
  <c r="AH412" i="33"/>
  <c r="AE412" i="33"/>
  <c r="W412" i="33"/>
  <c r="T412" i="33"/>
  <c r="Q412" i="33"/>
  <c r="N412" i="33"/>
  <c r="AH411" i="33"/>
  <c r="AE411" i="33"/>
  <c r="W411" i="33"/>
  <c r="T411" i="33"/>
  <c r="Q411" i="33"/>
  <c r="N411" i="33"/>
  <c r="AH410" i="33"/>
  <c r="AE410" i="33"/>
  <c r="W410" i="33"/>
  <c r="T410" i="33"/>
  <c r="Q410" i="33"/>
  <c r="N410" i="33"/>
  <c r="AH409" i="33"/>
  <c r="AE409" i="33"/>
  <c r="W409" i="33"/>
  <c r="T409" i="33"/>
  <c r="Q409" i="33"/>
  <c r="N409" i="33"/>
  <c r="AH408" i="33"/>
  <c r="AE408" i="33"/>
  <c r="W408" i="33"/>
  <c r="T408" i="33"/>
  <c r="Q408" i="33"/>
  <c r="N408" i="33"/>
  <c r="AH407" i="33"/>
  <c r="AE407" i="33"/>
  <c r="W407" i="33"/>
  <c r="T407" i="33"/>
  <c r="Q407" i="33"/>
  <c r="N407" i="33"/>
  <c r="AH406" i="33"/>
  <c r="AE406" i="33"/>
  <c r="W406" i="33"/>
  <c r="T406" i="33"/>
  <c r="Q406" i="33"/>
  <c r="N406" i="33"/>
  <c r="AH405" i="33"/>
  <c r="AE405" i="33"/>
  <c r="W405" i="33"/>
  <c r="T405" i="33"/>
  <c r="Q405" i="33"/>
  <c r="N405" i="33"/>
  <c r="AH404" i="33"/>
  <c r="AE404" i="33"/>
  <c r="W404" i="33"/>
  <c r="T404" i="33"/>
  <c r="Q404" i="33"/>
  <c r="N404" i="33"/>
  <c r="AH403" i="33"/>
  <c r="AE403" i="33"/>
  <c r="W403" i="33"/>
  <c r="T403" i="33"/>
  <c r="Q403" i="33"/>
  <c r="N403" i="33"/>
  <c r="AH402" i="33"/>
  <c r="AE402" i="33"/>
  <c r="W402" i="33"/>
  <c r="T402" i="33"/>
  <c r="Q402" i="33"/>
  <c r="N402" i="33"/>
  <c r="AH401" i="33"/>
  <c r="AE401" i="33"/>
  <c r="W401" i="33"/>
  <c r="T401" i="33"/>
  <c r="Q401" i="33"/>
  <c r="N401" i="33"/>
  <c r="AH400" i="33"/>
  <c r="AE400" i="33"/>
  <c r="W400" i="33"/>
  <c r="T400" i="33"/>
  <c r="Q400" i="33"/>
  <c r="N400" i="33"/>
  <c r="AH399" i="33"/>
  <c r="AE399" i="33"/>
  <c r="W399" i="33"/>
  <c r="T399" i="33"/>
  <c r="Q399" i="33"/>
  <c r="N399" i="33"/>
  <c r="AH398" i="33"/>
  <c r="AE398" i="33"/>
  <c r="W398" i="33"/>
  <c r="T398" i="33"/>
  <c r="Q398" i="33"/>
  <c r="N398" i="33"/>
  <c r="AH397" i="33"/>
  <c r="AE397" i="33"/>
  <c r="W397" i="33"/>
  <c r="T397" i="33"/>
  <c r="Q397" i="33"/>
  <c r="N397" i="33"/>
  <c r="AH396" i="33"/>
  <c r="AE396" i="33"/>
  <c r="W396" i="33"/>
  <c r="T396" i="33"/>
  <c r="Q396" i="33"/>
  <c r="N396" i="33"/>
  <c r="AH395" i="33"/>
  <c r="AE395" i="33"/>
  <c r="W395" i="33"/>
  <c r="T395" i="33"/>
  <c r="Q395" i="33"/>
  <c r="N395" i="33"/>
  <c r="AH394" i="33"/>
  <c r="AE394" i="33"/>
  <c r="W394" i="33"/>
  <c r="T394" i="33"/>
  <c r="Q394" i="33"/>
  <c r="N394" i="33"/>
  <c r="AH393" i="33"/>
  <c r="AE393" i="33"/>
  <c r="W393" i="33"/>
  <c r="T393" i="33"/>
  <c r="Q393" i="33"/>
  <c r="N393" i="33"/>
  <c r="AH392" i="33"/>
  <c r="AE392" i="33"/>
  <c r="W392" i="33"/>
  <c r="T392" i="33"/>
  <c r="Q392" i="33"/>
  <c r="N392" i="33"/>
  <c r="AH391" i="33"/>
  <c r="AE391" i="33"/>
  <c r="W391" i="33"/>
  <c r="T391" i="33"/>
  <c r="Q391" i="33"/>
  <c r="N391" i="33"/>
  <c r="AH390" i="33"/>
  <c r="AE390" i="33"/>
  <c r="W390" i="33"/>
  <c r="T390" i="33"/>
  <c r="Q390" i="33"/>
  <c r="N390" i="33"/>
  <c r="AH389" i="33"/>
  <c r="AE389" i="33"/>
  <c r="W389" i="33"/>
  <c r="T389" i="33"/>
  <c r="Q389" i="33"/>
  <c r="N389" i="33"/>
  <c r="AH388" i="33"/>
  <c r="AE388" i="33"/>
  <c r="W388" i="33"/>
  <c r="T388" i="33"/>
  <c r="Q388" i="33"/>
  <c r="N388" i="33"/>
  <c r="AH387" i="33"/>
  <c r="AE387" i="33"/>
  <c r="W387" i="33"/>
  <c r="T387" i="33"/>
  <c r="Q387" i="33"/>
  <c r="N387" i="33"/>
  <c r="AH386" i="33"/>
  <c r="AE386" i="33"/>
  <c r="W386" i="33"/>
  <c r="T386" i="33"/>
  <c r="Q386" i="33"/>
  <c r="N386" i="33"/>
  <c r="AH385" i="33"/>
  <c r="AE385" i="33"/>
  <c r="W385" i="33"/>
  <c r="T385" i="33"/>
  <c r="Q385" i="33"/>
  <c r="N385" i="33"/>
  <c r="AH384" i="33"/>
  <c r="AE384" i="33"/>
  <c r="W384" i="33"/>
  <c r="T384" i="33"/>
  <c r="Q384" i="33"/>
  <c r="N384" i="33"/>
  <c r="AH383" i="33"/>
  <c r="AE383" i="33"/>
  <c r="W383" i="33"/>
  <c r="T383" i="33"/>
  <c r="Q383" i="33"/>
  <c r="N383" i="33"/>
  <c r="AH382" i="33"/>
  <c r="AE382" i="33"/>
  <c r="W382" i="33"/>
  <c r="T382" i="33"/>
  <c r="Q382" i="33"/>
  <c r="N382" i="33"/>
  <c r="AH381" i="33"/>
  <c r="AE381" i="33"/>
  <c r="W381" i="33"/>
  <c r="T381" i="33"/>
  <c r="Q381" i="33"/>
  <c r="N381" i="33"/>
  <c r="AH380" i="33"/>
  <c r="AE380" i="33"/>
  <c r="W380" i="33"/>
  <c r="T380" i="33"/>
  <c r="Q380" i="33"/>
  <c r="N380" i="33"/>
  <c r="AH379" i="33"/>
  <c r="AE379" i="33"/>
  <c r="W379" i="33"/>
  <c r="T379" i="33"/>
  <c r="Q379" i="33"/>
  <c r="N379" i="33"/>
  <c r="AH378" i="33"/>
  <c r="AE378" i="33"/>
  <c r="W378" i="33"/>
  <c r="T378" i="33"/>
  <c r="Q378" i="33"/>
  <c r="N378" i="33"/>
  <c r="AH377" i="33"/>
  <c r="AE377" i="33"/>
  <c r="W377" i="33"/>
  <c r="T377" i="33"/>
  <c r="Q377" i="33"/>
  <c r="N377" i="33"/>
  <c r="AH376" i="33"/>
  <c r="AE376" i="33"/>
  <c r="W376" i="33"/>
  <c r="T376" i="33"/>
  <c r="Q376" i="33"/>
  <c r="N376" i="33"/>
  <c r="AH375" i="33"/>
  <c r="AE375" i="33"/>
  <c r="W375" i="33"/>
  <c r="T375" i="33"/>
  <c r="Q375" i="33"/>
  <c r="N375" i="33"/>
  <c r="AH374" i="33"/>
  <c r="AE374" i="33"/>
  <c r="W374" i="33"/>
  <c r="T374" i="33"/>
  <c r="Q374" i="33"/>
  <c r="N374" i="33"/>
  <c r="AH373" i="33"/>
  <c r="AE373" i="33"/>
  <c r="W373" i="33"/>
  <c r="T373" i="33"/>
  <c r="Q373" i="33"/>
  <c r="N373" i="33"/>
  <c r="AH372" i="33"/>
  <c r="AE372" i="33"/>
  <c r="W372" i="33"/>
  <c r="T372" i="33"/>
  <c r="Q372" i="33"/>
  <c r="N372" i="33"/>
  <c r="AH371" i="33"/>
  <c r="AE371" i="33"/>
  <c r="W371" i="33"/>
  <c r="T371" i="33"/>
  <c r="Q371" i="33"/>
  <c r="N371" i="33"/>
  <c r="AH370" i="33"/>
  <c r="AE370" i="33"/>
  <c r="W370" i="33"/>
  <c r="T370" i="33"/>
  <c r="Q370" i="33"/>
  <c r="N370" i="33"/>
  <c r="AH369" i="33"/>
  <c r="AE369" i="33"/>
  <c r="W369" i="33"/>
  <c r="T369" i="33"/>
  <c r="Q369" i="33"/>
  <c r="N369" i="33"/>
  <c r="AH368" i="33"/>
  <c r="AE368" i="33"/>
  <c r="W368" i="33"/>
  <c r="T368" i="33"/>
  <c r="Q368" i="33"/>
  <c r="N368" i="33"/>
  <c r="AH367" i="33"/>
  <c r="AE367" i="33"/>
  <c r="W367" i="33"/>
  <c r="T367" i="33"/>
  <c r="Q367" i="33"/>
  <c r="N367" i="33"/>
  <c r="AH366" i="33"/>
  <c r="AE366" i="33"/>
  <c r="W366" i="33"/>
  <c r="T366" i="33"/>
  <c r="Q366" i="33"/>
  <c r="N366" i="33"/>
  <c r="AH365" i="33"/>
  <c r="AE365" i="33"/>
  <c r="W365" i="33"/>
  <c r="T365" i="33"/>
  <c r="Q365" i="33"/>
  <c r="N365" i="33"/>
  <c r="AH364" i="33"/>
  <c r="AE364" i="33"/>
  <c r="W364" i="33"/>
  <c r="T364" i="33"/>
  <c r="Q364" i="33"/>
  <c r="N364" i="33"/>
  <c r="AH363" i="33"/>
  <c r="AE363" i="33"/>
  <c r="W363" i="33"/>
  <c r="T363" i="33"/>
  <c r="Q363" i="33"/>
  <c r="N363" i="33"/>
  <c r="AH362" i="33"/>
  <c r="AE362" i="33"/>
  <c r="W362" i="33"/>
  <c r="T362" i="33"/>
  <c r="Q362" i="33"/>
  <c r="N362" i="33"/>
  <c r="AH361" i="33"/>
  <c r="AE361" i="33"/>
  <c r="W361" i="33"/>
  <c r="T361" i="33"/>
  <c r="Q361" i="33"/>
  <c r="N361" i="33"/>
  <c r="AH360" i="33"/>
  <c r="AE360" i="33"/>
  <c r="W360" i="33"/>
  <c r="T360" i="33"/>
  <c r="Q360" i="33"/>
  <c r="N360" i="33"/>
  <c r="AH359" i="33"/>
  <c r="AE359" i="33"/>
  <c r="W359" i="33"/>
  <c r="T359" i="33"/>
  <c r="Q359" i="33"/>
  <c r="N359" i="33"/>
  <c r="AH358" i="33"/>
  <c r="AE358" i="33"/>
  <c r="W358" i="33"/>
  <c r="T358" i="33"/>
  <c r="Q358" i="33"/>
  <c r="N358" i="33"/>
  <c r="AH357" i="33"/>
  <c r="AE357" i="33"/>
  <c r="W357" i="33"/>
  <c r="T357" i="33"/>
  <c r="Q357" i="33"/>
  <c r="N357" i="33"/>
  <c r="AH356" i="33"/>
  <c r="AE356" i="33"/>
  <c r="W356" i="33"/>
  <c r="T356" i="33"/>
  <c r="Q356" i="33"/>
  <c r="N356" i="33"/>
  <c r="AH355" i="33"/>
  <c r="AE355" i="33"/>
  <c r="T355" i="33"/>
  <c r="Z355" i="33" s="1"/>
  <c r="Q355" i="33"/>
  <c r="N355" i="33"/>
  <c r="AH354" i="33"/>
  <c r="AE354" i="33"/>
  <c r="T354" i="33"/>
  <c r="Z354" i="33" s="1"/>
  <c r="Q354" i="33"/>
  <c r="N354" i="33"/>
  <c r="AH353" i="33"/>
  <c r="AE353" i="33"/>
  <c r="T353" i="33"/>
  <c r="Z353" i="33" s="1"/>
  <c r="Q353" i="33"/>
  <c r="N353" i="33"/>
  <c r="AH352" i="33"/>
  <c r="AE352" i="33"/>
  <c r="T352" i="33"/>
  <c r="Z352" i="33" s="1"/>
  <c r="Q352" i="33"/>
  <c r="N352" i="33"/>
  <c r="AH351" i="33"/>
  <c r="AE351" i="33"/>
  <c r="T351" i="33"/>
  <c r="Z351" i="33" s="1"/>
  <c r="Q351" i="33"/>
  <c r="N351" i="33"/>
  <c r="AH350" i="33"/>
  <c r="AE350" i="33"/>
  <c r="T350" i="33"/>
  <c r="Z350" i="33" s="1"/>
  <c r="Q350" i="33"/>
  <c r="N350" i="33"/>
  <c r="AH349" i="33"/>
  <c r="AE349" i="33"/>
  <c r="T349" i="33"/>
  <c r="Z349" i="33" s="1"/>
  <c r="Q349" i="33"/>
  <c r="N349" i="33"/>
  <c r="AH348" i="33"/>
  <c r="AE348" i="33"/>
  <c r="T348" i="33"/>
  <c r="Z348" i="33" s="1"/>
  <c r="Q348" i="33"/>
  <c r="N348" i="33"/>
  <c r="AH347" i="33"/>
  <c r="AE347" i="33"/>
  <c r="T347" i="33"/>
  <c r="Z347" i="33" s="1"/>
  <c r="Q347" i="33"/>
  <c r="N347" i="33"/>
  <c r="AH346" i="33"/>
  <c r="AE346" i="33"/>
  <c r="T346" i="33"/>
  <c r="Z346" i="33" s="1"/>
  <c r="Q346" i="33"/>
  <c r="N346" i="33"/>
  <c r="AH345" i="33"/>
  <c r="AE345" i="33"/>
  <c r="T345" i="33"/>
  <c r="Z345" i="33" s="1"/>
  <c r="Q345" i="33"/>
  <c r="N345" i="33"/>
  <c r="AH344" i="33"/>
  <c r="AE344" i="33"/>
  <c r="T344" i="33"/>
  <c r="Z344" i="33" s="1"/>
  <c r="Q344" i="33"/>
  <c r="N344" i="33"/>
  <c r="AH343" i="33"/>
  <c r="AE343" i="33"/>
  <c r="T343" i="33"/>
  <c r="Z343" i="33" s="1"/>
  <c r="Q343" i="33"/>
  <c r="N343" i="33"/>
  <c r="AH342" i="33"/>
  <c r="AE342" i="33"/>
  <c r="T342" i="33"/>
  <c r="Z342" i="33" s="1"/>
  <c r="Q342" i="33"/>
  <c r="N342" i="33"/>
  <c r="AH341" i="33"/>
  <c r="AE341" i="33"/>
  <c r="T341" i="33"/>
  <c r="Z341" i="33" s="1"/>
  <c r="Q341" i="33"/>
  <c r="N341" i="33"/>
  <c r="AH339" i="33"/>
  <c r="AE339" i="33"/>
  <c r="T339" i="33"/>
  <c r="Z339" i="33" s="1"/>
  <c r="Q339" i="33"/>
  <c r="N339" i="33"/>
  <c r="AH338" i="33"/>
  <c r="AE338" i="33"/>
  <c r="T338" i="33"/>
  <c r="Z338" i="33" s="1"/>
  <c r="Q338" i="33"/>
  <c r="N338" i="33"/>
  <c r="AH337" i="33"/>
  <c r="AE337" i="33"/>
  <c r="T337" i="33"/>
  <c r="Z337" i="33" s="1"/>
  <c r="Q337" i="33"/>
  <c r="N337" i="33"/>
  <c r="AH336" i="33"/>
  <c r="AE336" i="33"/>
  <c r="T336" i="33"/>
  <c r="Z336" i="33" s="1"/>
  <c r="Q336" i="33"/>
  <c r="N336" i="33"/>
  <c r="AH335" i="33"/>
  <c r="AE335" i="33"/>
  <c r="T335" i="33"/>
  <c r="Z335" i="33" s="1"/>
  <c r="Q335" i="33"/>
  <c r="N335" i="33"/>
  <c r="AH334" i="33"/>
  <c r="AE334" i="33"/>
  <c r="T334" i="33"/>
  <c r="Z334" i="33" s="1"/>
  <c r="Q334" i="33"/>
  <c r="N334" i="33"/>
  <c r="AH333" i="33"/>
  <c r="AE333" i="33"/>
  <c r="T333" i="33"/>
  <c r="Z333" i="33" s="1"/>
  <c r="Q333" i="33"/>
  <c r="N333" i="33"/>
  <c r="AE330" i="33"/>
  <c r="T330" i="33"/>
  <c r="Z330" i="33" s="1"/>
  <c r="AJ330" i="33" s="1"/>
  <c r="Q330" i="33"/>
  <c r="N330" i="33"/>
  <c r="AH328" i="33"/>
  <c r="AE328" i="33"/>
  <c r="W328" i="33"/>
  <c r="T328" i="33"/>
  <c r="N328" i="33"/>
  <c r="AH327" i="33"/>
  <c r="AE327" i="33"/>
  <c r="W327" i="33"/>
  <c r="T327" i="33"/>
  <c r="Q327" i="33"/>
  <c r="N327" i="33"/>
  <c r="AH326" i="33"/>
  <c r="AE326" i="33"/>
  <c r="W326" i="33"/>
  <c r="T326" i="33"/>
  <c r="Q326" i="33"/>
  <c r="N326" i="33"/>
  <c r="AH325" i="33"/>
  <c r="AE325" i="33"/>
  <c r="W325" i="33"/>
  <c r="T325" i="33"/>
  <c r="Q325" i="33"/>
  <c r="N325" i="33"/>
  <c r="AH324" i="33"/>
  <c r="AE324" i="33"/>
  <c r="W324" i="33"/>
  <c r="T324" i="33"/>
  <c r="Q324" i="33"/>
  <c r="N324" i="33"/>
  <c r="AH323" i="33"/>
  <c r="AE323" i="33"/>
  <c r="W323" i="33"/>
  <c r="T323" i="33"/>
  <c r="Q323" i="33"/>
  <c r="N323" i="33"/>
  <c r="AH322" i="33"/>
  <c r="AE322" i="33"/>
  <c r="W322" i="33"/>
  <c r="T322" i="33"/>
  <c r="Q322" i="33"/>
  <c r="N322" i="33"/>
  <c r="AH321" i="33"/>
  <c r="AE321" i="33"/>
  <c r="W321" i="33"/>
  <c r="T321" i="33"/>
  <c r="Q321" i="33"/>
  <c r="N321" i="33"/>
  <c r="AH320" i="33"/>
  <c r="AE320" i="33"/>
  <c r="W320" i="33"/>
  <c r="T320" i="33"/>
  <c r="Q320" i="33"/>
  <c r="N320" i="33"/>
  <c r="AH319" i="33"/>
  <c r="AE319" i="33"/>
  <c r="W319" i="33"/>
  <c r="T319" i="33"/>
  <c r="Q319" i="33"/>
  <c r="N319" i="33"/>
  <c r="AH318" i="33"/>
  <c r="AE318" i="33"/>
  <c r="W318" i="33"/>
  <c r="T318" i="33"/>
  <c r="Q318" i="33"/>
  <c r="N318" i="33"/>
  <c r="AH317" i="33"/>
  <c r="AE317" i="33"/>
  <c r="W317" i="33"/>
  <c r="T317" i="33"/>
  <c r="Q317" i="33"/>
  <c r="N317" i="33"/>
  <c r="AH316" i="33"/>
  <c r="AE316" i="33"/>
  <c r="W316" i="33"/>
  <c r="T316" i="33"/>
  <c r="Q316" i="33"/>
  <c r="N316" i="33"/>
  <c r="AH315" i="33"/>
  <c r="AE315" i="33"/>
  <c r="W315" i="33"/>
  <c r="T315" i="33"/>
  <c r="Q315" i="33"/>
  <c r="N315" i="33"/>
  <c r="AH314" i="33"/>
  <c r="AE314" i="33"/>
  <c r="W314" i="33"/>
  <c r="T314" i="33"/>
  <c r="Q314" i="33"/>
  <c r="N314" i="33"/>
  <c r="AH313" i="33"/>
  <c r="AE313" i="33"/>
  <c r="W313" i="33"/>
  <c r="T313" i="33"/>
  <c r="Q313" i="33"/>
  <c r="N313" i="33"/>
  <c r="AH312" i="33"/>
  <c r="AE312" i="33"/>
  <c r="W312" i="33"/>
  <c r="T312" i="33"/>
  <c r="Q312" i="33"/>
  <c r="N312" i="33"/>
  <c r="AH311" i="33"/>
  <c r="AE311" i="33"/>
  <c r="W311" i="33"/>
  <c r="T311" i="33"/>
  <c r="Q311" i="33"/>
  <c r="N311" i="33"/>
  <c r="AH310" i="33"/>
  <c r="AE310" i="33"/>
  <c r="W310" i="33"/>
  <c r="T310" i="33"/>
  <c r="Q310" i="33"/>
  <c r="N310" i="33"/>
  <c r="AH309" i="33"/>
  <c r="AE309" i="33"/>
  <c r="W309" i="33"/>
  <c r="T309" i="33"/>
  <c r="Q309" i="33"/>
  <c r="N309" i="33"/>
  <c r="AH308" i="33"/>
  <c r="AE308" i="33"/>
  <c r="W308" i="33"/>
  <c r="T308" i="33"/>
  <c r="Q308" i="33"/>
  <c r="N308" i="33"/>
  <c r="AH307" i="33"/>
  <c r="AE307" i="33"/>
  <c r="W307" i="33"/>
  <c r="T307" i="33"/>
  <c r="Q307" i="33"/>
  <c r="N307" i="33"/>
  <c r="AH306" i="33"/>
  <c r="AE306" i="33"/>
  <c r="W306" i="33"/>
  <c r="T306" i="33"/>
  <c r="Q306" i="33"/>
  <c r="N306" i="33"/>
  <c r="AH305" i="33"/>
  <c r="AE305" i="33"/>
  <c r="W305" i="33"/>
  <c r="T305" i="33"/>
  <c r="Q305" i="33"/>
  <c r="N305" i="33"/>
  <c r="AH304" i="33"/>
  <c r="AE304" i="33"/>
  <c r="W304" i="33"/>
  <c r="T304" i="33"/>
  <c r="Q304" i="33"/>
  <c r="N304" i="33"/>
  <c r="AH303" i="33"/>
  <c r="AE303" i="33"/>
  <c r="W303" i="33"/>
  <c r="T303" i="33"/>
  <c r="Q303" i="33"/>
  <c r="N303" i="33"/>
  <c r="AH302" i="33"/>
  <c r="AE302" i="33"/>
  <c r="W302" i="33"/>
  <c r="T302" i="33"/>
  <c r="Q302" i="33"/>
  <c r="N302" i="33"/>
  <c r="AH301" i="33"/>
  <c r="AE301" i="33"/>
  <c r="W301" i="33"/>
  <c r="T301" i="33"/>
  <c r="Q301" i="33"/>
  <c r="N301" i="33"/>
  <c r="AH300" i="33"/>
  <c r="AE300" i="33"/>
  <c r="W300" i="33"/>
  <c r="T300" i="33"/>
  <c r="Q300" i="33"/>
  <c r="N300" i="33"/>
  <c r="AH299" i="33"/>
  <c r="AE299" i="33"/>
  <c r="W299" i="33"/>
  <c r="T299" i="33"/>
  <c r="Q299" i="33"/>
  <c r="N299" i="33"/>
  <c r="AH297" i="33"/>
  <c r="AE297" i="33"/>
  <c r="W297" i="33"/>
  <c r="T297" i="33"/>
  <c r="Q297" i="33"/>
  <c r="N297" i="33"/>
  <c r="AH296" i="33"/>
  <c r="AE296" i="33"/>
  <c r="W296" i="33"/>
  <c r="T296" i="33"/>
  <c r="Q296" i="33"/>
  <c r="N296" i="33"/>
  <c r="AH295" i="33"/>
  <c r="AE295" i="33"/>
  <c r="W295" i="33"/>
  <c r="T295" i="33"/>
  <c r="Q295" i="33"/>
  <c r="N295" i="33"/>
  <c r="AH294" i="33"/>
  <c r="AE294" i="33"/>
  <c r="W294" i="33"/>
  <c r="T294" i="33"/>
  <c r="Q294" i="33"/>
  <c r="N294" i="33"/>
  <c r="AH293" i="33"/>
  <c r="AE293" i="33"/>
  <c r="W293" i="33"/>
  <c r="T293" i="33"/>
  <c r="Q293" i="33"/>
  <c r="N293" i="33"/>
  <c r="AH292" i="33"/>
  <c r="AE292" i="33"/>
  <c r="W292" i="33"/>
  <c r="T292" i="33"/>
  <c r="Q292" i="33"/>
  <c r="N292" i="33"/>
  <c r="AH291" i="33"/>
  <c r="AE291" i="33"/>
  <c r="W291" i="33"/>
  <c r="T291" i="33"/>
  <c r="Q291" i="33"/>
  <c r="N291" i="33"/>
  <c r="AH290" i="33"/>
  <c r="AE290" i="33"/>
  <c r="W290" i="33"/>
  <c r="T290" i="33"/>
  <c r="Q290" i="33"/>
  <c r="N290" i="33"/>
  <c r="AH289" i="33"/>
  <c r="AE289" i="33"/>
  <c r="W289" i="33"/>
  <c r="T289" i="33"/>
  <c r="Q289" i="33"/>
  <c r="N289" i="33"/>
  <c r="AH288" i="33"/>
  <c r="AE288" i="33"/>
  <c r="W288" i="33"/>
  <c r="T288" i="33"/>
  <c r="Q288" i="33"/>
  <c r="N288" i="33"/>
  <c r="AH287" i="33"/>
  <c r="AE287" i="33"/>
  <c r="W287" i="33"/>
  <c r="T287" i="33"/>
  <c r="Q287" i="33"/>
  <c r="N287" i="33"/>
  <c r="AH285" i="33"/>
  <c r="AE285" i="33"/>
  <c r="W285" i="33"/>
  <c r="T285" i="33"/>
  <c r="Q285" i="33"/>
  <c r="N285" i="33"/>
  <c r="AH284" i="33"/>
  <c r="AE284" i="33"/>
  <c r="W284" i="33"/>
  <c r="T284" i="33"/>
  <c r="Q284" i="33"/>
  <c r="N284" i="33"/>
  <c r="AH283" i="33"/>
  <c r="AE283" i="33"/>
  <c r="W283" i="33"/>
  <c r="T283" i="33"/>
  <c r="Q283" i="33"/>
  <c r="N283" i="33"/>
  <c r="AH282" i="33"/>
  <c r="AE282" i="33"/>
  <c r="W282" i="33"/>
  <c r="T282" i="33"/>
  <c r="Q282" i="33"/>
  <c r="N282" i="33"/>
  <c r="AH281" i="33"/>
  <c r="AE281" i="33"/>
  <c r="W281" i="33"/>
  <c r="T281" i="33"/>
  <c r="Q281" i="33"/>
  <c r="N281" i="33"/>
  <c r="AH280" i="33"/>
  <c r="AE280" i="33"/>
  <c r="W280" i="33"/>
  <c r="T280" i="33"/>
  <c r="Q280" i="33"/>
  <c r="N280" i="33"/>
  <c r="AH279" i="33"/>
  <c r="AE279" i="33"/>
  <c r="W279" i="33"/>
  <c r="T279" i="33"/>
  <c r="Q279" i="33"/>
  <c r="N279" i="33"/>
  <c r="AH278" i="33"/>
  <c r="AE278" i="33"/>
  <c r="W278" i="33"/>
  <c r="T278" i="33"/>
  <c r="Q278" i="33"/>
  <c r="N278" i="33"/>
  <c r="AH277" i="33"/>
  <c r="AE277" i="33"/>
  <c r="W277" i="33"/>
  <c r="T277" i="33"/>
  <c r="Q277" i="33"/>
  <c r="N277" i="33"/>
  <c r="AH276" i="33"/>
  <c r="AE276" i="33"/>
  <c r="W276" i="33"/>
  <c r="T276" i="33"/>
  <c r="Q276" i="33"/>
  <c r="N276" i="33"/>
  <c r="AH275" i="33"/>
  <c r="AE275" i="33"/>
  <c r="W275" i="33"/>
  <c r="T275" i="33"/>
  <c r="Q275" i="33"/>
  <c r="N275" i="33"/>
  <c r="AH274" i="33"/>
  <c r="AE274" i="33"/>
  <c r="W274" i="33"/>
  <c r="T274" i="33"/>
  <c r="Q274" i="33"/>
  <c r="N274" i="33"/>
  <c r="AH273" i="33"/>
  <c r="AE273" i="33"/>
  <c r="W273" i="33"/>
  <c r="T273" i="33"/>
  <c r="Q273" i="33"/>
  <c r="N273" i="33"/>
  <c r="AH272" i="33"/>
  <c r="AE272" i="33"/>
  <c r="W272" i="33"/>
  <c r="T272" i="33"/>
  <c r="Q272" i="33"/>
  <c r="N272" i="33"/>
  <c r="AH271" i="33"/>
  <c r="AE271" i="33"/>
  <c r="W271" i="33"/>
  <c r="T271" i="33"/>
  <c r="Q271" i="33"/>
  <c r="N271" i="33"/>
  <c r="AH270" i="33"/>
  <c r="AE270" i="33"/>
  <c r="W270" i="33"/>
  <c r="T270" i="33"/>
  <c r="Q270" i="33"/>
  <c r="N270" i="33"/>
  <c r="AH269" i="33"/>
  <c r="AE269" i="33"/>
  <c r="W269" i="33"/>
  <c r="T269" i="33"/>
  <c r="Q269" i="33"/>
  <c r="N269" i="33"/>
  <c r="AH268" i="33"/>
  <c r="AI268" i="33" s="1"/>
  <c r="AE268" i="33"/>
  <c r="AF268" i="33" s="1"/>
  <c r="W268" i="33"/>
  <c r="X268" i="33" s="1"/>
  <c r="T268" i="33"/>
  <c r="Q268" i="33"/>
  <c r="N268" i="33"/>
  <c r="AH267" i="33"/>
  <c r="AE267" i="33"/>
  <c r="W267" i="33"/>
  <c r="T267" i="33"/>
  <c r="Q267" i="33"/>
  <c r="N267" i="33"/>
  <c r="AH266" i="33"/>
  <c r="AE266" i="33"/>
  <c r="W266" i="33"/>
  <c r="T266" i="33"/>
  <c r="Q266" i="33"/>
  <c r="N266" i="33"/>
  <c r="AH265" i="33"/>
  <c r="AE265" i="33"/>
  <c r="W265" i="33"/>
  <c r="T265" i="33"/>
  <c r="Q265" i="33"/>
  <c r="N265" i="33"/>
  <c r="AH264" i="33"/>
  <c r="AE264" i="33"/>
  <c r="W264" i="33"/>
  <c r="T264" i="33"/>
  <c r="Q264" i="33"/>
  <c r="N264" i="33"/>
  <c r="AH263" i="33"/>
  <c r="AE263" i="33"/>
  <c r="W263" i="33"/>
  <c r="T263" i="33"/>
  <c r="Q263" i="33"/>
  <c r="N263" i="33"/>
  <c r="AH262" i="33"/>
  <c r="AE262" i="33"/>
  <c r="W262" i="33"/>
  <c r="T262" i="33"/>
  <c r="Q262" i="33"/>
  <c r="N262" i="33"/>
  <c r="AH261" i="33"/>
  <c r="AE261" i="33"/>
  <c r="W261" i="33"/>
  <c r="T261" i="33"/>
  <c r="Q261" i="33"/>
  <c r="N261" i="33"/>
  <c r="AH260" i="33"/>
  <c r="AE260" i="33"/>
  <c r="W260" i="33"/>
  <c r="T260" i="33"/>
  <c r="Q260" i="33"/>
  <c r="N260" i="33"/>
  <c r="AH259" i="33"/>
  <c r="AE259" i="33"/>
  <c r="W259" i="33"/>
  <c r="T259" i="33"/>
  <c r="Q259" i="33"/>
  <c r="N259" i="33"/>
  <c r="AH258" i="33"/>
  <c r="AE258" i="33"/>
  <c r="W258" i="33"/>
  <c r="T258" i="33"/>
  <c r="Q258" i="33"/>
  <c r="N258" i="33"/>
  <c r="AH257" i="33"/>
  <c r="AE257" i="33"/>
  <c r="W257" i="33"/>
  <c r="T257" i="33"/>
  <c r="Q257" i="33"/>
  <c r="N257" i="33"/>
  <c r="AH256" i="33"/>
  <c r="AE256" i="33"/>
  <c r="W256" i="33"/>
  <c r="T256" i="33"/>
  <c r="Q256" i="33"/>
  <c r="N256" i="33"/>
  <c r="AH255" i="33"/>
  <c r="AE255" i="33"/>
  <c r="W255" i="33"/>
  <c r="T255" i="33"/>
  <c r="Q255" i="33"/>
  <c r="N255" i="33"/>
  <c r="AH254" i="33"/>
  <c r="AE254" i="33"/>
  <c r="W254" i="33"/>
  <c r="T254" i="33"/>
  <c r="Q254" i="33"/>
  <c r="N254" i="33"/>
  <c r="AH253" i="33"/>
  <c r="AE253" i="33"/>
  <c r="W253" i="33"/>
  <c r="T253" i="33"/>
  <c r="Q253" i="33"/>
  <c r="N253" i="33"/>
  <c r="AH252" i="33"/>
  <c r="AE252" i="33"/>
  <c r="W252" i="33"/>
  <c r="T252" i="33"/>
  <c r="Q252" i="33"/>
  <c r="N252" i="33"/>
  <c r="AH251" i="33"/>
  <c r="AE251" i="33"/>
  <c r="W251" i="33"/>
  <c r="T251" i="33"/>
  <c r="Q251" i="33"/>
  <c r="N251" i="33"/>
  <c r="AH250" i="33"/>
  <c r="AE250" i="33"/>
  <c r="W250" i="33"/>
  <c r="T250" i="33"/>
  <c r="Q250" i="33"/>
  <c r="N250" i="33"/>
  <c r="AH249" i="33"/>
  <c r="AE249" i="33"/>
  <c r="W249" i="33"/>
  <c r="T249" i="33"/>
  <c r="Q249" i="33"/>
  <c r="N249" i="33"/>
  <c r="AH248" i="33"/>
  <c r="AE248" i="33"/>
  <c r="W248" i="33"/>
  <c r="T248" i="33"/>
  <c r="Q248" i="33"/>
  <c r="N248" i="33"/>
  <c r="AH247" i="33"/>
  <c r="AE247" i="33"/>
  <c r="W247" i="33"/>
  <c r="Z247" i="33" s="1"/>
  <c r="Q247" i="33"/>
  <c r="N247" i="33"/>
  <c r="AE245" i="33"/>
  <c r="W245" i="33"/>
  <c r="Z245" i="33" s="1"/>
  <c r="Q245" i="33"/>
  <c r="N245" i="33"/>
  <c r="AE244" i="33"/>
  <c r="W244" i="33"/>
  <c r="T244" i="33"/>
  <c r="Q244" i="33"/>
  <c r="N244" i="33"/>
  <c r="AE241" i="33"/>
  <c r="W241" i="33"/>
  <c r="T241" i="33"/>
  <c r="Q241" i="33"/>
  <c r="N241" i="33"/>
  <c r="AE243" i="33"/>
  <c r="W243" i="33"/>
  <c r="T243" i="33"/>
  <c r="Q243" i="33"/>
  <c r="N243" i="33"/>
  <c r="AE242" i="33"/>
  <c r="W242" i="33"/>
  <c r="T242" i="33"/>
  <c r="Q242" i="33"/>
  <c r="N242" i="33"/>
  <c r="AE240" i="33"/>
  <c r="W240" i="33"/>
  <c r="T240" i="33"/>
  <c r="Q240" i="33"/>
  <c r="N240" i="33"/>
  <c r="AE239" i="33"/>
  <c r="W239" i="33"/>
  <c r="T239" i="33"/>
  <c r="Q239" i="33"/>
  <c r="N239" i="33"/>
  <c r="AE238" i="33"/>
  <c r="W238" i="33"/>
  <c r="T238" i="33"/>
  <c r="Q238" i="33"/>
  <c r="N238" i="33"/>
  <c r="AE237" i="33"/>
  <c r="W237" i="33"/>
  <c r="T237" i="33"/>
  <c r="Q237" i="33"/>
  <c r="N237" i="33"/>
  <c r="AE236" i="33"/>
  <c r="W236" i="33"/>
  <c r="T236" i="33"/>
  <c r="Q236" i="33"/>
  <c r="N236" i="33"/>
  <c r="AE235" i="33"/>
  <c r="W235" i="33"/>
  <c r="T235" i="33"/>
  <c r="Q235" i="33"/>
  <c r="N235" i="33"/>
  <c r="AE232" i="33"/>
  <c r="W232" i="33"/>
  <c r="T232" i="33"/>
  <c r="Q232" i="33"/>
  <c r="N232" i="33"/>
  <c r="AE231" i="33"/>
  <c r="W231" i="33"/>
  <c r="T231" i="33"/>
  <c r="Q231" i="33"/>
  <c r="N231" i="33"/>
  <c r="AE230" i="33"/>
  <c r="W230" i="33"/>
  <c r="T230" i="33"/>
  <c r="Q230" i="33"/>
  <c r="N230" i="33"/>
  <c r="W229" i="33"/>
  <c r="T229" i="33"/>
  <c r="Q229" i="33"/>
  <c r="N229" i="33"/>
  <c r="AE225" i="33"/>
  <c r="W225" i="33"/>
  <c r="T225" i="33"/>
  <c r="Q225" i="33"/>
  <c r="N225" i="33"/>
  <c r="AE224" i="33"/>
  <c r="W224" i="33"/>
  <c r="T224" i="33"/>
  <c r="Q224" i="33"/>
  <c r="N224" i="33"/>
  <c r="AE223" i="33"/>
  <c r="W223" i="33"/>
  <c r="T223" i="33"/>
  <c r="Q223" i="33"/>
  <c r="N223" i="33"/>
  <c r="AE222" i="33"/>
  <c r="W222" i="33"/>
  <c r="T222" i="33"/>
  <c r="Q222" i="33"/>
  <c r="N222" i="33"/>
  <c r="AE221" i="33"/>
  <c r="W221" i="33"/>
  <c r="T221" i="33"/>
  <c r="Q221" i="33"/>
  <c r="N221" i="33"/>
  <c r="AE220" i="33"/>
  <c r="W220" i="33"/>
  <c r="T220" i="33"/>
  <c r="Q220" i="33"/>
  <c r="N220" i="33"/>
  <c r="AE219" i="33"/>
  <c r="W219" i="33"/>
  <c r="Q219" i="33"/>
  <c r="N219" i="33"/>
  <c r="AE217" i="33"/>
  <c r="W217" i="33"/>
  <c r="Q217" i="33"/>
  <c r="N217" i="33"/>
  <c r="AE218" i="33"/>
  <c r="W218" i="33"/>
  <c r="Q218" i="33"/>
  <c r="N218" i="33"/>
  <c r="AE216" i="33"/>
  <c r="W216" i="33"/>
  <c r="T216" i="33"/>
  <c r="Q216" i="33"/>
  <c r="N216" i="33"/>
  <c r="AE214" i="33"/>
  <c r="W214" i="33"/>
  <c r="T214" i="33"/>
  <c r="Q214" i="33"/>
  <c r="N214" i="33"/>
  <c r="AE213" i="33"/>
  <c r="W213" i="33"/>
  <c r="T213" i="33"/>
  <c r="Q213" i="33"/>
  <c r="N213" i="33"/>
  <c r="AE212" i="33"/>
  <c r="W212" i="33"/>
  <c r="T212" i="33"/>
  <c r="Q212" i="33"/>
  <c r="N212" i="33"/>
  <c r="AE211" i="33"/>
  <c r="W211" i="33"/>
  <c r="T211" i="33"/>
  <c r="Q211" i="33"/>
  <c r="N211" i="33"/>
  <c r="AE210" i="33"/>
  <c r="W210" i="33"/>
  <c r="T210" i="33"/>
  <c r="Q210" i="33"/>
  <c r="N210" i="33"/>
  <c r="AE209" i="33"/>
  <c r="W209" i="33"/>
  <c r="T209" i="33"/>
  <c r="Q209" i="33"/>
  <c r="N209" i="33"/>
  <c r="AE208" i="33"/>
  <c r="W208" i="33"/>
  <c r="T208" i="33"/>
  <c r="Q208" i="33"/>
  <c r="N208" i="33"/>
  <c r="AE207" i="33"/>
  <c r="W207" i="33"/>
  <c r="T207" i="33"/>
  <c r="Q207" i="33"/>
  <c r="N207" i="33"/>
  <c r="AE206" i="33"/>
  <c r="W206" i="33"/>
  <c r="T206" i="33"/>
  <c r="Q206" i="33"/>
  <c r="N206" i="33"/>
  <c r="AE205" i="33"/>
  <c r="W205" i="33"/>
  <c r="T205" i="33"/>
  <c r="Q205" i="33"/>
  <c r="N205" i="33"/>
  <c r="AE203" i="33"/>
  <c r="W203" i="33"/>
  <c r="T203" i="33"/>
  <c r="Q203" i="33"/>
  <c r="N203" i="33"/>
  <c r="AE202" i="33"/>
  <c r="W202" i="33"/>
  <c r="T202" i="33"/>
  <c r="Q202" i="33"/>
  <c r="N202" i="33"/>
  <c r="AE201" i="33"/>
  <c r="W201" i="33"/>
  <c r="T201" i="33"/>
  <c r="Q201" i="33"/>
  <c r="N201" i="33"/>
  <c r="AE198" i="33"/>
  <c r="W198" i="33"/>
  <c r="T198" i="33"/>
  <c r="Q198" i="33"/>
  <c r="N198" i="33"/>
  <c r="AE204" i="33"/>
  <c r="W204" i="33"/>
  <c r="T204" i="33"/>
  <c r="Q204" i="33"/>
  <c r="N204" i="33"/>
  <c r="AE200" i="33"/>
  <c r="W200" i="33"/>
  <c r="T200" i="33"/>
  <c r="Q200" i="33"/>
  <c r="N200" i="33"/>
  <c r="AE199" i="33"/>
  <c r="W199" i="33"/>
  <c r="T199" i="33"/>
  <c r="Q199" i="33"/>
  <c r="N199" i="33"/>
  <c r="AE197" i="33"/>
  <c r="W197" i="33"/>
  <c r="T197" i="33"/>
  <c r="Q197" i="33"/>
  <c r="N197" i="33"/>
  <c r="AE196" i="33"/>
  <c r="W196" i="33"/>
  <c r="T196" i="33"/>
  <c r="Q196" i="33"/>
  <c r="N196" i="33"/>
  <c r="AE191" i="33"/>
  <c r="W191" i="33"/>
  <c r="T191" i="33"/>
  <c r="Q191" i="33"/>
  <c r="N191" i="33"/>
  <c r="AE190" i="33"/>
  <c r="W190" i="33"/>
  <c r="T190" i="33"/>
  <c r="Q190" i="33"/>
  <c r="N190" i="33"/>
  <c r="AE189" i="33"/>
  <c r="W189" i="33"/>
  <c r="T189" i="33"/>
  <c r="Q189" i="33"/>
  <c r="N189" i="33"/>
  <c r="AE188" i="33"/>
  <c r="W188" i="33"/>
  <c r="T188" i="33"/>
  <c r="Q188" i="33"/>
  <c r="N188" i="33"/>
  <c r="AE187" i="33"/>
  <c r="W187" i="33"/>
  <c r="T187" i="33"/>
  <c r="Q187" i="33"/>
  <c r="N187" i="33"/>
  <c r="AE186" i="33"/>
  <c r="W186" i="33"/>
  <c r="T186" i="33"/>
  <c r="Q186" i="33"/>
  <c r="N186" i="33"/>
  <c r="AE185" i="33"/>
  <c r="W185" i="33"/>
  <c r="T185" i="33"/>
  <c r="Q185" i="33"/>
  <c r="N185" i="33"/>
  <c r="AE184" i="33"/>
  <c r="W184" i="33"/>
  <c r="T184" i="33"/>
  <c r="Q184" i="33"/>
  <c r="N184" i="33"/>
  <c r="AE183" i="33"/>
  <c r="W183" i="33"/>
  <c r="T183" i="33"/>
  <c r="Q183" i="33"/>
  <c r="N183" i="33"/>
  <c r="AE182" i="33"/>
  <c r="W182" i="33"/>
  <c r="T182" i="33"/>
  <c r="Q182" i="33"/>
  <c r="N182" i="33"/>
  <c r="AE181" i="33"/>
  <c r="W181" i="33"/>
  <c r="T181" i="33"/>
  <c r="Q181" i="33"/>
  <c r="N181" i="33"/>
  <c r="AE180" i="33"/>
  <c r="W180" i="33"/>
  <c r="T180" i="33"/>
  <c r="Q180" i="33"/>
  <c r="N180" i="33"/>
  <c r="AE179" i="33"/>
  <c r="W179" i="33"/>
  <c r="T179" i="33"/>
  <c r="Q179" i="33"/>
  <c r="N179" i="33"/>
  <c r="AE178" i="33"/>
  <c r="W178" i="33"/>
  <c r="T178" i="33"/>
  <c r="Q178" i="33"/>
  <c r="N178" i="33"/>
  <c r="AE177" i="33"/>
  <c r="W177" i="33"/>
  <c r="T177" i="33"/>
  <c r="Q177" i="33"/>
  <c r="N177" i="33"/>
  <c r="AE176" i="33"/>
  <c r="W176" i="33"/>
  <c r="T176" i="33"/>
  <c r="Q176" i="33"/>
  <c r="N176" i="33"/>
  <c r="AE175" i="33"/>
  <c r="W175" i="33"/>
  <c r="T175" i="33"/>
  <c r="Q175" i="33"/>
  <c r="N175" i="33"/>
  <c r="AE174" i="33"/>
  <c r="W174" i="33"/>
  <c r="T174" i="33"/>
  <c r="Q174" i="33"/>
  <c r="N174" i="33"/>
  <c r="AE173" i="33"/>
  <c r="W173" i="33"/>
  <c r="T173" i="33"/>
  <c r="Q173" i="33"/>
  <c r="N173" i="33"/>
  <c r="AE172" i="33"/>
  <c r="W172" i="33"/>
  <c r="T172" i="33"/>
  <c r="Q172" i="33"/>
  <c r="N172" i="33"/>
  <c r="AE171" i="33"/>
  <c r="W171" i="33"/>
  <c r="T171" i="33"/>
  <c r="Q171" i="33"/>
  <c r="N171" i="33"/>
  <c r="AE170" i="33"/>
  <c r="W170" i="33"/>
  <c r="T170" i="33"/>
  <c r="Q170" i="33"/>
  <c r="N170" i="33"/>
  <c r="AE169" i="33"/>
  <c r="W169" i="33"/>
  <c r="T169" i="33"/>
  <c r="Q169" i="33"/>
  <c r="N169" i="33"/>
  <c r="AE168" i="33"/>
  <c r="W168" i="33"/>
  <c r="T168" i="33"/>
  <c r="Q168" i="33"/>
  <c r="N168" i="33"/>
  <c r="AE167" i="33"/>
  <c r="W167" i="33"/>
  <c r="T167" i="33"/>
  <c r="Q167" i="33"/>
  <c r="N167" i="33"/>
  <c r="AE166" i="33"/>
  <c r="W166" i="33"/>
  <c r="T166" i="33"/>
  <c r="Q166" i="33"/>
  <c r="N166" i="33"/>
  <c r="AE165" i="33"/>
  <c r="W165" i="33"/>
  <c r="T165" i="33"/>
  <c r="Q165" i="33"/>
  <c r="N165" i="33"/>
  <c r="AE164" i="33"/>
  <c r="W164" i="33"/>
  <c r="T164" i="33"/>
  <c r="Q164" i="33"/>
  <c r="N164" i="33"/>
  <c r="AE163" i="33"/>
  <c r="W163" i="33"/>
  <c r="Z163" i="33" s="1"/>
  <c r="Q163" i="33"/>
  <c r="N163" i="33"/>
  <c r="AE162" i="33"/>
  <c r="W162" i="33"/>
  <c r="T162" i="33"/>
  <c r="Q162" i="33"/>
  <c r="N162" i="33"/>
  <c r="AE161" i="33"/>
  <c r="W161" i="33"/>
  <c r="T161" i="33"/>
  <c r="Q161" i="33"/>
  <c r="N161" i="33"/>
  <c r="AE160" i="33"/>
  <c r="W160" i="33"/>
  <c r="T160" i="33"/>
  <c r="Q160" i="33"/>
  <c r="N160" i="33"/>
  <c r="AE159" i="33"/>
  <c r="W159" i="33"/>
  <c r="T159" i="33"/>
  <c r="Q159" i="33"/>
  <c r="N159" i="33"/>
  <c r="AE158" i="33"/>
  <c r="W158" i="33"/>
  <c r="T158" i="33"/>
  <c r="Q158" i="33"/>
  <c r="N158" i="33"/>
  <c r="AE157" i="33"/>
  <c r="W157" i="33"/>
  <c r="T157" i="33"/>
  <c r="Q157" i="33"/>
  <c r="N157" i="33"/>
  <c r="AE156" i="33"/>
  <c r="W156" i="33"/>
  <c r="T156" i="33"/>
  <c r="Q156" i="33"/>
  <c r="N156" i="33"/>
  <c r="AE155" i="33"/>
  <c r="W155" i="33"/>
  <c r="T155" i="33"/>
  <c r="Q155" i="33"/>
  <c r="N155" i="33"/>
  <c r="AE154" i="33"/>
  <c r="W154" i="33"/>
  <c r="T154" i="33"/>
  <c r="Q154" i="33"/>
  <c r="N154" i="33"/>
  <c r="AE153" i="33"/>
  <c r="W153" i="33"/>
  <c r="T153" i="33"/>
  <c r="Q153" i="33"/>
  <c r="N153" i="33"/>
  <c r="AE152" i="33"/>
  <c r="W152" i="33"/>
  <c r="T152" i="33"/>
  <c r="Q152" i="33"/>
  <c r="N152" i="33"/>
  <c r="AE151" i="33"/>
  <c r="W151" i="33"/>
  <c r="T151" i="33"/>
  <c r="Q151" i="33"/>
  <c r="N151" i="33"/>
  <c r="AE150" i="33"/>
  <c r="W150" i="33"/>
  <c r="T150" i="33"/>
  <c r="Q150" i="33"/>
  <c r="N150" i="33"/>
  <c r="AE149" i="33"/>
  <c r="W149" i="33"/>
  <c r="T149" i="33"/>
  <c r="Q149" i="33"/>
  <c r="N149" i="33"/>
  <c r="AE148" i="33"/>
  <c r="W148" i="33"/>
  <c r="T148" i="33"/>
  <c r="Q148" i="33"/>
  <c r="N148" i="33"/>
  <c r="AE147" i="33"/>
  <c r="W147" i="33"/>
  <c r="T147" i="33"/>
  <c r="Q147" i="33"/>
  <c r="N147" i="33"/>
  <c r="AE146" i="33"/>
  <c r="W146" i="33"/>
  <c r="T146" i="33"/>
  <c r="Q146" i="33"/>
  <c r="N146" i="33"/>
  <c r="AE145" i="33"/>
  <c r="W145" i="33"/>
  <c r="T145" i="33"/>
  <c r="Q145" i="33"/>
  <c r="N145" i="33"/>
  <c r="AE144" i="33"/>
  <c r="W144" i="33"/>
  <c r="T144" i="33"/>
  <c r="Q144" i="33"/>
  <c r="N144" i="33"/>
  <c r="AE143" i="33"/>
  <c r="W143" i="33"/>
  <c r="T143" i="33"/>
  <c r="Q143" i="33"/>
  <c r="N143" i="33"/>
  <c r="AE142" i="33"/>
  <c r="W142" i="33"/>
  <c r="T142" i="33"/>
  <c r="Q142" i="33"/>
  <c r="N142" i="33"/>
  <c r="AE141" i="33"/>
  <c r="W141" i="33"/>
  <c r="T141" i="33"/>
  <c r="Q141" i="33"/>
  <c r="N141" i="33"/>
  <c r="AE140" i="33"/>
  <c r="W140" i="33"/>
  <c r="T140" i="33"/>
  <c r="Q140" i="33"/>
  <c r="N140" i="33"/>
  <c r="AE139" i="33"/>
  <c r="W139" i="33"/>
  <c r="T139" i="33"/>
  <c r="Q139" i="33"/>
  <c r="N139" i="33"/>
  <c r="AE138" i="33"/>
  <c r="W138" i="33"/>
  <c r="T138" i="33"/>
  <c r="Q138" i="33"/>
  <c r="N138" i="33"/>
  <c r="AE137" i="33"/>
  <c r="W137" i="33"/>
  <c r="T137" i="33"/>
  <c r="Q137" i="33"/>
  <c r="N137" i="33"/>
  <c r="AE136" i="33"/>
  <c r="W136" i="33"/>
  <c r="T136" i="33"/>
  <c r="Q136" i="33"/>
  <c r="N136" i="33"/>
  <c r="AE135" i="33"/>
  <c r="W135" i="33"/>
  <c r="T135" i="33"/>
  <c r="Q135" i="33"/>
  <c r="N135" i="33"/>
  <c r="AE134" i="33"/>
  <c r="W134" i="33"/>
  <c r="T134" i="33"/>
  <c r="Q134" i="33"/>
  <c r="N134" i="33"/>
  <c r="AE133" i="33"/>
  <c r="W133" i="33"/>
  <c r="T133" i="33"/>
  <c r="Q133" i="33"/>
  <c r="N133" i="33"/>
  <c r="AE132" i="33"/>
  <c r="W132" i="33"/>
  <c r="T132" i="33"/>
  <c r="Q132" i="33"/>
  <c r="N132" i="33"/>
  <c r="AE131" i="33"/>
  <c r="W131" i="33"/>
  <c r="T131" i="33"/>
  <c r="Q131" i="33"/>
  <c r="N131" i="33"/>
  <c r="AI130" i="33"/>
  <c r="AE130" i="33"/>
  <c r="W130" i="33"/>
  <c r="T130" i="33"/>
  <c r="Q130" i="33"/>
  <c r="N130" i="33"/>
  <c r="AE129" i="33"/>
  <c r="W129" i="33"/>
  <c r="T129" i="33"/>
  <c r="Q129" i="33"/>
  <c r="N129" i="33"/>
  <c r="AE128" i="33"/>
  <c r="W128" i="33"/>
  <c r="T128" i="33"/>
  <c r="Q128" i="33"/>
  <c r="N128" i="33"/>
  <c r="AE127" i="33"/>
  <c r="W127" i="33"/>
  <c r="T127" i="33"/>
  <c r="Q127" i="33"/>
  <c r="N127" i="33"/>
  <c r="AE126" i="33"/>
  <c r="W126" i="33"/>
  <c r="T126" i="33"/>
  <c r="Q126" i="33"/>
  <c r="N126" i="33"/>
  <c r="AE125" i="33"/>
  <c r="W125" i="33"/>
  <c r="T125" i="33"/>
  <c r="Q125" i="33"/>
  <c r="N125" i="33"/>
  <c r="AE124" i="33"/>
  <c r="W124" i="33"/>
  <c r="T124" i="33"/>
  <c r="Q124" i="33"/>
  <c r="N124" i="33"/>
  <c r="AE123" i="33"/>
  <c r="W123" i="33"/>
  <c r="T123" i="33"/>
  <c r="Q123" i="33"/>
  <c r="N123" i="33"/>
  <c r="AE122" i="33"/>
  <c r="W122" i="33"/>
  <c r="T122" i="33"/>
  <c r="Q122" i="33"/>
  <c r="N122" i="33"/>
  <c r="AE121" i="33"/>
  <c r="W121" i="33"/>
  <c r="T121" i="33"/>
  <c r="Q121" i="33"/>
  <c r="N121" i="33"/>
  <c r="AE120" i="33"/>
  <c r="W120" i="33"/>
  <c r="T120" i="33"/>
  <c r="Q120" i="33"/>
  <c r="N120" i="33"/>
  <c r="AE119" i="33"/>
  <c r="W119" i="33"/>
  <c r="T119" i="33"/>
  <c r="Q119" i="33"/>
  <c r="N119" i="33"/>
  <c r="AE118" i="33"/>
  <c r="W118" i="33"/>
  <c r="T118" i="33"/>
  <c r="Q118" i="33"/>
  <c r="N118" i="33"/>
  <c r="AH117" i="33"/>
  <c r="AE117" i="33"/>
  <c r="W117" i="33"/>
  <c r="T117" i="33"/>
  <c r="Q117" i="33"/>
  <c r="N117" i="33"/>
  <c r="AH116" i="33"/>
  <c r="AE116" i="33"/>
  <c r="W116" i="33"/>
  <c r="T116" i="33"/>
  <c r="Q116" i="33"/>
  <c r="N116" i="33"/>
  <c r="AE115" i="33"/>
  <c r="W115" i="33"/>
  <c r="T115" i="33"/>
  <c r="Q115" i="33"/>
  <c r="N115" i="33"/>
  <c r="AE114" i="33"/>
  <c r="W114" i="33"/>
  <c r="T114" i="33"/>
  <c r="Q114" i="33"/>
  <c r="N114" i="33"/>
  <c r="AE113" i="33"/>
  <c r="W113" i="33"/>
  <c r="T113" i="33"/>
  <c r="Q113" i="33"/>
  <c r="N113" i="33"/>
  <c r="AE112" i="33"/>
  <c r="W112" i="33"/>
  <c r="T112" i="33"/>
  <c r="Q112" i="33"/>
  <c r="N112" i="33"/>
  <c r="AE111" i="33"/>
  <c r="W111" i="33"/>
  <c r="T111" i="33"/>
  <c r="Q111" i="33"/>
  <c r="N111" i="33"/>
  <c r="AE110" i="33"/>
  <c r="W110" i="33"/>
  <c r="T110" i="33"/>
  <c r="Q110" i="33"/>
  <c r="N110" i="33"/>
  <c r="AE108" i="33"/>
  <c r="W108" i="33"/>
  <c r="T108" i="33"/>
  <c r="Q108" i="33"/>
  <c r="N108" i="33"/>
  <c r="AE107" i="33"/>
  <c r="W107" i="33"/>
  <c r="T107" i="33"/>
  <c r="Q107" i="33"/>
  <c r="N107" i="33"/>
  <c r="AE106" i="33"/>
  <c r="W106" i="33"/>
  <c r="T106" i="33"/>
  <c r="Q106" i="33"/>
  <c r="N106" i="33"/>
  <c r="AE105" i="33"/>
  <c r="W105" i="33"/>
  <c r="T105" i="33"/>
  <c r="Q105" i="33"/>
  <c r="N105" i="33"/>
  <c r="AE104" i="33"/>
  <c r="W104" i="33"/>
  <c r="T104" i="33"/>
  <c r="Q104" i="33"/>
  <c r="N104" i="33"/>
  <c r="AE103" i="33"/>
  <c r="W103" i="33"/>
  <c r="T103" i="33"/>
  <c r="Q103" i="33"/>
  <c r="N103" i="33"/>
  <c r="AE102" i="33"/>
  <c r="W102" i="33"/>
  <c r="T102" i="33"/>
  <c r="Q102" i="33"/>
  <c r="N102" i="33"/>
  <c r="AE101" i="33"/>
  <c r="W101" i="33"/>
  <c r="T101" i="33"/>
  <c r="Q101" i="33"/>
  <c r="N101" i="33"/>
  <c r="AE100" i="33"/>
  <c r="W100" i="33"/>
  <c r="T100" i="33"/>
  <c r="Q100" i="33"/>
  <c r="N100" i="33"/>
  <c r="AE99" i="33"/>
  <c r="W99" i="33"/>
  <c r="T99" i="33"/>
  <c r="Q99" i="33"/>
  <c r="N99" i="33"/>
  <c r="AE98" i="33"/>
  <c r="W98" i="33"/>
  <c r="T98" i="33"/>
  <c r="Q98" i="33"/>
  <c r="N98" i="33"/>
  <c r="AE97" i="33"/>
  <c r="W97" i="33"/>
  <c r="T97" i="33"/>
  <c r="Q97" i="33"/>
  <c r="N97" i="33"/>
  <c r="AH96" i="33"/>
  <c r="AE96" i="33"/>
  <c r="W96" i="33"/>
  <c r="T96" i="33"/>
  <c r="Q96" i="33"/>
  <c r="N96" i="33"/>
  <c r="AH95" i="33"/>
  <c r="AE95" i="33"/>
  <c r="W95" i="33"/>
  <c r="T95" i="33"/>
  <c r="Q95" i="33"/>
  <c r="N95" i="33"/>
  <c r="AH94" i="33"/>
  <c r="AE94" i="33"/>
  <c r="W94" i="33"/>
  <c r="T94" i="33"/>
  <c r="Q94" i="33"/>
  <c r="N94" i="33"/>
  <c r="AH93" i="33"/>
  <c r="AE93" i="33"/>
  <c r="W93" i="33"/>
  <c r="T93" i="33"/>
  <c r="Q93" i="33"/>
  <c r="N93" i="33"/>
  <c r="AH92" i="33"/>
  <c r="AE92" i="33"/>
  <c r="W92" i="33"/>
  <c r="T92" i="33"/>
  <c r="Q92" i="33"/>
  <c r="N92" i="33"/>
  <c r="AH91" i="33"/>
  <c r="AE91" i="33"/>
  <c r="W91" i="33"/>
  <c r="T91" i="33"/>
  <c r="Q91" i="33"/>
  <c r="N91" i="33"/>
  <c r="AH90" i="33"/>
  <c r="AE90" i="33"/>
  <c r="W90" i="33"/>
  <c r="T90" i="33"/>
  <c r="Q90" i="33"/>
  <c r="N90" i="33"/>
  <c r="AH89" i="33"/>
  <c r="AE89" i="33"/>
  <c r="W89" i="33"/>
  <c r="Z89" i="33" s="1"/>
  <c r="Q89" i="33"/>
  <c r="N89" i="33"/>
  <c r="AH88" i="33"/>
  <c r="AE88" i="33"/>
  <c r="W88" i="33"/>
  <c r="T88" i="33"/>
  <c r="Q88" i="33"/>
  <c r="N88" i="33"/>
  <c r="AH87" i="33"/>
  <c r="AE87" i="33"/>
  <c r="W87" i="33"/>
  <c r="T87" i="33"/>
  <c r="Q87" i="33"/>
  <c r="N87" i="33"/>
  <c r="AH86" i="33"/>
  <c r="AE86" i="33"/>
  <c r="W86" i="33"/>
  <c r="T86" i="33"/>
  <c r="Q86" i="33"/>
  <c r="N86" i="33"/>
  <c r="AH85" i="33"/>
  <c r="AE85" i="33"/>
  <c r="W85" i="33"/>
  <c r="T85" i="33"/>
  <c r="Q85" i="33"/>
  <c r="N85" i="33"/>
  <c r="AH84" i="33"/>
  <c r="AE84" i="33"/>
  <c r="W84" i="33"/>
  <c r="T84" i="33"/>
  <c r="Q84" i="33"/>
  <c r="N84" i="33"/>
  <c r="AH83" i="33"/>
  <c r="AE83" i="33"/>
  <c r="W83" i="33"/>
  <c r="T83" i="33"/>
  <c r="Q83" i="33"/>
  <c r="N83" i="33"/>
  <c r="AH82" i="33"/>
  <c r="AE82" i="33"/>
  <c r="W82" i="33"/>
  <c r="T82" i="33"/>
  <c r="Q82" i="33"/>
  <c r="N82" i="33"/>
  <c r="AH81" i="33"/>
  <c r="AE81" i="33"/>
  <c r="W81" i="33"/>
  <c r="T81" i="33"/>
  <c r="Q81" i="33"/>
  <c r="N81" i="33"/>
  <c r="AE80" i="33"/>
  <c r="W80" i="33"/>
  <c r="T80" i="33"/>
  <c r="Q80" i="33"/>
  <c r="N80" i="33"/>
  <c r="AE79" i="33"/>
  <c r="W79" i="33"/>
  <c r="T79" i="33"/>
  <c r="Q79" i="33"/>
  <c r="N79" i="33"/>
  <c r="AE78" i="33"/>
  <c r="W78" i="33"/>
  <c r="T78" i="33"/>
  <c r="Q78" i="33"/>
  <c r="N78" i="33"/>
  <c r="AE77" i="33"/>
  <c r="W77" i="33"/>
  <c r="T77" i="33"/>
  <c r="Q77" i="33"/>
  <c r="N77" i="33"/>
  <c r="AE76" i="33"/>
  <c r="W76" i="33"/>
  <c r="T76" i="33"/>
  <c r="Q76" i="33"/>
  <c r="N76" i="33"/>
  <c r="AE75" i="33"/>
  <c r="W75" i="33"/>
  <c r="T75" i="33"/>
  <c r="Q75" i="33"/>
  <c r="N75" i="33"/>
  <c r="AE74" i="33"/>
  <c r="W74" i="33"/>
  <c r="T74" i="33"/>
  <c r="Q74" i="33"/>
  <c r="N74" i="33"/>
  <c r="AE73" i="33"/>
  <c r="W73" i="33"/>
  <c r="T73" i="33"/>
  <c r="Q73" i="33"/>
  <c r="N73" i="33"/>
  <c r="AE72" i="33"/>
  <c r="W72" i="33"/>
  <c r="T72" i="33"/>
  <c r="Q72" i="33"/>
  <c r="N72" i="33"/>
  <c r="AE71" i="33"/>
  <c r="W71" i="33"/>
  <c r="T71" i="33"/>
  <c r="Q71" i="33"/>
  <c r="N71" i="33"/>
  <c r="AE70" i="33"/>
  <c r="W70" i="33"/>
  <c r="T70" i="33"/>
  <c r="Q70" i="33"/>
  <c r="N70" i="33"/>
  <c r="AE69" i="33"/>
  <c r="W69" i="33"/>
  <c r="T69" i="33"/>
  <c r="Q69" i="33"/>
  <c r="N69" i="33"/>
  <c r="AE67" i="33"/>
  <c r="W67" i="33"/>
  <c r="T67" i="33"/>
  <c r="Q67" i="33"/>
  <c r="N67" i="33"/>
  <c r="AE66" i="33"/>
  <c r="W66" i="33"/>
  <c r="T66" i="33"/>
  <c r="Q66" i="33"/>
  <c r="N66" i="33"/>
  <c r="AH65" i="33"/>
  <c r="AE65" i="33"/>
  <c r="W65" i="33"/>
  <c r="T65" i="33"/>
  <c r="Q65" i="33"/>
  <c r="N65" i="33"/>
  <c r="AH64" i="33"/>
  <c r="AE64" i="33"/>
  <c r="W64" i="33"/>
  <c r="T64" i="33"/>
  <c r="Q64" i="33"/>
  <c r="N64" i="33"/>
  <c r="AH63" i="33"/>
  <c r="AE63" i="33"/>
  <c r="W63" i="33"/>
  <c r="T63" i="33"/>
  <c r="Q63" i="33"/>
  <c r="N63" i="33"/>
  <c r="AH62" i="33"/>
  <c r="AE62" i="33"/>
  <c r="W62" i="33"/>
  <c r="T62" i="33"/>
  <c r="Q62" i="33"/>
  <c r="N62" i="33"/>
  <c r="AH61" i="33"/>
  <c r="AE61" i="33"/>
  <c r="W61" i="33"/>
  <c r="T61" i="33"/>
  <c r="Q61" i="33"/>
  <c r="N61" i="33"/>
  <c r="AH60" i="33"/>
  <c r="AE60" i="33"/>
  <c r="W60" i="33"/>
  <c r="T60" i="33"/>
  <c r="Q60" i="33"/>
  <c r="N60" i="33"/>
  <c r="AH59" i="33"/>
  <c r="AE59" i="33"/>
  <c r="W59" i="33"/>
  <c r="T59" i="33"/>
  <c r="Q59" i="33"/>
  <c r="N59" i="33"/>
  <c r="AH58" i="33"/>
  <c r="AE58" i="33"/>
  <c r="W58" i="33"/>
  <c r="T58" i="33"/>
  <c r="Q58" i="33"/>
  <c r="N58" i="33"/>
  <c r="AH57" i="33"/>
  <c r="AE57" i="33"/>
  <c r="W57" i="33"/>
  <c r="T57" i="33"/>
  <c r="Q57" i="33"/>
  <c r="N57" i="33"/>
  <c r="AH56" i="33"/>
  <c r="AE56" i="33"/>
  <c r="W56" i="33"/>
  <c r="T56" i="33"/>
  <c r="Q56" i="33"/>
  <c r="N56" i="33"/>
  <c r="AJ55" i="33"/>
  <c r="AE55" i="33"/>
  <c r="N55" i="33"/>
  <c r="AE53" i="33"/>
  <c r="W53" i="33"/>
  <c r="T53" i="33"/>
  <c r="Q53" i="33"/>
  <c r="N53" i="33"/>
  <c r="AE52" i="33"/>
  <c r="W52" i="33"/>
  <c r="T52" i="33"/>
  <c r="Q52" i="33"/>
  <c r="N52" i="33"/>
  <c r="AE50" i="33"/>
  <c r="W50" i="33"/>
  <c r="T50" i="33"/>
  <c r="Q50" i="33"/>
  <c r="N50" i="33"/>
  <c r="AE49" i="33"/>
  <c r="W49" i="33"/>
  <c r="T49" i="33"/>
  <c r="Q49" i="33"/>
  <c r="N49" i="33"/>
  <c r="AH45" i="33"/>
  <c r="AE45" i="33"/>
  <c r="W45" i="33"/>
  <c r="T45" i="33"/>
  <c r="Q45" i="33"/>
  <c r="N45" i="33"/>
  <c r="AH44" i="33"/>
  <c r="AE44" i="33"/>
  <c r="W44" i="33"/>
  <c r="T44" i="33"/>
  <c r="Q44" i="33"/>
  <c r="N44" i="33"/>
  <c r="AH43" i="33"/>
  <c r="AE43" i="33"/>
  <c r="W43" i="33"/>
  <c r="T43" i="33"/>
  <c r="Q43" i="33"/>
  <c r="N43" i="33"/>
  <c r="AH42" i="33"/>
  <c r="AE42" i="33"/>
  <c r="W42" i="33"/>
  <c r="T42" i="33"/>
  <c r="Q42" i="33"/>
  <c r="N42" i="33"/>
  <c r="AH41" i="33"/>
  <c r="AE41" i="33"/>
  <c r="W41" i="33"/>
  <c r="T41" i="33"/>
  <c r="Q41" i="33"/>
  <c r="N41" i="33"/>
  <c r="AH40" i="33"/>
  <c r="AE40" i="33"/>
  <c r="W40" i="33"/>
  <c r="T40" i="33"/>
  <c r="Q40" i="33"/>
  <c r="N40" i="33"/>
  <c r="AH39" i="33"/>
  <c r="AE39" i="33"/>
  <c r="W39" i="33"/>
  <c r="T39" i="33"/>
  <c r="Q39" i="33"/>
  <c r="N39" i="33"/>
  <c r="AH38" i="33"/>
  <c r="AE38" i="33"/>
  <c r="W38" i="33"/>
  <c r="T38" i="33"/>
  <c r="Q38" i="33"/>
  <c r="N38" i="33"/>
  <c r="AH37" i="33"/>
  <c r="AE37" i="33"/>
  <c r="W37" i="33"/>
  <c r="T37" i="33"/>
  <c r="Q37" i="33"/>
  <c r="N37" i="33"/>
  <c r="AH36" i="33"/>
  <c r="AE36" i="33"/>
  <c r="W36" i="33"/>
  <c r="T36" i="33"/>
  <c r="Q36" i="33"/>
  <c r="N36" i="33"/>
  <c r="AH35" i="33"/>
  <c r="AE35" i="33"/>
  <c r="W35" i="33"/>
  <c r="T35" i="33"/>
  <c r="Q35" i="33"/>
  <c r="N35" i="33"/>
  <c r="AH34" i="33"/>
  <c r="AE34" i="33"/>
  <c r="W34" i="33"/>
  <c r="T34" i="33"/>
  <c r="Q34" i="33"/>
  <c r="N34" i="33"/>
  <c r="AH33" i="33"/>
  <c r="AE33" i="33"/>
  <c r="W33" i="33"/>
  <c r="T33" i="33"/>
  <c r="Q33" i="33"/>
  <c r="N33" i="33"/>
  <c r="AH32" i="33"/>
  <c r="AE32" i="33"/>
  <c r="W32" i="33"/>
  <c r="T32" i="33"/>
  <c r="Q32" i="33"/>
  <c r="N32" i="33"/>
  <c r="AH31" i="33"/>
  <c r="AE31" i="33"/>
  <c r="W31" i="33"/>
  <c r="T31" i="33"/>
  <c r="Q31" i="33"/>
  <c r="N31" i="33"/>
  <c r="AH30" i="33"/>
  <c r="AE30" i="33"/>
  <c r="W30" i="33"/>
  <c r="T30" i="33"/>
  <c r="Q30" i="33"/>
  <c r="N30" i="33"/>
  <c r="AH29" i="33"/>
  <c r="AE29" i="33"/>
  <c r="W29" i="33"/>
  <c r="T29" i="33"/>
  <c r="Q29" i="33"/>
  <c r="N29" i="33"/>
  <c r="AH28" i="33"/>
  <c r="AE28" i="33"/>
  <c r="W28" i="33"/>
  <c r="T28" i="33"/>
  <c r="Q28" i="33"/>
  <c r="N28" i="33"/>
  <c r="AH27" i="33"/>
  <c r="AE27" i="33"/>
  <c r="W27" i="33"/>
  <c r="T27" i="33"/>
  <c r="Q27" i="33"/>
  <c r="N27" i="33"/>
  <c r="AH26" i="33"/>
  <c r="AE26" i="33"/>
  <c r="W26" i="33"/>
  <c r="T26" i="33"/>
  <c r="Q26" i="33"/>
  <c r="N26" i="33"/>
  <c r="AH25" i="33"/>
  <c r="AE25" i="33"/>
  <c r="W25" i="33"/>
  <c r="T25" i="33"/>
  <c r="Q25" i="33"/>
  <c r="N25" i="33"/>
  <c r="AH24" i="33"/>
  <c r="AE24" i="33"/>
  <c r="W24" i="33"/>
  <c r="T24" i="33"/>
  <c r="Q24" i="33"/>
  <c r="N24" i="33"/>
  <c r="AH23" i="33"/>
  <c r="AE23" i="33"/>
  <c r="W23" i="33"/>
  <c r="T23" i="33"/>
  <c r="Q23" i="33"/>
  <c r="N23" i="33"/>
  <c r="AH22" i="33"/>
  <c r="AE22" i="33"/>
  <c r="W22" i="33"/>
  <c r="T22" i="33"/>
  <c r="Q22" i="33"/>
  <c r="N22" i="33"/>
  <c r="AH21" i="33"/>
  <c r="AE21" i="33"/>
  <c r="W21" i="33"/>
  <c r="T21" i="33"/>
  <c r="Q21" i="33"/>
  <c r="N21" i="33"/>
  <c r="AH20" i="33"/>
  <c r="AE20" i="33"/>
  <c r="W20" i="33"/>
  <c r="T20" i="33"/>
  <c r="Q20" i="33"/>
  <c r="N20" i="33"/>
  <c r="AH19" i="33"/>
  <c r="AE19" i="33"/>
  <c r="W19" i="33"/>
  <c r="T19" i="33"/>
  <c r="Q19" i="33"/>
  <c r="N19" i="33"/>
  <c r="AH18" i="33"/>
  <c r="AE18" i="33"/>
  <c r="W18" i="33"/>
  <c r="T18" i="33"/>
  <c r="Q18" i="33"/>
  <c r="N18" i="33"/>
  <c r="AH17" i="33"/>
  <c r="AE17" i="33"/>
  <c r="W17" i="33"/>
  <c r="T17" i="33"/>
  <c r="Q17" i="33"/>
  <c r="N17" i="33"/>
  <c r="AH16" i="33"/>
  <c r="AE16" i="33"/>
  <c r="W16" i="33"/>
  <c r="T16" i="33"/>
  <c r="Q16" i="33"/>
  <c r="N16" i="33"/>
  <c r="AH15" i="33"/>
  <c r="AI15" i="33" s="1"/>
  <c r="AE15" i="33"/>
  <c r="AF15" i="33" s="1"/>
  <c r="W15" i="33"/>
  <c r="T15" i="33"/>
  <c r="U15" i="33" s="1"/>
  <c r="Q15" i="33"/>
  <c r="N15" i="33"/>
  <c r="AH14" i="33"/>
  <c r="AE14" i="33"/>
  <c r="W14" i="33"/>
  <c r="T14" i="33"/>
  <c r="Q14" i="33"/>
  <c r="N14" i="33"/>
  <c r="AH13" i="33"/>
  <c r="AE13" i="33"/>
  <c r="W13" i="33"/>
  <c r="T13" i="33"/>
  <c r="Q13" i="33"/>
  <c r="N13" i="33"/>
  <c r="AH12" i="33"/>
  <c r="AE12" i="33"/>
  <c r="W12" i="33"/>
  <c r="T12" i="33"/>
  <c r="Q12" i="33"/>
  <c r="N12" i="33"/>
  <c r="AH11" i="33"/>
  <c r="AE11" i="33"/>
  <c r="W11" i="33"/>
  <c r="T11" i="33"/>
  <c r="Q11" i="33"/>
  <c r="N11" i="33"/>
  <c r="Z510" i="33" l="1"/>
  <c r="Z518" i="33"/>
  <c r="U38" i="27"/>
  <c r="X357" i="33"/>
  <c r="AH54" i="33"/>
  <c r="U10" i="27"/>
  <c r="Q246" i="33"/>
  <c r="N246" i="33"/>
  <c r="AE246" i="33"/>
  <c r="W246" i="33"/>
  <c r="T246" i="33"/>
  <c r="AH246" i="33"/>
  <c r="N54" i="33"/>
  <c r="Q54" i="33"/>
  <c r="Z66" i="33"/>
  <c r="Z67" i="33"/>
  <c r="AJ67" i="33" s="1"/>
  <c r="AE54" i="33"/>
  <c r="T54" i="33"/>
  <c r="Z495" i="33"/>
  <c r="Z497" i="33"/>
  <c r="Z296" i="33"/>
  <c r="AJ296" i="33" s="1"/>
  <c r="Z301" i="33"/>
  <c r="AJ301" i="33" s="1"/>
  <c r="Z287" i="33"/>
  <c r="Z295" i="33"/>
  <c r="AJ295" i="33" s="1"/>
  <c r="AF22" i="33"/>
  <c r="AF26" i="33"/>
  <c r="AF32" i="33"/>
  <c r="AF42" i="33"/>
  <c r="Z230" i="33"/>
  <c r="AJ230" i="33" s="1"/>
  <c r="AI42" i="33"/>
  <c r="Z361" i="33"/>
  <c r="Z369" i="33"/>
  <c r="AJ369" i="33" s="1"/>
  <c r="Z381" i="33"/>
  <c r="AJ381" i="33" s="1"/>
  <c r="X393" i="33"/>
  <c r="Z417" i="33"/>
  <c r="Z419" i="33"/>
  <c r="AJ419" i="33" s="1"/>
  <c r="Z421" i="33"/>
  <c r="AJ421" i="33" s="1"/>
  <c r="X423" i="33"/>
  <c r="Z425" i="33"/>
  <c r="Z445" i="33"/>
  <c r="AJ445" i="33" s="1"/>
  <c r="Z449" i="33"/>
  <c r="AJ449" i="33" s="1"/>
  <c r="Z451" i="33"/>
  <c r="AJ451" i="33" s="1"/>
  <c r="Z455" i="33"/>
  <c r="Z461" i="33"/>
  <c r="AJ461" i="33" s="1"/>
  <c r="Z477" i="33"/>
  <c r="AJ477" i="33" s="1"/>
  <c r="Z485" i="33"/>
  <c r="AJ485" i="33" s="1"/>
  <c r="Z491" i="33"/>
  <c r="Z494" i="33"/>
  <c r="AJ494" i="33" s="1"/>
  <c r="Z502" i="33"/>
  <c r="AJ502" i="33" s="1"/>
  <c r="Z517" i="33"/>
  <c r="Z539" i="33"/>
  <c r="Z541" i="33"/>
  <c r="AJ541" i="33" s="1"/>
  <c r="AF357" i="33"/>
  <c r="AF393" i="33"/>
  <c r="AF403" i="33"/>
  <c r="AF423" i="33"/>
  <c r="AF439" i="33"/>
  <c r="AF97" i="33"/>
  <c r="AF117" i="33"/>
  <c r="AF147" i="33"/>
  <c r="AF159" i="33"/>
  <c r="AF188" i="33"/>
  <c r="Z310" i="33"/>
  <c r="AF370" i="33"/>
  <c r="AF388" i="33"/>
  <c r="AF434" i="33"/>
  <c r="AF462" i="33"/>
  <c r="AF492" i="33"/>
  <c r="AF497" i="33"/>
  <c r="AJ518" i="33"/>
  <c r="AF534" i="33"/>
  <c r="AF140" i="33"/>
  <c r="AF198" i="33"/>
  <c r="Z256" i="33"/>
  <c r="AJ256" i="33" s="1"/>
  <c r="Z260" i="33"/>
  <c r="AJ260" i="33" s="1"/>
  <c r="Z272" i="33"/>
  <c r="AJ272" i="33" s="1"/>
  <c r="Z274" i="33"/>
  <c r="AJ274" i="33" s="1"/>
  <c r="Z297" i="33"/>
  <c r="AJ297" i="33" s="1"/>
  <c r="Z324" i="33"/>
  <c r="AJ324" i="33" s="1"/>
  <c r="Z326" i="33"/>
  <c r="AJ326" i="33" s="1"/>
  <c r="Z11" i="33"/>
  <c r="AF45" i="33"/>
  <c r="AF130" i="33"/>
  <c r="AF174" i="33"/>
  <c r="AF11" i="33"/>
  <c r="AF17" i="33"/>
  <c r="U42" i="33"/>
  <c r="X26" i="33"/>
  <c r="X42" i="33"/>
  <c r="AF56" i="33"/>
  <c r="AF66" i="33"/>
  <c r="AF82" i="33"/>
  <c r="AF154" i="33"/>
  <c r="Z235" i="33"/>
  <c r="AJ235" i="33" s="1"/>
  <c r="AF248" i="33"/>
  <c r="AF270" i="33"/>
  <c r="Z273" i="33"/>
  <c r="AJ273" i="33" s="1"/>
  <c r="AF280" i="33"/>
  <c r="AF306" i="33"/>
  <c r="AF328" i="33"/>
  <c r="Z384" i="33"/>
  <c r="AJ384" i="33" s="1"/>
  <c r="Z392" i="33"/>
  <c r="Z416" i="33"/>
  <c r="AJ416" i="33" s="1"/>
  <c r="Z464" i="33"/>
  <c r="AJ464" i="33" s="1"/>
  <c r="Z476" i="33"/>
  <c r="AJ476" i="33" s="1"/>
  <c r="Z478" i="33"/>
  <c r="Z538" i="33"/>
  <c r="AJ247" i="33"/>
  <c r="Z504" i="33"/>
  <c r="AJ504" i="33" s="1"/>
  <c r="AI56" i="33"/>
  <c r="Z232" i="33"/>
  <c r="Z275" i="33"/>
  <c r="AJ275" i="33" s="1"/>
  <c r="Z299" i="33"/>
  <c r="AJ299" i="33" s="1"/>
  <c r="Z300" i="33"/>
  <c r="Z307" i="33"/>
  <c r="AJ307" i="33" s="1"/>
  <c r="AJ334" i="33"/>
  <c r="AJ352" i="33"/>
  <c r="U492" i="33"/>
  <c r="Z259" i="33"/>
  <c r="AJ259" i="33" s="1"/>
  <c r="Z263" i="33"/>
  <c r="AJ263" i="33" s="1"/>
  <c r="Z266" i="33"/>
  <c r="AJ266" i="33" s="1"/>
  <c r="Z312" i="33"/>
  <c r="AJ353" i="33"/>
  <c r="AJ355" i="33"/>
  <c r="Z364" i="33"/>
  <c r="AJ364" i="33" s="1"/>
  <c r="Z368" i="33"/>
  <c r="Z372" i="33"/>
  <c r="Z373" i="33"/>
  <c r="AJ373" i="33" s="1"/>
  <c r="Z375" i="33"/>
  <c r="Z387" i="33"/>
  <c r="AJ387" i="33" s="1"/>
  <c r="AI439" i="33"/>
  <c r="AJ425" i="33"/>
  <c r="AJ507" i="33"/>
  <c r="AI534" i="33"/>
  <c r="Z509" i="33"/>
  <c r="AJ509" i="33" s="1"/>
  <c r="Z362" i="33"/>
  <c r="AJ362" i="33" s="1"/>
  <c r="Z424" i="33"/>
  <c r="AJ424" i="33" s="1"/>
  <c r="Z436" i="33"/>
  <c r="AJ436" i="33" s="1"/>
  <c r="X328" i="33"/>
  <c r="Z322" i="33"/>
  <c r="AJ322" i="33" s="1"/>
  <c r="AJ351" i="33"/>
  <c r="Z357" i="33"/>
  <c r="AJ357" i="33" s="1"/>
  <c r="Z426" i="33"/>
  <c r="AJ426" i="33" s="1"/>
  <c r="U434" i="33"/>
  <c r="Z522" i="33"/>
  <c r="Z528" i="33"/>
  <c r="AJ528" i="33" s="1"/>
  <c r="Z532" i="33"/>
  <c r="AJ532" i="33" s="1"/>
  <c r="X270" i="33"/>
  <c r="U280" i="33"/>
  <c r="Z186" i="33"/>
  <c r="AJ186" i="33" s="1"/>
  <c r="Z262" i="33"/>
  <c r="AJ262" i="33" s="1"/>
  <c r="AJ300" i="33"/>
  <c r="AJ310" i="33"/>
  <c r="Z327" i="33"/>
  <c r="AJ327" i="33" s="1"/>
  <c r="AJ354" i="33"/>
  <c r="AJ368" i="33"/>
  <c r="Z395" i="33"/>
  <c r="Z396" i="33"/>
  <c r="AJ396" i="33" s="1"/>
  <c r="Z496" i="33"/>
  <c r="AJ496" i="33" s="1"/>
  <c r="Z516" i="33"/>
  <c r="AJ516" i="33" s="1"/>
  <c r="Z257" i="33"/>
  <c r="AJ257" i="33" s="1"/>
  <c r="Z269" i="33"/>
  <c r="AJ338" i="33"/>
  <c r="Z356" i="33"/>
  <c r="AJ356" i="33" s="1"/>
  <c r="Z376" i="33"/>
  <c r="AJ376" i="33" s="1"/>
  <c r="Z380" i="33"/>
  <c r="AJ380" i="33" s="1"/>
  <c r="X434" i="33"/>
  <c r="Z440" i="33"/>
  <c r="AJ440" i="33" s="1"/>
  <c r="Z450" i="33"/>
  <c r="AJ450" i="33" s="1"/>
  <c r="Z452" i="33"/>
  <c r="AJ452" i="33" s="1"/>
  <c r="Z454" i="33"/>
  <c r="AJ454" i="33" s="1"/>
  <c r="Z456" i="33"/>
  <c r="AJ456" i="33" s="1"/>
  <c r="Z465" i="33"/>
  <c r="AJ465" i="33" s="1"/>
  <c r="Z469" i="33"/>
  <c r="AJ469" i="33" s="1"/>
  <c r="Z480" i="33"/>
  <c r="AJ480" i="33" s="1"/>
  <c r="Z484" i="33"/>
  <c r="AJ484" i="33" s="1"/>
  <c r="Z486" i="33"/>
  <c r="AJ486" i="33" s="1"/>
  <c r="Z487" i="33"/>
  <c r="AJ487" i="33" s="1"/>
  <c r="Z488" i="33"/>
  <c r="AJ488" i="33" s="1"/>
  <c r="Z490" i="33"/>
  <c r="AJ490" i="33" s="1"/>
  <c r="Z492" i="33"/>
  <c r="AJ492" i="33" s="1"/>
  <c r="AJ495" i="33"/>
  <c r="AJ517" i="33"/>
  <c r="Z258" i="33"/>
  <c r="AJ258" i="33" s="1"/>
  <c r="Z261" i="33"/>
  <c r="AJ261" i="33" s="1"/>
  <c r="Z285" i="33"/>
  <c r="AJ285" i="33" s="1"/>
  <c r="Z294" i="33"/>
  <c r="AJ294" i="33" s="1"/>
  <c r="Z303" i="33"/>
  <c r="AJ303" i="33" s="1"/>
  <c r="Z325" i="33"/>
  <c r="AJ325" i="33" s="1"/>
  <c r="Z328" i="33"/>
  <c r="AJ328" i="33" s="1"/>
  <c r="AJ350" i="33"/>
  <c r="Z386" i="33"/>
  <c r="AJ386" i="33" s="1"/>
  <c r="AI388" i="33"/>
  <c r="Z398" i="33"/>
  <c r="AJ398" i="33" s="1"/>
  <c r="Z399" i="33"/>
  <c r="AJ399" i="33" s="1"/>
  <c r="Z400" i="33"/>
  <c r="AJ400" i="33" s="1"/>
  <c r="AI403" i="33"/>
  <c r="Z408" i="33"/>
  <c r="AJ408" i="33" s="1"/>
  <c r="Z409" i="33"/>
  <c r="AJ409" i="33" s="1"/>
  <c r="Z413" i="33"/>
  <c r="AJ413" i="33" s="1"/>
  <c r="Z418" i="33"/>
  <c r="AJ418" i="33" s="1"/>
  <c r="Z422" i="33"/>
  <c r="AJ422" i="33" s="1"/>
  <c r="Z427" i="33"/>
  <c r="AJ427" i="33" s="1"/>
  <c r="Z435" i="33"/>
  <c r="AJ435" i="33" s="1"/>
  <c r="U462" i="33"/>
  <c r="X492" i="33"/>
  <c r="Z503" i="33"/>
  <c r="AJ503" i="33" s="1"/>
  <c r="Z505" i="33"/>
  <c r="AJ505" i="33" s="1"/>
  <c r="Z508" i="33"/>
  <c r="AJ508" i="33" s="1"/>
  <c r="Z515" i="33"/>
  <c r="AJ515" i="33" s="1"/>
  <c r="Z521" i="33"/>
  <c r="AJ521" i="33" s="1"/>
  <c r="Z523" i="33"/>
  <c r="AJ523" i="33" s="1"/>
  <c r="Z533" i="33"/>
  <c r="AJ533" i="33" s="1"/>
  <c r="AI280" i="33"/>
  <c r="AJ287" i="33"/>
  <c r="AJ312" i="33"/>
  <c r="AJ361" i="33"/>
  <c r="AJ372" i="33"/>
  <c r="AJ392" i="33"/>
  <c r="AI393" i="33"/>
  <c r="AJ455" i="33"/>
  <c r="AJ478" i="33"/>
  <c r="AJ491" i="33"/>
  <c r="AI497" i="33"/>
  <c r="AJ538" i="33"/>
  <c r="AJ539" i="33"/>
  <c r="AI462" i="33"/>
  <c r="AI248" i="33"/>
  <c r="AI270" i="33"/>
  <c r="AJ395" i="33"/>
  <c r="AJ269" i="33"/>
  <c r="AI328" i="33"/>
  <c r="AJ339" i="33"/>
  <c r="AJ341" i="33"/>
  <c r="AJ375" i="33"/>
  <c r="AJ417" i="33"/>
  <c r="AJ510" i="33"/>
  <c r="AJ520" i="33"/>
  <c r="AJ522" i="33"/>
  <c r="Z267" i="33"/>
  <c r="AJ267" i="33" s="1"/>
  <c r="Z276" i="33"/>
  <c r="AJ276" i="33" s="1"/>
  <c r="Z278" i="33"/>
  <c r="AJ278" i="33" s="1"/>
  <c r="Z282" i="33"/>
  <c r="AJ282" i="33" s="1"/>
  <c r="Z284" i="33"/>
  <c r="AJ284" i="33" s="1"/>
  <c r="Z293" i="33"/>
  <c r="AJ293" i="33" s="1"/>
  <c r="Z359" i="33"/>
  <c r="AJ359" i="33" s="1"/>
  <c r="Z360" i="33"/>
  <c r="AJ360" i="33" s="1"/>
  <c r="Z371" i="33"/>
  <c r="AJ371" i="33" s="1"/>
  <c r="Z382" i="33"/>
  <c r="AJ382" i="33" s="1"/>
  <c r="Z390" i="33"/>
  <c r="AJ390" i="33" s="1"/>
  <c r="Z423" i="33"/>
  <c r="AJ423" i="33" s="1"/>
  <c r="Z429" i="33"/>
  <c r="AJ429" i="33" s="1"/>
  <c r="Z431" i="33"/>
  <c r="AJ431" i="33" s="1"/>
  <c r="Z432" i="33"/>
  <c r="AA432" i="33" s="1"/>
  <c r="Z438" i="33"/>
  <c r="AJ438" i="33" s="1"/>
  <c r="Z512" i="33"/>
  <c r="AJ512" i="33" s="1"/>
  <c r="Z514" i="33"/>
  <c r="AJ514" i="33" s="1"/>
  <c r="Z519" i="33"/>
  <c r="AJ519" i="33" s="1"/>
  <c r="Z277" i="33"/>
  <c r="AJ277" i="33" s="1"/>
  <c r="Z279" i="33"/>
  <c r="AJ279" i="33" s="1"/>
  <c r="Z281" i="33"/>
  <c r="AJ281" i="33" s="1"/>
  <c r="Z288" i="33"/>
  <c r="AJ288" i="33" s="1"/>
  <c r="Z314" i="33"/>
  <c r="AJ314" i="33" s="1"/>
  <c r="Z316" i="33"/>
  <c r="AJ316" i="33" s="1"/>
  <c r="Z318" i="33"/>
  <c r="AJ318" i="33" s="1"/>
  <c r="Z319" i="33"/>
  <c r="AJ319" i="33" s="1"/>
  <c r="Z320" i="33"/>
  <c r="AJ320" i="33" s="1"/>
  <c r="Z321" i="33"/>
  <c r="AJ321" i="33" s="1"/>
  <c r="AJ335" i="33"/>
  <c r="Z363" i="33"/>
  <c r="AJ363" i="33" s="1"/>
  <c r="Z367" i="33"/>
  <c r="AJ367" i="33" s="1"/>
  <c r="Z377" i="33"/>
  <c r="AJ377" i="33" s="1"/>
  <c r="Z379" i="33"/>
  <c r="AJ379" i="33" s="1"/>
  <c r="Z383" i="33"/>
  <c r="AJ383" i="33" s="1"/>
  <c r="Z389" i="33"/>
  <c r="AJ389" i="33" s="1"/>
  <c r="Z393" i="33"/>
  <c r="AJ393" i="33" s="1"/>
  <c r="Z428" i="33"/>
  <c r="Z430" i="33"/>
  <c r="AJ430" i="33" s="1"/>
  <c r="Z437" i="33"/>
  <c r="AJ437" i="33" s="1"/>
  <c r="X497" i="33"/>
  <c r="Z511" i="33"/>
  <c r="AJ511" i="33" s="1"/>
  <c r="Z513" i="33"/>
  <c r="AJ513" i="33" s="1"/>
  <c r="U268" i="33"/>
  <c r="Z268" i="33"/>
  <c r="AA268" i="33" s="1"/>
  <c r="U248" i="33"/>
  <c r="Z388" i="33"/>
  <c r="AJ388" i="33" s="1"/>
  <c r="U388" i="33"/>
  <c r="U306" i="33"/>
  <c r="Z434" i="33"/>
  <c r="AJ434" i="33" s="1"/>
  <c r="U439" i="33"/>
  <c r="Z248" i="33"/>
  <c r="AJ248" i="33" s="1"/>
  <c r="Z250" i="33"/>
  <c r="AJ250" i="33" s="1"/>
  <c r="Z252" i="33"/>
  <c r="AJ252" i="33" s="1"/>
  <c r="Z254" i="33"/>
  <c r="AJ254" i="33" s="1"/>
  <c r="Z264" i="33"/>
  <c r="AJ264" i="33" s="1"/>
  <c r="Z271" i="33"/>
  <c r="AJ271" i="33" s="1"/>
  <c r="Z291" i="33"/>
  <c r="AJ291" i="33" s="1"/>
  <c r="Z309" i="33"/>
  <c r="AJ309" i="33" s="1"/>
  <c r="Z317" i="33"/>
  <c r="AJ317" i="33" s="1"/>
  <c r="Z323" i="33"/>
  <c r="AJ323" i="33" s="1"/>
  <c r="AJ342" i="33"/>
  <c r="AJ344" i="33"/>
  <c r="AJ346" i="33"/>
  <c r="AJ347" i="33"/>
  <c r="Z365" i="33"/>
  <c r="AJ365" i="33" s="1"/>
  <c r="Z401" i="33"/>
  <c r="AJ401" i="33" s="1"/>
  <c r="Z404" i="33"/>
  <c r="AJ404" i="33" s="1"/>
  <c r="Z405" i="33"/>
  <c r="AJ405" i="33" s="1"/>
  <c r="Z406" i="33"/>
  <c r="AJ406" i="33" s="1"/>
  <c r="Z407" i="33"/>
  <c r="AJ407" i="33" s="1"/>
  <c r="Z410" i="33"/>
  <c r="AJ410" i="33" s="1"/>
  <c r="Z411" i="33"/>
  <c r="AJ411" i="33" s="1"/>
  <c r="Z412" i="33"/>
  <c r="AJ412" i="33" s="1"/>
  <c r="Z415" i="33"/>
  <c r="AJ415" i="33" s="1"/>
  <c r="Z420" i="33"/>
  <c r="AJ420" i="33" s="1"/>
  <c r="Z442" i="33"/>
  <c r="AJ442" i="33" s="1"/>
  <c r="Z444" i="33"/>
  <c r="AJ444" i="33" s="1"/>
  <c r="Z447" i="33"/>
  <c r="AJ447" i="33" s="1"/>
  <c r="Z457" i="33"/>
  <c r="AJ457" i="33" s="1"/>
  <c r="Z459" i="33"/>
  <c r="AJ459" i="33" s="1"/>
  <c r="Z466" i="33"/>
  <c r="AJ466" i="33" s="1"/>
  <c r="Z467" i="33"/>
  <c r="AJ467" i="33" s="1"/>
  <c r="Z470" i="33"/>
  <c r="AJ470" i="33" s="1"/>
  <c r="Z471" i="33"/>
  <c r="AJ471" i="33" s="1"/>
  <c r="Z479" i="33"/>
  <c r="AJ479" i="33" s="1"/>
  <c r="Z499" i="33"/>
  <c r="AJ499" i="33" s="1"/>
  <c r="Z501" i="33"/>
  <c r="AJ501" i="33" s="1"/>
  <c r="Z506" i="33"/>
  <c r="AJ506" i="33" s="1"/>
  <c r="Z525" i="33"/>
  <c r="AJ525" i="33" s="1"/>
  <c r="Z527" i="33"/>
  <c r="AJ527" i="33" s="1"/>
  <c r="Z530" i="33"/>
  <c r="AJ530" i="33" s="1"/>
  <c r="Z249" i="33"/>
  <c r="AJ249" i="33" s="1"/>
  <c r="Z251" i="33"/>
  <c r="AJ251" i="33" s="1"/>
  <c r="Z253" i="33"/>
  <c r="AJ253" i="33" s="1"/>
  <c r="Z255" i="33"/>
  <c r="AJ255" i="33" s="1"/>
  <c r="Z265" i="33"/>
  <c r="AJ265" i="33" s="1"/>
  <c r="U270" i="33"/>
  <c r="Z290" i="33"/>
  <c r="AJ290" i="33" s="1"/>
  <c r="Z304" i="33"/>
  <c r="AJ304" i="33" s="1"/>
  <c r="Z313" i="33"/>
  <c r="AJ313" i="33" s="1"/>
  <c r="AJ333" i="33"/>
  <c r="AJ337" i="33"/>
  <c r="AJ345" i="33"/>
  <c r="Z366" i="33"/>
  <c r="AJ366" i="33" s="1"/>
  <c r="Z385" i="33"/>
  <c r="AJ385" i="33" s="1"/>
  <c r="Z402" i="33"/>
  <c r="AJ402" i="33" s="1"/>
  <c r="U403" i="33"/>
  <c r="Z414" i="33"/>
  <c r="AJ414" i="33" s="1"/>
  <c r="Z433" i="33"/>
  <c r="AJ433" i="33" s="1"/>
  <c r="Z441" i="33"/>
  <c r="AJ441" i="33" s="1"/>
  <c r="Z443" i="33"/>
  <c r="AJ443" i="33" s="1"/>
  <c r="Z446" i="33"/>
  <c r="AJ446" i="33" s="1"/>
  <c r="Z448" i="33"/>
  <c r="AJ448" i="33" s="1"/>
  <c r="Z453" i="33"/>
  <c r="AJ453" i="33" s="1"/>
  <c r="Z458" i="33"/>
  <c r="AJ458" i="33" s="1"/>
  <c r="Z460" i="33"/>
  <c r="AJ460" i="33" s="1"/>
  <c r="Z463" i="33"/>
  <c r="AJ463" i="33" s="1"/>
  <c r="Z472" i="33"/>
  <c r="AJ472" i="33" s="1"/>
  <c r="Z473" i="33"/>
  <c r="AJ473" i="33" s="1"/>
  <c r="Z474" i="33"/>
  <c r="AJ474" i="33" s="1"/>
  <c r="Z475" i="33"/>
  <c r="AJ475" i="33" s="1"/>
  <c r="Z481" i="33"/>
  <c r="AJ481" i="33" s="1"/>
  <c r="Z482" i="33"/>
  <c r="AJ482" i="33" s="1"/>
  <c r="Z483" i="33"/>
  <c r="AJ483" i="33" s="1"/>
  <c r="Z489" i="33"/>
  <c r="AJ489" i="33" s="1"/>
  <c r="Z498" i="33"/>
  <c r="AJ498" i="33" s="1"/>
  <c r="Z500" i="33"/>
  <c r="AJ500" i="33" s="1"/>
  <c r="Z524" i="33"/>
  <c r="AJ524" i="33" s="1"/>
  <c r="Z526" i="33"/>
  <c r="AJ526" i="33" s="1"/>
  <c r="Z529" i="33"/>
  <c r="AJ529" i="33" s="1"/>
  <c r="Z531" i="33"/>
  <c r="AJ531" i="33" s="1"/>
  <c r="Z535" i="33"/>
  <c r="AJ535" i="33" s="1"/>
  <c r="Z536" i="33"/>
  <c r="AJ536" i="33" s="1"/>
  <c r="Z537" i="33"/>
  <c r="AJ537" i="33" s="1"/>
  <c r="Z540" i="33"/>
  <c r="AJ540" i="33" s="1"/>
  <c r="Z214" i="33"/>
  <c r="AJ214" i="33" s="1"/>
  <c r="Z220" i="33"/>
  <c r="AJ220" i="33" s="1"/>
  <c r="Z241" i="33"/>
  <c r="AJ241" i="33" s="1"/>
  <c r="Z169" i="33"/>
  <c r="AJ169" i="33" s="1"/>
  <c r="Z171" i="33"/>
  <c r="AJ171" i="33" s="1"/>
  <c r="U198" i="33"/>
  <c r="AJ232" i="33"/>
  <c r="X198" i="33"/>
  <c r="Z82" i="33"/>
  <c r="AJ82" i="33" s="1"/>
  <c r="Z180" i="33"/>
  <c r="AJ180" i="33" s="1"/>
  <c r="Z189" i="33"/>
  <c r="AJ189" i="33" s="1"/>
  <c r="Z204" i="33"/>
  <c r="AJ204" i="33" s="1"/>
  <c r="AI198" i="33"/>
  <c r="Z201" i="33"/>
  <c r="AJ201" i="33" s="1"/>
  <c r="Z202" i="33"/>
  <c r="AJ202" i="33" s="1"/>
  <c r="Z203" i="33"/>
  <c r="AJ203" i="33" s="1"/>
  <c r="Z206" i="33"/>
  <c r="AJ206" i="33" s="1"/>
  <c r="Z207" i="33"/>
  <c r="AJ207" i="33" s="1"/>
  <c r="Z209" i="33"/>
  <c r="AJ209" i="33" s="1"/>
  <c r="Z212" i="33"/>
  <c r="AJ212" i="33" s="1"/>
  <c r="Z218" i="33"/>
  <c r="AJ218" i="33" s="1"/>
  <c r="Z219" i="33"/>
  <c r="AJ219" i="33" s="1"/>
  <c r="Z223" i="33"/>
  <c r="AJ223" i="33" s="1"/>
  <c r="Z224" i="33"/>
  <c r="AJ224" i="33" s="1"/>
  <c r="Z240" i="33"/>
  <c r="AJ240" i="33" s="1"/>
  <c r="Z243" i="33"/>
  <c r="AJ243" i="33" s="1"/>
  <c r="Z244" i="33"/>
  <c r="AJ244" i="33" s="1"/>
  <c r="Z162" i="33"/>
  <c r="AJ162" i="33" s="1"/>
  <c r="Z151" i="33"/>
  <c r="AJ151" i="33" s="1"/>
  <c r="Z154" i="33"/>
  <c r="AJ154" i="33" s="1"/>
  <c r="Z156" i="33"/>
  <c r="AJ156" i="33" s="1"/>
  <c r="Z16" i="33"/>
  <c r="AJ16" i="33" s="1"/>
  <c r="Z24" i="33"/>
  <c r="AJ24" i="33" s="1"/>
  <c r="Z31" i="33"/>
  <c r="AJ31" i="33" s="1"/>
  <c r="Z133" i="33"/>
  <c r="AJ133" i="33" s="1"/>
  <c r="Z136" i="33"/>
  <c r="AJ136" i="33" s="1"/>
  <c r="U11" i="33"/>
  <c r="U17" i="33"/>
  <c r="Z76" i="33"/>
  <c r="AJ76" i="33" s="1"/>
  <c r="Z79" i="33"/>
  <c r="AJ79" i="33" s="1"/>
  <c r="Z92" i="33"/>
  <c r="AJ92" i="33" s="1"/>
  <c r="Z118" i="33"/>
  <c r="AJ118" i="33" s="1"/>
  <c r="Z122" i="33"/>
  <c r="AJ122" i="33" s="1"/>
  <c r="Z127" i="33"/>
  <c r="AJ127" i="33" s="1"/>
  <c r="Z161" i="33"/>
  <c r="AJ161" i="33" s="1"/>
  <c r="Z22" i="33"/>
  <c r="AJ22" i="33" s="1"/>
  <c r="Z114" i="33"/>
  <c r="AJ114" i="33" s="1"/>
  <c r="Z131" i="33"/>
  <c r="AJ131" i="33" s="1"/>
  <c r="Z137" i="33"/>
  <c r="AJ137" i="33" s="1"/>
  <c r="Z172" i="33"/>
  <c r="AJ172" i="33" s="1"/>
  <c r="Z110" i="33"/>
  <c r="AJ110" i="33" s="1"/>
  <c r="Z112" i="33"/>
  <c r="AJ112" i="33" s="1"/>
  <c r="Z28" i="33"/>
  <c r="AJ28" i="33" s="1"/>
  <c r="Z100" i="33"/>
  <c r="AJ100" i="33" s="1"/>
  <c r="Z115" i="33"/>
  <c r="AJ115" i="33" s="1"/>
  <c r="Z155" i="33"/>
  <c r="AJ155" i="33" s="1"/>
  <c r="U32" i="33"/>
  <c r="Z74" i="33"/>
  <c r="AJ74" i="33" s="1"/>
  <c r="Z75" i="33"/>
  <c r="AJ75" i="33" s="1"/>
  <c r="Z77" i="33"/>
  <c r="AJ77" i="33" s="1"/>
  <c r="Z78" i="33"/>
  <c r="AJ78" i="33" s="1"/>
  <c r="Z86" i="33"/>
  <c r="AJ86" i="33" s="1"/>
  <c r="Z96" i="33"/>
  <c r="AJ96" i="33" s="1"/>
  <c r="Z99" i="33"/>
  <c r="AJ99" i="33" s="1"/>
  <c r="Z123" i="33"/>
  <c r="AJ123" i="33" s="1"/>
  <c r="U159" i="33"/>
  <c r="Z160" i="33"/>
  <c r="AJ160" i="33" s="1"/>
  <c r="Z185" i="33"/>
  <c r="AJ185" i="33" s="1"/>
  <c r="Z150" i="33"/>
  <c r="AJ150" i="33" s="1"/>
  <c r="X11" i="33"/>
  <c r="Z111" i="33"/>
  <c r="AJ111" i="33" s="1"/>
  <c r="X140" i="33"/>
  <c r="AI147" i="33"/>
  <c r="Z44" i="33"/>
  <c r="AJ44" i="33" s="1"/>
  <c r="Z97" i="33"/>
  <c r="AJ97" i="33" s="1"/>
  <c r="Z119" i="33"/>
  <c r="AJ119" i="33" s="1"/>
  <c r="Z120" i="33"/>
  <c r="AJ120" i="33" s="1"/>
  <c r="Z124" i="33"/>
  <c r="AJ124" i="33" s="1"/>
  <c r="Z144" i="33"/>
  <c r="AJ144" i="33" s="1"/>
  <c r="Z158" i="33"/>
  <c r="AJ158" i="33" s="1"/>
  <c r="Z170" i="33"/>
  <c r="AJ170" i="33" s="1"/>
  <c r="Z175" i="33"/>
  <c r="AJ175" i="33" s="1"/>
  <c r="Z181" i="33"/>
  <c r="AJ181" i="33" s="1"/>
  <c r="AI11" i="33"/>
  <c r="Z23" i="33"/>
  <c r="AJ23" i="33" s="1"/>
  <c r="Z25" i="33"/>
  <c r="AJ25" i="33" s="1"/>
  <c r="AI32" i="33"/>
  <c r="U56" i="33"/>
  <c r="Z70" i="33"/>
  <c r="AJ70" i="33" s="1"/>
  <c r="AI82" i="33"/>
  <c r="U140" i="33"/>
  <c r="X174" i="33"/>
  <c r="Z188" i="33"/>
  <c r="AJ188" i="33" s="1"/>
  <c r="AI17" i="33"/>
  <c r="U22" i="33"/>
  <c r="Z29" i="33"/>
  <c r="AJ29" i="33" s="1"/>
  <c r="Z30" i="33"/>
  <c r="AJ30" i="33" s="1"/>
  <c r="Z43" i="33"/>
  <c r="AJ43" i="33" s="1"/>
  <c r="X45" i="33"/>
  <c r="AI45" i="33"/>
  <c r="Z53" i="33"/>
  <c r="AJ53" i="33" s="1"/>
  <c r="Z88" i="33"/>
  <c r="AJ88" i="33" s="1"/>
  <c r="Z90" i="33"/>
  <c r="AJ90" i="33" s="1"/>
  <c r="Z93" i="33"/>
  <c r="AJ93" i="33" s="1"/>
  <c r="Z95" i="33"/>
  <c r="AJ95" i="33" s="1"/>
  <c r="AI97" i="33"/>
  <c r="Z98" i="33"/>
  <c r="AJ98" i="33" s="1"/>
  <c r="Z104" i="33"/>
  <c r="AJ104" i="33" s="1"/>
  <c r="Z113" i="33"/>
  <c r="AJ113" i="33" s="1"/>
  <c r="Z116" i="33"/>
  <c r="AJ116" i="33" s="1"/>
  <c r="Z130" i="33"/>
  <c r="AJ130" i="33" s="1"/>
  <c r="AJ163" i="33"/>
  <c r="Z164" i="33"/>
  <c r="AJ164" i="33" s="1"/>
  <c r="Z167" i="33"/>
  <c r="AJ167" i="33" s="1"/>
  <c r="Z168" i="33"/>
  <c r="AJ168" i="33" s="1"/>
  <c r="Z176" i="33"/>
  <c r="AJ176" i="33" s="1"/>
  <c r="Z177" i="33"/>
  <c r="AJ177" i="33" s="1"/>
  <c r="Z182" i="33"/>
  <c r="AJ182" i="33" s="1"/>
  <c r="Z187" i="33"/>
  <c r="AJ187" i="33" s="1"/>
  <c r="AI22" i="33"/>
  <c r="X66" i="33"/>
  <c r="Z13" i="33"/>
  <c r="AJ13" i="33" s="1"/>
  <c r="Z15" i="33"/>
  <c r="AA15" i="33" s="1"/>
  <c r="X17" i="33"/>
  <c r="Z19" i="33"/>
  <c r="AJ19" i="33" s="1"/>
  <c r="Z21" i="33"/>
  <c r="AJ21" i="33" s="1"/>
  <c r="Z27" i="33"/>
  <c r="AJ27" i="33" s="1"/>
  <c r="Z32" i="33"/>
  <c r="AJ32" i="33" s="1"/>
  <c r="Z34" i="33"/>
  <c r="AJ34" i="33" s="1"/>
  <c r="Z36" i="33"/>
  <c r="AJ36" i="33" s="1"/>
  <c r="Z38" i="33"/>
  <c r="AJ38" i="33" s="1"/>
  <c r="Z40" i="33"/>
  <c r="AJ40" i="33" s="1"/>
  <c r="Z50" i="33"/>
  <c r="AJ50" i="33" s="1"/>
  <c r="X56" i="33"/>
  <c r="Z59" i="33"/>
  <c r="AJ59" i="33" s="1"/>
  <c r="Z61" i="33"/>
  <c r="AJ61" i="33" s="1"/>
  <c r="Z63" i="33"/>
  <c r="AJ63" i="33" s="1"/>
  <c r="Z65" i="33"/>
  <c r="AJ65" i="33" s="1"/>
  <c r="Z81" i="33"/>
  <c r="AJ81" i="33" s="1"/>
  <c r="Z83" i="33"/>
  <c r="AJ83" i="33" s="1"/>
  <c r="Z91" i="33"/>
  <c r="AJ91" i="33" s="1"/>
  <c r="Z94" i="33"/>
  <c r="AJ94" i="33" s="1"/>
  <c r="U97" i="33"/>
  <c r="Z106" i="33"/>
  <c r="AJ106" i="33" s="1"/>
  <c r="Z108" i="33"/>
  <c r="AJ108" i="33" s="1"/>
  <c r="Z117" i="33"/>
  <c r="AJ117" i="33" s="1"/>
  <c r="U117" i="33"/>
  <c r="Z125" i="33"/>
  <c r="AJ125" i="33" s="1"/>
  <c r="Z142" i="33"/>
  <c r="AJ142" i="33" s="1"/>
  <c r="Z143" i="33"/>
  <c r="AJ143" i="33" s="1"/>
  <c r="Z146" i="33"/>
  <c r="AJ146" i="33" s="1"/>
  <c r="U147" i="33"/>
  <c r="Z153" i="33"/>
  <c r="AJ153" i="33" s="1"/>
  <c r="X154" i="33"/>
  <c r="Z157" i="33"/>
  <c r="AJ157" i="33" s="1"/>
  <c r="Z178" i="33"/>
  <c r="AJ178" i="33" s="1"/>
  <c r="Z183" i="33"/>
  <c r="AJ183" i="33" s="1"/>
  <c r="Z184" i="33"/>
  <c r="AJ184" i="33" s="1"/>
  <c r="Z197" i="33"/>
  <c r="AJ197" i="33" s="1"/>
  <c r="U82" i="33"/>
  <c r="Z12" i="33"/>
  <c r="Z14" i="33"/>
  <c r="AJ14" i="33" s="1"/>
  <c r="Z18" i="33"/>
  <c r="AJ18" i="33" s="1"/>
  <c r="Z20" i="33"/>
  <c r="AJ20" i="33" s="1"/>
  <c r="Z26" i="33"/>
  <c r="AJ26" i="33" s="1"/>
  <c r="AI26" i="33"/>
  <c r="Z33" i="33"/>
  <c r="AJ33" i="33" s="1"/>
  <c r="Z35" i="33"/>
  <c r="AJ35" i="33" s="1"/>
  <c r="Z37" i="33"/>
  <c r="AJ37" i="33" s="1"/>
  <c r="Z39" i="33"/>
  <c r="AJ39" i="33" s="1"/>
  <c r="Z41" i="33"/>
  <c r="AJ41" i="33" s="1"/>
  <c r="Z45" i="33"/>
  <c r="AJ45" i="33" s="1"/>
  <c r="Z49" i="33"/>
  <c r="AJ49" i="33" s="1"/>
  <c r="Z52" i="33"/>
  <c r="AJ52" i="33" s="1"/>
  <c r="Z58" i="33"/>
  <c r="AJ58" i="33" s="1"/>
  <c r="Z60" i="33"/>
  <c r="AJ60" i="33" s="1"/>
  <c r="Z62" i="33"/>
  <c r="AJ62" i="33" s="1"/>
  <c r="Z64" i="33"/>
  <c r="AJ64" i="33" s="1"/>
  <c r="Z72" i="33"/>
  <c r="AJ72" i="33" s="1"/>
  <c r="Z73" i="33"/>
  <c r="AJ73" i="33" s="1"/>
  <c r="Z80" i="33"/>
  <c r="AJ80" i="33" s="1"/>
  <c r="Z84" i="33"/>
  <c r="AJ84" i="33" s="1"/>
  <c r="Z102" i="33"/>
  <c r="AJ102" i="33" s="1"/>
  <c r="Z103" i="33"/>
  <c r="AJ103" i="33" s="1"/>
  <c r="Z105" i="33"/>
  <c r="AJ105" i="33" s="1"/>
  <c r="Z107" i="33"/>
  <c r="AJ107" i="33" s="1"/>
  <c r="AI117" i="33"/>
  <c r="Z121" i="33"/>
  <c r="AJ121" i="33" s="1"/>
  <c r="Z129" i="33"/>
  <c r="AJ129" i="33" s="1"/>
  <c r="U130" i="33"/>
  <c r="Z135" i="33"/>
  <c r="AJ135" i="33" s="1"/>
  <c r="Z139" i="33"/>
  <c r="AJ139" i="33" s="1"/>
  <c r="Z141" i="33"/>
  <c r="AJ141" i="33" s="1"/>
  <c r="Z145" i="33"/>
  <c r="AJ145" i="33" s="1"/>
  <c r="Z148" i="33"/>
  <c r="AJ148" i="33" s="1"/>
  <c r="Z149" i="33"/>
  <c r="AJ149" i="33" s="1"/>
  <c r="Z152" i="33"/>
  <c r="AJ152" i="33" s="1"/>
  <c r="Z165" i="33"/>
  <c r="AJ165" i="33" s="1"/>
  <c r="Z166" i="33"/>
  <c r="AJ166" i="33" s="1"/>
  <c r="Z173" i="33"/>
  <c r="AJ173" i="33" s="1"/>
  <c r="Z179" i="33"/>
  <c r="AJ179" i="33" s="1"/>
  <c r="U188" i="33"/>
  <c r="Z196" i="33"/>
  <c r="AJ196" i="33" s="1"/>
  <c r="Z200" i="33"/>
  <c r="AJ200" i="33" s="1"/>
  <c r="Z208" i="33"/>
  <c r="AJ208" i="33" s="1"/>
  <c r="Z216" i="33"/>
  <c r="AJ216" i="33" s="1"/>
  <c r="Z221" i="33"/>
  <c r="AJ221" i="33" s="1"/>
  <c r="Z231" i="33"/>
  <c r="AJ231" i="33" s="1"/>
  <c r="Z236" i="33"/>
  <c r="AJ236" i="33" s="1"/>
  <c r="Z237" i="33"/>
  <c r="AJ237" i="33" s="1"/>
  <c r="Z199" i="33"/>
  <c r="Z198" i="33"/>
  <c r="Z205" i="33"/>
  <c r="AJ205" i="33" s="1"/>
  <c r="Z210" i="33"/>
  <c r="AJ210" i="33" s="1"/>
  <c r="Z211" i="33"/>
  <c r="AJ211" i="33" s="1"/>
  <c r="Z213" i="33"/>
  <c r="AJ213" i="33" s="1"/>
  <c r="Z217" i="33"/>
  <c r="AJ217" i="33" s="1"/>
  <c r="Z222" i="33"/>
  <c r="AJ222" i="33" s="1"/>
  <c r="Z225" i="33"/>
  <c r="AJ225" i="33" s="1"/>
  <c r="Z229" i="33"/>
  <c r="AJ229" i="33" s="1"/>
  <c r="Z238" i="33"/>
  <c r="AJ238" i="33" s="1"/>
  <c r="Z239" i="33"/>
  <c r="AJ239" i="33" s="1"/>
  <c r="Z242" i="33"/>
  <c r="AJ242" i="33" s="1"/>
  <c r="W54" i="33"/>
  <c r="Z468" i="33"/>
  <c r="AJ468" i="33" s="1"/>
  <c r="X462" i="33"/>
  <c r="Z462" i="33"/>
  <c r="AJ462" i="33" s="1"/>
  <c r="Z270" i="33"/>
  <c r="Z289" i="33"/>
  <c r="AJ289" i="33" s="1"/>
  <c r="Z306" i="33"/>
  <c r="X306" i="33"/>
  <c r="Z308" i="33"/>
  <c r="AJ308" i="33" s="1"/>
  <c r="AJ349" i="33"/>
  <c r="X248" i="33"/>
  <c r="Z283" i="33"/>
  <c r="AJ283" i="33" s="1"/>
  <c r="Z292" i="33"/>
  <c r="AJ292" i="33" s="1"/>
  <c r="Z305" i="33"/>
  <c r="AJ305" i="33" s="1"/>
  <c r="Z311" i="33"/>
  <c r="AJ311" i="33" s="1"/>
  <c r="Z315" i="33"/>
  <c r="AJ315" i="33" s="1"/>
  <c r="Z370" i="33"/>
  <c r="X370" i="33"/>
  <c r="U370" i="33"/>
  <c r="X388" i="33"/>
  <c r="Z391" i="33"/>
  <c r="AJ391" i="33" s="1"/>
  <c r="Z302" i="33"/>
  <c r="AJ302" i="33" s="1"/>
  <c r="U423" i="33"/>
  <c r="Z280" i="33"/>
  <c r="X280" i="33"/>
  <c r="AI306" i="33"/>
  <c r="Z358" i="33"/>
  <c r="AJ358" i="33" s="1"/>
  <c r="U357" i="33"/>
  <c r="X403" i="33"/>
  <c r="Z403" i="33"/>
  <c r="AJ336" i="33"/>
  <c r="AJ343" i="33"/>
  <c r="AJ348" i="33"/>
  <c r="AI357" i="33"/>
  <c r="AI370" i="33"/>
  <c r="Z374" i="33"/>
  <c r="AJ374" i="33" s="1"/>
  <c r="Z378" i="33"/>
  <c r="AJ378" i="33" s="1"/>
  <c r="U393" i="33"/>
  <c r="Z394" i="33"/>
  <c r="AJ394" i="33" s="1"/>
  <c r="AJ428" i="33"/>
  <c r="X439" i="33"/>
  <c r="Z439" i="33"/>
  <c r="U534" i="33"/>
  <c r="Z534" i="33"/>
  <c r="U328" i="33"/>
  <c r="AJ497" i="33"/>
  <c r="AI434" i="33"/>
  <c r="AI492" i="33"/>
  <c r="X534" i="33"/>
  <c r="Z397" i="33"/>
  <c r="AJ397" i="33" s="1"/>
  <c r="AI423" i="33"/>
  <c r="U497" i="33"/>
  <c r="U66" i="33"/>
  <c r="Z191" i="33"/>
  <c r="AJ191" i="33" s="1"/>
  <c r="X188" i="33"/>
  <c r="U174" i="33"/>
  <c r="Z56" i="33"/>
  <c r="Z69" i="33"/>
  <c r="AJ69" i="33" s="1"/>
  <c r="Z85" i="33"/>
  <c r="AJ85" i="33" s="1"/>
  <c r="AJ89" i="33"/>
  <c r="X97" i="33"/>
  <c r="Z147" i="33"/>
  <c r="U154" i="33"/>
  <c r="Z174" i="33"/>
  <c r="AI174" i="33"/>
  <c r="Z57" i="33"/>
  <c r="AJ57" i="33" s="1"/>
  <c r="Z71" i="33"/>
  <c r="AJ71" i="33" s="1"/>
  <c r="Z87" i="33"/>
  <c r="AJ87" i="33" s="1"/>
  <c r="Z101" i="33"/>
  <c r="AJ101" i="33" s="1"/>
  <c r="X117" i="33"/>
  <c r="Z126" i="33"/>
  <c r="AJ126" i="33" s="1"/>
  <c r="Z134" i="33"/>
  <c r="AJ134" i="33" s="1"/>
  <c r="X82" i="33"/>
  <c r="Z128" i="33"/>
  <c r="AJ128" i="33" s="1"/>
  <c r="Z132" i="33"/>
  <c r="AJ132" i="33" s="1"/>
  <c r="X159" i="33"/>
  <c r="AI188" i="33"/>
  <c r="AJ245" i="33"/>
  <c r="X130" i="33"/>
  <c r="Z138" i="33"/>
  <c r="AJ138" i="33" s="1"/>
  <c r="Z140" i="33"/>
  <c r="AI140" i="33"/>
  <c r="X147" i="33"/>
  <c r="AI154" i="33"/>
  <c r="Z159" i="33"/>
  <c r="AI159" i="33"/>
  <c r="Z190" i="33"/>
  <c r="AJ190" i="33" s="1"/>
  <c r="X22" i="33"/>
  <c r="X32" i="33"/>
  <c r="Z42" i="33"/>
  <c r="U45" i="33"/>
  <c r="X15" i="33"/>
  <c r="Z17" i="33"/>
  <c r="U26" i="33"/>
  <c r="DM11" i="29"/>
  <c r="DL500" i="29"/>
  <c r="DL491" i="29"/>
  <c r="DL480" i="29"/>
  <c r="DL479" i="29"/>
  <c r="DL404" i="29"/>
  <c r="DL402" i="29"/>
  <c r="DL397" i="29"/>
  <c r="DL371" i="29"/>
  <c r="DL330" i="29"/>
  <c r="DL249" i="29"/>
  <c r="DL248" i="29"/>
  <c r="DL247" i="29"/>
  <c r="DL224" i="29"/>
  <c r="DL203" i="29"/>
  <c r="DM203" i="29" s="1"/>
  <c r="DL178" i="29"/>
  <c r="DL172" i="29"/>
  <c r="DL156" i="29"/>
  <c r="DM156" i="29" s="1"/>
  <c r="DL154" i="29"/>
  <c r="DL82" i="29"/>
  <c r="DL77" i="29"/>
  <c r="DL64" i="29"/>
  <c r="DL15" i="29"/>
  <c r="DL13" i="29"/>
  <c r="U45" i="27" l="1"/>
  <c r="U43" i="27"/>
  <c r="U50" i="27"/>
  <c r="U46" i="27"/>
  <c r="U53" i="27"/>
  <c r="U44" i="27"/>
  <c r="U48" i="27"/>
  <c r="U51" i="27"/>
  <c r="U52" i="27"/>
  <c r="U47" i="27"/>
  <c r="U41" i="27"/>
  <c r="U40" i="27"/>
  <c r="U24" i="27"/>
  <c r="U33" i="27"/>
  <c r="U28" i="27"/>
  <c r="U29" i="27"/>
  <c r="U19" i="27"/>
  <c r="U27" i="27"/>
  <c r="U26" i="27"/>
  <c r="U17" i="27"/>
  <c r="U12" i="27"/>
  <c r="U20" i="27"/>
  <c r="U34" i="27"/>
  <c r="U25" i="27"/>
  <c r="U16" i="27"/>
  <c r="U30" i="27"/>
  <c r="U32" i="27"/>
  <c r="U14" i="27"/>
  <c r="U42" i="27"/>
  <c r="U39" i="27"/>
  <c r="U54" i="27"/>
  <c r="Z246" i="33"/>
  <c r="U246" i="33"/>
  <c r="U23" i="27"/>
  <c r="AI246" i="33"/>
  <c r="U55" i="27"/>
  <c r="AF246" i="33"/>
  <c r="X246" i="33"/>
  <c r="AI54" i="33"/>
  <c r="U35" i="27"/>
  <c r="AF54" i="33"/>
  <c r="U54" i="33"/>
  <c r="X54" i="33"/>
  <c r="AA66" i="33"/>
  <c r="Z54" i="33"/>
  <c r="AJ268" i="33"/>
  <c r="AK268" i="33" s="1"/>
  <c r="AA20" i="33"/>
  <c r="U9" i="27"/>
  <c r="AF10" i="33"/>
  <c r="U37" i="27"/>
  <c r="U22" i="27"/>
  <c r="AJ12" i="33"/>
  <c r="Z10" i="33"/>
  <c r="AA492" i="33"/>
  <c r="AA423" i="33"/>
  <c r="AK434" i="33"/>
  <c r="AK492" i="33"/>
  <c r="AJ432" i="33"/>
  <c r="AK497" i="33"/>
  <c r="AA434" i="33"/>
  <c r="AA388" i="33"/>
  <c r="AK388" i="33"/>
  <c r="AA248" i="33"/>
  <c r="AK248" i="33"/>
  <c r="AA403" i="33"/>
  <c r="AA306" i="33"/>
  <c r="AA462" i="33"/>
  <c r="AA393" i="33"/>
  <c r="AA497" i="33"/>
  <c r="AA328" i="33"/>
  <c r="AJ198" i="33"/>
  <c r="AA198" i="33"/>
  <c r="AA22" i="33"/>
  <c r="AK130" i="33"/>
  <c r="AA26" i="33"/>
  <c r="AK154" i="33"/>
  <c r="AK26" i="33"/>
  <c r="AK22" i="33"/>
  <c r="AA154" i="33"/>
  <c r="AK32" i="33"/>
  <c r="AJ15" i="33"/>
  <c r="AK15" i="33" s="1"/>
  <c r="AK45" i="33"/>
  <c r="AK82" i="33"/>
  <c r="AK97" i="33"/>
  <c r="AA45" i="33"/>
  <c r="AA32" i="33"/>
  <c r="AA130" i="33"/>
  <c r="AK462" i="33"/>
  <c r="AJ439" i="33"/>
  <c r="AK439" i="33" s="1"/>
  <c r="AA439" i="33"/>
  <c r="AA370" i="33"/>
  <c r="AJ370" i="33"/>
  <c r="AK370" i="33" s="1"/>
  <c r="AJ403" i="33"/>
  <c r="AK403" i="33" s="1"/>
  <c r="AK423" i="33"/>
  <c r="AA357" i="33"/>
  <c r="AK328" i="33"/>
  <c r="AJ270" i="33"/>
  <c r="AK270" i="33" s="1"/>
  <c r="AA270" i="33"/>
  <c r="AK393" i="33"/>
  <c r="AJ534" i="33"/>
  <c r="AK534" i="33" s="1"/>
  <c r="AA534" i="33"/>
  <c r="AJ280" i="33"/>
  <c r="AK280" i="33" s="1"/>
  <c r="AA280" i="33"/>
  <c r="AK357" i="33"/>
  <c r="AJ306" i="33"/>
  <c r="AK306" i="33" s="1"/>
  <c r="AJ159" i="33"/>
  <c r="AK159" i="33" s="1"/>
  <c r="AA159" i="33"/>
  <c r="AA140" i="33"/>
  <c r="AJ140" i="33"/>
  <c r="AK140" i="33" s="1"/>
  <c r="AJ56" i="33"/>
  <c r="AK56" i="33" s="1"/>
  <c r="AA56" i="33"/>
  <c r="AK188" i="33"/>
  <c r="AK117" i="33"/>
  <c r="AJ66" i="33"/>
  <c r="AJ174" i="33"/>
  <c r="AK174" i="33" s="1"/>
  <c r="AA174" i="33"/>
  <c r="AJ199" i="33"/>
  <c r="AA82" i="33"/>
  <c r="AA117" i="33"/>
  <c r="AA188" i="33"/>
  <c r="AJ147" i="33"/>
  <c r="AK147" i="33" s="1"/>
  <c r="AA147" i="33"/>
  <c r="AA97" i="33"/>
  <c r="AJ11" i="33"/>
  <c r="AA11" i="33"/>
  <c r="AJ42" i="33"/>
  <c r="AK42" i="33" s="1"/>
  <c r="AA42" i="33"/>
  <c r="AJ17" i="33"/>
  <c r="AK17" i="33" s="1"/>
  <c r="AA17" i="33"/>
  <c r="O48" i="27" l="1"/>
  <c r="O45" i="27"/>
  <c r="O46" i="27"/>
  <c r="H55" i="27"/>
  <c r="O51" i="27"/>
  <c r="O53" i="27"/>
  <c r="H53" i="27"/>
  <c r="O47" i="27"/>
  <c r="O43" i="27"/>
  <c r="O55" i="27"/>
  <c r="O44" i="27"/>
  <c r="O52" i="27"/>
  <c r="O37" i="27"/>
  <c r="O50" i="27"/>
  <c r="O38" i="27"/>
  <c r="O41" i="27"/>
  <c r="O40" i="27"/>
  <c r="H27" i="27"/>
  <c r="O24" i="27"/>
  <c r="H30" i="27"/>
  <c r="O26" i="27"/>
  <c r="O28" i="27"/>
  <c r="O10" i="27"/>
  <c r="O16" i="27"/>
  <c r="H26" i="27"/>
  <c r="O29" i="27"/>
  <c r="O12" i="27"/>
  <c r="H34" i="27"/>
  <c r="H33" i="27"/>
  <c r="O34" i="27"/>
  <c r="H28" i="27"/>
  <c r="O17" i="27"/>
  <c r="O30" i="27"/>
  <c r="H35" i="27"/>
  <c r="O33" i="27"/>
  <c r="O19" i="27"/>
  <c r="H29" i="27"/>
  <c r="O22" i="27"/>
  <c r="H17" i="27"/>
  <c r="O14" i="27"/>
  <c r="O27" i="27"/>
  <c r="O39" i="27"/>
  <c r="H20" i="27"/>
  <c r="O20" i="27"/>
  <c r="H32" i="27"/>
  <c r="O32" i="27"/>
  <c r="H54" i="27"/>
  <c r="O54" i="27"/>
  <c r="AA246" i="33"/>
  <c r="AJ246" i="33"/>
  <c r="O42" i="27"/>
  <c r="AK246" i="33"/>
  <c r="AA54" i="33"/>
  <c r="AK66" i="33"/>
  <c r="AJ54" i="33"/>
  <c r="AK11" i="33"/>
  <c r="U36" i="27"/>
  <c r="AF9" i="33"/>
  <c r="U8" i="27"/>
  <c r="U21" i="27"/>
  <c r="Z9" i="33"/>
  <c r="AK198" i="33"/>
  <c r="V55" i="27"/>
  <c r="V53" i="27"/>
  <c r="V52" i="27"/>
  <c r="V51" i="27"/>
  <c r="V49" i="27"/>
  <c r="V46" i="27"/>
  <c r="V43" i="27"/>
  <c r="V34" i="27"/>
  <c r="V28" i="27"/>
  <c r="V25" i="27"/>
  <c r="V24" i="27"/>
  <c r="O9" i="27" l="1"/>
  <c r="O8" i="27" s="1"/>
  <c r="O36" i="27"/>
  <c r="O23" i="27"/>
  <c r="AK54" i="33"/>
  <c r="V23" i="27"/>
  <c r="V32" i="27"/>
  <c r="V33" i="27"/>
  <c r="V50" i="27"/>
  <c r="V26" i="27"/>
  <c r="V30" i="27"/>
  <c r="V40" i="27"/>
  <c r="V42" i="27"/>
  <c r="V47" i="27"/>
  <c r="V48" i="27"/>
  <c r="V29" i="27"/>
  <c r="V35" i="27"/>
  <c r="V41" i="27"/>
  <c r="V44" i="27"/>
  <c r="V45" i="27"/>
  <c r="U7" i="27"/>
  <c r="O35" i="27"/>
  <c r="V39" i="27"/>
  <c r="AD10" i="33"/>
  <c r="AD9" i="33" s="1"/>
  <c r="AC10" i="33"/>
  <c r="V20" i="27" l="1"/>
  <c r="V37" i="27"/>
  <c r="V22" i="27"/>
  <c r="O21" i="27"/>
  <c r="O7" i="27" s="1"/>
  <c r="AC9" i="33"/>
  <c r="AE10" i="33"/>
  <c r="AG10" i="33"/>
  <c r="BH504" i="35"/>
  <c r="BG504" i="35"/>
  <c r="BK504" i="35"/>
  <c r="BG506" i="35"/>
  <c r="BK506" i="35"/>
  <c r="BH298" i="35"/>
  <c r="BG298" i="35"/>
  <c r="BK298" i="35"/>
  <c r="BK296" i="35"/>
  <c r="BH295" i="35"/>
  <c r="BG295" i="35"/>
  <c r="BK295" i="35"/>
  <c r="BH299" i="35"/>
  <c r="BG299" i="35"/>
  <c r="BK299" i="35"/>
  <c r="BH62" i="35"/>
  <c r="BG62" i="35"/>
  <c r="BK62" i="35"/>
  <c r="BG335" i="35"/>
  <c r="BK335" i="35"/>
  <c r="BH331" i="35"/>
  <c r="BH281" i="35"/>
  <c r="BG281" i="35"/>
  <c r="BK281" i="35"/>
  <c r="BH267" i="35"/>
  <c r="BH390" i="35"/>
  <c r="BG390" i="35"/>
  <c r="BH387" i="35"/>
  <c r="BG387" i="35"/>
  <c r="V36" i="27" l="1"/>
  <c r="V21" i="27"/>
  <c r="V19" i="27"/>
  <c r="AE9" i="33"/>
  <c r="AG9" i="33"/>
  <c r="AH10" i="33"/>
  <c r="V16" i="27" l="1"/>
  <c r="AI10" i="33"/>
  <c r="AH9" i="33"/>
  <c r="BR52" i="29"/>
  <c r="BR59" i="29"/>
  <c r="BR58" i="29"/>
  <c r="BR504" i="29"/>
  <c r="BR506" i="29"/>
  <c r="BR183" i="29"/>
  <c r="BR387" i="29"/>
  <c r="BS67" i="29"/>
  <c r="BS64" i="29"/>
  <c r="BL416" i="35"/>
  <c r="BN416" i="35" s="1"/>
  <c r="BI416" i="35"/>
  <c r="BF416" i="35"/>
  <c r="AW416" i="35"/>
  <c r="AY416" i="35" s="1"/>
  <c r="AT416" i="35"/>
  <c r="BS415" i="29"/>
  <c r="BI415" i="29"/>
  <c r="BC415" i="29"/>
  <c r="AZ415" i="29"/>
  <c r="BE415" i="29" s="1"/>
  <c r="DG415" i="29"/>
  <c r="CO415" i="29"/>
  <c r="CJ415" i="29"/>
  <c r="CG415" i="29"/>
  <c r="AF415" i="29"/>
  <c r="AC415" i="29"/>
  <c r="V14" i="27" l="1"/>
  <c r="DL415" i="29"/>
  <c r="DJ415" i="29"/>
  <c r="AI9" i="33"/>
  <c r="BG415" i="29"/>
  <c r="BK415" i="29" s="1"/>
  <c r="DH415" i="29"/>
  <c r="V12" i="27" l="1"/>
  <c r="CJ178" i="35"/>
  <c r="CJ155" i="35"/>
  <c r="CJ83" i="35"/>
  <c r="CJ78" i="35"/>
  <c r="DN11" i="29" l="1"/>
  <c r="DJ500" i="29"/>
  <c r="DJ491" i="29"/>
  <c r="DJ480" i="29"/>
  <c r="DJ479" i="29"/>
  <c r="DJ371" i="29"/>
  <c r="DJ330" i="29"/>
  <c r="DJ154" i="29"/>
  <c r="DN154" i="29" s="1"/>
  <c r="DJ82" i="29"/>
  <c r="DO82" i="29" s="1"/>
  <c r="DJ77" i="29"/>
  <c r="DO77" i="29" s="1"/>
  <c r="DJ15" i="29"/>
  <c r="DJ13" i="29"/>
  <c r="V10" i="27" l="1"/>
  <c r="X8" i="27"/>
  <c r="X21" i="27"/>
  <c r="V9" i="27" l="1"/>
  <c r="X36" i="27"/>
  <c r="X7" i="27" s="1"/>
  <c r="AD39" i="27"/>
  <c r="N12" i="35"/>
  <c r="N110" i="35"/>
  <c r="O110" i="35" s="1"/>
  <c r="J110" i="35"/>
  <c r="Y115" i="35"/>
  <c r="U115" i="35"/>
  <c r="AL14" i="35"/>
  <c r="AH14" i="35"/>
  <c r="AL20" i="35"/>
  <c r="AM20" i="35" s="1"/>
  <c r="AO20" i="35" s="1"/>
  <c r="AI20" i="35"/>
  <c r="AH20" i="35"/>
  <c r="AL21" i="35"/>
  <c r="AM21" i="35" s="1"/>
  <c r="AI21" i="35"/>
  <c r="AH21" i="35"/>
  <c r="AJ8" i="35"/>
  <c r="AM8" i="35"/>
  <c r="AT8" i="35"/>
  <c r="AW8" i="35"/>
  <c r="AY8" i="35" s="1"/>
  <c r="AJ9" i="35"/>
  <c r="AM9" i="35"/>
  <c r="AT9" i="35"/>
  <c r="AW9" i="35"/>
  <c r="AJ10" i="35"/>
  <c r="AM10" i="35"/>
  <c r="AO10" i="35" s="1"/>
  <c r="AT10" i="35"/>
  <c r="AW10" i="35"/>
  <c r="AJ11" i="35"/>
  <c r="AM11" i="35"/>
  <c r="AO11" i="35" s="1"/>
  <c r="AT11" i="35"/>
  <c r="AW11" i="35"/>
  <c r="AY11" i="35" s="1"/>
  <c r="AJ12" i="35"/>
  <c r="AK12" i="35" s="1"/>
  <c r="AM12" i="35"/>
  <c r="AT12" i="35"/>
  <c r="AU12" i="35" s="1"/>
  <c r="BA12" i="35" s="1"/>
  <c r="AW12" i="35"/>
  <c r="AJ13" i="35"/>
  <c r="AM13" i="35"/>
  <c r="AO13" i="35" s="1"/>
  <c r="AT13" i="35"/>
  <c r="AW13" i="35"/>
  <c r="AY13" i="35" s="1"/>
  <c r="AT14" i="35"/>
  <c r="AW14" i="35"/>
  <c r="AY14" i="35" s="1"/>
  <c r="AJ15" i="35"/>
  <c r="AM15" i="35"/>
  <c r="AO15" i="35" s="1"/>
  <c r="AT15" i="35"/>
  <c r="AW15" i="35"/>
  <c r="AJ16" i="35"/>
  <c r="AM16" i="35"/>
  <c r="AO16" i="35" s="1"/>
  <c r="AT16" i="35"/>
  <c r="AW16" i="35"/>
  <c r="AY16" i="35" s="1"/>
  <c r="AJ17" i="35"/>
  <c r="AK17" i="35" s="1"/>
  <c r="AM17" i="35"/>
  <c r="AT17" i="35"/>
  <c r="AU17" i="35" s="1"/>
  <c r="AW17" i="35"/>
  <c r="AX17" i="35" s="1"/>
  <c r="AJ18" i="35"/>
  <c r="AM18" i="35"/>
  <c r="AO18" i="35" s="1"/>
  <c r="AT18" i="35"/>
  <c r="AW18" i="35"/>
  <c r="AY18" i="35" s="1"/>
  <c r="AJ19" i="35"/>
  <c r="AM19" i="35"/>
  <c r="AO19" i="35" s="1"/>
  <c r="AT19" i="35"/>
  <c r="AW19" i="35"/>
  <c r="AT20" i="35"/>
  <c r="AW20" i="35"/>
  <c r="AY20" i="35" s="1"/>
  <c r="AT21" i="35"/>
  <c r="AW21" i="35"/>
  <c r="AY21" i="35" s="1"/>
  <c r="AJ22" i="35"/>
  <c r="AM22" i="35"/>
  <c r="AO22" i="35" s="1"/>
  <c r="AT22" i="35"/>
  <c r="AW22" i="35"/>
  <c r="AY22" i="35" s="1"/>
  <c r="AJ23" i="35"/>
  <c r="AM23" i="35"/>
  <c r="AO23" i="35" s="1"/>
  <c r="AT23" i="35"/>
  <c r="AW23" i="35"/>
  <c r="AJ24" i="35"/>
  <c r="AM24" i="35"/>
  <c r="AO24" i="35" s="1"/>
  <c r="AT24" i="35"/>
  <c r="AW24" i="35"/>
  <c r="AY24" i="35" s="1"/>
  <c r="AJ25" i="35"/>
  <c r="AM25" i="35"/>
  <c r="AO25" i="35" s="1"/>
  <c r="AT25" i="35"/>
  <c r="AW25" i="35"/>
  <c r="AY25" i="35" s="1"/>
  <c r="AJ26" i="35"/>
  <c r="AM26" i="35"/>
  <c r="AO26" i="35" s="1"/>
  <c r="AT26" i="35"/>
  <c r="AW26" i="35"/>
  <c r="AY26" i="35" s="1"/>
  <c r="AJ27" i="35"/>
  <c r="AM27" i="35"/>
  <c r="AO27" i="35" s="1"/>
  <c r="AT27" i="35"/>
  <c r="AW27" i="35"/>
  <c r="AY27" i="35" s="1"/>
  <c r="AJ29" i="35"/>
  <c r="AM29" i="35"/>
  <c r="AO29" i="35" s="1"/>
  <c r="AT29" i="35"/>
  <c r="AW29" i="35"/>
  <c r="AJ30" i="35"/>
  <c r="AM30" i="35"/>
  <c r="AT30" i="35"/>
  <c r="AW30" i="35"/>
  <c r="AY30" i="35" s="1"/>
  <c r="AJ31" i="35"/>
  <c r="AM31" i="35"/>
  <c r="AO31" i="35" s="1"/>
  <c r="AT31" i="35"/>
  <c r="AW31" i="35"/>
  <c r="AY31" i="35" s="1"/>
  <c r="AJ32" i="35"/>
  <c r="AM32" i="35"/>
  <c r="AO32" i="35" s="1"/>
  <c r="AT32" i="35"/>
  <c r="AW32" i="35"/>
  <c r="AY32" i="35" s="1"/>
  <c r="AJ33" i="35"/>
  <c r="AM33" i="35"/>
  <c r="AO33" i="35" s="1"/>
  <c r="AT33" i="35"/>
  <c r="AW33" i="35"/>
  <c r="AY33" i="35" s="1"/>
  <c r="AJ34" i="35"/>
  <c r="AM34" i="35"/>
  <c r="AO34" i="35" s="1"/>
  <c r="AT34" i="35"/>
  <c r="AW34" i="35"/>
  <c r="AY34" i="35" s="1"/>
  <c r="AJ35" i="35"/>
  <c r="AM35" i="35"/>
  <c r="AO35" i="35" s="1"/>
  <c r="AT35" i="35"/>
  <c r="AW35" i="35"/>
  <c r="AY35" i="35" s="1"/>
  <c r="AJ36" i="35"/>
  <c r="AM36" i="35"/>
  <c r="AO36" i="35" s="1"/>
  <c r="AT36" i="35"/>
  <c r="AW36" i="35"/>
  <c r="AY36" i="35" s="1"/>
  <c r="AJ37" i="35"/>
  <c r="AM37" i="35"/>
  <c r="AO37" i="35" s="1"/>
  <c r="AT37" i="35"/>
  <c r="AW37" i="35"/>
  <c r="AY37" i="35" s="1"/>
  <c r="AJ38" i="35"/>
  <c r="AM38" i="35"/>
  <c r="AO38" i="35" s="1"/>
  <c r="AT38" i="35"/>
  <c r="AW38" i="35"/>
  <c r="AY38" i="35" s="1"/>
  <c r="AJ39" i="35"/>
  <c r="AM39" i="35"/>
  <c r="AO39" i="35" s="1"/>
  <c r="AT39" i="35"/>
  <c r="AW39" i="35"/>
  <c r="AJ40" i="35"/>
  <c r="AM40" i="35"/>
  <c r="AT40" i="35"/>
  <c r="AW40" i="35"/>
  <c r="AY40" i="35" s="1"/>
  <c r="AJ41" i="35"/>
  <c r="AM41" i="35"/>
  <c r="AO41" i="35" s="1"/>
  <c r="AT41" i="35"/>
  <c r="AW41" i="35"/>
  <c r="AY41" i="35" s="1"/>
  <c r="AJ42" i="35"/>
  <c r="AM42" i="35"/>
  <c r="AO42" i="35" s="1"/>
  <c r="AT42" i="35"/>
  <c r="AW42" i="35"/>
  <c r="AY42" i="35" s="1"/>
  <c r="AJ45" i="35"/>
  <c r="AM45" i="35"/>
  <c r="AO45" i="35" s="1"/>
  <c r="AT45" i="35"/>
  <c r="AW45" i="35"/>
  <c r="AY45" i="35" s="1"/>
  <c r="AJ46" i="35"/>
  <c r="AM46" i="35"/>
  <c r="AO46" i="35" s="1"/>
  <c r="AT46" i="35"/>
  <c r="AW46" i="35"/>
  <c r="AJ48" i="35"/>
  <c r="AM48" i="35"/>
  <c r="AO48" i="35" s="1"/>
  <c r="AT48" i="35"/>
  <c r="AW48" i="35"/>
  <c r="AY48" i="35" s="1"/>
  <c r="AJ49" i="35"/>
  <c r="AM49" i="35"/>
  <c r="AO49" i="35" s="1"/>
  <c r="AT49" i="35"/>
  <c r="AW49" i="35"/>
  <c r="AY49" i="35" s="1"/>
  <c r="AF50" i="35"/>
  <c r="AG50" i="35"/>
  <c r="AQ50" i="35"/>
  <c r="AJ51" i="35"/>
  <c r="AM51" i="35"/>
  <c r="AO51" i="35" s="1"/>
  <c r="AT51" i="35"/>
  <c r="AW51" i="35"/>
  <c r="AY51" i="35" s="1"/>
  <c r="AJ52" i="35"/>
  <c r="AM52" i="35"/>
  <c r="AO52" i="35" s="1"/>
  <c r="AT52" i="35"/>
  <c r="AW52" i="35"/>
  <c r="AY52" i="35" s="1"/>
  <c r="AJ53" i="35"/>
  <c r="AM53" i="35"/>
  <c r="AO53" i="35" s="1"/>
  <c r="AT53" i="35"/>
  <c r="AW53" i="35"/>
  <c r="AY53" i="35" s="1"/>
  <c r="AJ54" i="35"/>
  <c r="AM54" i="35"/>
  <c r="AO54" i="35" s="1"/>
  <c r="AT54" i="35"/>
  <c r="AW54" i="35"/>
  <c r="AY54" i="35" s="1"/>
  <c r="AJ55" i="35"/>
  <c r="AM55" i="35"/>
  <c r="AO55" i="35" s="1"/>
  <c r="AT55" i="35"/>
  <c r="AW55" i="35"/>
  <c r="AY55" i="35" s="1"/>
  <c r="AJ56" i="35"/>
  <c r="AM56" i="35"/>
  <c r="AO56" i="35" s="1"/>
  <c r="AT56" i="35"/>
  <c r="AW56" i="35"/>
  <c r="AY56" i="35" s="1"/>
  <c r="AJ57" i="35"/>
  <c r="AM57" i="35"/>
  <c r="AO57" i="35" s="1"/>
  <c r="AT57" i="35"/>
  <c r="AW57" i="35"/>
  <c r="AY57" i="35" s="1"/>
  <c r="AJ58" i="35"/>
  <c r="AM58" i="35"/>
  <c r="AO58" i="35" s="1"/>
  <c r="AT58" i="35"/>
  <c r="AW58" i="35"/>
  <c r="AY58" i="35" s="1"/>
  <c r="AJ59" i="35"/>
  <c r="AM59" i="35"/>
  <c r="AO59" i="35" s="1"/>
  <c r="AT59" i="35"/>
  <c r="AW59" i="35"/>
  <c r="AY59" i="35" s="1"/>
  <c r="AJ60" i="35"/>
  <c r="AM60" i="35"/>
  <c r="AO60" i="35" s="1"/>
  <c r="AT60" i="35"/>
  <c r="AW60" i="35"/>
  <c r="AY60" i="35" s="1"/>
  <c r="AJ61" i="35"/>
  <c r="AM61" i="35"/>
  <c r="AO61" i="35" s="1"/>
  <c r="AT61" i="35"/>
  <c r="AW61" i="35"/>
  <c r="AY61" i="35" s="1"/>
  <c r="AJ62" i="35"/>
  <c r="AM62" i="35"/>
  <c r="AO62" i="35" s="1"/>
  <c r="AT62" i="35"/>
  <c r="AW62" i="35"/>
  <c r="AY62" i="35" s="1"/>
  <c r="AJ63" i="35"/>
  <c r="AM63" i="35"/>
  <c r="AO63" i="35" s="1"/>
  <c r="AT63" i="35"/>
  <c r="AW63" i="35"/>
  <c r="AY63" i="35" s="1"/>
  <c r="AJ64" i="35"/>
  <c r="AM64" i="35"/>
  <c r="AO64" i="35" s="1"/>
  <c r="AT64" i="35"/>
  <c r="AW64" i="35"/>
  <c r="AY64" i="35" s="1"/>
  <c r="AJ65" i="35"/>
  <c r="AM65" i="35"/>
  <c r="AO65" i="35" s="1"/>
  <c r="AT65" i="35"/>
  <c r="AW65" i="35"/>
  <c r="AY65" i="35" s="1"/>
  <c r="AJ66" i="35"/>
  <c r="AM66" i="35"/>
  <c r="AO66" i="35" s="1"/>
  <c r="AT66" i="35"/>
  <c r="AW66" i="35"/>
  <c r="AY66" i="35" s="1"/>
  <c r="AJ67" i="35"/>
  <c r="AM67" i="35"/>
  <c r="AO67" i="35" s="1"/>
  <c r="AT67" i="35"/>
  <c r="AW67" i="35"/>
  <c r="AY67" i="35" s="1"/>
  <c r="AJ68" i="35"/>
  <c r="AM68" i="35"/>
  <c r="AO68" i="35" s="1"/>
  <c r="AT68" i="35"/>
  <c r="AW68" i="35"/>
  <c r="AY68" i="35" s="1"/>
  <c r="AJ69" i="35"/>
  <c r="AM69" i="35"/>
  <c r="AO69" i="35" s="1"/>
  <c r="AT69" i="35"/>
  <c r="AW69" i="35"/>
  <c r="AY69" i="35" s="1"/>
  <c r="AJ70" i="35"/>
  <c r="AM70" i="35"/>
  <c r="AO70" i="35" s="1"/>
  <c r="AT70" i="35"/>
  <c r="AW70" i="35"/>
  <c r="AY70" i="35" s="1"/>
  <c r="AJ71" i="35"/>
  <c r="AM71" i="35"/>
  <c r="AO71" i="35" s="1"/>
  <c r="AT71" i="35"/>
  <c r="AW71" i="35"/>
  <c r="AY71" i="35" s="1"/>
  <c r="AJ72" i="35"/>
  <c r="AM72" i="35"/>
  <c r="AO72" i="35" s="1"/>
  <c r="AT72" i="35"/>
  <c r="AW72" i="35"/>
  <c r="AY72" i="35" s="1"/>
  <c r="AJ73" i="35"/>
  <c r="AM73" i="35"/>
  <c r="AO73" i="35" s="1"/>
  <c r="AT73" i="35"/>
  <c r="AW73" i="35"/>
  <c r="AY73" i="35" s="1"/>
  <c r="AJ74" i="35"/>
  <c r="AM74" i="35"/>
  <c r="AO74" i="35" s="1"/>
  <c r="AT74" i="35"/>
  <c r="AW74" i="35"/>
  <c r="AY74" i="35" s="1"/>
  <c r="AJ75" i="35"/>
  <c r="AM75" i="35"/>
  <c r="AO75" i="35" s="1"/>
  <c r="AT75" i="35"/>
  <c r="AW75" i="35"/>
  <c r="AY75" i="35" s="1"/>
  <c r="AJ76" i="35"/>
  <c r="AM76" i="35"/>
  <c r="AO76" i="35" s="1"/>
  <c r="AT76" i="35"/>
  <c r="AW76" i="35"/>
  <c r="AY76" i="35" s="1"/>
  <c r="AJ77" i="35"/>
  <c r="AM77" i="35"/>
  <c r="AO77" i="35" s="1"/>
  <c r="AT77" i="35"/>
  <c r="AW77" i="35"/>
  <c r="AY77" i="35" s="1"/>
  <c r="AJ78" i="35"/>
  <c r="AT78" i="35"/>
  <c r="AJ79" i="35"/>
  <c r="AM79" i="35"/>
  <c r="AO79" i="35" s="1"/>
  <c r="AT79" i="35"/>
  <c r="AW79" i="35"/>
  <c r="AY79" i="35" s="1"/>
  <c r="AJ80" i="35"/>
  <c r="AM80" i="35"/>
  <c r="AO80" i="35" s="1"/>
  <c r="AT80" i="35"/>
  <c r="AW80" i="35"/>
  <c r="AJ81" i="35"/>
  <c r="AM81" i="35"/>
  <c r="AO81" i="35" s="1"/>
  <c r="AT81" i="35"/>
  <c r="AW81" i="35"/>
  <c r="AY81" i="35" s="1"/>
  <c r="AJ82" i="35"/>
  <c r="AM82" i="35"/>
  <c r="AO82" i="35" s="1"/>
  <c r="AT82" i="35"/>
  <c r="AW82" i="35"/>
  <c r="AY82" i="35" s="1"/>
  <c r="AJ83" i="35"/>
  <c r="AT83" i="35"/>
  <c r="AJ84" i="35"/>
  <c r="AM84" i="35"/>
  <c r="AO84" i="35" s="1"/>
  <c r="AT84" i="35"/>
  <c r="AW84" i="35"/>
  <c r="AY84" i="35" s="1"/>
  <c r="AJ85" i="35"/>
  <c r="AM85" i="35"/>
  <c r="AO85" i="35" s="1"/>
  <c r="AT85" i="35"/>
  <c r="AW85" i="35"/>
  <c r="AY85" i="35" s="1"/>
  <c r="AJ86" i="35"/>
  <c r="AM86" i="35"/>
  <c r="AO86" i="35" s="1"/>
  <c r="AT86" i="35"/>
  <c r="AW86" i="35"/>
  <c r="AY86" i="35" s="1"/>
  <c r="AJ87" i="35"/>
  <c r="AM87" i="35"/>
  <c r="AO87" i="35" s="1"/>
  <c r="AT87" i="35"/>
  <c r="AW87" i="35"/>
  <c r="AY87" i="35" s="1"/>
  <c r="AJ88" i="35"/>
  <c r="AM88" i="35"/>
  <c r="AO88" i="35" s="1"/>
  <c r="AT88" i="35"/>
  <c r="AW88" i="35"/>
  <c r="AY88" i="35" s="1"/>
  <c r="AJ89" i="35"/>
  <c r="AM89" i="35"/>
  <c r="AO89" i="35" s="1"/>
  <c r="AT89" i="35"/>
  <c r="AW89" i="35"/>
  <c r="AY89" i="35" s="1"/>
  <c r="AJ90" i="35"/>
  <c r="AM90" i="35"/>
  <c r="AO90" i="35" s="1"/>
  <c r="AT90" i="35"/>
  <c r="AW90" i="35"/>
  <c r="AY90" i="35" s="1"/>
  <c r="AJ91" i="35"/>
  <c r="AM91" i="35"/>
  <c r="AO91" i="35" s="1"/>
  <c r="AT91" i="35"/>
  <c r="AW91" i="35"/>
  <c r="AY91" i="35" s="1"/>
  <c r="AJ92" i="35"/>
  <c r="AM92" i="35"/>
  <c r="AT92" i="35"/>
  <c r="AW92" i="35"/>
  <c r="AY92" i="35" s="1"/>
  <c r="AJ93" i="35"/>
  <c r="AM93" i="35"/>
  <c r="AO93" i="35" s="1"/>
  <c r="AT93" i="35"/>
  <c r="AW93" i="35"/>
  <c r="AY93" i="35" s="1"/>
  <c r="AJ94" i="35"/>
  <c r="AM94" i="35"/>
  <c r="AO94" i="35" s="1"/>
  <c r="AT94" i="35"/>
  <c r="AW94" i="35"/>
  <c r="AY94" i="35" s="1"/>
  <c r="AJ95" i="35"/>
  <c r="AM95" i="35"/>
  <c r="AO95" i="35" s="1"/>
  <c r="AT95" i="35"/>
  <c r="AW95" i="35"/>
  <c r="AY95" i="35" s="1"/>
  <c r="AJ96" i="35"/>
  <c r="AM96" i="35"/>
  <c r="AO96" i="35" s="1"/>
  <c r="AT96" i="35"/>
  <c r="AW96" i="35"/>
  <c r="AY96" i="35" s="1"/>
  <c r="AJ97" i="35"/>
  <c r="AM97" i="35"/>
  <c r="AO97" i="35" s="1"/>
  <c r="AT97" i="35"/>
  <c r="AW97" i="35"/>
  <c r="AY97" i="35" s="1"/>
  <c r="AJ98" i="35"/>
  <c r="AM98" i="35"/>
  <c r="AO98" i="35" s="1"/>
  <c r="AT98" i="35"/>
  <c r="AW98" i="35"/>
  <c r="AY98" i="35" s="1"/>
  <c r="AJ99" i="35"/>
  <c r="AM99" i="35"/>
  <c r="AO99" i="35" s="1"/>
  <c r="AT99" i="35"/>
  <c r="AY99" i="35"/>
  <c r="AJ100" i="35"/>
  <c r="AM100" i="35"/>
  <c r="AO100" i="35" s="1"/>
  <c r="AT100" i="35"/>
  <c r="AW100" i="35"/>
  <c r="AY100" i="35" s="1"/>
  <c r="AJ101" i="35"/>
  <c r="AM101" i="35"/>
  <c r="AO101" i="35" s="1"/>
  <c r="AT101" i="35"/>
  <c r="AW101" i="35"/>
  <c r="AY101" i="35" s="1"/>
  <c r="AJ102" i="35"/>
  <c r="AM102" i="35"/>
  <c r="AO102" i="35" s="1"/>
  <c r="AT102" i="35"/>
  <c r="AW102" i="35"/>
  <c r="AY102" i="35" s="1"/>
  <c r="AJ103" i="35"/>
  <c r="AM103" i="35"/>
  <c r="AO103" i="35" s="1"/>
  <c r="AT103" i="35"/>
  <c r="AW103" i="35"/>
  <c r="AY103" i="35" s="1"/>
  <c r="AJ104" i="35"/>
  <c r="AM104" i="35"/>
  <c r="AO104" i="35" s="1"/>
  <c r="AT104" i="35"/>
  <c r="AW104" i="35"/>
  <c r="AY104" i="35" s="1"/>
  <c r="AJ105" i="35"/>
  <c r="AM105" i="35"/>
  <c r="AO105" i="35" s="1"/>
  <c r="AT105" i="35"/>
  <c r="AW105" i="35"/>
  <c r="AY105" i="35" s="1"/>
  <c r="AJ106" i="35"/>
  <c r="AM106" i="35"/>
  <c r="AO106" i="35" s="1"/>
  <c r="AT106" i="35"/>
  <c r="AW106" i="35"/>
  <c r="AY106" i="35" s="1"/>
  <c r="AJ107" i="35"/>
  <c r="AM107" i="35"/>
  <c r="AO107" i="35" s="1"/>
  <c r="AT107" i="35"/>
  <c r="AW107" i="35"/>
  <c r="AY107" i="35" s="1"/>
  <c r="AJ108" i="35"/>
  <c r="AM108" i="35"/>
  <c r="AO108" i="35" s="1"/>
  <c r="AT108" i="35"/>
  <c r="AW108" i="35"/>
  <c r="AY108" i="35" s="1"/>
  <c r="AJ109" i="35"/>
  <c r="AM109" i="35"/>
  <c r="AO109" i="35" s="1"/>
  <c r="AT109" i="35"/>
  <c r="AW109" i="35"/>
  <c r="AY109" i="35" s="1"/>
  <c r="AJ110" i="35"/>
  <c r="AM110" i="35"/>
  <c r="AO110" i="35" s="1"/>
  <c r="AT110" i="35"/>
  <c r="AW110" i="35"/>
  <c r="AJ111" i="35"/>
  <c r="AM111" i="35"/>
  <c r="AO111" i="35" s="1"/>
  <c r="AT111" i="35"/>
  <c r="AW111" i="35"/>
  <c r="AY111" i="35" s="1"/>
  <c r="AH112" i="35"/>
  <c r="AJ112" i="35" s="1"/>
  <c r="AM112" i="35"/>
  <c r="AO112" i="35" s="1"/>
  <c r="AT112" i="35"/>
  <c r="AW112" i="35"/>
  <c r="AY112" i="35" s="1"/>
  <c r="AJ113" i="35"/>
  <c r="AM113" i="35"/>
  <c r="AO113" i="35" s="1"/>
  <c r="AT113" i="35"/>
  <c r="AW113" i="35"/>
  <c r="AY113" i="35" s="1"/>
  <c r="AJ114" i="35"/>
  <c r="AM114" i="35"/>
  <c r="AO114" i="35" s="1"/>
  <c r="AT114" i="35"/>
  <c r="AW114" i="35"/>
  <c r="AY114" i="35" s="1"/>
  <c r="AJ115" i="35"/>
  <c r="AM115" i="35"/>
  <c r="AO115" i="35" s="1"/>
  <c r="AT115" i="35"/>
  <c r="AW115" i="35"/>
  <c r="AY115" i="35" s="1"/>
  <c r="AJ116" i="35"/>
  <c r="AM116" i="35"/>
  <c r="AO116" i="35" s="1"/>
  <c r="AT116" i="35"/>
  <c r="AW116" i="35"/>
  <c r="AY116" i="35" s="1"/>
  <c r="AJ117" i="35"/>
  <c r="AM117" i="35"/>
  <c r="AO117" i="35" s="1"/>
  <c r="AT117" i="35"/>
  <c r="AW117" i="35"/>
  <c r="AY117" i="35" s="1"/>
  <c r="AJ118" i="35"/>
  <c r="AM118" i="35"/>
  <c r="AO118" i="35" s="1"/>
  <c r="AT118" i="35"/>
  <c r="AW118" i="35"/>
  <c r="AY118" i="35" s="1"/>
  <c r="AJ119" i="35"/>
  <c r="AM119" i="35"/>
  <c r="AO119" i="35" s="1"/>
  <c r="AT119" i="35"/>
  <c r="AW119" i="35"/>
  <c r="AY119" i="35" s="1"/>
  <c r="AJ120" i="35"/>
  <c r="AM120" i="35"/>
  <c r="AO120" i="35" s="1"/>
  <c r="AT120" i="35"/>
  <c r="AW120" i="35"/>
  <c r="AY120" i="35" s="1"/>
  <c r="AJ121" i="35"/>
  <c r="AM121" i="35"/>
  <c r="AO121" i="35" s="1"/>
  <c r="AT121" i="35"/>
  <c r="AW121" i="35"/>
  <c r="AY121" i="35" s="1"/>
  <c r="AJ122" i="35"/>
  <c r="AM122" i="35"/>
  <c r="AO122" i="35" s="1"/>
  <c r="AT122" i="35"/>
  <c r="AW122" i="35"/>
  <c r="AY122" i="35" s="1"/>
  <c r="AJ123" i="35"/>
  <c r="AM123" i="35"/>
  <c r="AT123" i="35"/>
  <c r="AW123" i="35"/>
  <c r="AJ124" i="35"/>
  <c r="AM124" i="35"/>
  <c r="AO124" i="35" s="1"/>
  <c r="AT124" i="35"/>
  <c r="AW124" i="35"/>
  <c r="AY124" i="35" s="1"/>
  <c r="AJ125" i="35"/>
  <c r="AM125" i="35"/>
  <c r="AO125" i="35" s="1"/>
  <c r="AT125" i="35"/>
  <c r="AW125" i="35"/>
  <c r="AY125" i="35" s="1"/>
  <c r="AJ126" i="35"/>
  <c r="AM126" i="35"/>
  <c r="AO126" i="35" s="1"/>
  <c r="AT126" i="35"/>
  <c r="AW126" i="35"/>
  <c r="AY126" i="35" s="1"/>
  <c r="AJ127" i="35"/>
  <c r="AM127" i="35"/>
  <c r="AO127" i="35" s="1"/>
  <c r="AT127" i="35"/>
  <c r="AW127" i="35"/>
  <c r="AY127" i="35" s="1"/>
  <c r="AJ128" i="35"/>
  <c r="AM128" i="35"/>
  <c r="AO128" i="35" s="1"/>
  <c r="AT128" i="35"/>
  <c r="AW128" i="35"/>
  <c r="AY128" i="35" s="1"/>
  <c r="AJ129" i="35"/>
  <c r="AM129" i="35"/>
  <c r="AO129" i="35" s="1"/>
  <c r="AT129" i="35"/>
  <c r="AW129" i="35"/>
  <c r="AY129" i="35" s="1"/>
  <c r="AJ130" i="35"/>
  <c r="AM130" i="35"/>
  <c r="AO130" i="35" s="1"/>
  <c r="AT130" i="35"/>
  <c r="AW130" i="35"/>
  <c r="AY130" i="35" s="1"/>
  <c r="AJ131" i="35"/>
  <c r="AM131" i="35"/>
  <c r="AO131" i="35" s="1"/>
  <c r="AT131" i="35"/>
  <c r="AW131" i="35"/>
  <c r="AY131" i="35" s="1"/>
  <c r="AJ132" i="35"/>
  <c r="AM132" i="35"/>
  <c r="AR132" i="35"/>
  <c r="AR50" i="35" s="1"/>
  <c r="AS132" i="35"/>
  <c r="AS50" i="35" s="1"/>
  <c r="AV132" i="35"/>
  <c r="AJ133" i="35"/>
  <c r="AM133" i="35"/>
  <c r="AO133" i="35" s="1"/>
  <c r="AT133" i="35"/>
  <c r="AW133" i="35"/>
  <c r="AY133" i="35" s="1"/>
  <c r="AJ134" i="35"/>
  <c r="AM134" i="35"/>
  <c r="AO134" i="35" s="1"/>
  <c r="AT134" i="35"/>
  <c r="AW134" i="35"/>
  <c r="AY134" i="35" s="1"/>
  <c r="AJ135" i="35"/>
  <c r="AM135" i="35"/>
  <c r="AO135" i="35" s="1"/>
  <c r="AT135" i="35"/>
  <c r="AW135" i="35"/>
  <c r="AY135" i="35" s="1"/>
  <c r="AJ136" i="35"/>
  <c r="AM136" i="35"/>
  <c r="AO136" i="35" s="1"/>
  <c r="AT136" i="35"/>
  <c r="AW136" i="35"/>
  <c r="AY136" i="35" s="1"/>
  <c r="AJ137" i="35"/>
  <c r="AM137" i="35"/>
  <c r="AO137" i="35" s="1"/>
  <c r="AT137" i="35"/>
  <c r="AW137" i="35"/>
  <c r="AY137" i="35" s="1"/>
  <c r="AJ138" i="35"/>
  <c r="AM138" i="35"/>
  <c r="AO138" i="35" s="1"/>
  <c r="AT138" i="35"/>
  <c r="AW138" i="35"/>
  <c r="AY138" i="35" s="1"/>
  <c r="AJ139" i="35"/>
  <c r="AM139" i="35"/>
  <c r="AO139" i="35" s="1"/>
  <c r="AT139" i="35"/>
  <c r="AW139" i="35"/>
  <c r="AJ140" i="35"/>
  <c r="AM140" i="35"/>
  <c r="AO140" i="35" s="1"/>
  <c r="AT140" i="35"/>
  <c r="AW140" i="35"/>
  <c r="AY140" i="35" s="1"/>
  <c r="AJ141" i="35"/>
  <c r="AM141" i="35"/>
  <c r="AO141" i="35" s="1"/>
  <c r="AT141" i="35"/>
  <c r="AW141" i="35"/>
  <c r="AY141" i="35" s="1"/>
  <c r="AJ142" i="35"/>
  <c r="AM142" i="35"/>
  <c r="AO142" i="35" s="1"/>
  <c r="AT142" i="35"/>
  <c r="AW142" i="35"/>
  <c r="AY142" i="35" s="1"/>
  <c r="AJ143" i="35"/>
  <c r="AM143" i="35"/>
  <c r="AO143" i="35" s="1"/>
  <c r="AT143" i="35"/>
  <c r="AW143" i="35"/>
  <c r="AY143" i="35" s="1"/>
  <c r="AJ144" i="35"/>
  <c r="AM144" i="35"/>
  <c r="AT144" i="35"/>
  <c r="AW144" i="35"/>
  <c r="AJ147" i="35"/>
  <c r="AM147" i="35"/>
  <c r="AO147" i="35" s="1"/>
  <c r="AT147" i="35"/>
  <c r="AW147" i="35"/>
  <c r="AY147" i="35" s="1"/>
  <c r="AJ148" i="35"/>
  <c r="AM148" i="35"/>
  <c r="AO148" i="35" s="1"/>
  <c r="AT148" i="35"/>
  <c r="AW148" i="35"/>
  <c r="AY148" i="35" s="1"/>
  <c r="AJ149" i="35"/>
  <c r="AM149" i="35"/>
  <c r="AO149" i="35" s="1"/>
  <c r="AT149" i="35"/>
  <c r="AW149" i="35"/>
  <c r="AY149" i="35" s="1"/>
  <c r="AJ150" i="35"/>
  <c r="AM150" i="35"/>
  <c r="AO150" i="35" s="1"/>
  <c r="AT150" i="35"/>
  <c r="AW150" i="35"/>
  <c r="AY150" i="35" s="1"/>
  <c r="AJ151" i="35"/>
  <c r="AM151" i="35"/>
  <c r="AO151" i="35" s="1"/>
  <c r="AT151" i="35"/>
  <c r="AW151" i="35"/>
  <c r="AY151" i="35" s="1"/>
  <c r="AJ152" i="35"/>
  <c r="AM152" i="35"/>
  <c r="AO152" i="35" s="1"/>
  <c r="AT152" i="35"/>
  <c r="AW152" i="35"/>
  <c r="AY152" i="35" s="1"/>
  <c r="AJ153" i="35"/>
  <c r="AM153" i="35"/>
  <c r="AO153" i="35" s="1"/>
  <c r="AT153" i="35"/>
  <c r="AW153" i="35"/>
  <c r="AJ154" i="35"/>
  <c r="AM154" i="35"/>
  <c r="AO154" i="35" s="1"/>
  <c r="AT154" i="35"/>
  <c r="AW154" i="35"/>
  <c r="AY154" i="35" s="1"/>
  <c r="AJ155" i="35"/>
  <c r="AT155" i="35"/>
  <c r="AJ156" i="35"/>
  <c r="AM156" i="35"/>
  <c r="AO156" i="35" s="1"/>
  <c r="AT156" i="35"/>
  <c r="AW156" i="35"/>
  <c r="AY156" i="35" s="1"/>
  <c r="AJ157" i="35"/>
  <c r="AM157" i="35"/>
  <c r="AO157" i="35" s="1"/>
  <c r="AT157" i="35"/>
  <c r="AW157" i="35"/>
  <c r="AY157" i="35" s="1"/>
  <c r="AJ158" i="35"/>
  <c r="AM158" i="35"/>
  <c r="AO158" i="35" s="1"/>
  <c r="AT158" i="35"/>
  <c r="AW158" i="35"/>
  <c r="AY158" i="35" s="1"/>
  <c r="AJ159" i="35"/>
  <c r="AM159" i="35"/>
  <c r="AO159" i="35" s="1"/>
  <c r="AT159" i="35"/>
  <c r="AW159" i="35"/>
  <c r="AY159" i="35" s="1"/>
  <c r="AH160" i="35"/>
  <c r="AI160" i="35"/>
  <c r="AM160" i="35"/>
  <c r="AO160" i="35" s="1"/>
  <c r="AT160" i="35"/>
  <c r="AW160" i="35"/>
  <c r="AY160" i="35" s="1"/>
  <c r="AJ161" i="35"/>
  <c r="AM161" i="35"/>
  <c r="AO161" i="35" s="1"/>
  <c r="AT161" i="35"/>
  <c r="AW161" i="35"/>
  <c r="AY161" i="35" s="1"/>
  <c r="AJ162" i="35"/>
  <c r="AM162" i="35"/>
  <c r="AO162" i="35" s="1"/>
  <c r="AT162" i="35"/>
  <c r="AW162" i="35"/>
  <c r="AY162" i="35" s="1"/>
  <c r="AJ163" i="35"/>
  <c r="AM163" i="35"/>
  <c r="AO163" i="35" s="1"/>
  <c r="AT163" i="35"/>
  <c r="AW163" i="35"/>
  <c r="AY163" i="35" s="1"/>
  <c r="AJ164" i="35"/>
  <c r="AM164" i="35"/>
  <c r="AO164" i="35" s="1"/>
  <c r="AT164" i="35"/>
  <c r="AW164" i="35"/>
  <c r="AY164" i="35" s="1"/>
  <c r="AJ165" i="35"/>
  <c r="AM165" i="35"/>
  <c r="AO165" i="35" s="1"/>
  <c r="AT165" i="35"/>
  <c r="AW165" i="35"/>
  <c r="AJ166" i="35"/>
  <c r="AM166" i="35"/>
  <c r="AO166" i="35" s="1"/>
  <c r="AT166" i="35"/>
  <c r="AW166" i="35"/>
  <c r="AY166" i="35" s="1"/>
  <c r="AJ167" i="35"/>
  <c r="AL167" i="35"/>
  <c r="AL50" i="35" s="1"/>
  <c r="AT167" i="35"/>
  <c r="AW167" i="35"/>
  <c r="AY167" i="35" s="1"/>
  <c r="AJ168" i="35"/>
  <c r="AM168" i="35"/>
  <c r="AO168" i="35" s="1"/>
  <c r="AT168" i="35"/>
  <c r="AW168" i="35"/>
  <c r="AY168" i="35" s="1"/>
  <c r="AJ169" i="35"/>
  <c r="AM169" i="35"/>
  <c r="AO169" i="35" s="1"/>
  <c r="AT169" i="35"/>
  <c r="AW169" i="35"/>
  <c r="AY169" i="35" s="1"/>
  <c r="AJ170" i="35"/>
  <c r="AM170" i="35"/>
  <c r="AO170" i="35" s="1"/>
  <c r="AT170" i="35"/>
  <c r="AW170" i="35"/>
  <c r="AY170" i="35" s="1"/>
  <c r="AJ171" i="35"/>
  <c r="AM171" i="35"/>
  <c r="AO171" i="35" s="1"/>
  <c r="AT171" i="35"/>
  <c r="AW171" i="35"/>
  <c r="AY171" i="35" s="1"/>
  <c r="AH172" i="35"/>
  <c r="AI172" i="35"/>
  <c r="AM172" i="35"/>
  <c r="AO172" i="35" s="1"/>
  <c r="AT172" i="35"/>
  <c r="AW172" i="35"/>
  <c r="AY172" i="35" s="1"/>
  <c r="AJ174" i="35"/>
  <c r="AM174" i="35"/>
  <c r="AO174" i="35" s="1"/>
  <c r="AT174" i="35"/>
  <c r="AW174" i="35"/>
  <c r="AY174" i="35" s="1"/>
  <c r="AJ175" i="35"/>
  <c r="AM175" i="35"/>
  <c r="AO175" i="35" s="1"/>
  <c r="AT175" i="35"/>
  <c r="AW175" i="35"/>
  <c r="AY175" i="35" s="1"/>
  <c r="AJ176" i="35"/>
  <c r="AM176" i="35"/>
  <c r="AO176" i="35" s="1"/>
  <c r="AT176" i="35"/>
  <c r="AW176" i="35"/>
  <c r="AY176" i="35" s="1"/>
  <c r="AJ177" i="35"/>
  <c r="AM177" i="35"/>
  <c r="AO177" i="35" s="1"/>
  <c r="AT177" i="35"/>
  <c r="AW177" i="35"/>
  <c r="AY177" i="35" s="1"/>
  <c r="AJ179" i="35"/>
  <c r="AM179" i="35"/>
  <c r="AT179" i="35"/>
  <c r="AW179" i="35"/>
  <c r="AJ180" i="35"/>
  <c r="AM180" i="35"/>
  <c r="AO180" i="35" s="1"/>
  <c r="AT180" i="35"/>
  <c r="AW180" i="35"/>
  <c r="AY180" i="35" s="1"/>
  <c r="AJ181" i="35"/>
  <c r="AT181" i="35"/>
  <c r="AW181" i="35"/>
  <c r="AY181" i="35" s="1"/>
  <c r="AJ182" i="35"/>
  <c r="AM182" i="35"/>
  <c r="AO182" i="35" s="1"/>
  <c r="AT182" i="35"/>
  <c r="AW182" i="35"/>
  <c r="AY182" i="35" s="1"/>
  <c r="AJ183" i="35"/>
  <c r="AM183" i="35"/>
  <c r="AO183" i="35" s="1"/>
  <c r="AT183" i="35"/>
  <c r="AW183" i="35"/>
  <c r="AY183" i="35" s="1"/>
  <c r="AJ184" i="35"/>
  <c r="AM184" i="35"/>
  <c r="AO184" i="35" s="1"/>
  <c r="AT184" i="35"/>
  <c r="AW184" i="35"/>
  <c r="AY184" i="35" s="1"/>
  <c r="AJ185" i="35"/>
  <c r="AM185" i="35"/>
  <c r="AO185" i="35" s="1"/>
  <c r="AT185" i="35"/>
  <c r="AW185" i="35"/>
  <c r="AY185" i="35" s="1"/>
  <c r="AJ186" i="35"/>
  <c r="AM186" i="35"/>
  <c r="AT186" i="35"/>
  <c r="AW186" i="35"/>
  <c r="AY186" i="35" s="1"/>
  <c r="AJ187" i="35"/>
  <c r="AM187" i="35"/>
  <c r="AO187" i="35" s="1"/>
  <c r="AT187" i="35"/>
  <c r="AW187" i="35"/>
  <c r="AY187" i="35" s="1"/>
  <c r="AJ188" i="35"/>
  <c r="AM188" i="35"/>
  <c r="AO188" i="35" s="1"/>
  <c r="AT188" i="35"/>
  <c r="AW188" i="35"/>
  <c r="AY188" i="35" s="1"/>
  <c r="AJ189" i="35"/>
  <c r="AM189" i="35"/>
  <c r="AO189" i="35" s="1"/>
  <c r="AT189" i="35"/>
  <c r="AW189" i="35"/>
  <c r="AY189" i="35" s="1"/>
  <c r="AJ190" i="35"/>
  <c r="AM190" i="35"/>
  <c r="AO190" i="35" s="1"/>
  <c r="AT190" i="35"/>
  <c r="AW190" i="35"/>
  <c r="AY190" i="35" s="1"/>
  <c r="AJ191" i="35"/>
  <c r="AM191" i="35"/>
  <c r="AO191" i="35" s="1"/>
  <c r="AT191" i="35"/>
  <c r="AW191" i="35"/>
  <c r="AY191" i="35" s="1"/>
  <c r="AJ192" i="35"/>
  <c r="AM192" i="35"/>
  <c r="AO192" i="35" s="1"/>
  <c r="AT192" i="35"/>
  <c r="AW192" i="35"/>
  <c r="AY192" i="35" s="1"/>
  <c r="AJ193" i="35"/>
  <c r="AM193" i="35"/>
  <c r="AO193" i="35" s="1"/>
  <c r="AT193" i="35"/>
  <c r="AW193" i="35"/>
  <c r="AY193" i="35" s="1"/>
  <c r="AJ194" i="35"/>
  <c r="AM194" i="35"/>
  <c r="AO194" i="35" s="1"/>
  <c r="AT194" i="35"/>
  <c r="AW194" i="35"/>
  <c r="AY194" i="35" s="1"/>
  <c r="AJ195" i="35"/>
  <c r="AM195" i="35"/>
  <c r="AO195" i="35" s="1"/>
  <c r="AT195" i="35"/>
  <c r="AW195" i="35"/>
  <c r="AY195" i="35" s="1"/>
  <c r="AJ196" i="35"/>
  <c r="AM196" i="35"/>
  <c r="AO196" i="35" s="1"/>
  <c r="AT196" i="35"/>
  <c r="AW196" i="35"/>
  <c r="AY196" i="35" s="1"/>
  <c r="AJ197" i="35"/>
  <c r="AM197" i="35"/>
  <c r="AO197" i="35" s="1"/>
  <c r="AT197" i="35"/>
  <c r="AW197" i="35"/>
  <c r="AY197" i="35" s="1"/>
  <c r="AJ198" i="35"/>
  <c r="AM198" i="35"/>
  <c r="AO198" i="35" s="1"/>
  <c r="AT198" i="35"/>
  <c r="AW198" i="35"/>
  <c r="AY198" i="35" s="1"/>
  <c r="AJ199" i="35"/>
  <c r="AM199" i="35"/>
  <c r="AO199" i="35" s="1"/>
  <c r="AT199" i="35"/>
  <c r="AW199" i="35"/>
  <c r="AY199" i="35" s="1"/>
  <c r="AJ200" i="35"/>
  <c r="AM200" i="35"/>
  <c r="AO200" i="35" s="1"/>
  <c r="AT200" i="35"/>
  <c r="AW200" i="35"/>
  <c r="AY200" i="35" s="1"/>
  <c r="AJ201" i="35"/>
  <c r="AM201" i="35"/>
  <c r="AO201" i="35" s="1"/>
  <c r="AT201" i="35"/>
  <c r="AW201" i="35"/>
  <c r="AY201" i="35" s="1"/>
  <c r="AJ202" i="35"/>
  <c r="AM202" i="35"/>
  <c r="AO202" i="35" s="1"/>
  <c r="AT202" i="35"/>
  <c r="AW202" i="35"/>
  <c r="AY202" i="35" s="1"/>
  <c r="AJ203" i="35"/>
  <c r="AM203" i="35"/>
  <c r="AO203" i="35" s="1"/>
  <c r="AT203" i="35"/>
  <c r="AW203" i="35"/>
  <c r="AY203" i="35" s="1"/>
  <c r="AJ204" i="35"/>
  <c r="AM204" i="35"/>
  <c r="AO204" i="35" s="1"/>
  <c r="AT204" i="35"/>
  <c r="AW204" i="35"/>
  <c r="AY204" i="35" s="1"/>
  <c r="AJ205" i="35"/>
  <c r="AM205" i="35"/>
  <c r="AO205" i="35" s="1"/>
  <c r="AT205" i="35"/>
  <c r="AW205" i="35"/>
  <c r="AY205" i="35" s="1"/>
  <c r="AJ206" i="35"/>
  <c r="AM206" i="35"/>
  <c r="AO206" i="35" s="1"/>
  <c r="AT206" i="35"/>
  <c r="AW206" i="35"/>
  <c r="AY206" i="35" s="1"/>
  <c r="AJ207" i="35"/>
  <c r="AM207" i="35"/>
  <c r="AO207" i="35" s="1"/>
  <c r="AT207" i="35"/>
  <c r="AW207" i="35"/>
  <c r="AY207" i="35" s="1"/>
  <c r="AJ208" i="35"/>
  <c r="AM208" i="35"/>
  <c r="AO208" i="35" s="1"/>
  <c r="AT208" i="35"/>
  <c r="AW208" i="35"/>
  <c r="AY208" i="35" s="1"/>
  <c r="AJ209" i="35"/>
  <c r="AM209" i="35"/>
  <c r="AO209" i="35" s="1"/>
  <c r="AT209" i="35"/>
  <c r="AW209" i="35"/>
  <c r="AY209" i="35" s="1"/>
  <c r="AJ210" i="35"/>
  <c r="AM210" i="35"/>
  <c r="AO210" i="35" s="1"/>
  <c r="AT210" i="35"/>
  <c r="AW210" i="35"/>
  <c r="AY210" i="35" s="1"/>
  <c r="AJ211" i="35"/>
  <c r="AM211" i="35"/>
  <c r="AO211" i="35" s="1"/>
  <c r="AT211" i="35"/>
  <c r="AW211" i="35"/>
  <c r="AY211" i="35" s="1"/>
  <c r="AJ212" i="35"/>
  <c r="AM212" i="35"/>
  <c r="AO212" i="35" s="1"/>
  <c r="AT212" i="35"/>
  <c r="AW212" i="35"/>
  <c r="AY212" i="35" s="1"/>
  <c r="AJ213" i="35"/>
  <c r="AM213" i="35"/>
  <c r="AO213" i="35" s="1"/>
  <c r="AT213" i="35"/>
  <c r="AW213" i="35"/>
  <c r="AY213" i="35" s="1"/>
  <c r="AJ214" i="35"/>
  <c r="AM214" i="35"/>
  <c r="AO214" i="35" s="1"/>
  <c r="AT214" i="35"/>
  <c r="AW214" i="35"/>
  <c r="AY214" i="35" s="1"/>
  <c r="AJ215" i="35"/>
  <c r="AM215" i="35"/>
  <c r="AO215" i="35" s="1"/>
  <c r="AT215" i="35"/>
  <c r="AW215" i="35"/>
  <c r="AY215" i="35" s="1"/>
  <c r="AJ216" i="35"/>
  <c r="AM216" i="35"/>
  <c r="AO216" i="35" s="1"/>
  <c r="AT216" i="35"/>
  <c r="AW216" i="35"/>
  <c r="AY216" i="35" s="1"/>
  <c r="AJ217" i="35"/>
  <c r="AM217" i="35"/>
  <c r="AO217" i="35" s="1"/>
  <c r="AT217" i="35"/>
  <c r="AW217" i="35"/>
  <c r="AY217" i="35" s="1"/>
  <c r="AJ218" i="35"/>
  <c r="AM218" i="35"/>
  <c r="AO218" i="35" s="1"/>
  <c r="AT218" i="35"/>
  <c r="AW218" i="35"/>
  <c r="AY218" i="35" s="1"/>
  <c r="AJ219" i="35"/>
  <c r="AM219" i="35"/>
  <c r="AO219" i="35" s="1"/>
  <c r="AT219" i="35"/>
  <c r="AW219" i="35"/>
  <c r="AY219" i="35" s="1"/>
  <c r="AJ220" i="35"/>
  <c r="AM220" i="35"/>
  <c r="AO220" i="35" s="1"/>
  <c r="AT220" i="35"/>
  <c r="AW220" i="35"/>
  <c r="AY220" i="35" s="1"/>
  <c r="AJ221" i="35"/>
  <c r="AM221" i="35"/>
  <c r="AO221" i="35" s="1"/>
  <c r="AT221" i="35"/>
  <c r="AW221" i="35"/>
  <c r="AY221" i="35" s="1"/>
  <c r="AJ222" i="35"/>
  <c r="AM222" i="35"/>
  <c r="AO222" i="35" s="1"/>
  <c r="AT222" i="35"/>
  <c r="AW222" i="35"/>
  <c r="AY222" i="35" s="1"/>
  <c r="AJ223" i="35"/>
  <c r="AM223" i="35"/>
  <c r="AO223" i="35" s="1"/>
  <c r="AT223" i="35"/>
  <c r="AW223" i="35"/>
  <c r="AY223" i="35" s="1"/>
  <c r="AJ224" i="35"/>
  <c r="AM224" i="35"/>
  <c r="AO224" i="35" s="1"/>
  <c r="AT224" i="35"/>
  <c r="AW224" i="35"/>
  <c r="AY224" i="35" s="1"/>
  <c r="AF225" i="35"/>
  <c r="AQ225" i="35"/>
  <c r="AQ6" i="35" s="1"/>
  <c r="AR225" i="35"/>
  <c r="AR6" i="35" s="1"/>
  <c r="AS225" i="35"/>
  <c r="AS6" i="35" s="1"/>
  <c r="AV225" i="35"/>
  <c r="AJ226" i="35"/>
  <c r="AM226" i="35"/>
  <c r="AO226" i="35" s="1"/>
  <c r="AT226" i="35"/>
  <c r="AW226" i="35"/>
  <c r="AY226" i="35" s="1"/>
  <c r="AJ227" i="35"/>
  <c r="AM227" i="35"/>
  <c r="AT227" i="35"/>
  <c r="AW227" i="35"/>
  <c r="AY227" i="35" s="1"/>
  <c r="AJ228" i="35"/>
  <c r="AM228" i="35"/>
  <c r="AO228" i="35" s="1"/>
  <c r="AT228" i="35"/>
  <c r="AW228" i="35"/>
  <c r="AY228" i="35" s="1"/>
  <c r="AJ230" i="35"/>
  <c r="AM230" i="35"/>
  <c r="AO230" i="35" s="1"/>
  <c r="AT230" i="35"/>
  <c r="AW230" i="35"/>
  <c r="AY230" i="35" s="1"/>
  <c r="AJ231" i="35"/>
  <c r="AM231" i="35"/>
  <c r="AO231" i="35" s="1"/>
  <c r="AT231" i="35"/>
  <c r="AW231" i="35"/>
  <c r="AY231" i="35" s="1"/>
  <c r="AJ232" i="35"/>
  <c r="AM232" i="35"/>
  <c r="AO232" i="35" s="1"/>
  <c r="AT232" i="35"/>
  <c r="AW232" i="35"/>
  <c r="AY232" i="35" s="1"/>
  <c r="AJ233" i="35"/>
  <c r="AM233" i="35"/>
  <c r="AO233" i="35" s="1"/>
  <c r="AT233" i="35"/>
  <c r="AW233" i="35"/>
  <c r="AY233" i="35" s="1"/>
  <c r="AJ234" i="35"/>
  <c r="AM234" i="35"/>
  <c r="AO234" i="35" s="1"/>
  <c r="AT234" i="35"/>
  <c r="AW234" i="35"/>
  <c r="AY234" i="35" s="1"/>
  <c r="AJ235" i="35"/>
  <c r="AM235" i="35"/>
  <c r="AO235" i="35" s="1"/>
  <c r="AT235" i="35"/>
  <c r="AW235" i="35"/>
  <c r="AY235" i="35" s="1"/>
  <c r="AJ236" i="35"/>
  <c r="AM236" i="35"/>
  <c r="AO236" i="35" s="1"/>
  <c r="AT236" i="35"/>
  <c r="AW236" i="35"/>
  <c r="AY236" i="35" s="1"/>
  <c r="AJ237" i="35"/>
  <c r="AM237" i="35"/>
  <c r="AO237" i="35" s="1"/>
  <c r="AT237" i="35"/>
  <c r="AW237" i="35"/>
  <c r="AY237" i="35" s="1"/>
  <c r="AJ238" i="35"/>
  <c r="AM238" i="35"/>
  <c r="AO238" i="35" s="1"/>
  <c r="AT238" i="35"/>
  <c r="AW238" i="35"/>
  <c r="AY238" i="35" s="1"/>
  <c r="AJ239" i="35"/>
  <c r="AM239" i="35"/>
  <c r="AO239" i="35" s="1"/>
  <c r="AT239" i="35"/>
  <c r="AW239" i="35"/>
  <c r="AY239" i="35" s="1"/>
  <c r="AJ240" i="35"/>
  <c r="AM240" i="35"/>
  <c r="AO240" i="35" s="1"/>
  <c r="AT240" i="35"/>
  <c r="AW240" i="35"/>
  <c r="AY240" i="35" s="1"/>
  <c r="AJ241" i="35"/>
  <c r="AM241" i="35"/>
  <c r="AO241" i="35" s="1"/>
  <c r="AT241" i="35"/>
  <c r="AW241" i="35"/>
  <c r="AY241" i="35" s="1"/>
  <c r="AJ242" i="35"/>
  <c r="AM242" i="35"/>
  <c r="AO242" i="35" s="1"/>
  <c r="AT242" i="35"/>
  <c r="AW242" i="35"/>
  <c r="AY242" i="35" s="1"/>
  <c r="AJ243" i="35"/>
  <c r="AM243" i="35"/>
  <c r="AO243" i="35" s="1"/>
  <c r="AT243" i="35"/>
  <c r="AW243" i="35"/>
  <c r="AY243" i="35" s="1"/>
  <c r="AJ244" i="35"/>
  <c r="AM244" i="35"/>
  <c r="AO244" i="35" s="1"/>
  <c r="AT244" i="35"/>
  <c r="AW244" i="35"/>
  <c r="AY244" i="35" s="1"/>
  <c r="AJ245" i="35"/>
  <c r="AM245" i="35"/>
  <c r="AO245" i="35" s="1"/>
  <c r="AT245" i="35"/>
  <c r="AW245" i="35"/>
  <c r="AY245" i="35" s="1"/>
  <c r="AJ246" i="35"/>
  <c r="AM246" i="35"/>
  <c r="AO246" i="35" s="1"/>
  <c r="AT246" i="35"/>
  <c r="AW246" i="35"/>
  <c r="AY246" i="35" s="1"/>
  <c r="AJ247" i="35"/>
  <c r="AM247" i="35"/>
  <c r="AO247" i="35" s="1"/>
  <c r="AT247" i="35"/>
  <c r="AW247" i="35"/>
  <c r="AY247" i="35" s="1"/>
  <c r="AJ248" i="35"/>
  <c r="AK248" i="35" s="1"/>
  <c r="AP248" i="35"/>
  <c r="AT248" i="35"/>
  <c r="AU248" i="35" s="1"/>
  <c r="AW248" i="35"/>
  <c r="AJ249" i="35"/>
  <c r="AT249" i="35"/>
  <c r="AW249" i="35"/>
  <c r="AY249" i="35" s="1"/>
  <c r="AJ250" i="35"/>
  <c r="AM250" i="35"/>
  <c r="AO250" i="35" s="1"/>
  <c r="AT250" i="35"/>
  <c r="AW250" i="35"/>
  <c r="AJ251" i="35"/>
  <c r="AM251" i="35"/>
  <c r="AT251" i="35"/>
  <c r="AW251" i="35"/>
  <c r="AY251" i="35" s="1"/>
  <c r="AJ252" i="35"/>
  <c r="AM252" i="35"/>
  <c r="AO252" i="35" s="1"/>
  <c r="AT252" i="35"/>
  <c r="AW252" i="35"/>
  <c r="AY252" i="35" s="1"/>
  <c r="AJ253" i="35"/>
  <c r="AM253" i="35"/>
  <c r="AO253" i="35" s="1"/>
  <c r="AT253" i="35"/>
  <c r="AW253" i="35"/>
  <c r="AY253" i="35" s="1"/>
  <c r="AJ254" i="35"/>
  <c r="AM254" i="35"/>
  <c r="AO254" i="35" s="1"/>
  <c r="AT254" i="35"/>
  <c r="AW254" i="35"/>
  <c r="AY254" i="35" s="1"/>
  <c r="AJ255" i="35"/>
  <c r="AM255" i="35"/>
  <c r="AO255" i="35" s="1"/>
  <c r="AT255" i="35"/>
  <c r="AW255" i="35"/>
  <c r="AY255" i="35" s="1"/>
  <c r="AJ256" i="35"/>
  <c r="AT256" i="35"/>
  <c r="AW256" i="35"/>
  <c r="AY256" i="35" s="1"/>
  <c r="AJ257" i="35"/>
  <c r="AM257" i="35"/>
  <c r="AO257" i="35" s="1"/>
  <c r="AT257" i="35"/>
  <c r="AW257" i="35"/>
  <c r="AY257" i="35" s="1"/>
  <c r="AJ258" i="35"/>
  <c r="AM258" i="35"/>
  <c r="AO258" i="35" s="1"/>
  <c r="AT258" i="35"/>
  <c r="AW258" i="35"/>
  <c r="AY258" i="35" s="1"/>
  <c r="AJ259" i="35"/>
  <c r="AM259" i="35"/>
  <c r="AO259" i="35" s="1"/>
  <c r="AT259" i="35"/>
  <c r="AW259" i="35"/>
  <c r="AY259" i="35" s="1"/>
  <c r="AJ260" i="35"/>
  <c r="AM260" i="35"/>
  <c r="AO260" i="35" s="1"/>
  <c r="AT260" i="35"/>
  <c r="AW260" i="35"/>
  <c r="AY260" i="35" s="1"/>
  <c r="AJ261" i="35"/>
  <c r="AM261" i="35"/>
  <c r="AO261" i="35" s="1"/>
  <c r="AT261" i="35"/>
  <c r="AW261" i="35"/>
  <c r="AY261" i="35" s="1"/>
  <c r="AJ262" i="35"/>
  <c r="AM262" i="35"/>
  <c r="AO262" i="35" s="1"/>
  <c r="AT262" i="35"/>
  <c r="AW262" i="35"/>
  <c r="AY262" i="35" s="1"/>
  <c r="AJ263" i="35"/>
  <c r="AM263" i="35"/>
  <c r="AO263" i="35" s="1"/>
  <c r="AT263" i="35"/>
  <c r="AW263" i="35"/>
  <c r="AY263" i="35" s="1"/>
  <c r="AJ264" i="35"/>
  <c r="AM264" i="35"/>
  <c r="AO264" i="35" s="1"/>
  <c r="AT264" i="35"/>
  <c r="AW264" i="35"/>
  <c r="AY264" i="35" s="1"/>
  <c r="AJ265" i="35"/>
  <c r="AM265" i="35"/>
  <c r="AO265" i="35" s="1"/>
  <c r="AT265" i="35"/>
  <c r="AW265" i="35"/>
  <c r="AY265" i="35" s="1"/>
  <c r="AJ266" i="35"/>
  <c r="AM266" i="35"/>
  <c r="AO266" i="35" s="1"/>
  <c r="AT266" i="35"/>
  <c r="AW266" i="35"/>
  <c r="AY266" i="35" s="1"/>
  <c r="AJ267" i="35"/>
  <c r="AM267" i="35"/>
  <c r="AO267" i="35" s="1"/>
  <c r="AT267" i="35"/>
  <c r="AW267" i="35"/>
  <c r="AY267" i="35" s="1"/>
  <c r="AJ268" i="35"/>
  <c r="AM268" i="35"/>
  <c r="AO268" i="35" s="1"/>
  <c r="AT268" i="35"/>
  <c r="AW268" i="35"/>
  <c r="AY268" i="35" s="1"/>
  <c r="AJ269" i="35"/>
  <c r="AM269" i="35"/>
  <c r="AO269" i="35" s="1"/>
  <c r="AT269" i="35"/>
  <c r="AW269" i="35"/>
  <c r="AY269" i="35" s="1"/>
  <c r="AJ270" i="35"/>
  <c r="AM270" i="35"/>
  <c r="AO270" i="35" s="1"/>
  <c r="AT270" i="35"/>
  <c r="AW270" i="35"/>
  <c r="AY270" i="35" s="1"/>
  <c r="AJ271" i="35"/>
  <c r="AM271" i="35"/>
  <c r="AO271" i="35" s="1"/>
  <c r="AT271" i="35"/>
  <c r="AW271" i="35"/>
  <c r="AY271" i="35" s="1"/>
  <c r="AJ272" i="35"/>
  <c r="AM272" i="35"/>
  <c r="AO272" i="35" s="1"/>
  <c r="AT272" i="35"/>
  <c r="AW272" i="35"/>
  <c r="AY272" i="35" s="1"/>
  <c r="AJ273" i="35"/>
  <c r="AM273" i="35"/>
  <c r="AO273" i="35" s="1"/>
  <c r="AT273" i="35"/>
  <c r="AW273" i="35"/>
  <c r="AY273" i="35" s="1"/>
  <c r="AJ274" i="35"/>
  <c r="AM274" i="35"/>
  <c r="AO274" i="35" s="1"/>
  <c r="AT274" i="35"/>
  <c r="AW274" i="35"/>
  <c r="AY274" i="35" s="1"/>
  <c r="AJ275" i="35"/>
  <c r="AM275" i="35"/>
  <c r="AO275" i="35" s="1"/>
  <c r="AT275" i="35"/>
  <c r="AW275" i="35"/>
  <c r="AJ276" i="35"/>
  <c r="AM276" i="35"/>
  <c r="AO276" i="35" s="1"/>
  <c r="AT276" i="35"/>
  <c r="AW276" i="35"/>
  <c r="AY276" i="35" s="1"/>
  <c r="AJ277" i="35"/>
  <c r="AM277" i="35"/>
  <c r="AO277" i="35" s="1"/>
  <c r="AT277" i="35"/>
  <c r="AW277" i="35"/>
  <c r="AY277" i="35" s="1"/>
  <c r="AJ278" i="35"/>
  <c r="AM278" i="35"/>
  <c r="AO278" i="35" s="1"/>
  <c r="AT278" i="35"/>
  <c r="AW278" i="35"/>
  <c r="AY278" i="35" s="1"/>
  <c r="AJ279" i="35"/>
  <c r="AM279" i="35"/>
  <c r="AO279" i="35" s="1"/>
  <c r="AT279" i="35"/>
  <c r="AW279" i="35"/>
  <c r="AY279" i="35" s="1"/>
  <c r="AJ280" i="35"/>
  <c r="AM280" i="35"/>
  <c r="AO280" i="35" s="1"/>
  <c r="AT280" i="35"/>
  <c r="AW280" i="35"/>
  <c r="AY280" i="35" s="1"/>
  <c r="AJ281" i="35"/>
  <c r="AM281" i="35"/>
  <c r="AO281" i="35" s="1"/>
  <c r="AT281" i="35"/>
  <c r="AW281" i="35"/>
  <c r="AY281" i="35" s="1"/>
  <c r="AJ282" i="35"/>
  <c r="AM282" i="35"/>
  <c r="AO282" i="35" s="1"/>
  <c r="AT282" i="35"/>
  <c r="AW282" i="35"/>
  <c r="AY282" i="35" s="1"/>
  <c r="AJ283" i="35"/>
  <c r="AM283" i="35"/>
  <c r="AO283" i="35" s="1"/>
  <c r="AT283" i="35"/>
  <c r="AW283" i="35"/>
  <c r="AY283" i="35" s="1"/>
  <c r="AJ284" i="35"/>
  <c r="AM284" i="35"/>
  <c r="AO284" i="35" s="1"/>
  <c r="AT284" i="35"/>
  <c r="AW284" i="35"/>
  <c r="AY284" i="35" s="1"/>
  <c r="AJ285" i="35"/>
  <c r="AM285" i="35"/>
  <c r="AO285" i="35" s="1"/>
  <c r="AT285" i="35"/>
  <c r="AW285" i="35"/>
  <c r="AJ286" i="35"/>
  <c r="AM286" i="35"/>
  <c r="AO286" i="35" s="1"/>
  <c r="AT286" i="35"/>
  <c r="AW286" i="35"/>
  <c r="AY286" i="35" s="1"/>
  <c r="AJ287" i="35"/>
  <c r="AM287" i="35"/>
  <c r="AO287" i="35" s="1"/>
  <c r="AT287" i="35"/>
  <c r="AW287" i="35"/>
  <c r="AY287" i="35" s="1"/>
  <c r="AJ288" i="35"/>
  <c r="AM288" i="35"/>
  <c r="AO288" i="35" s="1"/>
  <c r="AT288" i="35"/>
  <c r="AW288" i="35"/>
  <c r="AY288" i="35" s="1"/>
  <c r="AJ289" i="35"/>
  <c r="AM289" i="35"/>
  <c r="AO289" i="35" s="1"/>
  <c r="AT289" i="35"/>
  <c r="AW289" i="35"/>
  <c r="AY289" i="35" s="1"/>
  <c r="AJ290" i="35"/>
  <c r="AL290" i="35"/>
  <c r="AM290" i="35" s="1"/>
  <c r="AO290" i="35" s="1"/>
  <c r="AT290" i="35"/>
  <c r="AW290" i="35"/>
  <c r="AY290" i="35" s="1"/>
  <c r="AJ291" i="35"/>
  <c r="AM291" i="35"/>
  <c r="AO291" i="35" s="1"/>
  <c r="AT291" i="35"/>
  <c r="AW291" i="35"/>
  <c r="AY291" i="35" s="1"/>
  <c r="AJ292" i="35"/>
  <c r="AM292" i="35"/>
  <c r="AO292" i="35" s="1"/>
  <c r="AT292" i="35"/>
  <c r="AW292" i="35"/>
  <c r="AY292" i="35" s="1"/>
  <c r="AJ293" i="35"/>
  <c r="AM293" i="35"/>
  <c r="AO293" i="35" s="1"/>
  <c r="AT293" i="35"/>
  <c r="AW293" i="35"/>
  <c r="AY293" i="35" s="1"/>
  <c r="AJ294" i="35"/>
  <c r="AL294" i="35"/>
  <c r="AM294" i="35" s="1"/>
  <c r="AO294" i="35" s="1"/>
  <c r="AT294" i="35"/>
  <c r="AW294" i="35"/>
  <c r="AY294" i="35" s="1"/>
  <c r="AJ295" i="35"/>
  <c r="AM295" i="35"/>
  <c r="AO295" i="35" s="1"/>
  <c r="AT295" i="35"/>
  <c r="AW295" i="35"/>
  <c r="AY295" i="35" s="1"/>
  <c r="AJ296" i="35"/>
  <c r="AM296" i="35"/>
  <c r="AO296" i="35" s="1"/>
  <c r="AT296" i="35"/>
  <c r="AW296" i="35"/>
  <c r="AY296" i="35" s="1"/>
  <c r="AJ297" i="35"/>
  <c r="AM297" i="35"/>
  <c r="AO297" i="35" s="1"/>
  <c r="AT297" i="35"/>
  <c r="AW297" i="35"/>
  <c r="AY297" i="35" s="1"/>
  <c r="AJ298" i="35"/>
  <c r="AM298" i="35"/>
  <c r="AO298" i="35" s="1"/>
  <c r="AT298" i="35"/>
  <c r="AW298" i="35"/>
  <c r="AY298" i="35" s="1"/>
  <c r="AJ299" i="35"/>
  <c r="AL299" i="35"/>
  <c r="AM299" i="35" s="1"/>
  <c r="AO299" i="35" s="1"/>
  <c r="AT299" i="35"/>
  <c r="AW299" i="35"/>
  <c r="AY299" i="35" s="1"/>
  <c r="AJ300" i="35"/>
  <c r="AM300" i="35"/>
  <c r="AO300" i="35" s="1"/>
  <c r="AT300" i="35"/>
  <c r="AW300" i="35"/>
  <c r="AY300" i="35" s="1"/>
  <c r="AJ301" i="35"/>
  <c r="AM301" i="35"/>
  <c r="AO301" i="35" s="1"/>
  <c r="AT301" i="35"/>
  <c r="AW301" i="35"/>
  <c r="AY301" i="35" s="1"/>
  <c r="AJ302" i="35"/>
  <c r="AM302" i="35"/>
  <c r="AO302" i="35" s="1"/>
  <c r="AT302" i="35"/>
  <c r="AW302" i="35"/>
  <c r="AY302" i="35" s="1"/>
  <c r="AJ303" i="35"/>
  <c r="AM303" i="35"/>
  <c r="AO303" i="35" s="1"/>
  <c r="AT303" i="35"/>
  <c r="AW303" i="35"/>
  <c r="AY303" i="35" s="1"/>
  <c r="AJ304" i="35"/>
  <c r="AL304" i="35"/>
  <c r="AM304" i="35" s="1"/>
  <c r="AO304" i="35" s="1"/>
  <c r="AT304" i="35"/>
  <c r="AW304" i="35"/>
  <c r="AY304" i="35" s="1"/>
  <c r="AJ305" i="35"/>
  <c r="AM305" i="35"/>
  <c r="AO305" i="35" s="1"/>
  <c r="AT305" i="35"/>
  <c r="AW305" i="35"/>
  <c r="AY305" i="35" s="1"/>
  <c r="AJ306" i="35"/>
  <c r="AM306" i="35"/>
  <c r="AO306" i="35" s="1"/>
  <c r="AT306" i="35"/>
  <c r="AW306" i="35"/>
  <c r="AY306" i="35" s="1"/>
  <c r="AJ307" i="35"/>
  <c r="AM307" i="35"/>
  <c r="AT307" i="35"/>
  <c r="AW307" i="35"/>
  <c r="AY307" i="35" s="1"/>
  <c r="AJ308" i="35"/>
  <c r="AM308" i="35"/>
  <c r="AO308" i="35" s="1"/>
  <c r="AT308" i="35"/>
  <c r="AW308" i="35"/>
  <c r="AY308" i="35" s="1"/>
  <c r="AJ309" i="35"/>
  <c r="AM309" i="35"/>
  <c r="AO309" i="35" s="1"/>
  <c r="AT309" i="35"/>
  <c r="AW309" i="35"/>
  <c r="AY309" i="35" s="1"/>
  <c r="AJ310" i="35"/>
  <c r="AM310" i="35"/>
  <c r="AO310" i="35" s="1"/>
  <c r="AT310" i="35"/>
  <c r="AW310" i="35"/>
  <c r="AY310" i="35" s="1"/>
  <c r="AJ311" i="35"/>
  <c r="AM311" i="35"/>
  <c r="AO311" i="35" s="1"/>
  <c r="AT311" i="35"/>
  <c r="AW311" i="35"/>
  <c r="AY311" i="35" s="1"/>
  <c r="AJ312" i="35"/>
  <c r="AM312" i="35"/>
  <c r="AO312" i="35" s="1"/>
  <c r="AT312" i="35"/>
  <c r="AW312" i="35"/>
  <c r="AY312" i="35" s="1"/>
  <c r="AJ313" i="35"/>
  <c r="AM313" i="35"/>
  <c r="AO313" i="35" s="1"/>
  <c r="AT313" i="35"/>
  <c r="AW313" i="35"/>
  <c r="AY313" i="35" s="1"/>
  <c r="AJ314" i="35"/>
  <c r="AM314" i="35"/>
  <c r="AO314" i="35" s="1"/>
  <c r="AT314" i="35"/>
  <c r="AW314" i="35"/>
  <c r="AY314" i="35" s="1"/>
  <c r="AJ315" i="35"/>
  <c r="AM315" i="35"/>
  <c r="AO315" i="35" s="1"/>
  <c r="AT315" i="35"/>
  <c r="AW315" i="35"/>
  <c r="AY315" i="35" s="1"/>
  <c r="AJ316" i="35"/>
  <c r="AM316" i="35"/>
  <c r="AO316" i="35" s="1"/>
  <c r="AT316" i="35"/>
  <c r="AW316" i="35"/>
  <c r="AY316" i="35" s="1"/>
  <c r="AJ317" i="35"/>
  <c r="AM317" i="35"/>
  <c r="AO317" i="35" s="1"/>
  <c r="AT317" i="35"/>
  <c r="AW317" i="35"/>
  <c r="AY317" i="35" s="1"/>
  <c r="AJ318" i="35"/>
  <c r="AM318" i="35"/>
  <c r="AO318" i="35" s="1"/>
  <c r="AT318" i="35"/>
  <c r="AW318" i="35"/>
  <c r="AY318" i="35" s="1"/>
  <c r="AJ319" i="35"/>
  <c r="AM319" i="35"/>
  <c r="AO319" i="35" s="1"/>
  <c r="AT319" i="35"/>
  <c r="AW319" i="35"/>
  <c r="AY319" i="35" s="1"/>
  <c r="AJ320" i="35"/>
  <c r="AM320" i="35"/>
  <c r="AO320" i="35" s="1"/>
  <c r="AT320" i="35"/>
  <c r="AW320" i="35"/>
  <c r="AY320" i="35" s="1"/>
  <c r="AJ321" i="35"/>
  <c r="AM321" i="35"/>
  <c r="AO321" i="35" s="1"/>
  <c r="AT321" i="35"/>
  <c r="AW321" i="35"/>
  <c r="AY321" i="35" s="1"/>
  <c r="AJ322" i="35"/>
  <c r="AM322" i="35"/>
  <c r="AO322" i="35" s="1"/>
  <c r="AT322" i="35"/>
  <c r="AW322" i="35"/>
  <c r="AY322" i="35" s="1"/>
  <c r="AJ323" i="35"/>
  <c r="AM323" i="35"/>
  <c r="AO323" i="35" s="1"/>
  <c r="AT323" i="35"/>
  <c r="AW323" i="35"/>
  <c r="AY323" i="35" s="1"/>
  <c r="AJ324" i="35"/>
  <c r="AM324" i="35"/>
  <c r="AO324" i="35" s="1"/>
  <c r="AT324" i="35"/>
  <c r="AW324" i="35"/>
  <c r="AY324" i="35" s="1"/>
  <c r="AJ325" i="35"/>
  <c r="AM325" i="35"/>
  <c r="AO325" i="35" s="1"/>
  <c r="AT325" i="35"/>
  <c r="AW325" i="35"/>
  <c r="AY325" i="35" s="1"/>
  <c r="AJ326" i="35"/>
  <c r="AM326" i="35"/>
  <c r="AO326" i="35" s="1"/>
  <c r="AT326" i="35"/>
  <c r="AW326" i="35"/>
  <c r="AY326" i="35" s="1"/>
  <c r="AJ327" i="35"/>
  <c r="AM327" i="35"/>
  <c r="AO327" i="35" s="1"/>
  <c r="AT327" i="35"/>
  <c r="AW327" i="35"/>
  <c r="AY327" i="35" s="1"/>
  <c r="AJ328" i="35"/>
  <c r="AM328" i="35"/>
  <c r="AO328" i="35" s="1"/>
  <c r="AT328" i="35"/>
  <c r="AW328" i="35"/>
  <c r="AY328" i="35" s="1"/>
  <c r="AJ329" i="35"/>
  <c r="AM329" i="35"/>
  <c r="AO329" i="35" s="1"/>
  <c r="AT329" i="35"/>
  <c r="AW329" i="35"/>
  <c r="AY329" i="35" s="1"/>
  <c r="AJ330" i="35"/>
  <c r="AM330" i="35"/>
  <c r="AO330" i="35" s="1"/>
  <c r="AT330" i="35"/>
  <c r="AW330" i="35"/>
  <c r="AY330" i="35" s="1"/>
  <c r="AJ331" i="35"/>
  <c r="AM331" i="35"/>
  <c r="AO331" i="35" s="1"/>
  <c r="AT331" i="35"/>
  <c r="AW331" i="35"/>
  <c r="AY331" i="35" s="1"/>
  <c r="AJ332" i="35"/>
  <c r="AM332" i="35"/>
  <c r="AT332" i="35"/>
  <c r="AW332" i="35"/>
  <c r="AY332" i="35" s="1"/>
  <c r="AH333" i="35"/>
  <c r="AJ333" i="35" s="1"/>
  <c r="AL333" i="35"/>
  <c r="AM333" i="35" s="1"/>
  <c r="AO333" i="35" s="1"/>
  <c r="AT333" i="35"/>
  <c r="AW333" i="35"/>
  <c r="AY333" i="35" s="1"/>
  <c r="AH334" i="35"/>
  <c r="AI334" i="35"/>
  <c r="AL334" i="35"/>
  <c r="AM334" i="35" s="1"/>
  <c r="AO334" i="35" s="1"/>
  <c r="AT334" i="35"/>
  <c r="AW334" i="35"/>
  <c r="AY334" i="35" s="1"/>
  <c r="AJ335" i="35"/>
  <c r="AM335" i="35"/>
  <c r="AO335" i="35" s="1"/>
  <c r="AT335" i="35"/>
  <c r="AW335" i="35"/>
  <c r="AY335" i="35" s="1"/>
  <c r="AJ336" i="35"/>
  <c r="AM336" i="35"/>
  <c r="AO336" i="35" s="1"/>
  <c r="AT336" i="35"/>
  <c r="AW336" i="35"/>
  <c r="AY336" i="35" s="1"/>
  <c r="AH337" i="35"/>
  <c r="AI337" i="35"/>
  <c r="AL337" i="35"/>
  <c r="AM337" i="35" s="1"/>
  <c r="AO337" i="35" s="1"/>
  <c r="AT337" i="35"/>
  <c r="AW337" i="35"/>
  <c r="AY337" i="35" s="1"/>
  <c r="AH338" i="35"/>
  <c r="AJ338" i="35" s="1"/>
  <c r="AL338" i="35"/>
  <c r="AM338" i="35" s="1"/>
  <c r="AO338" i="35" s="1"/>
  <c r="AT338" i="35"/>
  <c r="AW338" i="35"/>
  <c r="AY338" i="35" s="1"/>
  <c r="AJ339" i="35"/>
  <c r="AM339" i="35"/>
  <c r="AO339" i="35" s="1"/>
  <c r="AT339" i="35"/>
  <c r="AW339" i="35"/>
  <c r="AY339" i="35" s="1"/>
  <c r="AJ340" i="35"/>
  <c r="AM340" i="35"/>
  <c r="AO340" i="35" s="1"/>
  <c r="AT340" i="35"/>
  <c r="AW340" i="35"/>
  <c r="AY340" i="35" s="1"/>
  <c r="AJ341" i="35"/>
  <c r="AL341" i="35"/>
  <c r="AM341" i="35" s="1"/>
  <c r="AO341" i="35" s="1"/>
  <c r="AT341" i="35"/>
  <c r="AW341" i="35"/>
  <c r="AY341" i="35" s="1"/>
  <c r="AH342" i="35"/>
  <c r="AJ342" i="35" s="1"/>
  <c r="AL342" i="35"/>
  <c r="AM342" i="35" s="1"/>
  <c r="AO342" i="35" s="1"/>
  <c r="AT342" i="35"/>
  <c r="AW342" i="35"/>
  <c r="AY342" i="35" s="1"/>
  <c r="AJ343" i="35"/>
  <c r="AM343" i="35"/>
  <c r="AO343" i="35" s="1"/>
  <c r="AT343" i="35"/>
  <c r="AW343" i="35"/>
  <c r="AY343" i="35" s="1"/>
  <c r="AH344" i="35"/>
  <c r="AJ344" i="35" s="1"/>
  <c r="AL344" i="35"/>
  <c r="AM344" i="35" s="1"/>
  <c r="AO344" i="35" s="1"/>
  <c r="AT344" i="35"/>
  <c r="AW344" i="35"/>
  <c r="AY344" i="35" s="1"/>
  <c r="AJ345" i="35"/>
  <c r="AM345" i="35"/>
  <c r="AT345" i="35"/>
  <c r="AW345" i="35"/>
  <c r="AY345" i="35" s="1"/>
  <c r="AJ346" i="35"/>
  <c r="AM346" i="35"/>
  <c r="AO346" i="35" s="1"/>
  <c r="AT346" i="35"/>
  <c r="AW346" i="35"/>
  <c r="AY346" i="35" s="1"/>
  <c r="AJ347" i="35"/>
  <c r="AM347" i="35"/>
  <c r="AO347" i="35" s="1"/>
  <c r="AT347" i="35"/>
  <c r="AW347" i="35"/>
  <c r="AY347" i="35" s="1"/>
  <c r="AJ348" i="35"/>
  <c r="AM348" i="35"/>
  <c r="AO348" i="35" s="1"/>
  <c r="AT348" i="35"/>
  <c r="AW348" i="35"/>
  <c r="AY348" i="35" s="1"/>
  <c r="AJ349" i="35"/>
  <c r="AM349" i="35"/>
  <c r="AO349" i="35" s="1"/>
  <c r="AT349" i="35"/>
  <c r="AW349" i="35"/>
  <c r="AY349" i="35" s="1"/>
  <c r="AJ350" i="35"/>
  <c r="AM350" i="35"/>
  <c r="AO350" i="35" s="1"/>
  <c r="AT350" i="35"/>
  <c r="AW350" i="35"/>
  <c r="AY350" i="35" s="1"/>
  <c r="AJ351" i="35"/>
  <c r="AM351" i="35"/>
  <c r="AO351" i="35" s="1"/>
  <c r="AT351" i="35"/>
  <c r="AW351" i="35"/>
  <c r="AY351" i="35" s="1"/>
  <c r="AJ352" i="35"/>
  <c r="AL352" i="35"/>
  <c r="AM352" i="35" s="1"/>
  <c r="AO352" i="35" s="1"/>
  <c r="AT352" i="35"/>
  <c r="AW352" i="35"/>
  <c r="AY352" i="35" s="1"/>
  <c r="AJ353" i="35"/>
  <c r="AM353" i="35"/>
  <c r="AO353" i="35" s="1"/>
  <c r="AT353" i="35"/>
  <c r="AW353" i="35"/>
  <c r="AY353" i="35" s="1"/>
  <c r="AJ354" i="35"/>
  <c r="AM354" i="35"/>
  <c r="AO354" i="35" s="1"/>
  <c r="AT354" i="35"/>
  <c r="AW354" i="35"/>
  <c r="AY354" i="35" s="1"/>
  <c r="AJ355" i="35"/>
  <c r="AM355" i="35"/>
  <c r="AO355" i="35" s="1"/>
  <c r="AT355" i="35"/>
  <c r="AW355" i="35"/>
  <c r="AY355" i="35" s="1"/>
  <c r="AJ356" i="35"/>
  <c r="AM356" i="35"/>
  <c r="AO356" i="35" s="1"/>
  <c r="AT356" i="35"/>
  <c r="AW356" i="35"/>
  <c r="AY356" i="35" s="1"/>
  <c r="AJ357" i="35"/>
  <c r="AM357" i="35"/>
  <c r="AO357" i="35" s="1"/>
  <c r="AT357" i="35"/>
  <c r="AW357" i="35"/>
  <c r="AY357" i="35" s="1"/>
  <c r="AJ358" i="35"/>
  <c r="AM358" i="35"/>
  <c r="AO358" i="35" s="1"/>
  <c r="AT358" i="35"/>
  <c r="AW358" i="35"/>
  <c r="AY358" i="35" s="1"/>
  <c r="AJ359" i="35"/>
  <c r="AM359" i="35"/>
  <c r="AO359" i="35" s="1"/>
  <c r="AT359" i="35"/>
  <c r="AW359" i="35"/>
  <c r="AY359" i="35" s="1"/>
  <c r="AJ360" i="35"/>
  <c r="AM360" i="35"/>
  <c r="AO360" i="35" s="1"/>
  <c r="AT360" i="35"/>
  <c r="AW360" i="35"/>
  <c r="AY360" i="35" s="1"/>
  <c r="AJ361" i="35"/>
  <c r="AM361" i="35"/>
  <c r="AO361" i="35" s="1"/>
  <c r="AT361" i="35"/>
  <c r="AW361" i="35"/>
  <c r="AY361" i="35" s="1"/>
  <c r="AJ362" i="35"/>
  <c r="AM362" i="35"/>
  <c r="AO362" i="35" s="1"/>
  <c r="AT362" i="35"/>
  <c r="AW362" i="35"/>
  <c r="AY362" i="35" s="1"/>
  <c r="AJ363" i="35"/>
  <c r="AM363" i="35"/>
  <c r="AO363" i="35" s="1"/>
  <c r="AT363" i="35"/>
  <c r="AW363" i="35"/>
  <c r="AY363" i="35" s="1"/>
  <c r="AJ364" i="35"/>
  <c r="AM364" i="35"/>
  <c r="AO364" i="35" s="1"/>
  <c r="AT364" i="35"/>
  <c r="AW364" i="35"/>
  <c r="AY364" i="35" s="1"/>
  <c r="AJ365" i="35"/>
  <c r="AM365" i="35"/>
  <c r="AO365" i="35" s="1"/>
  <c r="AT365" i="35"/>
  <c r="AW365" i="35"/>
  <c r="AY365" i="35" s="1"/>
  <c r="AJ366" i="35"/>
  <c r="AM366" i="35"/>
  <c r="AO366" i="35" s="1"/>
  <c r="AT366" i="35"/>
  <c r="AW366" i="35"/>
  <c r="AY366" i="35" s="1"/>
  <c r="AJ367" i="35"/>
  <c r="AM367" i="35"/>
  <c r="AO367" i="35" s="1"/>
  <c r="AT367" i="35"/>
  <c r="AW367" i="35"/>
  <c r="AY367" i="35" s="1"/>
  <c r="AJ368" i="35"/>
  <c r="AM368" i="35"/>
  <c r="AO368" i="35" s="1"/>
  <c r="AT368" i="35"/>
  <c r="AW368" i="35"/>
  <c r="AY368" i="35" s="1"/>
  <c r="AJ369" i="35"/>
  <c r="AM369" i="35"/>
  <c r="AO369" i="35" s="1"/>
  <c r="AT369" i="35"/>
  <c r="AW369" i="35"/>
  <c r="AJ370" i="35"/>
  <c r="AM370" i="35"/>
  <c r="AO370" i="35" s="1"/>
  <c r="AT370" i="35"/>
  <c r="AW370" i="35"/>
  <c r="AY370" i="35" s="1"/>
  <c r="AJ371" i="35"/>
  <c r="AT371" i="35"/>
  <c r="AW371" i="35"/>
  <c r="AY371" i="35" s="1"/>
  <c r="AJ372" i="35"/>
  <c r="AM372" i="35"/>
  <c r="AO372" i="35" s="1"/>
  <c r="AT372" i="35"/>
  <c r="AW372" i="35"/>
  <c r="AY372" i="35" s="1"/>
  <c r="AJ373" i="35"/>
  <c r="AM373" i="35"/>
  <c r="AO373" i="35" s="1"/>
  <c r="AT373" i="35"/>
  <c r="AW373" i="35"/>
  <c r="AY373" i="35" s="1"/>
  <c r="AJ374" i="35"/>
  <c r="AM374" i="35"/>
  <c r="AO374" i="35" s="1"/>
  <c r="AT374" i="35"/>
  <c r="AW374" i="35"/>
  <c r="AY374" i="35" s="1"/>
  <c r="AJ375" i="35"/>
  <c r="AM375" i="35"/>
  <c r="AO375" i="35" s="1"/>
  <c r="AT375" i="35"/>
  <c r="AW375" i="35"/>
  <c r="AY375" i="35" s="1"/>
  <c r="AJ376" i="35"/>
  <c r="AM376" i="35"/>
  <c r="AO376" i="35" s="1"/>
  <c r="AT376" i="35"/>
  <c r="AW376" i="35"/>
  <c r="AY376" i="35" s="1"/>
  <c r="AJ377" i="35"/>
  <c r="AM377" i="35"/>
  <c r="AO377" i="35" s="1"/>
  <c r="AT377" i="35"/>
  <c r="AW377" i="35"/>
  <c r="AY377" i="35" s="1"/>
  <c r="AJ378" i="35"/>
  <c r="AM378" i="35"/>
  <c r="AO378" i="35" s="1"/>
  <c r="AT378" i="35"/>
  <c r="AW378" i="35"/>
  <c r="AY378" i="35" s="1"/>
  <c r="AJ381" i="35"/>
  <c r="AM381" i="35"/>
  <c r="AO381" i="35" s="1"/>
  <c r="AT381" i="35"/>
  <c r="AW381" i="35"/>
  <c r="AY381" i="35" s="1"/>
  <c r="AJ382" i="35"/>
  <c r="AM382" i="35"/>
  <c r="AO382" i="35" s="1"/>
  <c r="AT382" i="35"/>
  <c r="AW382" i="35"/>
  <c r="AY382" i="35" s="1"/>
  <c r="AJ383" i="35"/>
  <c r="AM383" i="35"/>
  <c r="AO383" i="35" s="1"/>
  <c r="AT383" i="35"/>
  <c r="AW383" i="35"/>
  <c r="AY383" i="35" s="1"/>
  <c r="AJ385" i="35"/>
  <c r="AM385" i="35"/>
  <c r="AO385" i="35" s="1"/>
  <c r="AT385" i="35"/>
  <c r="AW385" i="35"/>
  <c r="AY385" i="35" s="1"/>
  <c r="AJ384" i="35"/>
  <c r="AM384" i="35"/>
  <c r="AO384" i="35" s="1"/>
  <c r="AT384" i="35"/>
  <c r="AW384" i="35"/>
  <c r="AY384" i="35" s="1"/>
  <c r="AJ386" i="35"/>
  <c r="AM386" i="35"/>
  <c r="AO386" i="35" s="1"/>
  <c r="AT386" i="35"/>
  <c r="AW386" i="35"/>
  <c r="AY386" i="35" s="1"/>
  <c r="AH390" i="35"/>
  <c r="AJ390" i="35" s="1"/>
  <c r="AL390" i="35"/>
  <c r="AM390" i="35" s="1"/>
  <c r="AO390" i="35" s="1"/>
  <c r="AT390" i="35"/>
  <c r="AW390" i="35"/>
  <c r="AY390" i="35" s="1"/>
  <c r="AJ391" i="35"/>
  <c r="AM391" i="35"/>
  <c r="AO391" i="35" s="1"/>
  <c r="AT391" i="35"/>
  <c r="AW391" i="35"/>
  <c r="AY391" i="35" s="1"/>
  <c r="AJ392" i="35"/>
  <c r="AM392" i="35"/>
  <c r="AO392" i="35" s="1"/>
  <c r="AT392" i="35"/>
  <c r="AW392" i="35"/>
  <c r="AY392" i="35" s="1"/>
  <c r="AJ387" i="35"/>
  <c r="AM387" i="35"/>
  <c r="AO387" i="35" s="1"/>
  <c r="AT387" i="35"/>
  <c r="AW387" i="35"/>
  <c r="AY387" i="35" s="1"/>
  <c r="AJ388" i="35"/>
  <c r="AM388" i="35"/>
  <c r="AO388" i="35" s="1"/>
  <c r="AT388" i="35"/>
  <c r="AW388" i="35"/>
  <c r="AY388" i="35" s="1"/>
  <c r="AJ393" i="35"/>
  <c r="AM393" i="35"/>
  <c r="AO393" i="35" s="1"/>
  <c r="AT393" i="35"/>
  <c r="AW393" i="35"/>
  <c r="AY393" i="35" s="1"/>
  <c r="AJ394" i="35"/>
  <c r="AM394" i="35"/>
  <c r="AO394" i="35" s="1"/>
  <c r="AT394" i="35"/>
  <c r="AW394" i="35"/>
  <c r="AY394" i="35" s="1"/>
  <c r="AJ395" i="35"/>
  <c r="AM395" i="35"/>
  <c r="AO395" i="35" s="1"/>
  <c r="AT395" i="35"/>
  <c r="AW395" i="35"/>
  <c r="AY395" i="35" s="1"/>
  <c r="AJ389" i="35"/>
  <c r="AM389" i="35"/>
  <c r="AO389" i="35" s="1"/>
  <c r="AT389" i="35"/>
  <c r="AW389" i="35"/>
  <c r="AY389" i="35" s="1"/>
  <c r="AJ379" i="35"/>
  <c r="AM379" i="35"/>
  <c r="AO379" i="35" s="1"/>
  <c r="AT379" i="35"/>
  <c r="AW379" i="35"/>
  <c r="AY379" i="35" s="1"/>
  <c r="AJ380" i="35"/>
  <c r="AM380" i="35"/>
  <c r="AO380" i="35" s="1"/>
  <c r="AT380" i="35"/>
  <c r="AW380" i="35"/>
  <c r="AY380" i="35" s="1"/>
  <c r="AJ396" i="35"/>
  <c r="AM396" i="35"/>
  <c r="AO396" i="35" s="1"/>
  <c r="AT396" i="35"/>
  <c r="AW396" i="35"/>
  <c r="AY396" i="35" s="1"/>
  <c r="AJ397" i="35"/>
  <c r="AM397" i="35"/>
  <c r="AO397" i="35" s="1"/>
  <c r="AT397" i="35"/>
  <c r="AW397" i="35"/>
  <c r="AY397" i="35" s="1"/>
  <c r="AJ398" i="35"/>
  <c r="AM398" i="35"/>
  <c r="AO398" i="35" s="1"/>
  <c r="AT398" i="35"/>
  <c r="AW398" i="35"/>
  <c r="AY398" i="35" s="1"/>
  <c r="AJ399" i="35"/>
  <c r="AM399" i="35"/>
  <c r="AO399" i="35" s="1"/>
  <c r="AT399" i="35"/>
  <c r="AW399" i="35"/>
  <c r="AJ400" i="35"/>
  <c r="AM400" i="35"/>
  <c r="AO400" i="35" s="1"/>
  <c r="AT400" i="35"/>
  <c r="AW400" i="35"/>
  <c r="AY400" i="35" s="1"/>
  <c r="AJ401" i="35"/>
  <c r="AM401" i="35"/>
  <c r="AO401" i="35" s="1"/>
  <c r="AT401" i="35"/>
  <c r="AW401" i="35"/>
  <c r="AY401" i="35" s="1"/>
  <c r="AJ402" i="35"/>
  <c r="AM402" i="35"/>
  <c r="AO402" i="35" s="1"/>
  <c r="AT402" i="35"/>
  <c r="AW402" i="35"/>
  <c r="AY402" i="35" s="1"/>
  <c r="AJ403" i="35"/>
  <c r="AM403" i="35"/>
  <c r="AT403" i="35"/>
  <c r="AW403" i="35"/>
  <c r="AY403" i="35" s="1"/>
  <c r="AJ404" i="35"/>
  <c r="AM404" i="35"/>
  <c r="AO404" i="35" s="1"/>
  <c r="AT404" i="35"/>
  <c r="AW404" i="35"/>
  <c r="AY404" i="35" s="1"/>
  <c r="AJ405" i="35"/>
  <c r="AM405" i="35"/>
  <c r="AO405" i="35" s="1"/>
  <c r="AT405" i="35"/>
  <c r="AW405" i="35"/>
  <c r="AY405" i="35" s="1"/>
  <c r="AJ406" i="35"/>
  <c r="AK406" i="35" s="1"/>
  <c r="AM406" i="35"/>
  <c r="AO406" i="35" s="1"/>
  <c r="AP406" i="35" s="1"/>
  <c r="AT406" i="35"/>
  <c r="AU406" i="35" s="1"/>
  <c r="AW406" i="35"/>
  <c r="AY406" i="35" s="1"/>
  <c r="AZ406" i="35" s="1"/>
  <c r="AJ407" i="35"/>
  <c r="AM407" i="35"/>
  <c r="AO407" i="35" s="1"/>
  <c r="AT407" i="35"/>
  <c r="AW407" i="35"/>
  <c r="AY407" i="35" s="1"/>
  <c r="AJ408" i="35"/>
  <c r="AM408" i="35"/>
  <c r="AO408" i="35" s="1"/>
  <c r="AT408" i="35"/>
  <c r="AW408" i="35"/>
  <c r="AY408" i="35" s="1"/>
  <c r="AJ409" i="35"/>
  <c r="AM409" i="35"/>
  <c r="AT409" i="35"/>
  <c r="AW409" i="35"/>
  <c r="AY409" i="35" s="1"/>
  <c r="AJ410" i="35"/>
  <c r="AM410" i="35"/>
  <c r="AO410" i="35" s="1"/>
  <c r="AT410" i="35"/>
  <c r="AW410" i="35"/>
  <c r="AY410" i="35" s="1"/>
  <c r="AJ411" i="35"/>
  <c r="AM411" i="35"/>
  <c r="AO411" i="35" s="1"/>
  <c r="AT411" i="35"/>
  <c r="AW411" i="35"/>
  <c r="AY411" i="35" s="1"/>
  <c r="AJ412" i="35"/>
  <c r="AM412" i="35"/>
  <c r="AO412" i="35" s="1"/>
  <c r="AT412" i="35"/>
  <c r="AW412" i="35"/>
  <c r="AY412" i="35" s="1"/>
  <c r="AJ413" i="35"/>
  <c r="AM413" i="35"/>
  <c r="AO413" i="35" s="1"/>
  <c r="AT413" i="35"/>
  <c r="AW413" i="35"/>
  <c r="AY413" i="35" s="1"/>
  <c r="AJ414" i="35"/>
  <c r="AM414" i="35"/>
  <c r="AO414" i="35" s="1"/>
  <c r="AT414" i="35"/>
  <c r="AW414" i="35"/>
  <c r="AY414" i="35" s="1"/>
  <c r="AJ415" i="35"/>
  <c r="AM415" i="35"/>
  <c r="AO415" i="35" s="1"/>
  <c r="AT415" i="35"/>
  <c r="AW415" i="35"/>
  <c r="AJ417" i="35"/>
  <c r="AO417" i="35"/>
  <c r="AT417" i="35"/>
  <c r="AW417" i="35"/>
  <c r="AY417" i="35" s="1"/>
  <c r="AJ419" i="35"/>
  <c r="AM419" i="35"/>
  <c r="AO419" i="35" s="1"/>
  <c r="AT419" i="35"/>
  <c r="AW419" i="35"/>
  <c r="AY419" i="35" s="1"/>
  <c r="AJ420" i="35"/>
  <c r="AM420" i="35"/>
  <c r="AO420" i="35" s="1"/>
  <c r="AT420" i="35"/>
  <c r="AW420" i="35"/>
  <c r="AY420" i="35" s="1"/>
  <c r="AJ421" i="35"/>
  <c r="AM421" i="35"/>
  <c r="AO421" i="35" s="1"/>
  <c r="AT421" i="35"/>
  <c r="AW421" i="35"/>
  <c r="AY421" i="35" s="1"/>
  <c r="AJ422" i="35"/>
  <c r="AM422" i="35"/>
  <c r="AO422" i="35" s="1"/>
  <c r="AT422" i="35"/>
  <c r="AW422" i="35"/>
  <c r="AY422" i="35" s="1"/>
  <c r="AJ423" i="35"/>
  <c r="AM423" i="35"/>
  <c r="AO423" i="35" s="1"/>
  <c r="AT423" i="35"/>
  <c r="AW423" i="35"/>
  <c r="AY423" i="35" s="1"/>
  <c r="AJ424" i="35"/>
  <c r="AM424" i="35"/>
  <c r="AO424" i="35" s="1"/>
  <c r="AT424" i="35"/>
  <c r="AW424" i="35"/>
  <c r="AY424" i="35" s="1"/>
  <c r="AJ425" i="35"/>
  <c r="AM425" i="35"/>
  <c r="AO425" i="35" s="1"/>
  <c r="AT425" i="35"/>
  <c r="AW425" i="35"/>
  <c r="AY425" i="35" s="1"/>
  <c r="AJ426" i="35"/>
  <c r="AM426" i="35"/>
  <c r="AO426" i="35" s="1"/>
  <c r="AT426" i="35"/>
  <c r="AW426" i="35"/>
  <c r="AY426" i="35" s="1"/>
  <c r="AJ427" i="35"/>
  <c r="AM427" i="35"/>
  <c r="AO427" i="35" s="1"/>
  <c r="AT427" i="35"/>
  <c r="AW427" i="35"/>
  <c r="AY427" i="35" s="1"/>
  <c r="AJ428" i="35"/>
  <c r="AM428" i="35"/>
  <c r="AO428" i="35" s="1"/>
  <c r="AT428" i="35"/>
  <c r="AW428" i="35"/>
  <c r="AY428" i="35" s="1"/>
  <c r="AJ429" i="35"/>
  <c r="AM429" i="35"/>
  <c r="AO429" i="35" s="1"/>
  <c r="AT429" i="35"/>
  <c r="AW429" i="35"/>
  <c r="AY429" i="35" s="1"/>
  <c r="AJ430" i="35"/>
  <c r="AM430" i="35"/>
  <c r="AO430" i="35" s="1"/>
  <c r="AT430" i="35"/>
  <c r="AW430" i="35"/>
  <c r="AY430" i="35" s="1"/>
  <c r="AJ431" i="35"/>
  <c r="AM431" i="35"/>
  <c r="AO431" i="35" s="1"/>
  <c r="AT431" i="35"/>
  <c r="AW431" i="35"/>
  <c r="AY431" i="35" s="1"/>
  <c r="AJ432" i="35"/>
  <c r="AM432" i="35"/>
  <c r="AO432" i="35" s="1"/>
  <c r="AT432" i="35"/>
  <c r="AW432" i="35"/>
  <c r="AY432" i="35" s="1"/>
  <c r="AJ433" i="35"/>
  <c r="AM433" i="35"/>
  <c r="AO433" i="35" s="1"/>
  <c r="AT433" i="35"/>
  <c r="AW433" i="35"/>
  <c r="AY433" i="35" s="1"/>
  <c r="AJ434" i="35"/>
  <c r="AM434" i="35"/>
  <c r="AO434" i="35" s="1"/>
  <c r="AT434" i="35"/>
  <c r="AW434" i="35"/>
  <c r="AY434" i="35" s="1"/>
  <c r="AJ435" i="35"/>
  <c r="AM435" i="35"/>
  <c r="AO435" i="35" s="1"/>
  <c r="AT435" i="35"/>
  <c r="AW435" i="35"/>
  <c r="AY435" i="35" s="1"/>
  <c r="AJ436" i="35"/>
  <c r="AM436" i="35"/>
  <c r="AO436" i="35" s="1"/>
  <c r="AT436" i="35"/>
  <c r="AW436" i="35"/>
  <c r="AY436" i="35" s="1"/>
  <c r="AJ437" i="35"/>
  <c r="AM437" i="35"/>
  <c r="AO437" i="35" s="1"/>
  <c r="AT437" i="35"/>
  <c r="AW437" i="35"/>
  <c r="AY437" i="35" s="1"/>
  <c r="AJ438" i="35"/>
  <c r="AM438" i="35"/>
  <c r="AT438" i="35"/>
  <c r="AW438" i="35"/>
  <c r="AY438" i="35" s="1"/>
  <c r="AJ439" i="35"/>
  <c r="AM439" i="35"/>
  <c r="AO439" i="35" s="1"/>
  <c r="AT439" i="35"/>
  <c r="AW439" i="35"/>
  <c r="AY439" i="35" s="1"/>
  <c r="AJ440" i="35"/>
  <c r="AM440" i="35"/>
  <c r="AO440" i="35" s="1"/>
  <c r="AT440" i="35"/>
  <c r="AW440" i="35"/>
  <c r="AY440" i="35" s="1"/>
  <c r="AJ441" i="35"/>
  <c r="AM441" i="35"/>
  <c r="AO441" i="35" s="1"/>
  <c r="AT441" i="35"/>
  <c r="AW441" i="35"/>
  <c r="AY441" i="35" s="1"/>
  <c r="AJ442" i="35"/>
  <c r="AM442" i="35"/>
  <c r="AO442" i="35" s="1"/>
  <c r="AT442" i="35"/>
  <c r="AW442" i="35"/>
  <c r="AY442" i="35" s="1"/>
  <c r="AJ443" i="35"/>
  <c r="AM443" i="35"/>
  <c r="AO443" i="35" s="1"/>
  <c r="AT443" i="35"/>
  <c r="AW443" i="35"/>
  <c r="AY443" i="35" s="1"/>
  <c r="AJ444" i="35"/>
  <c r="AM444" i="35"/>
  <c r="AO444" i="35" s="1"/>
  <c r="AT444" i="35"/>
  <c r="AW444" i="35"/>
  <c r="AY444" i="35" s="1"/>
  <c r="AJ445" i="35"/>
  <c r="AM445" i="35"/>
  <c r="AO445" i="35" s="1"/>
  <c r="AT445" i="35"/>
  <c r="AW445" i="35"/>
  <c r="AY445" i="35" s="1"/>
  <c r="AJ446" i="35"/>
  <c r="AM446" i="35"/>
  <c r="AO446" i="35" s="1"/>
  <c r="AT446" i="35"/>
  <c r="AW446" i="35"/>
  <c r="AY446" i="35" s="1"/>
  <c r="AJ447" i="35"/>
  <c r="AM447" i="35"/>
  <c r="AO447" i="35" s="1"/>
  <c r="AT447" i="35"/>
  <c r="AW447" i="35"/>
  <c r="AY447" i="35" s="1"/>
  <c r="AJ448" i="35"/>
  <c r="AM448" i="35"/>
  <c r="AO448" i="35" s="1"/>
  <c r="AT448" i="35"/>
  <c r="AW448" i="35"/>
  <c r="AY448" i="35" s="1"/>
  <c r="AJ449" i="35"/>
  <c r="AM449" i="35"/>
  <c r="AO449" i="35" s="1"/>
  <c r="AT449" i="35"/>
  <c r="AY449" i="35"/>
  <c r="AJ450" i="35"/>
  <c r="AM450" i="35"/>
  <c r="AO450" i="35" s="1"/>
  <c r="AT450" i="35"/>
  <c r="AW450" i="35"/>
  <c r="AY450" i="35" s="1"/>
  <c r="AJ451" i="35"/>
  <c r="AM451" i="35"/>
  <c r="AO451" i="35" s="1"/>
  <c r="AT451" i="35"/>
  <c r="AW451" i="35"/>
  <c r="AY451" i="35" s="1"/>
  <c r="AJ452" i="35"/>
  <c r="AM452" i="35"/>
  <c r="AO452" i="35" s="1"/>
  <c r="AT452" i="35"/>
  <c r="AW452" i="35"/>
  <c r="AY452" i="35" s="1"/>
  <c r="AJ453" i="35"/>
  <c r="AM453" i="35"/>
  <c r="AO453" i="35" s="1"/>
  <c r="AT453" i="35"/>
  <c r="AW453" i="35"/>
  <c r="AY453" i="35" s="1"/>
  <c r="AJ454" i="35"/>
  <c r="AM454" i="35"/>
  <c r="AO454" i="35" s="1"/>
  <c r="AT454" i="35"/>
  <c r="AW454" i="35"/>
  <c r="AY454" i="35" s="1"/>
  <c r="AJ455" i="35"/>
  <c r="AM455" i="35"/>
  <c r="AO455" i="35" s="1"/>
  <c r="AT455" i="35"/>
  <c r="AW455" i="35"/>
  <c r="AY455" i="35" s="1"/>
  <c r="AJ457" i="35"/>
  <c r="AM457" i="35"/>
  <c r="AO457" i="35" s="1"/>
  <c r="AT457" i="35"/>
  <c r="AW457" i="35"/>
  <c r="AY457" i="35" s="1"/>
  <c r="AJ458" i="35"/>
  <c r="AM458" i="35"/>
  <c r="AO458" i="35" s="1"/>
  <c r="AT458" i="35"/>
  <c r="AW458" i="35"/>
  <c r="AY458" i="35" s="1"/>
  <c r="AJ459" i="35"/>
  <c r="AM459" i="35"/>
  <c r="AO459" i="35" s="1"/>
  <c r="AT459" i="35"/>
  <c r="AW459" i="35"/>
  <c r="AY459" i="35" s="1"/>
  <c r="AJ460" i="35"/>
  <c r="AM460" i="35"/>
  <c r="AO460" i="35" s="1"/>
  <c r="AT460" i="35"/>
  <c r="AW460" i="35"/>
  <c r="AY460" i="35" s="1"/>
  <c r="AJ461" i="35"/>
  <c r="AM461" i="35"/>
  <c r="AO461" i="35" s="1"/>
  <c r="AT461" i="35"/>
  <c r="AW461" i="35"/>
  <c r="AY461" i="35" s="1"/>
  <c r="AJ462" i="35"/>
  <c r="AM462" i="35"/>
  <c r="AO462" i="35" s="1"/>
  <c r="AT462" i="35"/>
  <c r="AW462" i="35"/>
  <c r="AY462" i="35" s="1"/>
  <c r="AJ463" i="35"/>
  <c r="AM463" i="35"/>
  <c r="AO463" i="35" s="1"/>
  <c r="AT463" i="35"/>
  <c r="AW463" i="35"/>
  <c r="AY463" i="35" s="1"/>
  <c r="AJ464" i="35"/>
  <c r="AM464" i="35"/>
  <c r="AO464" i="35" s="1"/>
  <c r="AT464" i="35"/>
  <c r="AW464" i="35"/>
  <c r="AY464" i="35" s="1"/>
  <c r="AJ465" i="35"/>
  <c r="AM465" i="35"/>
  <c r="AO465" i="35" s="1"/>
  <c r="AT465" i="35"/>
  <c r="AW465" i="35"/>
  <c r="AY465" i="35" s="1"/>
  <c r="AJ466" i="35"/>
  <c r="AM466" i="35"/>
  <c r="AO466" i="35" s="1"/>
  <c r="AT466" i="35"/>
  <c r="AW466" i="35"/>
  <c r="AY466" i="35" s="1"/>
  <c r="AJ467" i="35"/>
  <c r="AM467" i="35"/>
  <c r="AT467" i="35"/>
  <c r="AW467" i="35"/>
  <c r="AY467" i="35" s="1"/>
  <c r="AJ468" i="35"/>
  <c r="AM468" i="35"/>
  <c r="AO468" i="35" s="1"/>
  <c r="AT468" i="35"/>
  <c r="AW468" i="35"/>
  <c r="AY468" i="35" s="1"/>
  <c r="AJ469" i="35"/>
  <c r="AM469" i="35"/>
  <c r="AO469" i="35" s="1"/>
  <c r="AT469" i="35"/>
  <c r="AW469" i="35"/>
  <c r="AY469" i="35" s="1"/>
  <c r="AJ470" i="35"/>
  <c r="AM470" i="35"/>
  <c r="AO470" i="35" s="1"/>
  <c r="AT470" i="35"/>
  <c r="AW470" i="35"/>
  <c r="AY470" i="35" s="1"/>
  <c r="AJ471" i="35"/>
  <c r="AM471" i="35"/>
  <c r="AT471" i="35"/>
  <c r="AW471" i="35"/>
  <c r="AY471" i="35" s="1"/>
  <c r="AJ472" i="35"/>
  <c r="AM472" i="35"/>
  <c r="AO472" i="35" s="1"/>
  <c r="AT472" i="35"/>
  <c r="AW472" i="35"/>
  <c r="AY472" i="35" s="1"/>
  <c r="AJ473" i="35"/>
  <c r="AM473" i="35"/>
  <c r="AO473" i="35" s="1"/>
  <c r="AT473" i="35"/>
  <c r="AW473" i="35"/>
  <c r="AY473" i="35" s="1"/>
  <c r="AJ474" i="35"/>
  <c r="AM474" i="35"/>
  <c r="AO474" i="35" s="1"/>
  <c r="AT474" i="35"/>
  <c r="AW474" i="35"/>
  <c r="AY474" i="35" s="1"/>
  <c r="AJ475" i="35"/>
  <c r="AM475" i="35"/>
  <c r="AO475" i="35" s="1"/>
  <c r="AT475" i="35"/>
  <c r="AW475" i="35"/>
  <c r="AY475" i="35" s="1"/>
  <c r="AJ476" i="35"/>
  <c r="AM476" i="35"/>
  <c r="AO476" i="35" s="1"/>
  <c r="AT476" i="35"/>
  <c r="AW476" i="35"/>
  <c r="AY476" i="35" s="1"/>
  <c r="AJ477" i="35"/>
  <c r="AM477" i="35"/>
  <c r="AO477" i="35" s="1"/>
  <c r="AT477" i="35"/>
  <c r="AW477" i="35"/>
  <c r="AY477" i="35" s="1"/>
  <c r="AJ478" i="35"/>
  <c r="AM478" i="35"/>
  <c r="AO478" i="35" s="1"/>
  <c r="AT478" i="35"/>
  <c r="AW478" i="35"/>
  <c r="AY478" i="35" s="1"/>
  <c r="AJ479" i="35"/>
  <c r="AT479" i="35"/>
  <c r="AW479" i="35"/>
  <c r="AY479" i="35" s="1"/>
  <c r="AJ480" i="35"/>
  <c r="AT480" i="35"/>
  <c r="AW480" i="35"/>
  <c r="AY480" i="35" s="1"/>
  <c r="AJ481" i="35"/>
  <c r="AM481" i="35"/>
  <c r="AO481" i="35" s="1"/>
  <c r="AT481" i="35"/>
  <c r="AW481" i="35"/>
  <c r="AY481" i="35" s="1"/>
  <c r="AJ482" i="35"/>
  <c r="AM482" i="35"/>
  <c r="AO482" i="35" s="1"/>
  <c r="AT482" i="35"/>
  <c r="AW482" i="35"/>
  <c r="AY482" i="35" s="1"/>
  <c r="AJ483" i="35"/>
  <c r="AM483" i="35"/>
  <c r="AO483" i="35" s="1"/>
  <c r="AT483" i="35"/>
  <c r="AW483" i="35"/>
  <c r="AY483" i="35" s="1"/>
  <c r="AJ484" i="35"/>
  <c r="AM484" i="35"/>
  <c r="AO484" i="35" s="1"/>
  <c r="AT484" i="35"/>
  <c r="AW484" i="35"/>
  <c r="AY484" i="35" s="1"/>
  <c r="AJ485" i="35"/>
  <c r="AM485" i="35"/>
  <c r="AO485" i="35" s="1"/>
  <c r="AT485" i="35"/>
  <c r="AW485" i="35"/>
  <c r="AY485" i="35" s="1"/>
  <c r="AJ486" i="35"/>
  <c r="AM486" i="35"/>
  <c r="AO486" i="35" s="1"/>
  <c r="AT486" i="35"/>
  <c r="AW486" i="35"/>
  <c r="AY486" i="35" s="1"/>
  <c r="AJ487" i="35"/>
  <c r="AM487" i="35"/>
  <c r="AO487" i="35" s="1"/>
  <c r="AT487" i="35"/>
  <c r="AW487" i="35"/>
  <c r="AY487" i="35" s="1"/>
  <c r="AJ488" i="35"/>
  <c r="AM488" i="35"/>
  <c r="AO488" i="35" s="1"/>
  <c r="AT488" i="35"/>
  <c r="AW488" i="35"/>
  <c r="AY488" i="35" s="1"/>
  <c r="AJ489" i="35"/>
  <c r="AM489" i="35"/>
  <c r="AO489" i="35" s="1"/>
  <c r="AT489" i="35"/>
  <c r="AW489" i="35"/>
  <c r="AY489" i="35" s="1"/>
  <c r="AJ490" i="35"/>
  <c r="AM490" i="35"/>
  <c r="AO490" i="35" s="1"/>
  <c r="AT490" i="35"/>
  <c r="AW490" i="35"/>
  <c r="AY490" i="35" s="1"/>
  <c r="AJ491" i="35"/>
  <c r="AT491" i="35"/>
  <c r="AW491" i="35"/>
  <c r="AY491" i="35" s="1"/>
  <c r="AJ492" i="35"/>
  <c r="AM492" i="35"/>
  <c r="AO492" i="35" s="1"/>
  <c r="AT492" i="35"/>
  <c r="AW492" i="35"/>
  <c r="AY492" i="35" s="1"/>
  <c r="AJ493" i="35"/>
  <c r="AM493" i="35"/>
  <c r="AO493" i="35" s="1"/>
  <c r="AT493" i="35"/>
  <c r="AW493" i="35"/>
  <c r="AY493" i="35" s="1"/>
  <c r="AJ494" i="35"/>
  <c r="AM494" i="35"/>
  <c r="AO494" i="35" s="1"/>
  <c r="AT494" i="35"/>
  <c r="AW494" i="35"/>
  <c r="AY494" i="35" s="1"/>
  <c r="AJ495" i="35"/>
  <c r="AM495" i="35"/>
  <c r="AO495" i="35" s="1"/>
  <c r="AT495" i="35"/>
  <c r="AW495" i="35"/>
  <c r="AY495" i="35" s="1"/>
  <c r="AJ496" i="35"/>
  <c r="AM496" i="35"/>
  <c r="AO496" i="35" s="1"/>
  <c r="AT496" i="35"/>
  <c r="AW496" i="35"/>
  <c r="AY496" i="35" s="1"/>
  <c r="AJ497" i="35"/>
  <c r="AM497" i="35"/>
  <c r="AO497" i="35" s="1"/>
  <c r="AT497" i="35"/>
  <c r="AW497" i="35"/>
  <c r="AY497" i="35" s="1"/>
  <c r="AJ498" i="35"/>
  <c r="AM498" i="35"/>
  <c r="AO498" i="35" s="1"/>
  <c r="AT498" i="35"/>
  <c r="AW498" i="35"/>
  <c r="AY498" i="35" s="1"/>
  <c r="AJ499" i="35"/>
  <c r="AM499" i="35"/>
  <c r="AO499" i="35" s="1"/>
  <c r="AT499" i="35"/>
  <c r="AW499" i="35"/>
  <c r="AY499" i="35" s="1"/>
  <c r="AJ500" i="35"/>
  <c r="AT500" i="35"/>
  <c r="AW500" i="35"/>
  <c r="AY500" i="35" s="1"/>
  <c r="AJ501" i="35"/>
  <c r="AM501" i="35"/>
  <c r="AO501" i="35" s="1"/>
  <c r="AT501" i="35"/>
  <c r="AW501" i="35"/>
  <c r="AY501" i="35" s="1"/>
  <c r="AJ502" i="35"/>
  <c r="AM502" i="35"/>
  <c r="AO502" i="35" s="1"/>
  <c r="AT502" i="35"/>
  <c r="AW502" i="35"/>
  <c r="AY502" i="35" s="1"/>
  <c r="AJ503" i="35"/>
  <c r="AM503" i="35"/>
  <c r="AO503" i="35" s="1"/>
  <c r="AT503" i="35"/>
  <c r="AW503" i="35"/>
  <c r="AY503" i="35" s="1"/>
  <c r="AG504" i="35"/>
  <c r="AG225" i="35" s="1"/>
  <c r="AG6" i="35" s="1"/>
  <c r="AJ504" i="35"/>
  <c r="AM504" i="35"/>
  <c r="AO504" i="35" s="1"/>
  <c r="AT504" i="35"/>
  <c r="AW504" i="35"/>
  <c r="AJ505" i="35"/>
  <c r="AM505" i="35"/>
  <c r="AO505" i="35" s="1"/>
  <c r="AT505" i="35"/>
  <c r="AW505" i="35"/>
  <c r="AY505" i="35" s="1"/>
  <c r="AJ506" i="35"/>
  <c r="AM506" i="35"/>
  <c r="AO506" i="35" s="1"/>
  <c r="AT506" i="35"/>
  <c r="AW506" i="35"/>
  <c r="AY506" i="35" s="1"/>
  <c r="AJ507" i="35"/>
  <c r="AM507" i="35"/>
  <c r="AO507" i="35" s="1"/>
  <c r="AT507" i="35"/>
  <c r="AW507" i="35"/>
  <c r="AY507" i="35" s="1"/>
  <c r="AJ508" i="35"/>
  <c r="AM508" i="35"/>
  <c r="AO508" i="35" s="1"/>
  <c r="AT508" i="35"/>
  <c r="AW508" i="35"/>
  <c r="AY508" i="35" s="1"/>
  <c r="AJ509" i="35"/>
  <c r="AM509" i="35"/>
  <c r="AO509" i="35" s="1"/>
  <c r="AT509" i="35"/>
  <c r="AW509" i="35"/>
  <c r="AY509" i="35" s="1"/>
  <c r="AJ510" i="35"/>
  <c r="AM510" i="35"/>
  <c r="AO510" i="35" s="1"/>
  <c r="AT510" i="35"/>
  <c r="AW510" i="35"/>
  <c r="AY510" i="35" s="1"/>
  <c r="AJ511" i="35"/>
  <c r="AM511" i="35"/>
  <c r="AO511" i="35" s="1"/>
  <c r="AT511" i="35"/>
  <c r="AW511" i="35"/>
  <c r="AY511" i="35" s="1"/>
  <c r="AJ512" i="35"/>
  <c r="AM512" i="35"/>
  <c r="AO512" i="35" s="1"/>
  <c r="AT512" i="35"/>
  <c r="AW512" i="35"/>
  <c r="AY512" i="35" s="1"/>
  <c r="BK111" i="35"/>
  <c r="BH111" i="35"/>
  <c r="BG111" i="35"/>
  <c r="BH118" i="35"/>
  <c r="BK118" i="35"/>
  <c r="BK117" i="35"/>
  <c r="BG117" i="35"/>
  <c r="BK109" i="35"/>
  <c r="BH109" i="35"/>
  <c r="BG109" i="35"/>
  <c r="BK115" i="35"/>
  <c r="BH115" i="35"/>
  <c r="BG115" i="35"/>
  <c r="BK119" i="35"/>
  <c r="BH119" i="35"/>
  <c r="BG119" i="35"/>
  <c r="BH110" i="35"/>
  <c r="BR114" i="29"/>
  <c r="BR109" i="29"/>
  <c r="BG338" i="35"/>
  <c r="N333" i="35"/>
  <c r="BR338" i="29"/>
  <c r="AY248" i="35" l="1"/>
  <c r="AX248" i="35"/>
  <c r="AF6" i="35"/>
  <c r="AX250" i="35"/>
  <c r="T10" i="27"/>
  <c r="AJ14" i="35"/>
  <c r="AK14" i="35" s="1"/>
  <c r="AH7" i="35"/>
  <c r="AL7" i="35"/>
  <c r="AI7" i="35"/>
  <c r="BA248" i="35"/>
  <c r="AP109" i="35"/>
  <c r="AT7" i="35"/>
  <c r="AO9" i="35"/>
  <c r="AY9" i="35"/>
  <c r="AW7" i="35"/>
  <c r="V8" i="27"/>
  <c r="V7" i="27" s="1"/>
  <c r="AD36" i="27"/>
  <c r="AD7" i="27" s="1"/>
  <c r="BA406" i="35"/>
  <c r="AU362" i="35"/>
  <c r="AU227" i="35"/>
  <c r="AU504" i="35"/>
  <c r="AU367" i="35"/>
  <c r="AU344" i="35"/>
  <c r="AU470" i="35"/>
  <c r="AU437" i="35"/>
  <c r="AU413" i="35"/>
  <c r="AU408" i="35"/>
  <c r="AU397" i="35"/>
  <c r="AU377" i="35"/>
  <c r="BB406" i="35"/>
  <c r="AU331" i="35"/>
  <c r="AU306" i="35"/>
  <c r="AU284" i="35"/>
  <c r="AU260" i="35"/>
  <c r="AU250" i="35"/>
  <c r="BA17" i="35"/>
  <c r="AY179" i="35"/>
  <c r="AZ179" i="35" s="1"/>
  <c r="AX179" i="35"/>
  <c r="AU8" i="35"/>
  <c r="AU179" i="35"/>
  <c r="AU151" i="35"/>
  <c r="AU144" i="35"/>
  <c r="AU137" i="35"/>
  <c r="AU42" i="35"/>
  <c r="AU39" i="35"/>
  <c r="AU29" i="35"/>
  <c r="AU23" i="35"/>
  <c r="AU185" i="35"/>
  <c r="AU165" i="35"/>
  <c r="AU122" i="35"/>
  <c r="AU109" i="35"/>
  <c r="AU91" i="35"/>
  <c r="AU76" i="35"/>
  <c r="AU62" i="35"/>
  <c r="AU52" i="35"/>
  <c r="AU19" i="35"/>
  <c r="AU14" i="35"/>
  <c r="AU466" i="35"/>
  <c r="AK306" i="35"/>
  <c r="AK284" i="35"/>
  <c r="AK260" i="35"/>
  <c r="AK250" i="35"/>
  <c r="AK185" i="35"/>
  <c r="AK132" i="35"/>
  <c r="AK122" i="35"/>
  <c r="AK109" i="35"/>
  <c r="AK91" i="35"/>
  <c r="AK76" i="35"/>
  <c r="AK62" i="35"/>
  <c r="AK52" i="35"/>
  <c r="AK367" i="35"/>
  <c r="AK362" i="35"/>
  <c r="AK344" i="35"/>
  <c r="AK8" i="35"/>
  <c r="AK504" i="35"/>
  <c r="AK470" i="35"/>
  <c r="AK466" i="35"/>
  <c r="AK437" i="35"/>
  <c r="AK413" i="35"/>
  <c r="AK408" i="35"/>
  <c r="AK397" i="35"/>
  <c r="AK377" i="35"/>
  <c r="AK227" i="35"/>
  <c r="AK179" i="35"/>
  <c r="BA179" i="35" s="1"/>
  <c r="AK144" i="35"/>
  <c r="AK137" i="35"/>
  <c r="AK42" i="35"/>
  <c r="AK39" i="35"/>
  <c r="AK29" i="35"/>
  <c r="AK23" i="35"/>
  <c r="AZ91" i="35"/>
  <c r="AZ248" i="35"/>
  <c r="BB248" i="35" s="1"/>
  <c r="AJ20" i="35"/>
  <c r="AN466" i="35"/>
  <c r="AN406" i="35"/>
  <c r="AN144" i="35"/>
  <c r="AJ172" i="35"/>
  <c r="AK165" i="35" s="1"/>
  <c r="AN39" i="35"/>
  <c r="AX8" i="35"/>
  <c r="AN179" i="35"/>
  <c r="AO144" i="35"/>
  <c r="AP144" i="35" s="1"/>
  <c r="AJ337" i="35"/>
  <c r="AZ437" i="35"/>
  <c r="AN504" i="35"/>
  <c r="AX466" i="35"/>
  <c r="AN437" i="35"/>
  <c r="AX413" i="35"/>
  <c r="AY415" i="35"/>
  <c r="AZ413" i="35" s="1"/>
  <c r="AZ408" i="35"/>
  <c r="AX397" i="35"/>
  <c r="AP397" i="35"/>
  <c r="AX367" i="35"/>
  <c r="AX137" i="35"/>
  <c r="AZ52" i="35"/>
  <c r="AX29" i="35"/>
  <c r="AP504" i="35"/>
  <c r="AN470" i="35"/>
  <c r="AZ466" i="35"/>
  <c r="AX437" i="35"/>
  <c r="AX406" i="35"/>
  <c r="AN397" i="35"/>
  <c r="AN362" i="35"/>
  <c r="AY250" i="35"/>
  <c r="AZ250" i="35" s="1"/>
  <c r="AX165" i="35"/>
  <c r="AI50" i="35"/>
  <c r="AJ160" i="35"/>
  <c r="AK151" i="35" s="1"/>
  <c r="AX76" i="35"/>
  <c r="AY80" i="35"/>
  <c r="AZ76" i="35" s="1"/>
  <c r="AX23" i="35"/>
  <c r="AO17" i="35"/>
  <c r="AP17" i="35" s="1"/>
  <c r="AN17" i="35"/>
  <c r="AX504" i="35"/>
  <c r="AN344" i="35"/>
  <c r="AJ21" i="35"/>
  <c r="AX470" i="35"/>
  <c r="AZ470" i="35"/>
  <c r="AX408" i="35"/>
  <c r="AP367" i="35"/>
  <c r="AN306" i="35"/>
  <c r="AO307" i="35"/>
  <c r="AP306" i="35" s="1"/>
  <c r="AX19" i="35"/>
  <c r="AN408" i="35"/>
  <c r="AP377" i="35"/>
  <c r="AN367" i="35"/>
  <c r="AP362" i="35"/>
  <c r="AX344" i="35"/>
  <c r="AX331" i="35"/>
  <c r="AJ334" i="35"/>
  <c r="AV50" i="35"/>
  <c r="AV6" i="35" s="1"/>
  <c r="AW132" i="35"/>
  <c r="AX132" i="35" s="1"/>
  <c r="AN122" i="35"/>
  <c r="AO123" i="35"/>
  <c r="AP122" i="35" s="1"/>
  <c r="AN12" i="35"/>
  <c r="AO12" i="35"/>
  <c r="AP12" i="35" s="1"/>
  <c r="AM14" i="35"/>
  <c r="AN14" i="35" s="1"/>
  <c r="AX122" i="35"/>
  <c r="AX109" i="35"/>
  <c r="AX12" i="35"/>
  <c r="AY12" i="35"/>
  <c r="AZ12" i="35" s="1"/>
  <c r="AM167" i="35"/>
  <c r="AN165" i="35" s="1"/>
  <c r="AX144" i="35"/>
  <c r="AX42" i="35"/>
  <c r="AN29" i="35"/>
  <c r="AX14" i="35"/>
  <c r="AX284" i="35"/>
  <c r="AX185" i="35"/>
  <c r="AN185" i="35"/>
  <c r="AX151" i="35"/>
  <c r="AN132" i="35"/>
  <c r="AN109" i="35"/>
  <c r="AX52" i="35"/>
  <c r="AX39" i="35"/>
  <c r="AN23" i="35"/>
  <c r="AY15" i="35"/>
  <c r="AZ14" i="35" s="1"/>
  <c r="AZ62" i="35"/>
  <c r="AX62" i="35"/>
  <c r="AN19" i="35"/>
  <c r="AO21" i="35"/>
  <c r="AP19" i="35" s="1"/>
  <c r="AN377" i="35"/>
  <c r="AP413" i="35"/>
  <c r="BB413" i="35" s="1"/>
  <c r="AZ377" i="35"/>
  <c r="AZ362" i="35"/>
  <c r="AN331" i="35"/>
  <c r="AN284" i="35"/>
  <c r="AZ344" i="35"/>
  <c r="AZ331" i="35"/>
  <c r="AP284" i="35"/>
  <c r="AY504" i="35"/>
  <c r="AZ504" i="35" s="1"/>
  <c r="AO471" i="35"/>
  <c r="AP470" i="35" s="1"/>
  <c r="AO467" i="35"/>
  <c r="AP466" i="35" s="1"/>
  <c r="AO438" i="35"/>
  <c r="AP437" i="35" s="1"/>
  <c r="AN413" i="35"/>
  <c r="AO409" i="35"/>
  <c r="AP408" i="35" s="1"/>
  <c r="AY399" i="35"/>
  <c r="AZ397" i="35" s="1"/>
  <c r="AX377" i="35"/>
  <c r="AY369" i="35"/>
  <c r="AZ367" i="35" s="1"/>
  <c r="AX362" i="35"/>
  <c r="AO345" i="35"/>
  <c r="AP344" i="35" s="1"/>
  <c r="AI225" i="35"/>
  <c r="AL225" i="35"/>
  <c r="AL6" i="35" s="1"/>
  <c r="AY285" i="35"/>
  <c r="AN260" i="35"/>
  <c r="AN250" i="35"/>
  <c r="AO251" i="35"/>
  <c r="AP250" i="35" s="1"/>
  <c r="AM225" i="35"/>
  <c r="AZ185" i="35"/>
  <c r="AP151" i="35"/>
  <c r="AH225" i="35"/>
  <c r="AO332" i="35"/>
  <c r="AP331" i="35" s="1"/>
  <c r="AZ306" i="35"/>
  <c r="AP137" i="35"/>
  <c r="AX306" i="35"/>
  <c r="AZ284" i="35"/>
  <c r="AZ260" i="35"/>
  <c r="AP260" i="35"/>
  <c r="AZ227" i="35"/>
  <c r="AX260" i="35"/>
  <c r="AT225" i="35"/>
  <c r="AX227" i="35"/>
  <c r="AO227" i="35"/>
  <c r="AO179" i="35"/>
  <c r="AP179" i="35" s="1"/>
  <c r="AY165" i="35"/>
  <c r="AZ165" i="35" s="1"/>
  <c r="AN151" i="35"/>
  <c r="AY144" i="35"/>
  <c r="AZ144" i="35" s="1"/>
  <c r="AN137" i="35"/>
  <c r="AT132" i="35"/>
  <c r="AO132" i="35"/>
  <c r="AP132" i="35" s="1"/>
  <c r="AY123" i="35"/>
  <c r="AZ122" i="35" s="1"/>
  <c r="AP42" i="35"/>
  <c r="AP23" i="35"/>
  <c r="AN227" i="35"/>
  <c r="AW225" i="35"/>
  <c r="AO186" i="35"/>
  <c r="AP185" i="35" s="1"/>
  <c r="AY153" i="35"/>
  <c r="AZ151" i="35" s="1"/>
  <c r="AY139" i="35"/>
  <c r="AZ137" i="35" s="1"/>
  <c r="AY110" i="35"/>
  <c r="AZ109" i="35" s="1"/>
  <c r="AN91" i="35"/>
  <c r="AP76" i="35"/>
  <c r="AP52" i="35"/>
  <c r="AH50" i="35"/>
  <c r="AX91" i="35"/>
  <c r="AP62" i="35"/>
  <c r="AO92" i="35"/>
  <c r="AP91" i="35" s="1"/>
  <c r="AN76" i="35"/>
  <c r="AN62" i="35"/>
  <c r="AN52" i="35"/>
  <c r="AN42" i="35"/>
  <c r="AO40" i="35"/>
  <c r="AP39" i="35" s="1"/>
  <c r="AY39" i="35"/>
  <c r="AZ39" i="35" s="1"/>
  <c r="AO30" i="35"/>
  <c r="AP29" i="35" s="1"/>
  <c r="AY29" i="35"/>
  <c r="AZ29" i="35" s="1"/>
  <c r="AY23" i="35"/>
  <c r="AZ23" i="35" s="1"/>
  <c r="AY19" i="35"/>
  <c r="AZ19" i="35" s="1"/>
  <c r="AY17" i="35"/>
  <c r="AZ17" i="35" s="1"/>
  <c r="AN8" i="35"/>
  <c r="AY46" i="35"/>
  <c r="AZ42" i="35" s="1"/>
  <c r="AY10" i="35"/>
  <c r="AZ8" i="35" s="1"/>
  <c r="AO8" i="35"/>
  <c r="L49" i="27"/>
  <c r="L38" i="27"/>
  <c r="BA284" i="35" l="1"/>
  <c r="BA227" i="35"/>
  <c r="T37" i="27" s="1"/>
  <c r="BA504" i="35"/>
  <c r="BA306" i="35"/>
  <c r="BA344" i="35"/>
  <c r="BA52" i="35"/>
  <c r="N49" i="27"/>
  <c r="T49" i="27"/>
  <c r="T38" i="27"/>
  <c r="N51" i="27"/>
  <c r="AK331" i="35"/>
  <c r="BA331" i="35" s="1"/>
  <c r="N38" i="27"/>
  <c r="T34" i="27"/>
  <c r="T55" i="27"/>
  <c r="AN7" i="35"/>
  <c r="BB52" i="35"/>
  <c r="T13" i="27"/>
  <c r="BB470" i="35"/>
  <c r="T41" i="27"/>
  <c r="T42" i="27"/>
  <c r="AZ225" i="35"/>
  <c r="AI6" i="35"/>
  <c r="AH6" i="35"/>
  <c r="AJ7" i="35"/>
  <c r="AZ7" i="35"/>
  <c r="BB185" i="35"/>
  <c r="BA250" i="35"/>
  <c r="AM7" i="35"/>
  <c r="AY7" i="35"/>
  <c r="AX7" i="35"/>
  <c r="AU7" i="35"/>
  <c r="BA62" i="35"/>
  <c r="BA260" i="35"/>
  <c r="AW50" i="35"/>
  <c r="AW6" i="35" s="1"/>
  <c r="BA413" i="35"/>
  <c r="BA367" i="35"/>
  <c r="BB377" i="35"/>
  <c r="BA377" i="35"/>
  <c r="BA437" i="35"/>
  <c r="BB91" i="35"/>
  <c r="BB437" i="35"/>
  <c r="BB284" i="35"/>
  <c r="AK19" i="35"/>
  <c r="AK7" i="35" s="1"/>
  <c r="BA397" i="35"/>
  <c r="BA466" i="35"/>
  <c r="BA23" i="35"/>
  <c r="BA137" i="35"/>
  <c r="BB344" i="35"/>
  <c r="BB466" i="35"/>
  <c r="BA470" i="35"/>
  <c r="BB62" i="35"/>
  <c r="BB362" i="35"/>
  <c r="BB367" i="35"/>
  <c r="BB504" i="35"/>
  <c r="BA408" i="35"/>
  <c r="BA362" i="35"/>
  <c r="AU225" i="35"/>
  <c r="BA122" i="35"/>
  <c r="BA29" i="35"/>
  <c r="BA144" i="35"/>
  <c r="BA109" i="35"/>
  <c r="BB76" i="35"/>
  <c r="BB331" i="35"/>
  <c r="BB408" i="35"/>
  <c r="BB397" i="35"/>
  <c r="BA14" i="35"/>
  <c r="BA76" i="35"/>
  <c r="BA165" i="35"/>
  <c r="BA39" i="35"/>
  <c r="BA151" i="35"/>
  <c r="BB306" i="35"/>
  <c r="BA91" i="35"/>
  <c r="BA185" i="35"/>
  <c r="BA42" i="35"/>
  <c r="BB42" i="35"/>
  <c r="AT50" i="35"/>
  <c r="AT6" i="35" s="1"/>
  <c r="AU132" i="35"/>
  <c r="BB260" i="35"/>
  <c r="BB137" i="35"/>
  <c r="BB144" i="35"/>
  <c r="BB29" i="35"/>
  <c r="BB19" i="35"/>
  <c r="BB122" i="35"/>
  <c r="BB179" i="35"/>
  <c r="BA8" i="35"/>
  <c r="BB17" i="35"/>
  <c r="BB39" i="35"/>
  <c r="BB109" i="35"/>
  <c r="BB23" i="35"/>
  <c r="BB250" i="35"/>
  <c r="BB12" i="35"/>
  <c r="AK225" i="35"/>
  <c r="AK50" i="35"/>
  <c r="AJ225" i="35"/>
  <c r="AJ50" i="35"/>
  <c r="AX50" i="35"/>
  <c r="AO14" i="35"/>
  <c r="AP14" i="35" s="1"/>
  <c r="BB14" i="35" s="1"/>
  <c r="AM50" i="35"/>
  <c r="AO167" i="35"/>
  <c r="AP165" i="35" s="1"/>
  <c r="BB165" i="35" s="1"/>
  <c r="AY132" i="35"/>
  <c r="AZ132" i="35" s="1"/>
  <c r="BB132" i="35" s="1"/>
  <c r="AN225" i="35"/>
  <c r="AN50" i="35"/>
  <c r="AP8" i="35"/>
  <c r="AX225" i="35"/>
  <c r="AY225" i="35"/>
  <c r="AP227" i="35"/>
  <c r="AO225" i="35"/>
  <c r="N33" i="27" l="1"/>
  <c r="N29" i="27"/>
  <c r="T24" i="27"/>
  <c r="N45" i="27"/>
  <c r="T23" i="27"/>
  <c r="AM6" i="35"/>
  <c r="N39" i="27"/>
  <c r="N43" i="27"/>
  <c r="T50" i="27"/>
  <c r="T29" i="27"/>
  <c r="T52" i="27"/>
  <c r="T51" i="27"/>
  <c r="T39" i="27"/>
  <c r="T35" i="27"/>
  <c r="N24" i="27"/>
  <c r="T27" i="27"/>
  <c r="N55" i="27"/>
  <c r="T47" i="27"/>
  <c r="N35" i="27"/>
  <c r="T22" i="27"/>
  <c r="N27" i="27"/>
  <c r="N50" i="27"/>
  <c r="T45" i="27"/>
  <c r="N44" i="27"/>
  <c r="T46" i="27"/>
  <c r="N28" i="27"/>
  <c r="N26" i="27"/>
  <c r="N34" i="27"/>
  <c r="T33" i="27"/>
  <c r="T43" i="27"/>
  <c r="T26" i="27"/>
  <c r="N46" i="27"/>
  <c r="N53" i="27"/>
  <c r="T53" i="27"/>
  <c r="N52" i="27"/>
  <c r="N47" i="27"/>
  <c r="T44" i="27"/>
  <c r="N13" i="27"/>
  <c r="N14" i="27"/>
  <c r="T20" i="27"/>
  <c r="T12" i="27"/>
  <c r="N23" i="27"/>
  <c r="N12" i="27"/>
  <c r="T19" i="27"/>
  <c r="T16" i="27"/>
  <c r="N22" i="27"/>
  <c r="N10" i="27"/>
  <c r="N19" i="27"/>
  <c r="N20" i="27"/>
  <c r="N54" i="27"/>
  <c r="T54" i="27"/>
  <c r="N16" i="27"/>
  <c r="N17" i="27"/>
  <c r="T17" i="27"/>
  <c r="N41" i="27"/>
  <c r="N42" i="27"/>
  <c r="N30" i="27"/>
  <c r="T30" i="27"/>
  <c r="N48" i="27"/>
  <c r="T48" i="27"/>
  <c r="AN6" i="35"/>
  <c r="N25" i="27"/>
  <c r="T25" i="27"/>
  <c r="AJ6" i="35"/>
  <c r="T9" i="27"/>
  <c r="AO7" i="35"/>
  <c r="AK6" i="35"/>
  <c r="BB8" i="35"/>
  <c r="AP7" i="35"/>
  <c r="AX6" i="35"/>
  <c r="BB151" i="35"/>
  <c r="AZ50" i="35"/>
  <c r="AZ6" i="35" s="1"/>
  <c r="T32" i="27"/>
  <c r="N40" i="27"/>
  <c r="T40" i="27"/>
  <c r="BA225" i="35"/>
  <c r="BA19" i="35"/>
  <c r="AP225" i="35"/>
  <c r="BB227" i="35"/>
  <c r="BA132" i="35"/>
  <c r="AU50" i="35"/>
  <c r="AU6" i="35" s="1"/>
  <c r="AP50" i="35"/>
  <c r="AY50" i="35"/>
  <c r="AY6" i="35" s="1"/>
  <c r="AO50" i="35"/>
  <c r="T28" i="27" l="1"/>
  <c r="T21" i="27" s="1"/>
  <c r="N37" i="27"/>
  <c r="T14" i="27"/>
  <c r="T8" i="27" s="1"/>
  <c r="T36" i="27"/>
  <c r="AO6" i="35"/>
  <c r="BB225" i="35"/>
  <c r="N9" i="27"/>
  <c r="N8" i="27" s="1"/>
  <c r="BB7" i="35"/>
  <c r="BA7" i="35"/>
  <c r="N36" i="27"/>
  <c r="BA50" i="35"/>
  <c r="AP6" i="35"/>
  <c r="N32" i="27"/>
  <c r="BB50" i="35"/>
  <c r="CI151" i="35"/>
  <c r="CH225" i="35"/>
  <c r="CH50" i="35"/>
  <c r="CI504" i="35"/>
  <c r="CI470" i="35"/>
  <c r="CI466" i="35"/>
  <c r="CI437" i="35"/>
  <c r="CI413" i="35"/>
  <c r="CI408" i="35"/>
  <c r="CI406" i="35"/>
  <c r="CI397" i="35"/>
  <c r="CI377" i="35"/>
  <c r="CI367" i="35"/>
  <c r="CI362" i="35"/>
  <c r="CI344" i="35"/>
  <c r="CI331" i="35"/>
  <c r="CI306" i="35"/>
  <c r="CI284" i="35"/>
  <c r="CI260" i="35"/>
  <c r="CI250" i="35"/>
  <c r="CI248" i="35"/>
  <c r="CI227" i="35"/>
  <c r="CI185" i="35"/>
  <c r="CI179" i="35"/>
  <c r="CI165" i="35"/>
  <c r="CI144" i="35"/>
  <c r="CI137" i="35"/>
  <c r="CI132" i="35"/>
  <c r="CI122" i="35"/>
  <c r="CI109" i="35"/>
  <c r="CI91" i="35"/>
  <c r="CI76" i="35"/>
  <c r="CI62" i="35"/>
  <c r="CI52" i="35"/>
  <c r="CI42" i="35"/>
  <c r="CI39" i="35"/>
  <c r="CI29" i="35"/>
  <c r="CI23" i="35"/>
  <c r="CI19" i="35"/>
  <c r="CI17" i="35"/>
  <c r="CI14" i="35"/>
  <c r="CI12" i="35"/>
  <c r="CI8" i="35"/>
  <c r="BR50" i="35"/>
  <c r="BS50" i="35"/>
  <c r="BT50" i="35"/>
  <c r="BV50" i="35"/>
  <c r="BX50" i="35"/>
  <c r="BY50" i="35"/>
  <c r="CA50" i="35"/>
  <c r="BR7" i="35"/>
  <c r="BS7" i="35"/>
  <c r="BT7" i="35"/>
  <c r="BV7" i="35"/>
  <c r="BX7" i="35"/>
  <c r="BY7" i="35"/>
  <c r="CA7" i="35"/>
  <c r="CH7" i="35"/>
  <c r="CE12" i="35"/>
  <c r="CE7" i="35" s="1"/>
  <c r="CG512" i="35"/>
  <c r="CF511" i="35"/>
  <c r="CE511" i="35"/>
  <c r="CG510" i="35"/>
  <c r="CE509" i="35"/>
  <c r="CG509" i="35" s="1"/>
  <c r="CG508" i="35"/>
  <c r="CF507" i="35"/>
  <c r="CE507" i="35"/>
  <c r="CE506" i="35"/>
  <c r="CG506" i="35" s="1"/>
  <c r="CG505" i="35"/>
  <c r="CF504" i="35"/>
  <c r="CE504" i="35"/>
  <c r="CG503" i="35"/>
  <c r="CG502" i="35"/>
  <c r="CG501" i="35"/>
  <c r="CG500" i="35"/>
  <c r="CG499" i="35"/>
  <c r="CG498" i="35"/>
  <c r="CG497" i="35"/>
  <c r="CG496" i="35"/>
  <c r="CG495" i="35"/>
  <c r="CG494" i="35"/>
  <c r="CG493" i="35"/>
  <c r="CG492" i="35"/>
  <c r="CG491" i="35"/>
  <c r="CG490" i="35"/>
  <c r="CG489" i="35"/>
  <c r="CG488" i="35"/>
  <c r="CG487" i="35"/>
  <c r="CG486" i="35"/>
  <c r="CG485" i="35"/>
  <c r="CG484" i="35"/>
  <c r="CG483" i="35"/>
  <c r="CG482" i="35"/>
  <c r="CG481" i="35"/>
  <c r="CG480" i="35"/>
  <c r="CG479" i="35"/>
  <c r="CG478" i="35"/>
  <c r="CG477" i="35"/>
  <c r="CG476" i="35"/>
  <c r="CG475" i="35"/>
  <c r="CG474" i="35"/>
  <c r="CG473" i="35"/>
  <c r="CG472" i="35"/>
  <c r="CG471" i="35"/>
  <c r="CG470" i="35"/>
  <c r="CG469" i="35"/>
  <c r="CG468" i="35"/>
  <c r="CG467" i="35"/>
  <c r="CG466" i="35"/>
  <c r="CG465" i="35"/>
  <c r="CG464" i="35"/>
  <c r="CG463" i="35"/>
  <c r="CG462" i="35"/>
  <c r="CG461" i="35"/>
  <c r="CG460" i="35"/>
  <c r="CG459" i="35"/>
  <c r="CG458" i="35"/>
  <c r="CG457" i="35"/>
  <c r="CG455" i="35"/>
  <c r="CG454" i="35"/>
  <c r="CG453" i="35"/>
  <c r="CG452" i="35"/>
  <c r="CG451" i="35"/>
  <c r="CG450" i="35"/>
  <c r="CG449" i="35"/>
  <c r="CG448" i="35"/>
  <c r="CG447" i="35"/>
  <c r="CG446" i="35"/>
  <c r="CG445" i="35"/>
  <c r="CG444" i="35"/>
  <c r="CG443" i="35"/>
  <c r="CG442" i="35"/>
  <c r="CG441" i="35"/>
  <c r="CG440" i="35"/>
  <c r="CG439" i="35"/>
  <c r="CG438" i="35"/>
  <c r="CG437" i="35"/>
  <c r="CG436" i="35"/>
  <c r="CG435" i="35"/>
  <c r="CG434" i="35"/>
  <c r="CG433" i="35"/>
  <c r="CG432" i="35"/>
  <c r="CG431" i="35"/>
  <c r="CG430" i="35"/>
  <c r="CG429" i="35"/>
  <c r="CG428" i="35"/>
  <c r="CG427" i="35"/>
  <c r="CG426" i="35"/>
  <c r="CG425" i="35"/>
  <c r="CG424" i="35"/>
  <c r="CG423" i="35"/>
  <c r="CG422" i="35"/>
  <c r="CG421" i="35"/>
  <c r="CG420" i="35"/>
  <c r="CG419" i="35"/>
  <c r="CG417" i="35"/>
  <c r="CG415" i="35"/>
  <c r="CG414" i="35"/>
  <c r="CG413" i="35"/>
  <c r="CG412" i="35"/>
  <c r="CG411" i="35"/>
  <c r="CG410" i="35"/>
  <c r="CG409" i="35"/>
  <c r="CG408" i="35"/>
  <c r="CG407" i="35"/>
  <c r="CG406" i="35"/>
  <c r="CG405" i="35"/>
  <c r="CG404" i="35"/>
  <c r="CG403" i="35"/>
  <c r="CG402" i="35"/>
  <c r="CG401" i="35"/>
  <c r="CG400" i="35"/>
  <c r="CG399" i="35"/>
  <c r="CG398" i="35"/>
  <c r="CG397" i="35"/>
  <c r="CG396" i="35"/>
  <c r="CG380" i="35"/>
  <c r="CG379" i="35"/>
  <c r="CG389" i="35"/>
  <c r="CG395" i="35"/>
  <c r="CG394" i="35"/>
  <c r="CG393" i="35"/>
  <c r="CG388" i="35"/>
  <c r="CF387" i="35"/>
  <c r="CE387" i="35"/>
  <c r="CG392" i="35"/>
  <c r="CG391" i="35"/>
  <c r="CG390" i="35"/>
  <c r="CG386" i="35"/>
  <c r="CG384" i="35"/>
  <c r="CG385" i="35"/>
  <c r="CG383" i="35"/>
  <c r="CG382" i="35"/>
  <c r="CG381" i="35"/>
  <c r="CG378" i="35"/>
  <c r="CG377" i="35"/>
  <c r="CG376" i="35"/>
  <c r="CG375" i="35"/>
  <c r="CG374" i="35"/>
  <c r="CG373" i="35"/>
  <c r="CG372" i="35"/>
  <c r="CG371" i="35"/>
  <c r="CG370" i="35"/>
  <c r="CG369" i="35"/>
  <c r="CG368" i="35"/>
  <c r="CG367" i="35"/>
  <c r="CG366" i="35"/>
  <c r="CG365" i="35"/>
  <c r="CG364" i="35"/>
  <c r="CG363" i="35"/>
  <c r="CG362" i="35"/>
  <c r="CG361" i="35"/>
  <c r="CG360" i="35"/>
  <c r="CG359" i="35"/>
  <c r="CG358" i="35"/>
  <c r="CG357" i="35"/>
  <c r="CG356" i="35"/>
  <c r="CG355" i="35"/>
  <c r="CG354" i="35"/>
  <c r="CG353" i="35"/>
  <c r="CG352" i="35"/>
  <c r="CG351" i="35"/>
  <c r="CG350" i="35"/>
  <c r="CG349" i="35"/>
  <c r="CG348" i="35"/>
  <c r="CG347" i="35"/>
  <c r="CG346" i="35"/>
  <c r="CG345" i="35"/>
  <c r="CG344" i="35"/>
  <c r="CG343" i="35"/>
  <c r="CE342" i="35"/>
  <c r="CG342" i="35" s="1"/>
  <c r="CE341" i="35"/>
  <c r="CG341" i="35" s="1"/>
  <c r="CG340" i="35"/>
  <c r="CG339" i="35"/>
  <c r="CG338" i="35"/>
  <c r="CF337" i="35"/>
  <c r="CE337" i="35"/>
  <c r="CG336" i="35"/>
  <c r="CG335" i="35"/>
  <c r="CF334" i="35"/>
  <c r="CE334" i="35"/>
  <c r="CE333" i="35"/>
  <c r="CG333" i="35" s="1"/>
  <c r="CG332" i="35"/>
  <c r="CG331" i="35"/>
  <c r="CG330" i="35"/>
  <c r="CG329" i="35"/>
  <c r="CG328" i="35"/>
  <c r="CG327" i="35"/>
  <c r="CG326" i="35"/>
  <c r="CG325" i="35"/>
  <c r="CG324" i="35"/>
  <c r="CG323" i="35"/>
  <c r="CG322" i="35"/>
  <c r="CG321" i="35"/>
  <c r="CG320" i="35"/>
  <c r="CG319" i="35"/>
  <c r="CG318" i="35"/>
  <c r="CG317" i="35"/>
  <c r="CG316" i="35"/>
  <c r="CG315" i="35"/>
  <c r="CG314" i="35"/>
  <c r="CG313" i="35"/>
  <c r="CG312" i="35"/>
  <c r="CG311" i="35"/>
  <c r="CG310" i="35"/>
  <c r="CG308" i="35"/>
  <c r="CG307" i="35"/>
  <c r="CG306" i="35"/>
  <c r="CG305" i="35"/>
  <c r="CG304" i="35"/>
  <c r="CG303" i="35"/>
  <c r="CG302" i="35"/>
  <c r="CG301" i="35"/>
  <c r="CG300" i="35"/>
  <c r="CG299" i="35"/>
  <c r="CG298" i="35"/>
  <c r="CG297" i="35"/>
  <c r="CG296" i="35"/>
  <c r="CG295" i="35"/>
  <c r="CG294" i="35"/>
  <c r="CG293" i="35"/>
  <c r="CG292" i="35"/>
  <c r="CG291" i="35"/>
  <c r="CG290" i="35"/>
  <c r="CG289" i="35"/>
  <c r="CG288" i="35"/>
  <c r="CG287" i="35"/>
  <c r="CG286" i="35"/>
  <c r="CG285" i="35"/>
  <c r="CG284" i="35"/>
  <c r="CG283" i="35"/>
  <c r="CG282" i="35"/>
  <c r="CG281" i="35"/>
  <c r="CG280" i="35"/>
  <c r="CG279" i="35"/>
  <c r="CG278" i="35"/>
  <c r="CG277" i="35"/>
  <c r="CG276" i="35"/>
  <c r="CG275" i="35"/>
  <c r="CG274" i="35"/>
  <c r="CG273" i="35"/>
  <c r="CG272" i="35"/>
  <c r="CG271" i="35"/>
  <c r="CG270" i="35"/>
  <c r="CG269" i="35"/>
  <c r="CG268" i="35"/>
  <c r="CG267" i="35"/>
  <c r="CG266" i="35"/>
  <c r="CG265" i="35"/>
  <c r="CG264" i="35"/>
  <c r="CG263" i="35"/>
  <c r="CG262" i="35"/>
  <c r="CG261" i="35"/>
  <c r="CG260" i="35"/>
  <c r="CG259" i="35"/>
  <c r="CG258" i="35"/>
  <c r="CG257" i="35"/>
  <c r="CG256" i="35"/>
  <c r="CG255" i="35"/>
  <c r="CG254" i="35"/>
  <c r="CG253" i="35"/>
  <c r="CG252" i="35"/>
  <c r="CG251" i="35"/>
  <c r="CG250" i="35"/>
  <c r="CG249" i="35"/>
  <c r="CG248" i="35"/>
  <c r="CG247" i="35"/>
  <c r="CG246" i="35"/>
  <c r="CG245" i="35"/>
  <c r="CG244" i="35"/>
  <c r="CG243" i="35"/>
  <c r="CG242" i="35"/>
  <c r="CG241" i="35"/>
  <c r="CG240" i="35"/>
  <c r="CG239" i="35"/>
  <c r="CG238" i="35"/>
  <c r="CG237" i="35"/>
  <c r="CG236" i="35"/>
  <c r="CG235" i="35"/>
  <c r="CG234" i="35"/>
  <c r="CG233" i="35"/>
  <c r="CG232" i="35"/>
  <c r="CG231" i="35"/>
  <c r="CG230" i="35"/>
  <c r="CG228" i="35"/>
  <c r="CG227" i="35"/>
  <c r="CG226" i="35"/>
  <c r="CG224" i="35"/>
  <c r="CG223" i="35"/>
  <c r="CG222" i="35"/>
  <c r="CG221" i="35"/>
  <c r="CG220" i="35"/>
  <c r="CG219" i="35"/>
  <c r="CG218" i="35"/>
  <c r="CG217" i="35"/>
  <c r="CG216" i="35"/>
  <c r="CG215" i="35"/>
  <c r="CG214" i="35"/>
  <c r="CG213" i="35"/>
  <c r="CG212" i="35"/>
  <c r="CG211" i="35"/>
  <c r="CG210" i="35"/>
  <c r="CG209" i="35"/>
  <c r="CG208" i="35"/>
  <c r="CG207" i="35"/>
  <c r="CG206" i="35"/>
  <c r="CG205" i="35"/>
  <c r="CG204" i="35"/>
  <c r="CG203" i="35"/>
  <c r="CG202" i="35"/>
  <c r="CG201" i="35"/>
  <c r="CG200" i="35"/>
  <c r="CG199" i="35"/>
  <c r="CG198" i="35"/>
  <c r="CG197" i="35"/>
  <c r="CG196" i="35"/>
  <c r="CG195" i="35"/>
  <c r="CG194" i="35"/>
  <c r="CG193" i="35"/>
  <c r="CG192" i="35"/>
  <c r="CG191" i="35"/>
  <c r="CG190" i="35"/>
  <c r="CG189" i="35"/>
  <c r="CG188" i="35"/>
  <c r="CG187" i="35"/>
  <c r="CG186" i="35"/>
  <c r="CG185" i="35"/>
  <c r="CG184" i="35"/>
  <c r="CG183" i="35"/>
  <c r="CG182" i="35"/>
  <c r="CG181" i="35"/>
  <c r="CG180" i="35"/>
  <c r="CG179" i="35"/>
  <c r="CG177" i="35"/>
  <c r="CF176" i="35"/>
  <c r="CE176" i="35"/>
  <c r="CF175" i="35"/>
  <c r="CE175" i="35"/>
  <c r="CF174" i="35"/>
  <c r="CE174" i="35"/>
  <c r="CG172" i="35"/>
  <c r="CG171" i="35"/>
  <c r="CG170" i="35"/>
  <c r="CG169" i="35"/>
  <c r="CG168" i="35"/>
  <c r="CF167" i="35"/>
  <c r="CE167" i="35"/>
  <c r="CF166" i="35"/>
  <c r="CE166" i="35"/>
  <c r="CF165" i="35"/>
  <c r="CE165" i="35"/>
  <c r="CG164" i="35"/>
  <c r="CF163" i="35"/>
  <c r="CE163" i="35"/>
  <c r="CG162" i="35"/>
  <c r="CG161" i="35"/>
  <c r="CF160" i="35"/>
  <c r="CE160" i="35"/>
  <c r="CG159" i="35"/>
  <c r="CG157" i="35"/>
  <c r="CG156" i="35"/>
  <c r="CG155" i="35"/>
  <c r="CE154" i="35"/>
  <c r="CG154" i="35" s="1"/>
  <c r="CG153" i="35"/>
  <c r="CG152" i="35"/>
  <c r="CF151" i="35"/>
  <c r="CE151" i="35"/>
  <c r="CG150" i="35"/>
  <c r="CG149" i="35"/>
  <c r="CG148" i="35"/>
  <c r="CG147" i="35"/>
  <c r="CG144" i="35"/>
  <c r="CG143" i="35"/>
  <c r="CG142" i="35"/>
  <c r="CG141" i="35"/>
  <c r="CG140" i="35"/>
  <c r="CG139" i="35"/>
  <c r="CG138" i="35"/>
  <c r="CG137" i="35"/>
  <c r="CG136" i="35"/>
  <c r="CG135" i="35"/>
  <c r="CF134" i="35"/>
  <c r="CE134" i="35"/>
  <c r="CG133" i="35"/>
  <c r="CF132" i="35"/>
  <c r="CE132" i="35"/>
  <c r="CG131" i="35"/>
  <c r="CG130" i="35"/>
  <c r="CG129" i="35"/>
  <c r="CG128" i="35"/>
  <c r="CG127" i="35"/>
  <c r="CG126" i="35"/>
  <c r="CG125" i="35"/>
  <c r="CG124" i="35"/>
  <c r="CG123" i="35"/>
  <c r="CG122" i="35"/>
  <c r="CG121" i="35"/>
  <c r="CG120" i="35"/>
  <c r="CG119" i="35"/>
  <c r="CG118" i="35"/>
  <c r="CG117" i="35"/>
  <c r="CG116" i="35"/>
  <c r="CG115" i="35"/>
  <c r="CG114" i="35"/>
  <c r="CG113" i="35"/>
  <c r="CG112" i="35"/>
  <c r="CG111" i="35"/>
  <c r="CG110" i="35"/>
  <c r="CG109" i="35"/>
  <c r="CG108" i="35"/>
  <c r="CG107" i="35"/>
  <c r="CG106" i="35"/>
  <c r="CF105" i="35"/>
  <c r="CE105" i="35"/>
  <c r="CE104" i="35"/>
  <c r="CG104" i="35" s="1"/>
  <c r="CG103" i="35"/>
  <c r="CF102" i="35"/>
  <c r="CE102" i="35"/>
  <c r="CF101" i="35"/>
  <c r="CE101" i="35"/>
  <c r="CG100" i="35"/>
  <c r="CF99" i="35"/>
  <c r="CE99" i="35"/>
  <c r="CG98" i="35"/>
  <c r="CE97" i="35"/>
  <c r="CG97" i="35" s="1"/>
  <c r="CG96" i="35"/>
  <c r="CG95" i="35"/>
  <c r="CG94" i="35"/>
  <c r="CF93" i="35"/>
  <c r="CE93" i="35"/>
  <c r="CG92" i="35"/>
  <c r="CG91" i="35"/>
  <c r="CG90" i="35"/>
  <c r="CG89" i="35"/>
  <c r="CG88" i="35"/>
  <c r="CG87" i="35"/>
  <c r="CG86" i="35"/>
  <c r="CG85" i="35"/>
  <c r="CG84" i="35"/>
  <c r="CG83" i="35"/>
  <c r="CG82" i="35"/>
  <c r="CG81" i="35"/>
  <c r="CG79" i="35"/>
  <c r="CG78" i="35"/>
  <c r="CG77" i="35"/>
  <c r="CG76" i="35"/>
  <c r="CG75" i="35"/>
  <c r="CG74" i="35"/>
  <c r="CG73" i="35"/>
  <c r="CG72" i="35"/>
  <c r="CG71" i="35"/>
  <c r="CG70" i="35"/>
  <c r="CG69" i="35"/>
  <c r="CG68" i="35"/>
  <c r="CG67" i="35"/>
  <c r="CG66" i="35"/>
  <c r="CG65" i="35"/>
  <c r="CG64" i="35"/>
  <c r="CG63" i="35"/>
  <c r="CG62" i="35"/>
  <c r="CG61" i="35"/>
  <c r="CG60" i="35"/>
  <c r="CG59" i="35"/>
  <c r="CG58" i="35"/>
  <c r="CG57" i="35"/>
  <c r="CG56" i="35"/>
  <c r="CG55" i="35"/>
  <c r="CG54" i="35"/>
  <c r="CG53" i="35"/>
  <c r="CG52" i="35"/>
  <c r="CG51" i="35"/>
  <c r="CG49" i="35"/>
  <c r="CG48" i="35"/>
  <c r="CG46" i="35"/>
  <c r="CG45" i="35"/>
  <c r="CG42" i="35"/>
  <c r="CG41" i="35"/>
  <c r="CG40" i="35"/>
  <c r="CG39" i="35"/>
  <c r="CG38" i="35"/>
  <c r="CG37" i="35"/>
  <c r="CG36" i="35"/>
  <c r="CG35" i="35"/>
  <c r="CG33" i="35"/>
  <c r="CG32" i="35"/>
  <c r="CG31" i="35"/>
  <c r="CG30" i="35"/>
  <c r="CG29" i="35"/>
  <c r="CG27" i="35"/>
  <c r="CG26" i="35"/>
  <c r="CG25" i="35"/>
  <c r="CG24" i="35"/>
  <c r="CG23" i="35"/>
  <c r="CG22" i="35"/>
  <c r="CG21" i="35"/>
  <c r="CG20" i="35"/>
  <c r="CG19" i="35"/>
  <c r="CG18" i="35"/>
  <c r="CG17" i="35"/>
  <c r="CG16" i="35"/>
  <c r="CG15" i="35"/>
  <c r="CG14" i="35"/>
  <c r="CG13" i="35"/>
  <c r="CF12" i="35"/>
  <c r="CG12" i="35" s="1"/>
  <c r="CG11" i="35"/>
  <c r="CG10" i="35"/>
  <c r="CG9" i="35"/>
  <c r="CG8" i="35"/>
  <c r="BT225" i="35"/>
  <c r="BV225" i="35"/>
  <c r="BX225" i="35"/>
  <c r="BY225" i="35"/>
  <c r="CA225" i="35"/>
  <c r="BS225" i="35"/>
  <c r="CB504" i="35"/>
  <c r="CB470" i="35"/>
  <c r="CB466" i="35"/>
  <c r="CB437" i="35"/>
  <c r="CB413" i="35"/>
  <c r="CB408" i="35"/>
  <c r="CB406" i="35"/>
  <c r="CB397" i="35"/>
  <c r="CB377" i="35"/>
  <c r="CB367" i="35"/>
  <c r="CB362" i="35"/>
  <c r="CB344" i="35"/>
  <c r="CB331" i="35"/>
  <c r="CB306" i="35"/>
  <c r="CB284" i="35"/>
  <c r="CB260" i="35"/>
  <c r="CB250" i="35"/>
  <c r="CB248" i="35"/>
  <c r="CB227" i="35"/>
  <c r="CB185" i="35"/>
  <c r="CB179" i="35"/>
  <c r="CB165" i="35"/>
  <c r="CB151" i="35"/>
  <c r="CB144" i="35"/>
  <c r="CB137" i="35"/>
  <c r="CB132" i="35"/>
  <c r="CB122" i="35"/>
  <c r="CB109" i="35"/>
  <c r="CB91" i="35"/>
  <c r="CB76" i="35"/>
  <c r="CB62" i="35"/>
  <c r="CB52" i="35"/>
  <c r="CB42" i="35"/>
  <c r="CB39" i="35"/>
  <c r="CB29" i="35"/>
  <c r="CB23" i="35"/>
  <c r="CB19" i="35"/>
  <c r="CB17" i="35"/>
  <c r="CB14" i="35"/>
  <c r="CB12" i="35"/>
  <c r="CB8" i="35"/>
  <c r="BW504" i="35"/>
  <c r="BW470" i="35"/>
  <c r="BW466" i="35"/>
  <c r="BW437" i="35"/>
  <c r="BW413" i="35"/>
  <c r="BW408" i="35"/>
  <c r="BW406" i="35"/>
  <c r="BW397" i="35"/>
  <c r="BW377" i="35"/>
  <c r="BW367" i="35"/>
  <c r="BW362" i="35"/>
  <c r="BW344" i="35"/>
  <c r="BW331" i="35"/>
  <c r="BW306" i="35"/>
  <c r="BW284" i="35"/>
  <c r="BW260" i="35"/>
  <c r="BW250" i="35"/>
  <c r="BW248" i="35"/>
  <c r="BW227" i="35"/>
  <c r="BW185" i="35"/>
  <c r="BW179" i="35"/>
  <c r="BW165" i="35"/>
  <c r="BW151" i="35"/>
  <c r="BW144" i="35"/>
  <c r="BW137" i="35"/>
  <c r="BW132" i="35"/>
  <c r="BW122" i="35"/>
  <c r="BW109" i="35"/>
  <c r="BW91" i="35"/>
  <c r="BW76" i="35"/>
  <c r="BW62" i="35"/>
  <c r="BW52" i="35"/>
  <c r="BW42" i="35"/>
  <c r="BW39" i="35"/>
  <c r="BW29" i="35"/>
  <c r="BW23" i="35"/>
  <c r="BW19" i="35"/>
  <c r="BW17" i="35"/>
  <c r="BW14" i="35"/>
  <c r="BW12" i="35"/>
  <c r="BW8" i="35"/>
  <c r="CC9" i="35"/>
  <c r="CC10" i="35"/>
  <c r="CC11" i="35"/>
  <c r="CC12" i="35"/>
  <c r="CD12" i="35" s="1"/>
  <c r="CC13" i="35"/>
  <c r="CC14" i="35"/>
  <c r="CC15" i="35"/>
  <c r="CC16" i="35"/>
  <c r="CC17" i="35"/>
  <c r="CD17" i="35" s="1"/>
  <c r="CC18" i="35"/>
  <c r="CC19" i="35"/>
  <c r="CC20" i="35"/>
  <c r="CC21" i="35"/>
  <c r="CC22" i="35"/>
  <c r="CC23" i="35"/>
  <c r="CC24" i="35"/>
  <c r="CC25" i="35"/>
  <c r="CC26" i="35"/>
  <c r="CC27" i="35"/>
  <c r="CC29" i="35"/>
  <c r="CC30" i="35"/>
  <c r="CC31" i="35"/>
  <c r="CC32" i="35"/>
  <c r="CC33" i="35"/>
  <c r="CC34" i="35"/>
  <c r="CC35" i="35"/>
  <c r="CC36" i="35"/>
  <c r="CC37" i="35"/>
  <c r="CC38" i="35"/>
  <c r="CC39" i="35"/>
  <c r="CC40" i="35"/>
  <c r="CC41" i="35"/>
  <c r="CC42" i="35"/>
  <c r="CC45" i="35"/>
  <c r="CC46" i="35"/>
  <c r="CC48" i="35"/>
  <c r="CC49" i="35"/>
  <c r="CC51" i="35"/>
  <c r="CC52" i="35"/>
  <c r="CC53" i="35"/>
  <c r="CC54" i="35"/>
  <c r="CC55" i="35"/>
  <c r="CC56" i="35"/>
  <c r="CC57" i="35"/>
  <c r="CC58" i="35"/>
  <c r="CC59" i="35"/>
  <c r="CC60" i="35"/>
  <c r="CC61" i="35"/>
  <c r="CC62" i="35"/>
  <c r="CC63" i="35"/>
  <c r="CC64" i="35"/>
  <c r="CC65" i="35"/>
  <c r="CC66" i="35"/>
  <c r="CC67" i="35"/>
  <c r="CC68" i="35"/>
  <c r="CC69" i="35"/>
  <c r="CC70" i="35"/>
  <c r="CC71" i="35"/>
  <c r="CC72" i="35"/>
  <c r="CC73" i="35"/>
  <c r="CC74" i="35"/>
  <c r="CC75" i="35"/>
  <c r="CC76" i="35"/>
  <c r="CC77" i="35"/>
  <c r="CC78" i="35"/>
  <c r="CC79" i="35"/>
  <c r="CC80" i="35"/>
  <c r="CC81" i="35"/>
  <c r="CC82" i="35"/>
  <c r="CC83" i="35"/>
  <c r="CC84" i="35"/>
  <c r="CC85" i="35"/>
  <c r="CC86" i="35"/>
  <c r="CC87" i="35"/>
  <c r="CC88" i="35"/>
  <c r="CC89" i="35"/>
  <c r="CC90" i="35"/>
  <c r="CC91" i="35"/>
  <c r="CC92" i="35"/>
  <c r="CC93" i="35"/>
  <c r="CC94" i="35"/>
  <c r="CC95" i="35"/>
  <c r="CC96" i="35"/>
  <c r="CC97" i="35"/>
  <c r="CC98" i="35"/>
  <c r="CC99" i="35"/>
  <c r="CC100" i="35"/>
  <c r="CC101" i="35"/>
  <c r="CC102" i="35"/>
  <c r="CC103" i="35"/>
  <c r="CC104" i="35"/>
  <c r="CC105" i="35"/>
  <c r="CC106" i="35"/>
  <c r="CC107" i="35"/>
  <c r="CC108" i="35"/>
  <c r="CC109" i="35"/>
  <c r="CC110" i="35"/>
  <c r="CC111" i="35"/>
  <c r="CC112" i="35"/>
  <c r="CC113" i="35"/>
  <c r="CC114" i="35"/>
  <c r="CC115" i="35"/>
  <c r="CC116" i="35"/>
  <c r="CC117" i="35"/>
  <c r="CC118" i="35"/>
  <c r="CC119" i="35"/>
  <c r="CC120" i="35"/>
  <c r="CC121" i="35"/>
  <c r="CC122" i="35"/>
  <c r="CC123" i="35"/>
  <c r="CC124" i="35"/>
  <c r="CC125" i="35"/>
  <c r="CC126" i="35"/>
  <c r="CC127" i="35"/>
  <c r="CC128" i="35"/>
  <c r="CC129" i="35"/>
  <c r="CC130" i="35"/>
  <c r="CC131" i="35"/>
  <c r="CC132" i="35"/>
  <c r="CC133" i="35"/>
  <c r="CC134" i="35"/>
  <c r="CC135" i="35"/>
  <c r="CC136" i="35"/>
  <c r="CC137" i="35"/>
  <c r="CC138" i="35"/>
  <c r="CC139" i="35"/>
  <c r="CC140" i="35"/>
  <c r="CC141" i="35"/>
  <c r="CC142" i="35"/>
  <c r="CC143" i="35"/>
  <c r="CC144" i="35"/>
  <c r="CC147" i="35"/>
  <c r="CC148" i="35"/>
  <c r="CC149" i="35"/>
  <c r="CC150" i="35"/>
  <c r="CC151" i="35"/>
  <c r="CC152" i="35"/>
  <c r="CC153" i="35"/>
  <c r="CC154" i="35"/>
  <c r="CC155" i="35"/>
  <c r="CC156" i="35"/>
  <c r="CC157" i="35"/>
  <c r="CC158" i="35"/>
  <c r="CC159" i="35"/>
  <c r="CC160" i="35"/>
  <c r="CC161" i="35"/>
  <c r="CC162" i="35"/>
  <c r="CC163" i="35"/>
  <c r="CC164" i="35"/>
  <c r="CC165" i="35"/>
  <c r="CC166" i="35"/>
  <c r="CC167" i="35"/>
  <c r="CC168" i="35"/>
  <c r="CC169" i="35"/>
  <c r="CC170" i="35"/>
  <c r="CC171" i="35"/>
  <c r="CC172" i="35"/>
  <c r="CC174" i="35"/>
  <c r="CC175" i="35"/>
  <c r="CC176" i="35"/>
  <c r="CC177" i="35"/>
  <c r="CC179" i="35"/>
  <c r="CC180" i="35"/>
  <c r="CC181" i="35"/>
  <c r="CC182" i="35"/>
  <c r="CC183" i="35"/>
  <c r="CC184" i="35"/>
  <c r="CC185" i="35"/>
  <c r="CC186" i="35"/>
  <c r="CC187" i="35"/>
  <c r="CC188" i="35"/>
  <c r="CC189" i="35"/>
  <c r="CC190" i="35"/>
  <c r="CC191" i="35"/>
  <c r="CC192" i="35"/>
  <c r="CC193" i="35"/>
  <c r="CC194" i="35"/>
  <c r="CC195" i="35"/>
  <c r="CC196" i="35"/>
  <c r="CC197" i="35"/>
  <c r="CC198" i="35"/>
  <c r="CC199" i="35"/>
  <c r="CC200" i="35"/>
  <c r="CC201" i="35"/>
  <c r="CC202" i="35"/>
  <c r="CC203" i="35"/>
  <c r="CC204" i="35"/>
  <c r="CC205" i="35"/>
  <c r="CC206" i="35"/>
  <c r="CC207" i="35"/>
  <c r="CC208" i="35"/>
  <c r="CC209" i="35"/>
  <c r="CC210" i="35"/>
  <c r="CC211" i="35"/>
  <c r="CC212" i="35"/>
  <c r="CC213" i="35"/>
  <c r="CC214" i="35"/>
  <c r="CC215" i="35"/>
  <c r="CC216" i="35"/>
  <c r="CC217" i="35"/>
  <c r="CC218" i="35"/>
  <c r="CC219" i="35"/>
  <c r="CC220" i="35"/>
  <c r="CC221" i="35"/>
  <c r="CC222" i="35"/>
  <c r="CC223" i="35"/>
  <c r="CC224" i="35"/>
  <c r="CC226" i="35"/>
  <c r="CC227" i="35"/>
  <c r="CC228" i="35"/>
  <c r="CC230" i="35"/>
  <c r="CC231" i="35"/>
  <c r="CC232" i="35"/>
  <c r="CC233" i="35"/>
  <c r="CC234" i="35"/>
  <c r="CC235" i="35"/>
  <c r="CC236" i="35"/>
  <c r="CC237" i="35"/>
  <c r="CC238" i="35"/>
  <c r="CC239" i="35"/>
  <c r="CC240" i="35"/>
  <c r="CC241" i="35"/>
  <c r="CC242" i="35"/>
  <c r="CC243" i="35"/>
  <c r="CC244" i="35"/>
  <c r="CC245" i="35"/>
  <c r="CC246" i="35"/>
  <c r="CC247" i="35"/>
  <c r="CC248" i="35"/>
  <c r="CD248" i="35" s="1"/>
  <c r="CC249" i="35"/>
  <c r="CC250" i="35"/>
  <c r="CC251" i="35"/>
  <c r="CC252" i="35"/>
  <c r="CC253" i="35"/>
  <c r="CC254" i="35"/>
  <c r="CC255" i="35"/>
  <c r="CC256" i="35"/>
  <c r="CC257" i="35"/>
  <c r="CC258" i="35"/>
  <c r="CC259" i="35"/>
  <c r="CC260" i="35"/>
  <c r="CC261" i="35"/>
  <c r="CC262" i="35"/>
  <c r="CC263" i="35"/>
  <c r="CC264" i="35"/>
  <c r="CC265" i="35"/>
  <c r="CC266" i="35"/>
  <c r="CC267" i="35"/>
  <c r="CC268" i="35"/>
  <c r="CC269" i="35"/>
  <c r="CC270" i="35"/>
  <c r="CC271" i="35"/>
  <c r="CC272" i="35"/>
  <c r="CC273" i="35"/>
  <c r="CC274" i="35"/>
  <c r="CC275" i="35"/>
  <c r="CC276" i="35"/>
  <c r="CC277" i="35"/>
  <c r="CC278" i="35"/>
  <c r="CC279" i="35"/>
  <c r="CC280" i="35"/>
  <c r="CC281" i="35"/>
  <c r="CC282" i="35"/>
  <c r="CC283" i="35"/>
  <c r="CC284" i="35"/>
  <c r="CC285" i="35"/>
  <c r="CC286" i="35"/>
  <c r="CC287" i="35"/>
  <c r="CC288" i="35"/>
  <c r="CC289" i="35"/>
  <c r="CC290" i="35"/>
  <c r="CC291" i="35"/>
  <c r="CC292" i="35"/>
  <c r="CC293" i="35"/>
  <c r="CC294" i="35"/>
  <c r="CC295" i="35"/>
  <c r="CC296" i="35"/>
  <c r="CC297" i="35"/>
  <c r="CC298" i="35"/>
  <c r="CC299" i="35"/>
  <c r="CC300" i="35"/>
  <c r="CC301" i="35"/>
  <c r="CC302" i="35"/>
  <c r="CC303" i="35"/>
  <c r="CC304" i="35"/>
  <c r="CC305" i="35"/>
  <c r="CC306" i="35"/>
  <c r="CC307" i="35"/>
  <c r="CC308" i="35"/>
  <c r="CC309" i="35"/>
  <c r="CC310" i="35"/>
  <c r="CC311" i="35"/>
  <c r="CC312" i="35"/>
  <c r="CC313" i="35"/>
  <c r="CC314" i="35"/>
  <c r="CC315" i="35"/>
  <c r="CC316" i="35"/>
  <c r="CC317" i="35"/>
  <c r="CC318" i="35"/>
  <c r="CC319" i="35"/>
  <c r="CC320" i="35"/>
  <c r="CC321" i="35"/>
  <c r="CC322" i="35"/>
  <c r="CC323" i="35"/>
  <c r="CC324" i="35"/>
  <c r="CC325" i="35"/>
  <c r="CC326" i="35"/>
  <c r="CC327" i="35"/>
  <c r="CC328" i="35"/>
  <c r="CC329" i="35"/>
  <c r="CC330" i="35"/>
  <c r="CC331" i="35"/>
  <c r="CC332" i="35"/>
  <c r="CC333" i="35"/>
  <c r="CC334" i="35"/>
  <c r="CC335" i="35"/>
  <c r="CC336" i="35"/>
  <c r="CC337" i="35"/>
  <c r="CC338" i="35"/>
  <c r="CC339" i="35"/>
  <c r="CC340" i="35"/>
  <c r="CC341" i="35"/>
  <c r="CC342" i="35"/>
  <c r="CC343" i="35"/>
  <c r="CC344" i="35"/>
  <c r="CC345" i="35"/>
  <c r="CC346" i="35"/>
  <c r="CC347" i="35"/>
  <c r="CC348" i="35"/>
  <c r="CC349" i="35"/>
  <c r="CC350" i="35"/>
  <c r="CC351" i="35"/>
  <c r="CC352" i="35"/>
  <c r="CC353" i="35"/>
  <c r="CC354" i="35"/>
  <c r="CC355" i="35"/>
  <c r="CC356" i="35"/>
  <c r="CC357" i="35"/>
  <c r="CC358" i="35"/>
  <c r="CC359" i="35"/>
  <c r="CC360" i="35"/>
  <c r="CC361" i="35"/>
  <c r="CC362" i="35"/>
  <c r="CC363" i="35"/>
  <c r="CC364" i="35"/>
  <c r="CC365" i="35"/>
  <c r="CC366" i="35"/>
  <c r="CC367" i="35"/>
  <c r="CC368" i="35"/>
  <c r="CC369" i="35"/>
  <c r="CC370" i="35"/>
  <c r="CC371" i="35"/>
  <c r="CC372" i="35"/>
  <c r="CC373" i="35"/>
  <c r="CC374" i="35"/>
  <c r="CC375" i="35"/>
  <c r="CC376" i="35"/>
  <c r="CC377" i="35"/>
  <c r="CC378" i="35"/>
  <c r="CC381" i="35"/>
  <c r="CC382" i="35"/>
  <c r="CC383" i="35"/>
  <c r="CC385" i="35"/>
  <c r="CC384" i="35"/>
  <c r="CC386" i="35"/>
  <c r="CC390" i="35"/>
  <c r="CC391" i="35"/>
  <c r="CC392" i="35"/>
  <c r="CC387" i="35"/>
  <c r="CC388" i="35"/>
  <c r="CC393" i="35"/>
  <c r="CC394" i="35"/>
  <c r="CC395" i="35"/>
  <c r="CC389" i="35"/>
  <c r="CC379" i="35"/>
  <c r="CC380" i="35"/>
  <c r="CC396" i="35"/>
  <c r="CC397" i="35"/>
  <c r="CC398" i="35"/>
  <c r="CC399" i="35"/>
  <c r="CC400" i="35"/>
  <c r="CC401" i="35"/>
  <c r="CC402" i="35"/>
  <c r="CC403" i="35"/>
  <c r="CC404" i="35"/>
  <c r="CC405" i="35"/>
  <c r="CC406" i="35"/>
  <c r="CD406" i="35" s="1"/>
  <c r="CC407" i="35"/>
  <c r="CC408" i="35"/>
  <c r="CC409" i="35"/>
  <c r="CC410" i="35"/>
  <c r="CC411" i="35"/>
  <c r="CC412" i="35"/>
  <c r="CC413" i="35"/>
  <c r="CC414" i="35"/>
  <c r="CC415" i="35"/>
  <c r="CC417" i="35"/>
  <c r="CC419" i="35"/>
  <c r="CC420" i="35"/>
  <c r="CC421" i="35"/>
  <c r="CC422" i="35"/>
  <c r="CC423" i="35"/>
  <c r="CC424" i="35"/>
  <c r="CC425" i="35"/>
  <c r="CC426" i="35"/>
  <c r="CC427" i="35"/>
  <c r="CC428" i="35"/>
  <c r="CC429" i="35"/>
  <c r="CC430" i="35"/>
  <c r="CC431" i="35"/>
  <c r="CC432" i="35"/>
  <c r="CC433" i="35"/>
  <c r="CC434" i="35"/>
  <c r="CC435" i="35"/>
  <c r="CC436" i="35"/>
  <c r="CC437" i="35"/>
  <c r="CC438" i="35"/>
  <c r="CC439" i="35"/>
  <c r="CC440" i="35"/>
  <c r="CC441" i="35"/>
  <c r="CC442" i="35"/>
  <c r="CC443" i="35"/>
  <c r="CC444" i="35"/>
  <c r="CC445" i="35"/>
  <c r="CC446" i="35"/>
  <c r="CC447" i="35"/>
  <c r="CC448" i="35"/>
  <c r="CC449" i="35"/>
  <c r="CC450" i="35"/>
  <c r="CC451" i="35"/>
  <c r="CC452" i="35"/>
  <c r="CC453" i="35"/>
  <c r="CC454" i="35"/>
  <c r="CC455" i="35"/>
  <c r="CC457" i="35"/>
  <c r="CC458" i="35"/>
  <c r="CC459" i="35"/>
  <c r="CC460" i="35"/>
  <c r="CC461" i="35"/>
  <c r="CC462" i="35"/>
  <c r="CC463" i="35"/>
  <c r="CC464" i="35"/>
  <c r="CC465" i="35"/>
  <c r="CC466" i="35"/>
  <c r="CC467" i="35"/>
  <c r="CC468" i="35"/>
  <c r="CC469" i="35"/>
  <c r="CC470" i="35"/>
  <c r="CC471" i="35"/>
  <c r="CC472" i="35"/>
  <c r="CC473" i="35"/>
  <c r="CC474" i="35"/>
  <c r="CC475" i="35"/>
  <c r="CC476" i="35"/>
  <c r="CC477" i="35"/>
  <c r="CC478" i="35"/>
  <c r="CC479" i="35"/>
  <c r="CC480" i="35"/>
  <c r="CC481" i="35"/>
  <c r="CC482" i="35"/>
  <c r="CC483" i="35"/>
  <c r="CC484" i="35"/>
  <c r="CC485" i="35"/>
  <c r="CC486" i="35"/>
  <c r="CC487" i="35"/>
  <c r="CC488" i="35"/>
  <c r="CC489" i="35"/>
  <c r="CC490" i="35"/>
  <c r="CC491" i="35"/>
  <c r="CC492" i="35"/>
  <c r="CC493" i="35"/>
  <c r="CC494" i="35"/>
  <c r="CC495" i="35"/>
  <c r="CC496" i="35"/>
  <c r="CC497" i="35"/>
  <c r="CC498" i="35"/>
  <c r="CC499" i="35"/>
  <c r="CC500" i="35"/>
  <c r="CC501" i="35"/>
  <c r="CC502" i="35"/>
  <c r="CC503" i="35"/>
  <c r="CC504" i="35"/>
  <c r="CC505" i="35"/>
  <c r="CC506" i="35"/>
  <c r="CC507" i="35"/>
  <c r="CC508" i="35"/>
  <c r="CC509" i="35"/>
  <c r="CC510" i="35"/>
  <c r="CC511" i="35"/>
  <c r="CC512" i="35"/>
  <c r="CC8" i="35"/>
  <c r="BZ8" i="35"/>
  <c r="BZ9" i="35"/>
  <c r="BZ10" i="35"/>
  <c r="BZ11" i="35"/>
  <c r="BZ12" i="35"/>
  <c r="BZ13" i="35"/>
  <c r="BZ14" i="35"/>
  <c r="BZ15" i="35"/>
  <c r="BZ16" i="35"/>
  <c r="BZ17" i="35"/>
  <c r="BZ18" i="35"/>
  <c r="BZ19" i="35"/>
  <c r="BZ20" i="35"/>
  <c r="BZ21" i="35"/>
  <c r="BZ22" i="35"/>
  <c r="BZ23" i="35"/>
  <c r="BZ24" i="35"/>
  <c r="BZ25" i="35"/>
  <c r="BZ26" i="35"/>
  <c r="BZ27" i="35"/>
  <c r="BZ29" i="35"/>
  <c r="BZ30" i="35"/>
  <c r="BZ31" i="35"/>
  <c r="BZ32" i="35"/>
  <c r="BZ33" i="35"/>
  <c r="BZ34" i="35"/>
  <c r="BZ35" i="35"/>
  <c r="BZ36" i="35"/>
  <c r="BZ37" i="35"/>
  <c r="BZ38" i="35"/>
  <c r="BZ39" i="35"/>
  <c r="BZ40" i="35"/>
  <c r="BZ41" i="35"/>
  <c r="BZ42" i="35"/>
  <c r="BZ45" i="35"/>
  <c r="BZ46" i="35"/>
  <c r="BZ48" i="35"/>
  <c r="BZ49" i="35"/>
  <c r="BZ51" i="35"/>
  <c r="BZ52" i="35"/>
  <c r="BZ53" i="35"/>
  <c r="BZ54" i="35"/>
  <c r="BZ55" i="35"/>
  <c r="BZ56" i="35"/>
  <c r="BZ57" i="35"/>
  <c r="BZ58" i="35"/>
  <c r="BZ59" i="35"/>
  <c r="BZ60" i="35"/>
  <c r="BZ61" i="35"/>
  <c r="BZ62" i="35"/>
  <c r="BZ63" i="35"/>
  <c r="BZ64" i="35"/>
  <c r="BZ65" i="35"/>
  <c r="BZ66" i="35"/>
  <c r="BZ67" i="35"/>
  <c r="BZ68" i="35"/>
  <c r="BZ69" i="35"/>
  <c r="BZ70" i="35"/>
  <c r="BZ71" i="35"/>
  <c r="BZ72" i="35"/>
  <c r="BZ73" i="35"/>
  <c r="BZ74" i="35"/>
  <c r="BZ75" i="35"/>
  <c r="BZ76" i="35"/>
  <c r="BZ77" i="35"/>
  <c r="BZ78" i="35"/>
  <c r="BZ79" i="35"/>
  <c r="BZ80" i="35"/>
  <c r="BZ81" i="35"/>
  <c r="BZ82" i="35"/>
  <c r="BZ83" i="35"/>
  <c r="BZ84" i="35"/>
  <c r="BZ85" i="35"/>
  <c r="BZ86" i="35"/>
  <c r="BZ87" i="35"/>
  <c r="BZ88" i="35"/>
  <c r="BZ89" i="35"/>
  <c r="BZ90" i="35"/>
  <c r="BZ91" i="35"/>
  <c r="BZ92" i="35"/>
  <c r="BZ93" i="35"/>
  <c r="BZ94" i="35"/>
  <c r="BZ95" i="35"/>
  <c r="BZ96" i="35"/>
  <c r="BZ97" i="35"/>
  <c r="BZ98" i="35"/>
  <c r="BZ99" i="35"/>
  <c r="BZ100" i="35"/>
  <c r="BZ101" i="35"/>
  <c r="BZ102" i="35"/>
  <c r="BZ103" i="35"/>
  <c r="BZ104" i="35"/>
  <c r="BZ105" i="35"/>
  <c r="BZ106" i="35"/>
  <c r="BZ107" i="35"/>
  <c r="BZ108" i="35"/>
  <c r="BZ109" i="35"/>
  <c r="BZ110" i="35"/>
  <c r="BZ111" i="35"/>
  <c r="BZ112" i="35"/>
  <c r="BZ113" i="35"/>
  <c r="BZ114" i="35"/>
  <c r="BZ115" i="35"/>
  <c r="BZ116" i="35"/>
  <c r="BZ117" i="35"/>
  <c r="BZ118" i="35"/>
  <c r="BZ119" i="35"/>
  <c r="BZ120" i="35"/>
  <c r="BZ121" i="35"/>
  <c r="BZ122" i="35"/>
  <c r="BZ123" i="35"/>
  <c r="BZ124" i="35"/>
  <c r="BZ125" i="35"/>
  <c r="BZ126" i="35"/>
  <c r="BZ127" i="35"/>
  <c r="BZ128" i="35"/>
  <c r="BZ129" i="35"/>
  <c r="BZ130" i="35"/>
  <c r="BZ131" i="35"/>
  <c r="BZ132" i="35"/>
  <c r="BZ133" i="35"/>
  <c r="BZ134" i="35"/>
  <c r="BZ135" i="35"/>
  <c r="BZ136" i="35"/>
  <c r="BZ137" i="35"/>
  <c r="BZ138" i="35"/>
  <c r="BZ139" i="35"/>
  <c r="BZ140" i="35"/>
  <c r="BZ141" i="35"/>
  <c r="BZ142" i="35"/>
  <c r="BZ143" i="35"/>
  <c r="BZ144" i="35"/>
  <c r="BZ147" i="35"/>
  <c r="BZ148" i="35"/>
  <c r="BZ149" i="35"/>
  <c r="BZ150" i="35"/>
  <c r="BZ151" i="35"/>
  <c r="BZ152" i="35"/>
  <c r="BZ153" i="35"/>
  <c r="BZ154" i="35"/>
  <c r="BZ155" i="35"/>
  <c r="BZ156" i="35"/>
  <c r="BZ157" i="35"/>
  <c r="BZ158" i="35"/>
  <c r="BZ159" i="35"/>
  <c r="BZ160" i="35"/>
  <c r="BZ161" i="35"/>
  <c r="BZ162" i="35"/>
  <c r="BZ163" i="35"/>
  <c r="BZ164" i="35"/>
  <c r="BZ165" i="35"/>
  <c r="BZ166" i="35"/>
  <c r="BZ167" i="35"/>
  <c r="BZ168" i="35"/>
  <c r="BZ169" i="35"/>
  <c r="BZ170" i="35"/>
  <c r="BZ171" i="35"/>
  <c r="BZ172" i="35"/>
  <c r="BZ174" i="35"/>
  <c r="BZ175" i="35"/>
  <c r="BZ176" i="35"/>
  <c r="BZ177" i="35"/>
  <c r="BZ179" i="35"/>
  <c r="BZ180" i="35"/>
  <c r="BZ181" i="35"/>
  <c r="BZ182" i="35"/>
  <c r="BZ183" i="35"/>
  <c r="BZ184" i="35"/>
  <c r="BZ185" i="35"/>
  <c r="BZ186" i="35"/>
  <c r="BZ187" i="35"/>
  <c r="BZ188" i="35"/>
  <c r="BZ189" i="35"/>
  <c r="BZ190" i="35"/>
  <c r="BZ191" i="35"/>
  <c r="BZ192" i="35"/>
  <c r="BZ193" i="35"/>
  <c r="BZ194" i="35"/>
  <c r="BZ195" i="35"/>
  <c r="BZ196" i="35"/>
  <c r="BZ197" i="35"/>
  <c r="BZ198" i="35"/>
  <c r="BZ199" i="35"/>
  <c r="BZ200" i="35"/>
  <c r="BZ201" i="35"/>
  <c r="BZ202" i="35"/>
  <c r="BZ203" i="35"/>
  <c r="BZ204" i="35"/>
  <c r="BZ205" i="35"/>
  <c r="BZ206" i="35"/>
  <c r="BZ207" i="35"/>
  <c r="BZ208" i="35"/>
  <c r="BZ209" i="35"/>
  <c r="BZ210" i="35"/>
  <c r="BZ211" i="35"/>
  <c r="BZ212" i="35"/>
  <c r="BZ213" i="35"/>
  <c r="BZ214" i="35"/>
  <c r="BZ215" i="35"/>
  <c r="BZ216" i="35"/>
  <c r="BZ217" i="35"/>
  <c r="BZ218" i="35"/>
  <c r="BZ219" i="35"/>
  <c r="BZ220" i="35"/>
  <c r="BZ221" i="35"/>
  <c r="BZ222" i="35"/>
  <c r="BZ223" i="35"/>
  <c r="BZ224" i="35"/>
  <c r="BZ226" i="35"/>
  <c r="BZ227" i="35"/>
  <c r="BZ228" i="35"/>
  <c r="BZ230" i="35"/>
  <c r="BZ231" i="35"/>
  <c r="BZ232" i="35"/>
  <c r="BZ233" i="35"/>
  <c r="BZ234" i="35"/>
  <c r="BZ235" i="35"/>
  <c r="BZ236" i="35"/>
  <c r="BZ237" i="35"/>
  <c r="BZ238" i="35"/>
  <c r="BZ239" i="35"/>
  <c r="BZ240" i="35"/>
  <c r="BZ241" i="35"/>
  <c r="BZ242" i="35"/>
  <c r="BZ243" i="35"/>
  <c r="BZ244" i="35"/>
  <c r="BZ245" i="35"/>
  <c r="BZ246" i="35"/>
  <c r="BZ247" i="35"/>
  <c r="BZ248" i="35"/>
  <c r="BZ249" i="35"/>
  <c r="BZ250" i="35"/>
  <c r="BZ251" i="35"/>
  <c r="BZ252" i="35"/>
  <c r="BZ253" i="35"/>
  <c r="BZ254" i="35"/>
  <c r="BZ255" i="35"/>
  <c r="BZ256" i="35"/>
  <c r="BZ257" i="35"/>
  <c r="BZ258" i="35"/>
  <c r="BZ259" i="35"/>
  <c r="BZ260" i="35"/>
  <c r="BZ261" i="35"/>
  <c r="BZ262" i="35"/>
  <c r="BZ263" i="35"/>
  <c r="BZ264" i="35"/>
  <c r="BZ265" i="35"/>
  <c r="BZ266" i="35"/>
  <c r="BZ267" i="35"/>
  <c r="BZ268" i="35"/>
  <c r="BZ269" i="35"/>
  <c r="BZ270" i="35"/>
  <c r="BZ271" i="35"/>
  <c r="BZ272" i="35"/>
  <c r="BZ273" i="35"/>
  <c r="BZ274" i="35"/>
  <c r="BZ275" i="35"/>
  <c r="BZ276" i="35"/>
  <c r="BZ277" i="35"/>
  <c r="BZ278" i="35"/>
  <c r="BZ279" i="35"/>
  <c r="BZ280" i="35"/>
  <c r="BZ281" i="35"/>
  <c r="BZ282" i="35"/>
  <c r="BZ283" i="35"/>
  <c r="BZ284" i="35"/>
  <c r="BZ285" i="35"/>
  <c r="BZ286" i="35"/>
  <c r="BZ287" i="35"/>
  <c r="BZ288" i="35"/>
  <c r="BZ289" i="35"/>
  <c r="BZ290" i="35"/>
  <c r="BZ291" i="35"/>
  <c r="BZ292" i="35"/>
  <c r="BZ293" i="35"/>
  <c r="BZ294" i="35"/>
  <c r="BZ295" i="35"/>
  <c r="BZ296" i="35"/>
  <c r="BZ297" i="35"/>
  <c r="BZ298" i="35"/>
  <c r="BZ299" i="35"/>
  <c r="BZ300" i="35"/>
  <c r="BZ301" i="35"/>
  <c r="BZ302" i="35"/>
  <c r="BZ303" i="35"/>
  <c r="BZ304" i="35"/>
  <c r="BZ305" i="35"/>
  <c r="BZ306" i="35"/>
  <c r="BZ307" i="35"/>
  <c r="BZ308" i="35"/>
  <c r="BZ309" i="35"/>
  <c r="BZ310" i="35"/>
  <c r="BZ311" i="35"/>
  <c r="BZ312" i="35"/>
  <c r="BZ313" i="35"/>
  <c r="BZ314" i="35"/>
  <c r="BZ315" i="35"/>
  <c r="BZ316" i="35"/>
  <c r="BZ317" i="35"/>
  <c r="BZ318" i="35"/>
  <c r="BZ319" i="35"/>
  <c r="BZ320" i="35"/>
  <c r="BZ321" i="35"/>
  <c r="BZ322" i="35"/>
  <c r="BZ323" i="35"/>
  <c r="BZ324" i="35"/>
  <c r="BZ325" i="35"/>
  <c r="BZ326" i="35"/>
  <c r="BZ327" i="35"/>
  <c r="BZ328" i="35"/>
  <c r="BZ329" i="35"/>
  <c r="BZ330" i="35"/>
  <c r="BZ331" i="35"/>
  <c r="BZ332" i="35"/>
  <c r="BZ333" i="35"/>
  <c r="BZ334" i="35"/>
  <c r="BZ335" i="35"/>
  <c r="BZ336" i="35"/>
  <c r="BZ337" i="35"/>
  <c r="BZ338" i="35"/>
  <c r="BZ339" i="35"/>
  <c r="BZ340" i="35"/>
  <c r="BZ341" i="35"/>
  <c r="BZ342" i="35"/>
  <c r="BZ343" i="35"/>
  <c r="BZ344" i="35"/>
  <c r="BZ345" i="35"/>
  <c r="BZ346" i="35"/>
  <c r="BZ347" i="35"/>
  <c r="BZ348" i="35"/>
  <c r="BZ349" i="35"/>
  <c r="BZ350" i="35"/>
  <c r="BZ351" i="35"/>
  <c r="BZ352" i="35"/>
  <c r="BZ353" i="35"/>
  <c r="BZ354" i="35"/>
  <c r="BZ355" i="35"/>
  <c r="BZ356" i="35"/>
  <c r="BZ357" i="35"/>
  <c r="BZ358" i="35"/>
  <c r="BZ359" i="35"/>
  <c r="BZ360" i="35"/>
  <c r="BZ361" i="35"/>
  <c r="BZ362" i="35"/>
  <c r="BZ363" i="35"/>
  <c r="BZ364" i="35"/>
  <c r="BZ365" i="35"/>
  <c r="BZ366" i="35"/>
  <c r="BZ367" i="35"/>
  <c r="BZ368" i="35"/>
  <c r="BZ369" i="35"/>
  <c r="BZ370" i="35"/>
  <c r="BZ371" i="35"/>
  <c r="BZ372" i="35"/>
  <c r="BZ373" i="35"/>
  <c r="BZ374" i="35"/>
  <c r="BZ375" i="35"/>
  <c r="BZ376" i="35"/>
  <c r="BZ377" i="35"/>
  <c r="BZ378" i="35"/>
  <c r="BZ381" i="35"/>
  <c r="BZ382" i="35"/>
  <c r="BZ383" i="35"/>
  <c r="BZ385" i="35"/>
  <c r="BZ384" i="35"/>
  <c r="BZ386" i="35"/>
  <c r="BZ390" i="35"/>
  <c r="BZ391" i="35"/>
  <c r="BZ392" i="35"/>
  <c r="BZ387" i="35"/>
  <c r="BZ388" i="35"/>
  <c r="BZ393" i="35"/>
  <c r="BZ394" i="35"/>
  <c r="BZ395" i="35"/>
  <c r="BZ389" i="35"/>
  <c r="BZ379" i="35"/>
  <c r="BZ380" i="35"/>
  <c r="BZ396" i="35"/>
  <c r="BZ397" i="35"/>
  <c r="BZ398" i="35"/>
  <c r="BZ399" i="35"/>
  <c r="BZ400" i="35"/>
  <c r="BZ401" i="35"/>
  <c r="BZ402" i="35"/>
  <c r="BZ403" i="35"/>
  <c r="BZ404" i="35"/>
  <c r="BZ405" i="35"/>
  <c r="BZ406" i="35"/>
  <c r="BZ407" i="35"/>
  <c r="BZ408" i="35"/>
  <c r="BZ409" i="35"/>
  <c r="BZ410" i="35"/>
  <c r="BZ411" i="35"/>
  <c r="BZ412" i="35"/>
  <c r="BZ413" i="35"/>
  <c r="BZ414" i="35"/>
  <c r="BZ415" i="35"/>
  <c r="BZ417" i="35"/>
  <c r="BZ419" i="35"/>
  <c r="BZ420" i="35"/>
  <c r="BZ421" i="35"/>
  <c r="BZ422" i="35"/>
  <c r="BZ423" i="35"/>
  <c r="BZ424" i="35"/>
  <c r="BZ425" i="35"/>
  <c r="BZ426" i="35"/>
  <c r="BZ427" i="35"/>
  <c r="BZ428" i="35"/>
  <c r="BZ429" i="35"/>
  <c r="BZ430" i="35"/>
  <c r="BZ431" i="35"/>
  <c r="BZ432" i="35"/>
  <c r="BZ433" i="35"/>
  <c r="BZ434" i="35"/>
  <c r="BZ435" i="35"/>
  <c r="BZ436" i="35"/>
  <c r="BZ437" i="35"/>
  <c r="BZ438" i="35"/>
  <c r="BZ439" i="35"/>
  <c r="BZ440" i="35"/>
  <c r="BZ441" i="35"/>
  <c r="BZ442" i="35"/>
  <c r="BZ443" i="35"/>
  <c r="BZ444" i="35"/>
  <c r="BZ445" i="35"/>
  <c r="BZ446" i="35"/>
  <c r="BZ447" i="35"/>
  <c r="BZ448" i="35"/>
  <c r="BZ449" i="35"/>
  <c r="BZ450" i="35"/>
  <c r="BZ451" i="35"/>
  <c r="BZ452" i="35"/>
  <c r="BZ453" i="35"/>
  <c r="BZ454" i="35"/>
  <c r="BZ455" i="35"/>
  <c r="BZ457" i="35"/>
  <c r="BZ458" i="35"/>
  <c r="BZ459" i="35"/>
  <c r="BZ460" i="35"/>
  <c r="BZ461" i="35"/>
  <c r="BZ462" i="35"/>
  <c r="BZ463" i="35"/>
  <c r="BZ464" i="35"/>
  <c r="BZ465" i="35"/>
  <c r="BZ466" i="35"/>
  <c r="BZ467" i="35"/>
  <c r="BZ468" i="35"/>
  <c r="BZ469" i="35"/>
  <c r="BZ470" i="35"/>
  <c r="BZ471" i="35"/>
  <c r="BZ472" i="35"/>
  <c r="BZ473" i="35"/>
  <c r="BZ474" i="35"/>
  <c r="BZ475" i="35"/>
  <c r="BZ476" i="35"/>
  <c r="BZ477" i="35"/>
  <c r="BZ478" i="35"/>
  <c r="BZ479" i="35"/>
  <c r="BZ480" i="35"/>
  <c r="BZ481" i="35"/>
  <c r="BZ482" i="35"/>
  <c r="BZ483" i="35"/>
  <c r="BZ484" i="35"/>
  <c r="BZ485" i="35"/>
  <c r="BZ486" i="35"/>
  <c r="BZ487" i="35"/>
  <c r="BZ488" i="35"/>
  <c r="BZ489" i="35"/>
  <c r="BZ490" i="35"/>
  <c r="BZ491" i="35"/>
  <c r="BZ492" i="35"/>
  <c r="BZ493" i="35"/>
  <c r="BZ494" i="35"/>
  <c r="BZ495" i="35"/>
  <c r="BZ496" i="35"/>
  <c r="BZ497" i="35"/>
  <c r="BZ498" i="35"/>
  <c r="BZ499" i="35"/>
  <c r="BZ500" i="35"/>
  <c r="BZ501" i="35"/>
  <c r="BZ502" i="35"/>
  <c r="BZ503" i="35"/>
  <c r="BZ504" i="35"/>
  <c r="BZ505" i="35"/>
  <c r="BZ506" i="35"/>
  <c r="BZ507" i="35"/>
  <c r="BZ508" i="35"/>
  <c r="BZ509" i="35"/>
  <c r="BZ510" i="35"/>
  <c r="BZ511" i="35"/>
  <c r="BZ512" i="35"/>
  <c r="BU9" i="35"/>
  <c r="BU10" i="35"/>
  <c r="BU11" i="35"/>
  <c r="BU12" i="35"/>
  <c r="BU13" i="35"/>
  <c r="BU14" i="35"/>
  <c r="BU15" i="35"/>
  <c r="BU16" i="35"/>
  <c r="BU17" i="35"/>
  <c r="BU18" i="35"/>
  <c r="BU19" i="35"/>
  <c r="BU20" i="35"/>
  <c r="BU21" i="35"/>
  <c r="BU22" i="35"/>
  <c r="BU23" i="35"/>
  <c r="BU24" i="35"/>
  <c r="BU25" i="35"/>
  <c r="BU26" i="35"/>
  <c r="BU27" i="35"/>
  <c r="BU29" i="35"/>
  <c r="BU30" i="35"/>
  <c r="BU31" i="35"/>
  <c r="BU32" i="35"/>
  <c r="BU33" i="35"/>
  <c r="BU34" i="35"/>
  <c r="BU35" i="35"/>
  <c r="BU36" i="35"/>
  <c r="BU37" i="35"/>
  <c r="BU38" i="35"/>
  <c r="BU39" i="35"/>
  <c r="BU40" i="35"/>
  <c r="BU41" i="35"/>
  <c r="BU42" i="35"/>
  <c r="BU45" i="35"/>
  <c r="BU46" i="35"/>
  <c r="BU48" i="35"/>
  <c r="BU49" i="35"/>
  <c r="BU51" i="35"/>
  <c r="BU52" i="35"/>
  <c r="BU53" i="35"/>
  <c r="BU54" i="35"/>
  <c r="BU55" i="35"/>
  <c r="BU56" i="35"/>
  <c r="BU57" i="35"/>
  <c r="BU58" i="35"/>
  <c r="BU59" i="35"/>
  <c r="BU60" i="35"/>
  <c r="BU61" i="35"/>
  <c r="BU62" i="35"/>
  <c r="BU63" i="35"/>
  <c r="BU64" i="35"/>
  <c r="BU65" i="35"/>
  <c r="BU66" i="35"/>
  <c r="BU67" i="35"/>
  <c r="BU68" i="35"/>
  <c r="BU69" i="35"/>
  <c r="BU70" i="35"/>
  <c r="BU71" i="35"/>
  <c r="BU72" i="35"/>
  <c r="BU73" i="35"/>
  <c r="BU74" i="35"/>
  <c r="BU75" i="35"/>
  <c r="BU76" i="35"/>
  <c r="BU77" i="35"/>
  <c r="BU78" i="35"/>
  <c r="BU79" i="35"/>
  <c r="BU80" i="35"/>
  <c r="BU81" i="35"/>
  <c r="BU82" i="35"/>
  <c r="BU83" i="35"/>
  <c r="BU84" i="35"/>
  <c r="BU85" i="35"/>
  <c r="BU86" i="35"/>
  <c r="BU87" i="35"/>
  <c r="BU88" i="35"/>
  <c r="BU89" i="35"/>
  <c r="BU90" i="35"/>
  <c r="BU91" i="35"/>
  <c r="BU92" i="35"/>
  <c r="BU93" i="35"/>
  <c r="BU94" i="35"/>
  <c r="BU95" i="35"/>
  <c r="BU96" i="35"/>
  <c r="BU97" i="35"/>
  <c r="BU98" i="35"/>
  <c r="BU99" i="35"/>
  <c r="BU100" i="35"/>
  <c r="BU101" i="35"/>
  <c r="BU102" i="35"/>
  <c r="BU103" i="35"/>
  <c r="BU104" i="35"/>
  <c r="BU105" i="35"/>
  <c r="BU106" i="35"/>
  <c r="BU107" i="35"/>
  <c r="BU108" i="35"/>
  <c r="BU109" i="35"/>
  <c r="BU110" i="35"/>
  <c r="BU111" i="35"/>
  <c r="BU112" i="35"/>
  <c r="BU113" i="35"/>
  <c r="BU114" i="35"/>
  <c r="BU115" i="35"/>
  <c r="BU116" i="35"/>
  <c r="BU117" i="35"/>
  <c r="BU118" i="35"/>
  <c r="BU119" i="35"/>
  <c r="BU120" i="35"/>
  <c r="BU121" i="35"/>
  <c r="BU122" i="35"/>
  <c r="BU123" i="35"/>
  <c r="BU124" i="35"/>
  <c r="BU125" i="35"/>
  <c r="BU126" i="35"/>
  <c r="BU127" i="35"/>
  <c r="BU128" i="35"/>
  <c r="BU129" i="35"/>
  <c r="BU130" i="35"/>
  <c r="BU131" i="35"/>
  <c r="BU132" i="35"/>
  <c r="BU133" i="35"/>
  <c r="BU134" i="35"/>
  <c r="BU135" i="35"/>
  <c r="BU136" i="35"/>
  <c r="BU137" i="35"/>
  <c r="BU138" i="35"/>
  <c r="BU139" i="35"/>
  <c r="BU140" i="35"/>
  <c r="BU141" i="35"/>
  <c r="BU142" i="35"/>
  <c r="BU143" i="35"/>
  <c r="BU144" i="35"/>
  <c r="BU147" i="35"/>
  <c r="BU148" i="35"/>
  <c r="BU149" i="35"/>
  <c r="BU150" i="35"/>
  <c r="BU151" i="35"/>
  <c r="BU152" i="35"/>
  <c r="BU153" i="35"/>
  <c r="BU154" i="35"/>
  <c r="BU155" i="35"/>
  <c r="BU156" i="35"/>
  <c r="BU157" i="35"/>
  <c r="BU158" i="35"/>
  <c r="BU159" i="35"/>
  <c r="BU160" i="35"/>
  <c r="BU161" i="35"/>
  <c r="BU162" i="35"/>
  <c r="BU163" i="35"/>
  <c r="BU164" i="35"/>
  <c r="BU165" i="35"/>
  <c r="BU166" i="35"/>
  <c r="BU167" i="35"/>
  <c r="BU168" i="35"/>
  <c r="BU169" i="35"/>
  <c r="BU170" i="35"/>
  <c r="BU171" i="35"/>
  <c r="BU172" i="35"/>
  <c r="BU174" i="35"/>
  <c r="BU175" i="35"/>
  <c r="BU176" i="35"/>
  <c r="BU177" i="35"/>
  <c r="BU179" i="35"/>
  <c r="BU180" i="35"/>
  <c r="BU181" i="35"/>
  <c r="BU182" i="35"/>
  <c r="BU183" i="35"/>
  <c r="BU184" i="35"/>
  <c r="BU185" i="35"/>
  <c r="BU186" i="35"/>
  <c r="BU187" i="35"/>
  <c r="BU188" i="35"/>
  <c r="BU189" i="35"/>
  <c r="BU190" i="35"/>
  <c r="BU191" i="35"/>
  <c r="BU192" i="35"/>
  <c r="BU193" i="35"/>
  <c r="BU194" i="35"/>
  <c r="BU195" i="35"/>
  <c r="BU196" i="35"/>
  <c r="BU197" i="35"/>
  <c r="BU198" i="35"/>
  <c r="BU199" i="35"/>
  <c r="BU200" i="35"/>
  <c r="BU201" i="35"/>
  <c r="BU202" i="35"/>
  <c r="BU203" i="35"/>
  <c r="BU204" i="35"/>
  <c r="BU205" i="35"/>
  <c r="BU206" i="35"/>
  <c r="BU207" i="35"/>
  <c r="BU208" i="35"/>
  <c r="BU209" i="35"/>
  <c r="BU210" i="35"/>
  <c r="BU211" i="35"/>
  <c r="BU212" i="35"/>
  <c r="BU213" i="35"/>
  <c r="BU214" i="35"/>
  <c r="BU215" i="35"/>
  <c r="BU216" i="35"/>
  <c r="BU217" i="35"/>
  <c r="BU218" i="35"/>
  <c r="BU219" i="35"/>
  <c r="BU220" i="35"/>
  <c r="BU221" i="35"/>
  <c r="BU222" i="35"/>
  <c r="BU223" i="35"/>
  <c r="BU224" i="35"/>
  <c r="BU226" i="35"/>
  <c r="BU227" i="35"/>
  <c r="BU228" i="35"/>
  <c r="BU230" i="35"/>
  <c r="BU231" i="35"/>
  <c r="BU232" i="35"/>
  <c r="BU233" i="35"/>
  <c r="BU234" i="35"/>
  <c r="BU235" i="35"/>
  <c r="BU236" i="35"/>
  <c r="BU237" i="35"/>
  <c r="BU238" i="35"/>
  <c r="BU239" i="35"/>
  <c r="BU240" i="35"/>
  <c r="BU241" i="35"/>
  <c r="BU242" i="35"/>
  <c r="BU243" i="35"/>
  <c r="BU244" i="35"/>
  <c r="BU245" i="35"/>
  <c r="BU246" i="35"/>
  <c r="BU247" i="35"/>
  <c r="BU248" i="35"/>
  <c r="BU249" i="35"/>
  <c r="BU250" i="35"/>
  <c r="BU251" i="35"/>
  <c r="BU252" i="35"/>
  <c r="BU253" i="35"/>
  <c r="BU254" i="35"/>
  <c r="BU255" i="35"/>
  <c r="BU256" i="35"/>
  <c r="BU257" i="35"/>
  <c r="BU258" i="35"/>
  <c r="BU259" i="35"/>
  <c r="BU260" i="35"/>
  <c r="BU261" i="35"/>
  <c r="BU262" i="35"/>
  <c r="BU263" i="35"/>
  <c r="BU264" i="35"/>
  <c r="BU265" i="35"/>
  <c r="BU266" i="35"/>
  <c r="BU267" i="35"/>
  <c r="BU268" i="35"/>
  <c r="BU269" i="35"/>
  <c r="BU270" i="35"/>
  <c r="BU271" i="35"/>
  <c r="BU272" i="35"/>
  <c r="BU273" i="35"/>
  <c r="BU274" i="35"/>
  <c r="BU275" i="35"/>
  <c r="BU276" i="35"/>
  <c r="BU277" i="35"/>
  <c r="BU278" i="35"/>
  <c r="BU279" i="35"/>
  <c r="BU280" i="35"/>
  <c r="BU281" i="35"/>
  <c r="BU282" i="35"/>
  <c r="BU283" i="35"/>
  <c r="BU284" i="35"/>
  <c r="BU285" i="35"/>
  <c r="BU286" i="35"/>
  <c r="BU287" i="35"/>
  <c r="BU288" i="35"/>
  <c r="BU289" i="35"/>
  <c r="BU290" i="35"/>
  <c r="BU291" i="35"/>
  <c r="BU292" i="35"/>
  <c r="BU293" i="35"/>
  <c r="BU294" i="35"/>
  <c r="BU295" i="35"/>
  <c r="BU296" i="35"/>
  <c r="BU297" i="35"/>
  <c r="BU298" i="35"/>
  <c r="BU299" i="35"/>
  <c r="BU300" i="35"/>
  <c r="BU301" i="35"/>
  <c r="BU302" i="35"/>
  <c r="BU303" i="35"/>
  <c r="BU304" i="35"/>
  <c r="BU305" i="35"/>
  <c r="BU306" i="35"/>
  <c r="BU307" i="35"/>
  <c r="BU308" i="35"/>
  <c r="BU309" i="35"/>
  <c r="BU310" i="35"/>
  <c r="BU311" i="35"/>
  <c r="BU312" i="35"/>
  <c r="BU313" i="35"/>
  <c r="BU314" i="35"/>
  <c r="BU315" i="35"/>
  <c r="BU316" i="35"/>
  <c r="BU317" i="35"/>
  <c r="BU318" i="35"/>
  <c r="BU319" i="35"/>
  <c r="BU320" i="35"/>
  <c r="BU321" i="35"/>
  <c r="BU322" i="35"/>
  <c r="BU323" i="35"/>
  <c r="BU324" i="35"/>
  <c r="BU325" i="35"/>
  <c r="BU326" i="35"/>
  <c r="BU327" i="35"/>
  <c r="BU328" i="35"/>
  <c r="BU329" i="35"/>
  <c r="BU330" i="35"/>
  <c r="BU331" i="35"/>
  <c r="BU332" i="35"/>
  <c r="BU333" i="35"/>
  <c r="BU334" i="35"/>
  <c r="BU335" i="35"/>
  <c r="BU336" i="35"/>
  <c r="BU337" i="35"/>
  <c r="BU338" i="35"/>
  <c r="BU339" i="35"/>
  <c r="BU340" i="35"/>
  <c r="BU341" i="35"/>
  <c r="BU342" i="35"/>
  <c r="BU343" i="35"/>
  <c r="BU344" i="35"/>
  <c r="BU345" i="35"/>
  <c r="BU346" i="35"/>
  <c r="BU347" i="35"/>
  <c r="BU348" i="35"/>
  <c r="BU349" i="35"/>
  <c r="BU350" i="35"/>
  <c r="BU351" i="35"/>
  <c r="BU352" i="35"/>
  <c r="BU353" i="35"/>
  <c r="BU354" i="35"/>
  <c r="BU355" i="35"/>
  <c r="BU356" i="35"/>
  <c r="BU357" i="35"/>
  <c r="BU358" i="35"/>
  <c r="BU359" i="35"/>
  <c r="BU360" i="35"/>
  <c r="BU361" i="35"/>
  <c r="BU362" i="35"/>
  <c r="BU363" i="35"/>
  <c r="BU364" i="35"/>
  <c r="BU365" i="35"/>
  <c r="BU366" i="35"/>
  <c r="BU367" i="35"/>
  <c r="BU368" i="35"/>
  <c r="BU369" i="35"/>
  <c r="BU370" i="35"/>
  <c r="BU371" i="35"/>
  <c r="BU372" i="35"/>
  <c r="BU373" i="35"/>
  <c r="BU374" i="35"/>
  <c r="BU375" i="35"/>
  <c r="BU376" i="35"/>
  <c r="BU377" i="35"/>
  <c r="BU378" i="35"/>
  <c r="BU381" i="35"/>
  <c r="BU382" i="35"/>
  <c r="BU383" i="35"/>
  <c r="BU385" i="35"/>
  <c r="BU384" i="35"/>
  <c r="BU386" i="35"/>
  <c r="BU390" i="35"/>
  <c r="BU391" i="35"/>
  <c r="BU392" i="35"/>
  <c r="BU387" i="35"/>
  <c r="BU388" i="35"/>
  <c r="BU393" i="35"/>
  <c r="BU394" i="35"/>
  <c r="BU395" i="35"/>
  <c r="BU389" i="35"/>
  <c r="BU379" i="35"/>
  <c r="BU380" i="35"/>
  <c r="BU396" i="35"/>
  <c r="BU397" i="35"/>
  <c r="BU398" i="35"/>
  <c r="BU399" i="35"/>
  <c r="BU400" i="35"/>
  <c r="BU401" i="35"/>
  <c r="BU402" i="35"/>
  <c r="BU403" i="35"/>
  <c r="BU404" i="35"/>
  <c r="BU405" i="35"/>
  <c r="BU406" i="35"/>
  <c r="BU407" i="35"/>
  <c r="BU408" i="35"/>
  <c r="BU409" i="35"/>
  <c r="BU410" i="35"/>
  <c r="BU411" i="35"/>
  <c r="BU412" i="35"/>
  <c r="BU413" i="35"/>
  <c r="BU414" i="35"/>
  <c r="BU415" i="35"/>
  <c r="BU417" i="35"/>
  <c r="BU419" i="35"/>
  <c r="BU420" i="35"/>
  <c r="BU421" i="35"/>
  <c r="BU422" i="35"/>
  <c r="BU423" i="35"/>
  <c r="BU424" i="35"/>
  <c r="BU425" i="35"/>
  <c r="BU426" i="35"/>
  <c r="BU427" i="35"/>
  <c r="BU428" i="35"/>
  <c r="BU429" i="35"/>
  <c r="BU430" i="35"/>
  <c r="BU431" i="35"/>
  <c r="BU432" i="35"/>
  <c r="BU433" i="35"/>
  <c r="BU434" i="35"/>
  <c r="BU435" i="35"/>
  <c r="BU436" i="35"/>
  <c r="BU437" i="35"/>
  <c r="BU438" i="35"/>
  <c r="BU439" i="35"/>
  <c r="BU440" i="35"/>
  <c r="BU441" i="35"/>
  <c r="BU442" i="35"/>
  <c r="BU443" i="35"/>
  <c r="BU444" i="35"/>
  <c r="BU445" i="35"/>
  <c r="BU446" i="35"/>
  <c r="BU447" i="35"/>
  <c r="BU448" i="35"/>
  <c r="BU449" i="35"/>
  <c r="BU450" i="35"/>
  <c r="BU451" i="35"/>
  <c r="BU452" i="35"/>
  <c r="BU453" i="35"/>
  <c r="BU454" i="35"/>
  <c r="BU455" i="35"/>
  <c r="BU457" i="35"/>
  <c r="BU458" i="35"/>
  <c r="BU459" i="35"/>
  <c r="BU460" i="35"/>
  <c r="BU461" i="35"/>
  <c r="BU462" i="35"/>
  <c r="BU463" i="35"/>
  <c r="BU464" i="35"/>
  <c r="BU465" i="35"/>
  <c r="BU466" i="35"/>
  <c r="BU467" i="35"/>
  <c r="BU468" i="35"/>
  <c r="BU469" i="35"/>
  <c r="BU470" i="35"/>
  <c r="BU471" i="35"/>
  <c r="BU472" i="35"/>
  <c r="BU473" i="35"/>
  <c r="BU474" i="35"/>
  <c r="BU475" i="35"/>
  <c r="BU476" i="35"/>
  <c r="BU477" i="35"/>
  <c r="BU478" i="35"/>
  <c r="BU479" i="35"/>
  <c r="BU480" i="35"/>
  <c r="BU481" i="35"/>
  <c r="BU482" i="35"/>
  <c r="BU483" i="35"/>
  <c r="BU484" i="35"/>
  <c r="BU485" i="35"/>
  <c r="BU486" i="35"/>
  <c r="BU487" i="35"/>
  <c r="BU488" i="35"/>
  <c r="BU489" i="35"/>
  <c r="BU490" i="35"/>
  <c r="BU491" i="35"/>
  <c r="BU492" i="35"/>
  <c r="BU493" i="35"/>
  <c r="BU494" i="35"/>
  <c r="BU495" i="35"/>
  <c r="BU496" i="35"/>
  <c r="BU497" i="35"/>
  <c r="BU498" i="35"/>
  <c r="BU499" i="35"/>
  <c r="BU500" i="35"/>
  <c r="BU501" i="35"/>
  <c r="BU502" i="35"/>
  <c r="BU503" i="35"/>
  <c r="BU504" i="35"/>
  <c r="BU505" i="35"/>
  <c r="BU506" i="35"/>
  <c r="BU507" i="35"/>
  <c r="BU508" i="35"/>
  <c r="BU509" i="35"/>
  <c r="BU510" i="35"/>
  <c r="BU511" i="35"/>
  <c r="BU512" i="35"/>
  <c r="BU8" i="35"/>
  <c r="BA6" i="35" l="1"/>
  <c r="T7" i="27"/>
  <c r="BB6" i="35"/>
  <c r="N21" i="27"/>
  <c r="N7" i="27" s="1"/>
  <c r="CG101" i="35"/>
  <c r="CF50" i="35"/>
  <c r="CG151" i="35"/>
  <c r="CG167" i="35"/>
  <c r="CG174" i="35"/>
  <c r="CG504" i="35"/>
  <c r="CG507" i="35"/>
  <c r="CG105" i="35"/>
  <c r="CG132" i="35"/>
  <c r="CG175" i="35"/>
  <c r="CF225" i="35"/>
  <c r="CD109" i="35"/>
  <c r="CB225" i="35"/>
  <c r="CG93" i="35"/>
  <c r="CG134" i="35"/>
  <c r="CG165" i="35"/>
  <c r="CG334" i="35"/>
  <c r="CG337" i="35"/>
  <c r="CE225" i="35"/>
  <c r="CD42" i="35"/>
  <c r="CD14" i="35"/>
  <c r="CE50" i="35"/>
  <c r="CD137" i="35"/>
  <c r="CB7" i="35"/>
  <c r="CD250" i="35"/>
  <c r="CG102" i="35"/>
  <c r="CG166" i="35"/>
  <c r="CF7" i="35"/>
  <c r="CG99" i="35"/>
  <c r="CG160" i="35"/>
  <c r="CG163" i="35"/>
  <c r="CG176" i="35"/>
  <c r="CG387" i="35"/>
  <c r="CG511" i="35"/>
  <c r="BV6" i="35"/>
  <c r="BY6" i="35"/>
  <c r="BR6" i="35"/>
  <c r="CI225" i="35"/>
  <c r="CB50" i="35"/>
  <c r="BZ50" i="35"/>
  <c r="BW50" i="35"/>
  <c r="CG158" i="35"/>
  <c r="BU50" i="35"/>
  <c r="CC50" i="35"/>
  <c r="BX6" i="35"/>
  <c r="CI50" i="35"/>
  <c r="BT6" i="35"/>
  <c r="BU7" i="35"/>
  <c r="CI7" i="35"/>
  <c r="CC7" i="35"/>
  <c r="BZ7" i="35"/>
  <c r="BW7" i="35"/>
  <c r="CH6" i="35"/>
  <c r="CA6" i="35"/>
  <c r="BS6" i="35"/>
  <c r="CG80" i="35"/>
  <c r="CG309" i="35"/>
  <c r="CG34" i="35"/>
  <c r="CG7" i="35" s="1"/>
  <c r="CD504" i="35"/>
  <c r="CD8" i="35"/>
  <c r="CD367" i="35"/>
  <c r="CD331" i="35"/>
  <c r="CD306" i="35"/>
  <c r="CD185" i="35"/>
  <c r="CD132" i="35"/>
  <c r="CD76" i="35"/>
  <c r="BW225" i="35"/>
  <c r="CD413" i="35"/>
  <c r="CD397" i="35"/>
  <c r="CD377" i="35"/>
  <c r="CD179" i="35"/>
  <c r="CD144" i="35"/>
  <c r="CD470" i="35"/>
  <c r="CD466" i="35"/>
  <c r="CD437" i="35"/>
  <c r="CD408" i="35"/>
  <c r="CD362" i="35"/>
  <c r="CD344" i="35"/>
  <c r="CD284" i="35"/>
  <c r="CD260" i="35"/>
  <c r="CC225" i="35"/>
  <c r="CD165" i="35"/>
  <c r="CD151" i="35"/>
  <c r="CD122" i="35"/>
  <c r="CD91" i="35"/>
  <c r="CD62" i="35"/>
  <c r="CD39" i="35"/>
  <c r="CD29" i="35"/>
  <c r="CD23" i="35"/>
  <c r="CD19" i="35"/>
  <c r="BZ225" i="35"/>
  <c r="BU225" i="35"/>
  <c r="CD52" i="35"/>
  <c r="CD227" i="35"/>
  <c r="J163" i="35"/>
  <c r="K162" i="35"/>
  <c r="K157" i="35"/>
  <c r="J157" i="35"/>
  <c r="K180" i="35"/>
  <c r="J180" i="35"/>
  <c r="N182" i="35"/>
  <c r="K182" i="35"/>
  <c r="K183" i="35"/>
  <c r="J183" i="35"/>
  <c r="J26" i="35"/>
  <c r="J506" i="35"/>
  <c r="K511" i="35"/>
  <c r="J511" i="35"/>
  <c r="J410" i="35"/>
  <c r="J411" i="35"/>
  <c r="J397" i="35"/>
  <c r="K387" i="35"/>
  <c r="J387" i="35"/>
  <c r="S225" i="35"/>
  <c r="U225" i="35"/>
  <c r="V225" i="35"/>
  <c r="Y225" i="35"/>
  <c r="BD225" i="35"/>
  <c r="BE225" i="35"/>
  <c r="S50" i="35"/>
  <c r="V50" i="35"/>
  <c r="BD50" i="35"/>
  <c r="BE50" i="35"/>
  <c r="L9" i="35"/>
  <c r="L10" i="35"/>
  <c r="L11" i="35"/>
  <c r="L12" i="35"/>
  <c r="M12" i="35" s="1"/>
  <c r="L13" i="35"/>
  <c r="L14" i="35"/>
  <c r="L15" i="35"/>
  <c r="L16" i="35"/>
  <c r="L17" i="35"/>
  <c r="M17" i="35" s="1"/>
  <c r="L18" i="35"/>
  <c r="L19" i="35"/>
  <c r="L20" i="35"/>
  <c r="L21" i="35"/>
  <c r="L22" i="35"/>
  <c r="L23" i="35"/>
  <c r="L24" i="35"/>
  <c r="L25" i="35"/>
  <c r="L27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5" i="35"/>
  <c r="L46" i="35"/>
  <c r="L48" i="35"/>
  <c r="L49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7" i="35"/>
  <c r="L148" i="35"/>
  <c r="L149" i="35"/>
  <c r="L150" i="35"/>
  <c r="L151" i="35"/>
  <c r="L152" i="35"/>
  <c r="L153" i="35"/>
  <c r="L154" i="35"/>
  <c r="L155" i="35"/>
  <c r="L158" i="35"/>
  <c r="L159" i="35"/>
  <c r="L160" i="35"/>
  <c r="L164" i="35"/>
  <c r="L165" i="35"/>
  <c r="L166" i="35"/>
  <c r="L167" i="35"/>
  <c r="L168" i="35"/>
  <c r="L169" i="35"/>
  <c r="L170" i="35"/>
  <c r="L171" i="35"/>
  <c r="L172" i="35"/>
  <c r="L174" i="35"/>
  <c r="L175" i="35"/>
  <c r="L176" i="35"/>
  <c r="L177" i="35"/>
  <c r="L179" i="35"/>
  <c r="L181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L221" i="35"/>
  <c r="L222" i="35"/>
  <c r="L223" i="35"/>
  <c r="L224" i="35"/>
  <c r="L226" i="35"/>
  <c r="L227" i="35"/>
  <c r="L228" i="35"/>
  <c r="L230" i="35"/>
  <c r="L231" i="35"/>
  <c r="L232" i="35"/>
  <c r="L233" i="35"/>
  <c r="L234" i="35"/>
  <c r="L235" i="35"/>
  <c r="L236" i="35"/>
  <c r="L237" i="35"/>
  <c r="L240" i="35"/>
  <c r="L241" i="35"/>
  <c r="L242" i="35"/>
  <c r="L243" i="35"/>
  <c r="L244" i="35"/>
  <c r="L245" i="35"/>
  <c r="L246" i="35"/>
  <c r="L247" i="35"/>
  <c r="L248" i="35"/>
  <c r="M248" i="35" s="1"/>
  <c r="L249" i="35"/>
  <c r="L250" i="35"/>
  <c r="L251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L269" i="35"/>
  <c r="L270" i="35"/>
  <c r="L271" i="35"/>
  <c r="L272" i="35"/>
  <c r="L273" i="35"/>
  <c r="L274" i="35"/>
  <c r="L275" i="35"/>
  <c r="L276" i="35"/>
  <c r="L277" i="35"/>
  <c r="L278" i="35"/>
  <c r="L279" i="35"/>
  <c r="L280" i="35"/>
  <c r="L281" i="35"/>
  <c r="L282" i="35"/>
  <c r="L283" i="35"/>
  <c r="L284" i="35"/>
  <c r="L285" i="35"/>
  <c r="L286" i="35"/>
  <c r="L287" i="35"/>
  <c r="L288" i="35"/>
  <c r="L289" i="35"/>
  <c r="L290" i="35"/>
  <c r="L291" i="35"/>
  <c r="L292" i="35"/>
  <c r="L293" i="35"/>
  <c r="L294" i="35"/>
  <c r="L295" i="35"/>
  <c r="L296" i="35"/>
  <c r="L297" i="35"/>
  <c r="L298" i="35"/>
  <c r="L299" i="35"/>
  <c r="L300" i="35"/>
  <c r="L301" i="35"/>
  <c r="L302" i="35"/>
  <c r="L303" i="35"/>
  <c r="L304" i="35"/>
  <c r="L305" i="35"/>
  <c r="L306" i="35"/>
  <c r="L307" i="35"/>
  <c r="L308" i="35"/>
  <c r="L309" i="35"/>
  <c r="L310" i="35"/>
  <c r="L311" i="35"/>
  <c r="L312" i="35"/>
  <c r="L313" i="35"/>
  <c r="L314" i="35"/>
  <c r="L315" i="35"/>
  <c r="L316" i="35"/>
  <c r="L317" i="35"/>
  <c r="L318" i="35"/>
  <c r="L319" i="35"/>
  <c r="L320" i="35"/>
  <c r="L321" i="35"/>
  <c r="L322" i="35"/>
  <c r="L323" i="35"/>
  <c r="L324" i="35"/>
  <c r="L325" i="35"/>
  <c r="L326" i="35"/>
  <c r="L327" i="35"/>
  <c r="L328" i="35"/>
  <c r="L329" i="35"/>
  <c r="L330" i="35"/>
  <c r="L331" i="35"/>
  <c r="L332" i="35"/>
  <c r="L333" i="35"/>
  <c r="L334" i="35"/>
  <c r="L335" i="35"/>
  <c r="L336" i="35"/>
  <c r="L337" i="35"/>
  <c r="L338" i="35"/>
  <c r="L339" i="35"/>
  <c r="L340" i="35"/>
  <c r="L341" i="35"/>
  <c r="L342" i="35"/>
  <c r="L343" i="35"/>
  <c r="L344" i="35"/>
  <c r="L345" i="35"/>
  <c r="L346" i="35"/>
  <c r="L347" i="35"/>
  <c r="L348" i="35"/>
  <c r="L349" i="35"/>
  <c r="L350" i="35"/>
  <c r="L351" i="35"/>
  <c r="L352" i="35"/>
  <c r="L353" i="35"/>
  <c r="L354" i="35"/>
  <c r="L355" i="35"/>
  <c r="L356" i="35"/>
  <c r="L357" i="35"/>
  <c r="L358" i="35"/>
  <c r="L359" i="35"/>
  <c r="L360" i="35"/>
  <c r="L361" i="35"/>
  <c r="L362" i="35"/>
  <c r="L363" i="35"/>
  <c r="L364" i="35"/>
  <c r="L365" i="35"/>
  <c r="L366" i="35"/>
  <c r="L367" i="35"/>
  <c r="L368" i="35"/>
  <c r="L369" i="35"/>
  <c r="L370" i="35"/>
  <c r="L371" i="35"/>
  <c r="L372" i="35"/>
  <c r="L373" i="35"/>
  <c r="L374" i="35"/>
  <c r="L375" i="35"/>
  <c r="L376" i="35"/>
  <c r="L377" i="35"/>
  <c r="L378" i="35"/>
  <c r="L381" i="35"/>
  <c r="L382" i="35"/>
  <c r="L383" i="35"/>
  <c r="L385" i="35"/>
  <c r="L384" i="35"/>
  <c r="L386" i="35"/>
  <c r="L391" i="35"/>
  <c r="L392" i="35"/>
  <c r="L388" i="35"/>
  <c r="L393" i="35"/>
  <c r="L394" i="35"/>
  <c r="L395" i="35"/>
  <c r="L389" i="35"/>
  <c r="L379" i="35"/>
  <c r="L380" i="35"/>
  <c r="L396" i="35"/>
  <c r="L398" i="35"/>
  <c r="L399" i="35"/>
  <c r="L400" i="35"/>
  <c r="L401" i="35"/>
  <c r="L402" i="35"/>
  <c r="L403" i="35"/>
  <c r="L404" i="35"/>
  <c r="L405" i="35"/>
  <c r="L406" i="35"/>
  <c r="M406" i="35" s="1"/>
  <c r="L407" i="35"/>
  <c r="L408" i="35"/>
  <c r="L409" i="35"/>
  <c r="L412" i="35"/>
  <c r="L413" i="35"/>
  <c r="L414" i="35"/>
  <c r="L415" i="35"/>
  <c r="L417" i="35"/>
  <c r="L419" i="35"/>
  <c r="L420" i="35"/>
  <c r="L421" i="35"/>
  <c r="L422" i="35"/>
  <c r="L423" i="35"/>
  <c r="L424" i="35"/>
  <c r="L425" i="35"/>
  <c r="L426" i="35"/>
  <c r="L427" i="35"/>
  <c r="L428" i="35"/>
  <c r="L429" i="35"/>
  <c r="L430" i="35"/>
  <c r="L431" i="35"/>
  <c r="L432" i="35"/>
  <c r="L433" i="35"/>
  <c r="L434" i="35"/>
  <c r="L435" i="35"/>
  <c r="L436" i="35"/>
  <c r="L437" i="35"/>
  <c r="L438" i="35"/>
  <c r="L439" i="35"/>
  <c r="L440" i="35"/>
  <c r="L441" i="35"/>
  <c r="L442" i="35"/>
  <c r="L443" i="35"/>
  <c r="L444" i="35"/>
  <c r="L445" i="35"/>
  <c r="L446" i="35"/>
  <c r="L447" i="35"/>
  <c r="L448" i="35"/>
  <c r="L449" i="35"/>
  <c r="L450" i="35"/>
  <c r="L451" i="35"/>
  <c r="L452" i="35"/>
  <c r="L453" i="35"/>
  <c r="L454" i="35"/>
  <c r="L455" i="35"/>
  <c r="L457" i="35"/>
  <c r="L458" i="35"/>
  <c r="L459" i="35"/>
  <c r="L460" i="35"/>
  <c r="L461" i="35"/>
  <c r="L462" i="35"/>
  <c r="L463" i="35"/>
  <c r="L464" i="35"/>
  <c r="L465" i="35"/>
  <c r="L466" i="35"/>
  <c r="L467" i="35"/>
  <c r="L468" i="35"/>
  <c r="L469" i="35"/>
  <c r="L470" i="35"/>
  <c r="L471" i="35"/>
  <c r="L472" i="35"/>
  <c r="L473" i="35"/>
  <c r="L474" i="35"/>
  <c r="L475" i="35"/>
  <c r="L476" i="35"/>
  <c r="L477" i="35"/>
  <c r="L478" i="35"/>
  <c r="L479" i="35"/>
  <c r="L480" i="35"/>
  <c r="L481" i="35"/>
  <c r="L482" i="35"/>
  <c r="L483" i="35"/>
  <c r="L484" i="35"/>
  <c r="L485" i="35"/>
  <c r="L486" i="35"/>
  <c r="L487" i="35"/>
  <c r="L488" i="35"/>
  <c r="L489" i="35"/>
  <c r="L490" i="35"/>
  <c r="L491" i="35"/>
  <c r="L492" i="35"/>
  <c r="L493" i="35"/>
  <c r="L494" i="35"/>
  <c r="L495" i="35"/>
  <c r="L496" i="35"/>
  <c r="L497" i="35"/>
  <c r="L498" i="35"/>
  <c r="L499" i="35"/>
  <c r="L500" i="35"/>
  <c r="L501" i="35"/>
  <c r="L502" i="35"/>
  <c r="L503" i="35"/>
  <c r="L504" i="35"/>
  <c r="L505" i="35"/>
  <c r="L507" i="35"/>
  <c r="L508" i="35"/>
  <c r="L509" i="35"/>
  <c r="L510" i="35"/>
  <c r="L512" i="35"/>
  <c r="L8" i="35"/>
  <c r="W509" i="35"/>
  <c r="U48" i="35"/>
  <c r="U42" i="35"/>
  <c r="W42" i="35" s="1"/>
  <c r="U45" i="35"/>
  <c r="U154" i="35"/>
  <c r="V7" i="35"/>
  <c r="W9" i="35"/>
  <c r="W10" i="35"/>
  <c r="W11" i="35"/>
  <c r="W12" i="35"/>
  <c r="X12" i="35" s="1"/>
  <c r="W13" i="35"/>
  <c r="W14" i="35"/>
  <c r="W15" i="35"/>
  <c r="W16" i="35"/>
  <c r="W17" i="35"/>
  <c r="X17" i="35" s="1"/>
  <c r="W18" i="35"/>
  <c r="W19" i="35"/>
  <c r="W20" i="35"/>
  <c r="W21" i="35"/>
  <c r="W22" i="35"/>
  <c r="W23" i="35"/>
  <c r="W24" i="35"/>
  <c r="W25" i="35"/>
  <c r="W26" i="35"/>
  <c r="W27" i="35"/>
  <c r="W29" i="35"/>
  <c r="W30" i="35"/>
  <c r="W31" i="35"/>
  <c r="W32" i="35"/>
  <c r="W33" i="35"/>
  <c r="W34" i="35"/>
  <c r="W35" i="35"/>
  <c r="W36" i="35"/>
  <c r="W37" i="35"/>
  <c r="W38" i="35"/>
  <c r="W39" i="35"/>
  <c r="W40" i="35"/>
  <c r="W41" i="35"/>
  <c r="W46" i="35"/>
  <c r="W49" i="35"/>
  <c r="W51" i="35"/>
  <c r="W52" i="35"/>
  <c r="W53" i="35"/>
  <c r="W54" i="35"/>
  <c r="W55" i="35"/>
  <c r="W56" i="35"/>
  <c r="W57" i="35"/>
  <c r="W58" i="35"/>
  <c r="W59" i="35"/>
  <c r="W60" i="35"/>
  <c r="W61" i="35"/>
  <c r="W62" i="35"/>
  <c r="W63" i="35"/>
  <c r="W64" i="35"/>
  <c r="W65" i="35"/>
  <c r="W66" i="35"/>
  <c r="W67" i="35"/>
  <c r="W68" i="35"/>
  <c r="W69" i="35"/>
  <c r="W70" i="35"/>
  <c r="W71" i="35"/>
  <c r="W72" i="35"/>
  <c r="W73" i="35"/>
  <c r="W74" i="35"/>
  <c r="W75" i="35"/>
  <c r="W76" i="35"/>
  <c r="W77" i="35"/>
  <c r="W78" i="35"/>
  <c r="W79" i="35"/>
  <c r="W80" i="35"/>
  <c r="W81" i="35"/>
  <c r="W82" i="35"/>
  <c r="W83" i="35"/>
  <c r="W84" i="35"/>
  <c r="W85" i="35"/>
  <c r="W86" i="35"/>
  <c r="W87" i="35"/>
  <c r="W88" i="35"/>
  <c r="W89" i="35"/>
  <c r="W90" i="35"/>
  <c r="W91" i="35"/>
  <c r="W92" i="35"/>
  <c r="W93" i="35"/>
  <c r="W94" i="35"/>
  <c r="W95" i="35"/>
  <c r="W96" i="35"/>
  <c r="W97" i="35"/>
  <c r="W98" i="35"/>
  <c r="W99" i="35"/>
  <c r="W100" i="35"/>
  <c r="W101" i="35"/>
  <c r="W102" i="35"/>
  <c r="W103" i="35"/>
  <c r="W104" i="35"/>
  <c r="W105" i="35"/>
  <c r="W106" i="35"/>
  <c r="W107" i="35"/>
  <c r="W108" i="35"/>
  <c r="W109" i="35"/>
  <c r="W110" i="35"/>
  <c r="W111" i="35"/>
  <c r="W112" i="35"/>
  <c r="W113" i="35"/>
  <c r="W114" i="35"/>
  <c r="W115" i="35"/>
  <c r="W116" i="35"/>
  <c r="W117" i="35"/>
  <c r="W118" i="35"/>
  <c r="W119" i="35"/>
  <c r="W120" i="35"/>
  <c r="W121" i="35"/>
  <c r="W122" i="35"/>
  <c r="W123" i="35"/>
  <c r="W124" i="35"/>
  <c r="W125" i="35"/>
  <c r="W126" i="35"/>
  <c r="W127" i="35"/>
  <c r="W128" i="35"/>
  <c r="W129" i="35"/>
  <c r="W130" i="35"/>
  <c r="W131" i="35"/>
  <c r="W132" i="35"/>
  <c r="W133" i="35"/>
  <c r="W134" i="35"/>
  <c r="W135" i="35"/>
  <c r="W136" i="35"/>
  <c r="W137" i="35"/>
  <c r="W138" i="35"/>
  <c r="W139" i="35"/>
  <c r="W140" i="35"/>
  <c r="W141" i="35"/>
  <c r="W142" i="35"/>
  <c r="W143" i="35"/>
  <c r="W144" i="35"/>
  <c r="W147" i="35"/>
  <c r="W148" i="35"/>
  <c r="W149" i="35"/>
  <c r="W150" i="35"/>
  <c r="W151" i="35"/>
  <c r="W152" i="35"/>
  <c r="W153" i="35"/>
  <c r="W155" i="35"/>
  <c r="W156" i="35"/>
  <c r="W157" i="35"/>
  <c r="W158" i="35"/>
  <c r="W159" i="35"/>
  <c r="W160" i="35"/>
  <c r="W161" i="35"/>
  <c r="W162" i="35"/>
  <c r="W163" i="35"/>
  <c r="W164" i="35"/>
  <c r="W165" i="35"/>
  <c r="W166" i="35"/>
  <c r="W167" i="35"/>
  <c r="W168" i="35"/>
  <c r="W169" i="35"/>
  <c r="W170" i="35"/>
  <c r="W171" i="35"/>
  <c r="W172" i="35"/>
  <c r="W174" i="35"/>
  <c r="W175" i="35"/>
  <c r="W176" i="35"/>
  <c r="W177" i="35"/>
  <c r="W179" i="35"/>
  <c r="W180" i="35"/>
  <c r="W181" i="35"/>
  <c r="W182" i="35"/>
  <c r="W183" i="35"/>
  <c r="W184" i="35"/>
  <c r="W185" i="35"/>
  <c r="W186" i="35"/>
  <c r="W187" i="35"/>
  <c r="W188" i="35"/>
  <c r="W189" i="35"/>
  <c r="W190" i="35"/>
  <c r="W191" i="35"/>
  <c r="W192" i="35"/>
  <c r="W193" i="35"/>
  <c r="W194" i="35"/>
  <c r="W195" i="35"/>
  <c r="W196" i="35"/>
  <c r="W197" i="35"/>
  <c r="W198" i="35"/>
  <c r="W199" i="35"/>
  <c r="W200" i="35"/>
  <c r="W201" i="35"/>
  <c r="W202" i="35"/>
  <c r="W203" i="35"/>
  <c r="W204" i="35"/>
  <c r="W205" i="35"/>
  <c r="W206" i="35"/>
  <c r="W207" i="35"/>
  <c r="W208" i="35"/>
  <c r="W209" i="35"/>
  <c r="W210" i="35"/>
  <c r="W211" i="35"/>
  <c r="W212" i="35"/>
  <c r="W213" i="35"/>
  <c r="W214" i="35"/>
  <c r="W215" i="35"/>
  <c r="W216" i="35"/>
  <c r="W217" i="35"/>
  <c r="W218" i="35"/>
  <c r="W219" i="35"/>
  <c r="W220" i="35"/>
  <c r="W221" i="35"/>
  <c r="W222" i="35"/>
  <c r="W223" i="35"/>
  <c r="W224" i="35"/>
  <c r="W226" i="35"/>
  <c r="W227" i="35"/>
  <c r="W228" i="35"/>
  <c r="W230" i="35"/>
  <c r="W231" i="35"/>
  <c r="W232" i="35"/>
  <c r="W233" i="35"/>
  <c r="W234" i="35"/>
  <c r="W235" i="35"/>
  <c r="W236" i="35"/>
  <c r="W237" i="35"/>
  <c r="W238" i="35"/>
  <c r="W239" i="35"/>
  <c r="W240" i="35"/>
  <c r="W241" i="35"/>
  <c r="W242" i="35"/>
  <c r="W243" i="35"/>
  <c r="W244" i="35"/>
  <c r="W245" i="35"/>
  <c r="W246" i="35"/>
  <c r="W247" i="35"/>
  <c r="W248" i="35"/>
  <c r="X248" i="35" s="1"/>
  <c r="W249" i="35"/>
  <c r="W250" i="35"/>
  <c r="W251" i="35"/>
  <c r="W252" i="35"/>
  <c r="W253" i="35"/>
  <c r="W254" i="35"/>
  <c r="W255" i="35"/>
  <c r="W256" i="35"/>
  <c r="W257" i="35"/>
  <c r="W258" i="35"/>
  <c r="W259" i="35"/>
  <c r="W260" i="35"/>
  <c r="W261" i="35"/>
  <c r="W262" i="35"/>
  <c r="W263" i="35"/>
  <c r="W264" i="35"/>
  <c r="W265" i="35"/>
  <c r="W266" i="35"/>
  <c r="W267" i="35"/>
  <c r="W268" i="35"/>
  <c r="W269" i="35"/>
  <c r="W270" i="35"/>
  <c r="W271" i="35"/>
  <c r="W272" i="35"/>
  <c r="W273" i="35"/>
  <c r="W274" i="35"/>
  <c r="W275" i="35"/>
  <c r="W276" i="35"/>
  <c r="W277" i="35"/>
  <c r="W278" i="35"/>
  <c r="W279" i="35"/>
  <c r="W280" i="35"/>
  <c r="W281" i="35"/>
  <c r="W282" i="35"/>
  <c r="W283" i="35"/>
  <c r="W284" i="35"/>
  <c r="W285" i="35"/>
  <c r="W286" i="35"/>
  <c r="W287" i="35"/>
  <c r="W288" i="35"/>
  <c r="W289" i="35"/>
  <c r="W290" i="35"/>
  <c r="W291" i="35"/>
  <c r="W292" i="35"/>
  <c r="W293" i="35"/>
  <c r="W294" i="35"/>
  <c r="W295" i="35"/>
  <c r="W296" i="35"/>
  <c r="W297" i="35"/>
  <c r="W298" i="35"/>
  <c r="W299" i="35"/>
  <c r="W300" i="35"/>
  <c r="W301" i="35"/>
  <c r="W302" i="35"/>
  <c r="W303" i="35"/>
  <c r="W304" i="35"/>
  <c r="W305" i="35"/>
  <c r="W306" i="35"/>
  <c r="W307" i="35"/>
  <c r="W308" i="35"/>
  <c r="W309" i="35"/>
  <c r="W310" i="35"/>
  <c r="W311" i="35"/>
  <c r="W312" i="35"/>
  <c r="W313" i="35"/>
  <c r="W314" i="35"/>
  <c r="W315" i="35"/>
  <c r="W316" i="35"/>
  <c r="W317" i="35"/>
  <c r="W318" i="35"/>
  <c r="W319" i="35"/>
  <c r="W320" i="35"/>
  <c r="W321" i="35"/>
  <c r="W322" i="35"/>
  <c r="W323" i="35"/>
  <c r="W324" i="35"/>
  <c r="W325" i="35"/>
  <c r="W326" i="35"/>
  <c r="W327" i="35"/>
  <c r="W328" i="35"/>
  <c r="W329" i="35"/>
  <c r="W330" i="35"/>
  <c r="W331" i="35"/>
  <c r="W332" i="35"/>
  <c r="W333" i="35"/>
  <c r="W334" i="35"/>
  <c r="W335" i="35"/>
  <c r="W336" i="35"/>
  <c r="W337" i="35"/>
  <c r="W338" i="35"/>
  <c r="W339" i="35"/>
  <c r="W340" i="35"/>
  <c r="W341" i="35"/>
  <c r="W342" i="35"/>
  <c r="W343" i="35"/>
  <c r="W344" i="35"/>
  <c r="W345" i="35"/>
  <c r="W346" i="35"/>
  <c r="W347" i="35"/>
  <c r="W348" i="35"/>
  <c r="W349" i="35"/>
  <c r="W350" i="35"/>
  <c r="W351" i="35"/>
  <c r="W352" i="35"/>
  <c r="W353" i="35"/>
  <c r="W354" i="35"/>
  <c r="W355" i="35"/>
  <c r="W356" i="35"/>
  <c r="W357" i="35"/>
  <c r="W358" i="35"/>
  <c r="W359" i="35"/>
  <c r="W360" i="35"/>
  <c r="W361" i="35"/>
  <c r="W362" i="35"/>
  <c r="W363" i="35"/>
  <c r="W364" i="35"/>
  <c r="W365" i="35"/>
  <c r="W366" i="35"/>
  <c r="W367" i="35"/>
  <c r="W368" i="35"/>
  <c r="W369" i="35"/>
  <c r="W370" i="35"/>
  <c r="W371" i="35"/>
  <c r="W372" i="35"/>
  <c r="W373" i="35"/>
  <c r="W374" i="35"/>
  <c r="W375" i="35"/>
  <c r="W376" i="35"/>
  <c r="W377" i="35"/>
  <c r="W378" i="35"/>
  <c r="W381" i="35"/>
  <c r="W382" i="35"/>
  <c r="W383" i="35"/>
  <c r="W385" i="35"/>
  <c r="W384" i="35"/>
  <c r="W386" i="35"/>
  <c r="W390" i="35"/>
  <c r="W391" i="35"/>
  <c r="W392" i="35"/>
  <c r="W387" i="35"/>
  <c r="W388" i="35"/>
  <c r="W393" i="35"/>
  <c r="W394" i="35"/>
  <c r="W395" i="35"/>
  <c r="W389" i="35"/>
  <c r="W379" i="35"/>
  <c r="W380" i="35"/>
  <c r="W396" i="35"/>
  <c r="W397" i="35"/>
  <c r="W398" i="35"/>
  <c r="W399" i="35"/>
  <c r="W400" i="35"/>
  <c r="W401" i="35"/>
  <c r="W402" i="35"/>
  <c r="W403" i="35"/>
  <c r="W404" i="35"/>
  <c r="W405" i="35"/>
  <c r="W406" i="35"/>
  <c r="X406" i="35" s="1"/>
  <c r="W407" i="35"/>
  <c r="W408" i="35"/>
  <c r="W409" i="35"/>
  <c r="W410" i="35"/>
  <c r="W411" i="35"/>
  <c r="W412" i="35"/>
  <c r="W413" i="35"/>
  <c r="W414" i="35"/>
  <c r="W415" i="35"/>
  <c r="W417" i="35"/>
  <c r="W419" i="35"/>
  <c r="W420" i="35"/>
  <c r="W421" i="35"/>
  <c r="W422" i="35"/>
  <c r="W423" i="35"/>
  <c r="W424" i="35"/>
  <c r="W425" i="35"/>
  <c r="W426" i="35"/>
  <c r="W427" i="35"/>
  <c r="W428" i="35"/>
  <c r="W429" i="35"/>
  <c r="W430" i="35"/>
  <c r="W431" i="35"/>
  <c r="W432" i="35"/>
  <c r="W433" i="35"/>
  <c r="W434" i="35"/>
  <c r="W435" i="35"/>
  <c r="W436" i="35"/>
  <c r="W437" i="35"/>
  <c r="W438" i="35"/>
  <c r="W439" i="35"/>
  <c r="W440" i="35"/>
  <c r="W441" i="35"/>
  <c r="W442" i="35"/>
  <c r="W443" i="35"/>
  <c r="W444" i="35"/>
  <c r="W445" i="35"/>
  <c r="W446" i="35"/>
  <c r="W447" i="35"/>
  <c r="W448" i="35"/>
  <c r="W449" i="35"/>
  <c r="W450" i="35"/>
  <c r="W451" i="35"/>
  <c r="W452" i="35"/>
  <c r="W453" i="35"/>
  <c r="W454" i="35"/>
  <c r="W455" i="35"/>
  <c r="W457" i="35"/>
  <c r="W458" i="35"/>
  <c r="W459" i="35"/>
  <c r="W460" i="35"/>
  <c r="W461" i="35"/>
  <c r="W462" i="35"/>
  <c r="W463" i="35"/>
  <c r="W464" i="35"/>
  <c r="W465" i="35"/>
  <c r="W466" i="35"/>
  <c r="W467" i="35"/>
  <c r="W468" i="35"/>
  <c r="W469" i="35"/>
  <c r="W470" i="35"/>
  <c r="W471" i="35"/>
  <c r="W472" i="35"/>
  <c r="W473" i="35"/>
  <c r="W474" i="35"/>
  <c r="W475" i="35"/>
  <c r="W476" i="35"/>
  <c r="W477" i="35"/>
  <c r="W478" i="35"/>
  <c r="W479" i="35"/>
  <c r="W480" i="35"/>
  <c r="W481" i="35"/>
  <c r="W482" i="35"/>
  <c r="W483" i="35"/>
  <c r="W484" i="35"/>
  <c r="W485" i="35"/>
  <c r="W486" i="35"/>
  <c r="W487" i="35"/>
  <c r="W488" i="35"/>
  <c r="W489" i="35"/>
  <c r="W490" i="35"/>
  <c r="W491" i="35"/>
  <c r="W492" i="35"/>
  <c r="W493" i="35"/>
  <c r="W494" i="35"/>
  <c r="W495" i="35"/>
  <c r="W496" i="35"/>
  <c r="W497" i="35"/>
  <c r="W498" i="35"/>
  <c r="W499" i="35"/>
  <c r="W500" i="35"/>
  <c r="W501" i="35"/>
  <c r="W502" i="35"/>
  <c r="W503" i="35"/>
  <c r="W504" i="35"/>
  <c r="W505" i="35"/>
  <c r="W506" i="35"/>
  <c r="W507" i="35"/>
  <c r="W508" i="35"/>
  <c r="W510" i="35"/>
  <c r="W511" i="35"/>
  <c r="W512" i="35"/>
  <c r="W8" i="35"/>
  <c r="BG337" i="35"/>
  <c r="BH337" i="35"/>
  <c r="BH176" i="35"/>
  <c r="BG176" i="35"/>
  <c r="BH175" i="35"/>
  <c r="BG175" i="35"/>
  <c r="BG174" i="35"/>
  <c r="BH174" i="35"/>
  <c r="BH169" i="35"/>
  <c r="BG169" i="35"/>
  <c r="BH166" i="35"/>
  <c r="BG166" i="35"/>
  <c r="BH165" i="35"/>
  <c r="BG165" i="35"/>
  <c r="BH167" i="35"/>
  <c r="BG167" i="35"/>
  <c r="BH92" i="35"/>
  <c r="BH93" i="35"/>
  <c r="BG93" i="35"/>
  <c r="BH99" i="35"/>
  <c r="BG99" i="35"/>
  <c r="BH101" i="35"/>
  <c r="BG101" i="35"/>
  <c r="BH102" i="35"/>
  <c r="BG102" i="35"/>
  <c r="BG104" i="35"/>
  <c r="BH105" i="35"/>
  <c r="BG105" i="35"/>
  <c r="BH96" i="35"/>
  <c r="BG96" i="35"/>
  <c r="BG97" i="35"/>
  <c r="BH157" i="35"/>
  <c r="BG157" i="35"/>
  <c r="BG151" i="35"/>
  <c r="BH161" i="35"/>
  <c r="BG161" i="35"/>
  <c r="M52" i="35" l="1"/>
  <c r="X8" i="35"/>
  <c r="X39" i="35"/>
  <c r="X14" i="35"/>
  <c r="M8" i="35"/>
  <c r="X504" i="35"/>
  <c r="X397" i="35"/>
  <c r="X377" i="35"/>
  <c r="M19" i="35"/>
  <c r="X19" i="35"/>
  <c r="X413" i="35"/>
  <c r="X362" i="35"/>
  <c r="X306" i="35"/>
  <c r="X250" i="35"/>
  <c r="X91" i="35"/>
  <c r="X23" i="35"/>
  <c r="M362" i="35"/>
  <c r="M306" i="35"/>
  <c r="M250" i="35"/>
  <c r="M227" i="35"/>
  <c r="M165" i="35"/>
  <c r="M122" i="35"/>
  <c r="M62" i="35"/>
  <c r="M42" i="35"/>
  <c r="AD12" i="35"/>
  <c r="X179" i="35"/>
  <c r="X165" i="35"/>
  <c r="X122" i="35"/>
  <c r="X62" i="35"/>
  <c r="M413" i="35"/>
  <c r="M185" i="35"/>
  <c r="M137" i="35"/>
  <c r="M109" i="35"/>
  <c r="M29" i="35"/>
  <c r="X408" i="35"/>
  <c r="X344" i="35"/>
  <c r="X284" i="35"/>
  <c r="X260" i="35"/>
  <c r="X227" i="35"/>
  <c r="X137" i="35"/>
  <c r="X109" i="35"/>
  <c r="AD406" i="35"/>
  <c r="M344" i="35"/>
  <c r="M284" i="35"/>
  <c r="M260" i="35"/>
  <c r="AD248" i="35"/>
  <c r="M144" i="35"/>
  <c r="M132" i="35"/>
  <c r="M76" i="35"/>
  <c r="M14" i="35"/>
  <c r="AD14" i="35" s="1"/>
  <c r="X470" i="35"/>
  <c r="X466" i="35"/>
  <c r="X437" i="35"/>
  <c r="X367" i="35"/>
  <c r="X331" i="35"/>
  <c r="X185" i="35"/>
  <c r="X144" i="35"/>
  <c r="X132" i="35"/>
  <c r="X76" i="35"/>
  <c r="X52" i="35"/>
  <c r="X29" i="35"/>
  <c r="M470" i="35"/>
  <c r="M466" i="35"/>
  <c r="M437" i="35"/>
  <c r="M367" i="35"/>
  <c r="M331" i="35"/>
  <c r="M91" i="35"/>
  <c r="M39" i="35"/>
  <c r="AD17" i="35"/>
  <c r="CG225" i="35"/>
  <c r="CF6" i="35"/>
  <c r="CE6" i="35"/>
  <c r="CB6" i="35"/>
  <c r="CD225" i="35"/>
  <c r="BZ6" i="35"/>
  <c r="BW6" i="35"/>
  <c r="BU6" i="35"/>
  <c r="CG50" i="35"/>
  <c r="CI6" i="35"/>
  <c r="CC6" i="35"/>
  <c r="CD50" i="35"/>
  <c r="CD7" i="35"/>
  <c r="L162" i="35"/>
  <c r="L506" i="35"/>
  <c r="K225" i="35"/>
  <c r="L156" i="35"/>
  <c r="W45" i="35"/>
  <c r="U50" i="35"/>
  <c r="W154" i="35"/>
  <c r="W50" i="35" s="1"/>
  <c r="U7" i="35"/>
  <c r="W225" i="35"/>
  <c r="V6" i="35"/>
  <c r="L161" i="35"/>
  <c r="L411" i="35"/>
  <c r="L397" i="35"/>
  <c r="M397" i="35" s="1"/>
  <c r="AD397" i="35" s="1"/>
  <c r="W48" i="35"/>
  <c r="L387" i="35"/>
  <c r="M377" i="35" s="1"/>
  <c r="AD377" i="35" s="1"/>
  <c r="L180" i="35"/>
  <c r="L163" i="35"/>
  <c r="L410" i="35"/>
  <c r="L26" i="35"/>
  <c r="M23" i="35" s="1"/>
  <c r="L157" i="35"/>
  <c r="J50" i="35"/>
  <c r="K50" i="35"/>
  <c r="L182" i="35"/>
  <c r="L183" i="35"/>
  <c r="J7" i="35"/>
  <c r="L511" i="35"/>
  <c r="BH160" i="35"/>
  <c r="BG160" i="35"/>
  <c r="BH163" i="35"/>
  <c r="BG163" i="35"/>
  <c r="BG158" i="35"/>
  <c r="BH158" i="35"/>
  <c r="BH151" i="35"/>
  <c r="BG154" i="35"/>
  <c r="BH156" i="35"/>
  <c r="BG156" i="35"/>
  <c r="AD367" i="35" l="1"/>
  <c r="S47" i="27"/>
  <c r="W47" i="27" s="1"/>
  <c r="AE47" i="27" s="1"/>
  <c r="S38" i="27"/>
  <c r="W38" i="27" s="1"/>
  <c r="AE38" i="27" s="1"/>
  <c r="S49" i="27"/>
  <c r="W49" i="27" s="1"/>
  <c r="AE49" i="27" s="1"/>
  <c r="S48" i="27"/>
  <c r="W48" i="27" s="1"/>
  <c r="AE48" i="27" s="1"/>
  <c r="S46" i="27"/>
  <c r="W46" i="27" s="1"/>
  <c r="AE46" i="27" s="1"/>
  <c r="AD39" i="35"/>
  <c r="S12" i="27"/>
  <c r="W12" i="27" s="1"/>
  <c r="AE12" i="27" s="1"/>
  <c r="S13" i="27"/>
  <c r="W13" i="27" s="1"/>
  <c r="AE13" i="27" s="1"/>
  <c r="S10" i="27"/>
  <c r="W10" i="27" s="1"/>
  <c r="AE10" i="27" s="1"/>
  <c r="AD8" i="35"/>
  <c r="AD437" i="35"/>
  <c r="AD19" i="35"/>
  <c r="AD284" i="35"/>
  <c r="M408" i="35"/>
  <c r="AD408" i="35" s="1"/>
  <c r="AD250" i="35"/>
  <c r="AD260" i="35"/>
  <c r="AD132" i="35"/>
  <c r="AD306" i="35"/>
  <c r="AD165" i="35"/>
  <c r="M151" i="35"/>
  <c r="M504" i="35"/>
  <c r="AD504" i="35" s="1"/>
  <c r="M179" i="35"/>
  <c r="AD179" i="35" s="1"/>
  <c r="X42" i="35"/>
  <c r="AD42" i="35" s="1"/>
  <c r="AD466" i="35"/>
  <c r="AD413" i="35"/>
  <c r="AD122" i="35"/>
  <c r="X7" i="35"/>
  <c r="AD23" i="35"/>
  <c r="M7" i="35"/>
  <c r="AD52" i="35"/>
  <c r="AD137" i="35"/>
  <c r="AD62" i="35"/>
  <c r="AD227" i="35"/>
  <c r="AD76" i="35"/>
  <c r="AD91" i="35"/>
  <c r="X151" i="35"/>
  <c r="AD29" i="35"/>
  <c r="AD185" i="35"/>
  <c r="AD331" i="35"/>
  <c r="AD470" i="35"/>
  <c r="AD144" i="35"/>
  <c r="AD344" i="35"/>
  <c r="X225" i="35"/>
  <c r="AD109" i="35"/>
  <c r="AD362" i="35"/>
  <c r="CG6" i="35"/>
  <c r="CD6" i="35"/>
  <c r="U6" i="35"/>
  <c r="W7" i="35"/>
  <c r="W6" i="35" s="1"/>
  <c r="L225" i="35"/>
  <c r="L50" i="35"/>
  <c r="BG509" i="35"/>
  <c r="BH15" i="35"/>
  <c r="BG14" i="35"/>
  <c r="BH12" i="35"/>
  <c r="BG12" i="35"/>
  <c r="BG315" i="35"/>
  <c r="BH323" i="35"/>
  <c r="BG323" i="35"/>
  <c r="BG310" i="35"/>
  <c r="BH309" i="35"/>
  <c r="BG309" i="35"/>
  <c r="M225" i="35" l="1"/>
  <c r="S24" i="27"/>
  <c r="W24" i="27" s="1"/>
  <c r="AE24" i="27" s="1"/>
  <c r="S43" i="27"/>
  <c r="W43" i="27" s="1"/>
  <c r="AE43" i="27" s="1"/>
  <c r="S25" i="27"/>
  <c r="W25" i="27" s="1"/>
  <c r="AE25" i="27" s="1"/>
  <c r="S53" i="27"/>
  <c r="W53" i="27" s="1"/>
  <c r="AE53" i="27" s="1"/>
  <c r="S40" i="27"/>
  <c r="S44" i="27"/>
  <c r="W44" i="27" s="1"/>
  <c r="AE44" i="27" s="1"/>
  <c r="S35" i="27"/>
  <c r="W35" i="27" s="1"/>
  <c r="AE35" i="27" s="1"/>
  <c r="S29" i="27"/>
  <c r="W29" i="27" s="1"/>
  <c r="AE29" i="27" s="1"/>
  <c r="S33" i="27"/>
  <c r="W33" i="27" s="1"/>
  <c r="AE33" i="27" s="1"/>
  <c r="S45" i="27"/>
  <c r="W45" i="27" s="1"/>
  <c r="AE45" i="27" s="1"/>
  <c r="S30" i="27"/>
  <c r="W30" i="27" s="1"/>
  <c r="AE30" i="27" s="1"/>
  <c r="S37" i="27"/>
  <c r="W37" i="27" s="1"/>
  <c r="AE37" i="27" s="1"/>
  <c r="S27" i="27"/>
  <c r="W27" i="27" s="1"/>
  <c r="AE27" i="27" s="1"/>
  <c r="S34" i="27"/>
  <c r="W34" i="27" s="1"/>
  <c r="AE34" i="27" s="1"/>
  <c r="S50" i="27"/>
  <c r="W50" i="27" s="1"/>
  <c r="AE50" i="27" s="1"/>
  <c r="S39" i="27"/>
  <c r="W39" i="27" s="1"/>
  <c r="AE39" i="27" s="1"/>
  <c r="S26" i="27"/>
  <c r="W26" i="27" s="1"/>
  <c r="AE26" i="27" s="1"/>
  <c r="S54" i="27"/>
  <c r="W54" i="27" s="1"/>
  <c r="AE54" i="27" s="1"/>
  <c r="S51" i="27"/>
  <c r="W51" i="27" s="1"/>
  <c r="AE51" i="27" s="1"/>
  <c r="S55" i="27"/>
  <c r="W55" i="27" s="1"/>
  <c r="AE55" i="27" s="1"/>
  <c r="S28" i="27"/>
  <c r="W28" i="27" s="1"/>
  <c r="AE28" i="27" s="1"/>
  <c r="S41" i="27"/>
  <c r="W41" i="27" s="1"/>
  <c r="AE41" i="27" s="1"/>
  <c r="S23" i="27"/>
  <c r="W23" i="27" s="1"/>
  <c r="AE23" i="27" s="1"/>
  <c r="S16" i="27"/>
  <c r="W16" i="27" s="1"/>
  <c r="AE16" i="27" s="1"/>
  <c r="S14" i="27"/>
  <c r="W14" i="27" s="1"/>
  <c r="AE14" i="27" s="1"/>
  <c r="S20" i="27"/>
  <c r="W20" i="27" s="1"/>
  <c r="AE20" i="27" s="1"/>
  <c r="S19" i="27"/>
  <c r="W19" i="27" s="1"/>
  <c r="AE19" i="27" s="1"/>
  <c r="S17" i="27"/>
  <c r="W17" i="27" s="1"/>
  <c r="AE17" i="27" s="1"/>
  <c r="S22" i="27"/>
  <c r="W22" i="27" s="1"/>
  <c r="AE22" i="27" s="1"/>
  <c r="S52" i="27"/>
  <c r="W52" i="27" s="1"/>
  <c r="AE52" i="27" s="1"/>
  <c r="S42" i="27"/>
  <c r="W42" i="27" s="1"/>
  <c r="AE42" i="27" s="1"/>
  <c r="S9" i="27"/>
  <c r="W9" i="27" s="1"/>
  <c r="W40" i="27"/>
  <c r="AE40" i="27" s="1"/>
  <c r="M50" i="35"/>
  <c r="AD7" i="35"/>
  <c r="AD151" i="35"/>
  <c r="X50" i="35"/>
  <c r="X6" i="35" s="1"/>
  <c r="AD225" i="35"/>
  <c r="BH34" i="35"/>
  <c r="BG34" i="35"/>
  <c r="BH225" i="35"/>
  <c r="BG225" i="35"/>
  <c r="BH132" i="35"/>
  <c r="BG132" i="35"/>
  <c r="BK134" i="35"/>
  <c r="BG134" i="35"/>
  <c r="BH134" i="35"/>
  <c r="BH84" i="35"/>
  <c r="BG84" i="35"/>
  <c r="BH76" i="35"/>
  <c r="BG76" i="35"/>
  <c r="BH80" i="35"/>
  <c r="BG77" i="35"/>
  <c r="BH81" i="35"/>
  <c r="BG81" i="35"/>
  <c r="BK81" i="35"/>
  <c r="M6" i="35" l="1"/>
  <c r="S8" i="27"/>
  <c r="S36" i="27"/>
  <c r="AD50" i="35"/>
  <c r="AD6" i="35" s="1"/>
  <c r="S32" i="27"/>
  <c r="W8" i="27"/>
  <c r="AE9" i="27"/>
  <c r="AE8" i="27" s="1"/>
  <c r="AE36" i="27"/>
  <c r="W36" i="27"/>
  <c r="BG50" i="35"/>
  <c r="BH50" i="35"/>
  <c r="BG7" i="35"/>
  <c r="BH7" i="35"/>
  <c r="BI9" i="35"/>
  <c r="BI10" i="35"/>
  <c r="BI11" i="35"/>
  <c r="BI12" i="35"/>
  <c r="BJ12" i="35" s="1"/>
  <c r="BI13" i="35"/>
  <c r="BI14" i="35"/>
  <c r="BI15" i="35"/>
  <c r="BI16" i="35"/>
  <c r="BI17" i="35"/>
  <c r="BJ17" i="35" s="1"/>
  <c r="BI18" i="35"/>
  <c r="BI19" i="35"/>
  <c r="BI20" i="35"/>
  <c r="BI21" i="35"/>
  <c r="BI22" i="35"/>
  <c r="BI23" i="35"/>
  <c r="BI24" i="35"/>
  <c r="BI25" i="35"/>
  <c r="BI26" i="35"/>
  <c r="BI27" i="35"/>
  <c r="BI29" i="35"/>
  <c r="BI30" i="35"/>
  <c r="BI31" i="35"/>
  <c r="BI32" i="35"/>
  <c r="BI33" i="35"/>
  <c r="BI34" i="35"/>
  <c r="BI35" i="35"/>
  <c r="BI36" i="35"/>
  <c r="BI37" i="35"/>
  <c r="BI38" i="35"/>
  <c r="BI39" i="35"/>
  <c r="BI40" i="35"/>
  <c r="BI41" i="35"/>
  <c r="BI42" i="35"/>
  <c r="BI45" i="35"/>
  <c r="BI46" i="35"/>
  <c r="BI48" i="35"/>
  <c r="BI49" i="35"/>
  <c r="BI51" i="35"/>
  <c r="BI52" i="35"/>
  <c r="BI53" i="35"/>
  <c r="BI54" i="35"/>
  <c r="BI55" i="35"/>
  <c r="BI56" i="35"/>
  <c r="BI57" i="35"/>
  <c r="BI58" i="35"/>
  <c r="BI59" i="35"/>
  <c r="BI60" i="35"/>
  <c r="BI61" i="35"/>
  <c r="BI62" i="35"/>
  <c r="BI63" i="35"/>
  <c r="BI64" i="35"/>
  <c r="BI65" i="35"/>
  <c r="BI66" i="35"/>
  <c r="BI67" i="35"/>
  <c r="BI68" i="35"/>
  <c r="BI69" i="35"/>
  <c r="BI70" i="35"/>
  <c r="BI71" i="35"/>
  <c r="BI72" i="35"/>
  <c r="BI73" i="35"/>
  <c r="BI74" i="35"/>
  <c r="BI75" i="35"/>
  <c r="BI76" i="35"/>
  <c r="BI77" i="35"/>
  <c r="BI78" i="35"/>
  <c r="BI79" i="35"/>
  <c r="BI80" i="35"/>
  <c r="BI81" i="35"/>
  <c r="BI82" i="35"/>
  <c r="BI83" i="35"/>
  <c r="BI84" i="35"/>
  <c r="BI85" i="35"/>
  <c r="BI86" i="35"/>
  <c r="BI87" i="35"/>
  <c r="BI88" i="35"/>
  <c r="BI89" i="35"/>
  <c r="BI90" i="35"/>
  <c r="BI91" i="35"/>
  <c r="BI92" i="35"/>
  <c r="BI93" i="35"/>
  <c r="BI94" i="35"/>
  <c r="BI95" i="35"/>
  <c r="BI96" i="35"/>
  <c r="BI97" i="35"/>
  <c r="BI98" i="35"/>
  <c r="BI99" i="35"/>
  <c r="BI100" i="35"/>
  <c r="BI101" i="35"/>
  <c r="BI102" i="35"/>
  <c r="BI103" i="35"/>
  <c r="BI104" i="35"/>
  <c r="BI105" i="35"/>
  <c r="BI106" i="35"/>
  <c r="BI107" i="35"/>
  <c r="BI108" i="35"/>
  <c r="BI109" i="35"/>
  <c r="BI110" i="35"/>
  <c r="BI111" i="35"/>
  <c r="BI112" i="35"/>
  <c r="BI113" i="35"/>
  <c r="BI114" i="35"/>
  <c r="BI115" i="35"/>
  <c r="BI116" i="35"/>
  <c r="BI117" i="35"/>
  <c r="BI118" i="35"/>
  <c r="BI119" i="35"/>
  <c r="BI120" i="35"/>
  <c r="BI121" i="35"/>
  <c r="BI122" i="35"/>
  <c r="BI123" i="35"/>
  <c r="BI124" i="35"/>
  <c r="BI125" i="35"/>
  <c r="BI126" i="35"/>
  <c r="BI127" i="35"/>
  <c r="BI128" i="35"/>
  <c r="BI129" i="35"/>
  <c r="BI130" i="35"/>
  <c r="BI131" i="35"/>
  <c r="BI132" i="35"/>
  <c r="BI133" i="35"/>
  <c r="BI134" i="35"/>
  <c r="BI135" i="35"/>
  <c r="BI136" i="35"/>
  <c r="BI137" i="35"/>
  <c r="BI138" i="35"/>
  <c r="BI139" i="35"/>
  <c r="BI140" i="35"/>
  <c r="BI141" i="35"/>
  <c r="BI142" i="35"/>
  <c r="BI143" i="35"/>
  <c r="BI144" i="35"/>
  <c r="BI147" i="35"/>
  <c r="BI148" i="35"/>
  <c r="BI149" i="35"/>
  <c r="BI150" i="35"/>
  <c r="BI151" i="35"/>
  <c r="BI152" i="35"/>
  <c r="BI153" i="35"/>
  <c r="BI154" i="35"/>
  <c r="BI155" i="35"/>
  <c r="BI156" i="35"/>
  <c r="BI157" i="35"/>
  <c r="BI158" i="35"/>
  <c r="BI159" i="35"/>
  <c r="BI160" i="35"/>
  <c r="BI161" i="35"/>
  <c r="BI162" i="35"/>
  <c r="BI163" i="35"/>
  <c r="BI164" i="35"/>
  <c r="BI165" i="35"/>
  <c r="BI166" i="35"/>
  <c r="BI167" i="35"/>
  <c r="BI168" i="35"/>
  <c r="BI169" i="35"/>
  <c r="BI170" i="35"/>
  <c r="BI171" i="35"/>
  <c r="BI172" i="35"/>
  <c r="BI174" i="35"/>
  <c r="BI175" i="35"/>
  <c r="BI176" i="35"/>
  <c r="BI177" i="35"/>
  <c r="BI179" i="35"/>
  <c r="BI180" i="35"/>
  <c r="BI181" i="35"/>
  <c r="BI182" i="35"/>
  <c r="BI183" i="35"/>
  <c r="BI184" i="35"/>
  <c r="BI185" i="35"/>
  <c r="BI186" i="35"/>
  <c r="BI187" i="35"/>
  <c r="BI188" i="35"/>
  <c r="BI189" i="35"/>
  <c r="BI190" i="35"/>
  <c r="BI191" i="35"/>
  <c r="BI192" i="35"/>
  <c r="BI193" i="35"/>
  <c r="BI194" i="35"/>
  <c r="BI195" i="35"/>
  <c r="BI196" i="35"/>
  <c r="BI197" i="35"/>
  <c r="BI198" i="35"/>
  <c r="BI199" i="35"/>
  <c r="BI200" i="35"/>
  <c r="BI201" i="35"/>
  <c r="BI202" i="35"/>
  <c r="BI203" i="35"/>
  <c r="BI204" i="35"/>
  <c r="BI205" i="35"/>
  <c r="BI206" i="35"/>
  <c r="BI207" i="35"/>
  <c r="BI208" i="35"/>
  <c r="BI209" i="35"/>
  <c r="BI210" i="35"/>
  <c r="BI211" i="35"/>
  <c r="BI212" i="35"/>
  <c r="BI213" i="35"/>
  <c r="BI214" i="35"/>
  <c r="BI215" i="35"/>
  <c r="BI216" i="35"/>
  <c r="BI217" i="35"/>
  <c r="BI218" i="35"/>
  <c r="BI219" i="35"/>
  <c r="BI220" i="35"/>
  <c r="BI221" i="35"/>
  <c r="BI222" i="35"/>
  <c r="BI223" i="35"/>
  <c r="BI224" i="35"/>
  <c r="BI226" i="35"/>
  <c r="BI227" i="35"/>
  <c r="BI228" i="35"/>
  <c r="BI230" i="35"/>
  <c r="BI231" i="35"/>
  <c r="BI232" i="35"/>
  <c r="BI233" i="35"/>
  <c r="BI234" i="35"/>
  <c r="BI235" i="35"/>
  <c r="BI236" i="35"/>
  <c r="BI237" i="35"/>
  <c r="BI238" i="35"/>
  <c r="BI239" i="35"/>
  <c r="BI240" i="35"/>
  <c r="BI241" i="35"/>
  <c r="BI242" i="35"/>
  <c r="BI243" i="35"/>
  <c r="BI244" i="35"/>
  <c r="BI245" i="35"/>
  <c r="BI246" i="35"/>
  <c r="BI247" i="35"/>
  <c r="BI248" i="35"/>
  <c r="BJ248" i="35" s="1"/>
  <c r="BI249" i="35"/>
  <c r="BI250" i="35"/>
  <c r="BI251" i="35"/>
  <c r="BI252" i="35"/>
  <c r="BI253" i="35"/>
  <c r="BI254" i="35"/>
  <c r="BI255" i="35"/>
  <c r="BI256" i="35"/>
  <c r="BI257" i="35"/>
  <c r="BI258" i="35"/>
  <c r="BI259" i="35"/>
  <c r="BI260" i="35"/>
  <c r="BI261" i="35"/>
  <c r="BI262" i="35"/>
  <c r="BI263" i="35"/>
  <c r="BI264" i="35"/>
  <c r="BI265" i="35"/>
  <c r="BI266" i="35"/>
  <c r="BI267" i="35"/>
  <c r="BI268" i="35"/>
  <c r="BI269" i="35"/>
  <c r="BI270" i="35"/>
  <c r="BI271" i="35"/>
  <c r="BI272" i="35"/>
  <c r="BI273" i="35"/>
  <c r="BI274" i="35"/>
  <c r="BI275" i="35"/>
  <c r="BI276" i="35"/>
  <c r="BI277" i="35"/>
  <c r="BI278" i="35"/>
  <c r="BI279" i="35"/>
  <c r="BI280" i="35"/>
  <c r="BI281" i="35"/>
  <c r="BI282" i="35"/>
  <c r="BI283" i="35"/>
  <c r="BI284" i="35"/>
  <c r="BI285" i="35"/>
  <c r="BI286" i="35"/>
  <c r="BI287" i="35"/>
  <c r="BI288" i="35"/>
  <c r="BI289" i="35"/>
  <c r="BI290" i="35"/>
  <c r="BI291" i="35"/>
  <c r="BI292" i="35"/>
  <c r="BI293" i="35"/>
  <c r="BI294" i="35"/>
  <c r="BI295" i="35"/>
  <c r="BI296" i="35"/>
  <c r="BI297" i="35"/>
  <c r="BI298" i="35"/>
  <c r="BI299" i="35"/>
  <c r="BI300" i="35"/>
  <c r="BI301" i="35"/>
  <c r="BI302" i="35"/>
  <c r="BI303" i="35"/>
  <c r="BI304" i="35"/>
  <c r="BI305" i="35"/>
  <c r="BI306" i="35"/>
  <c r="BI307" i="35"/>
  <c r="BI308" i="35"/>
  <c r="BI309" i="35"/>
  <c r="BI310" i="35"/>
  <c r="BI311" i="35"/>
  <c r="BI312" i="35"/>
  <c r="BI313" i="35"/>
  <c r="BI314" i="35"/>
  <c r="BI315" i="35"/>
  <c r="BI316" i="35"/>
  <c r="BI317" i="35"/>
  <c r="BI318" i="35"/>
  <c r="BI319" i="35"/>
  <c r="BI320" i="35"/>
  <c r="BI321" i="35"/>
  <c r="BI322" i="35"/>
  <c r="BI323" i="35"/>
  <c r="BI324" i="35"/>
  <c r="BI325" i="35"/>
  <c r="BI326" i="35"/>
  <c r="BI327" i="35"/>
  <c r="BI328" i="35"/>
  <c r="BI329" i="35"/>
  <c r="BI330" i="35"/>
  <c r="BI331" i="35"/>
  <c r="BI332" i="35"/>
  <c r="BI333" i="35"/>
  <c r="BI334" i="35"/>
  <c r="BI335" i="35"/>
  <c r="BI336" i="35"/>
  <c r="BI337" i="35"/>
  <c r="BI338" i="35"/>
  <c r="BI339" i="35"/>
  <c r="BI340" i="35"/>
  <c r="BI341" i="35"/>
  <c r="BI342" i="35"/>
  <c r="BI343" i="35"/>
  <c r="BI344" i="35"/>
  <c r="BI345" i="35"/>
  <c r="BI346" i="35"/>
  <c r="BI347" i="35"/>
  <c r="BI348" i="35"/>
  <c r="BI349" i="35"/>
  <c r="BI350" i="35"/>
  <c r="BI351" i="35"/>
  <c r="BI352" i="35"/>
  <c r="BI353" i="35"/>
  <c r="BI354" i="35"/>
  <c r="BI355" i="35"/>
  <c r="BI356" i="35"/>
  <c r="BI357" i="35"/>
  <c r="BI358" i="35"/>
  <c r="BI359" i="35"/>
  <c r="BI360" i="35"/>
  <c r="BI361" i="35"/>
  <c r="BI362" i="35"/>
  <c r="BI363" i="35"/>
  <c r="BI364" i="35"/>
  <c r="BI365" i="35"/>
  <c r="BI366" i="35"/>
  <c r="BI367" i="35"/>
  <c r="BI368" i="35"/>
  <c r="BI369" i="35"/>
  <c r="BI370" i="35"/>
  <c r="BI371" i="35"/>
  <c r="BI372" i="35"/>
  <c r="BI373" i="35"/>
  <c r="BI374" i="35"/>
  <c r="BI375" i="35"/>
  <c r="BI376" i="35"/>
  <c r="BI377" i="35"/>
  <c r="BI378" i="35"/>
  <c r="BI381" i="35"/>
  <c r="BI382" i="35"/>
  <c r="BI383" i="35"/>
  <c r="BI385" i="35"/>
  <c r="BI384" i="35"/>
  <c r="BI386" i="35"/>
  <c r="BI390" i="35"/>
  <c r="BI391" i="35"/>
  <c r="BI392" i="35"/>
  <c r="BI387" i="35"/>
  <c r="BI388" i="35"/>
  <c r="BI393" i="35"/>
  <c r="BI394" i="35"/>
  <c r="BI395" i="35"/>
  <c r="BI389" i="35"/>
  <c r="BI379" i="35"/>
  <c r="BI380" i="35"/>
  <c r="BI396" i="35"/>
  <c r="BI397" i="35"/>
  <c r="BI398" i="35"/>
  <c r="BI399" i="35"/>
  <c r="BI400" i="35"/>
  <c r="BI401" i="35"/>
  <c r="BI402" i="35"/>
  <c r="BI403" i="35"/>
  <c r="BI404" i="35"/>
  <c r="BI405" i="35"/>
  <c r="BI406" i="35"/>
  <c r="BJ406" i="35" s="1"/>
  <c r="BI407" i="35"/>
  <c r="BI408" i="35"/>
  <c r="BI409" i="35"/>
  <c r="BI410" i="35"/>
  <c r="BI411" i="35"/>
  <c r="BI412" i="35"/>
  <c r="BI413" i="35"/>
  <c r="BI414" i="35"/>
  <c r="BI415" i="35"/>
  <c r="BI417" i="35"/>
  <c r="BI419" i="35"/>
  <c r="BI420" i="35"/>
  <c r="BI421" i="35"/>
  <c r="BI422" i="35"/>
  <c r="BI423" i="35"/>
  <c r="BI424" i="35"/>
  <c r="BI425" i="35"/>
  <c r="BI426" i="35"/>
  <c r="BI427" i="35"/>
  <c r="BI428" i="35"/>
  <c r="BI429" i="35"/>
  <c r="BI430" i="35"/>
  <c r="BI431" i="35"/>
  <c r="BI432" i="35"/>
  <c r="BI433" i="35"/>
  <c r="BI434" i="35"/>
  <c r="BI435" i="35"/>
  <c r="BI436" i="35"/>
  <c r="BI437" i="35"/>
  <c r="BI438" i="35"/>
  <c r="BI439" i="35"/>
  <c r="BI440" i="35"/>
  <c r="BI441" i="35"/>
  <c r="BI442" i="35"/>
  <c r="BI443" i="35"/>
  <c r="BI444" i="35"/>
  <c r="BI445" i="35"/>
  <c r="BI446" i="35"/>
  <c r="BI447" i="35"/>
  <c r="BI448" i="35"/>
  <c r="BI449" i="35"/>
  <c r="BI450" i="35"/>
  <c r="BI451" i="35"/>
  <c r="BI452" i="35"/>
  <c r="BI453" i="35"/>
  <c r="BI454" i="35"/>
  <c r="BI455" i="35"/>
  <c r="BI457" i="35"/>
  <c r="BI458" i="35"/>
  <c r="BI459" i="35"/>
  <c r="BI460" i="35"/>
  <c r="BI461" i="35"/>
  <c r="BI462" i="35"/>
  <c r="BI463" i="35"/>
  <c r="BI464" i="35"/>
  <c r="BI465" i="35"/>
  <c r="BI466" i="35"/>
  <c r="BI467" i="35"/>
  <c r="BI468" i="35"/>
  <c r="BI469" i="35"/>
  <c r="BI470" i="35"/>
  <c r="BI471" i="35"/>
  <c r="BI472" i="35"/>
  <c r="BI473" i="35"/>
  <c r="BI474" i="35"/>
  <c r="BI475" i="35"/>
  <c r="BI476" i="35"/>
  <c r="BI477" i="35"/>
  <c r="BI478" i="35"/>
  <c r="BI479" i="35"/>
  <c r="BI480" i="35"/>
  <c r="BI481" i="35"/>
  <c r="BI482" i="35"/>
  <c r="BI483" i="35"/>
  <c r="BI484" i="35"/>
  <c r="BI485" i="35"/>
  <c r="BI486" i="35"/>
  <c r="BI487" i="35"/>
  <c r="BI488" i="35"/>
  <c r="BI489" i="35"/>
  <c r="BI490" i="35"/>
  <c r="BI491" i="35"/>
  <c r="BI492" i="35"/>
  <c r="BI493" i="35"/>
  <c r="BI494" i="35"/>
  <c r="BI495" i="35"/>
  <c r="BI496" i="35"/>
  <c r="BI497" i="35"/>
  <c r="BI498" i="35"/>
  <c r="BI499" i="35"/>
  <c r="BI500" i="35"/>
  <c r="BI501" i="35"/>
  <c r="BI502" i="35"/>
  <c r="BI503" i="35"/>
  <c r="BI504" i="35"/>
  <c r="BI505" i="35"/>
  <c r="BI506" i="35"/>
  <c r="BI507" i="35"/>
  <c r="BI508" i="35"/>
  <c r="BI509" i="35"/>
  <c r="BI510" i="35"/>
  <c r="BI511" i="35"/>
  <c r="BI512" i="35"/>
  <c r="BI8" i="35"/>
  <c r="BJ8" i="35" l="1"/>
  <c r="BJ466" i="35"/>
  <c r="S21" i="27"/>
  <c r="S7" i="27" s="1"/>
  <c r="W32" i="27"/>
  <c r="BJ151" i="35"/>
  <c r="BJ470" i="35"/>
  <c r="BJ437" i="35"/>
  <c r="BJ367" i="35"/>
  <c r="BJ331" i="35"/>
  <c r="BJ185" i="35"/>
  <c r="BJ137" i="35"/>
  <c r="BJ109" i="35"/>
  <c r="BJ29" i="35"/>
  <c r="BJ362" i="35"/>
  <c r="BJ132" i="35"/>
  <c r="BJ76" i="35"/>
  <c r="BJ52" i="35"/>
  <c r="BJ19" i="35"/>
  <c r="BJ504" i="35"/>
  <c r="BJ413" i="35"/>
  <c r="BJ397" i="35"/>
  <c r="BJ377" i="35"/>
  <c r="BJ179" i="35"/>
  <c r="BJ165" i="35"/>
  <c r="BJ91" i="35"/>
  <c r="BJ39" i="35"/>
  <c r="BJ14" i="35"/>
  <c r="BJ306" i="35"/>
  <c r="BJ250" i="35"/>
  <c r="BJ144" i="35"/>
  <c r="BJ23" i="35"/>
  <c r="BJ408" i="35"/>
  <c r="BJ344" i="35"/>
  <c r="BJ284" i="35"/>
  <c r="BJ260" i="35"/>
  <c r="BJ227" i="35"/>
  <c r="BJ122" i="35"/>
  <c r="BJ62" i="35"/>
  <c r="BJ42" i="35"/>
  <c r="BH6" i="35"/>
  <c r="BG6" i="35"/>
  <c r="BI225" i="35"/>
  <c r="BI50" i="35"/>
  <c r="BI7" i="35"/>
  <c r="AE32" i="27" l="1"/>
  <c r="AE21" i="27" s="1"/>
  <c r="AE7" i="27" s="1"/>
  <c r="W21" i="27"/>
  <c r="W7" i="27" s="1"/>
  <c r="BJ225" i="35"/>
  <c r="BJ50" i="35"/>
  <c r="BJ7" i="35"/>
  <c r="BI6" i="35"/>
  <c r="J225" i="35"/>
  <c r="K7" i="35"/>
  <c r="L7" i="35"/>
  <c r="I7" i="35"/>
  <c r="BJ6" i="35" l="1"/>
  <c r="K6" i="35"/>
  <c r="L6" i="35"/>
  <c r="J6" i="35"/>
  <c r="BK337" i="35" l="1"/>
  <c r="BR155" i="29" l="1"/>
  <c r="BS155" i="29" l="1"/>
  <c r="BK77" i="35" l="1"/>
  <c r="BK80" i="35"/>
  <c r="BK76" i="35"/>
  <c r="BK84" i="35"/>
  <c r="AB10" i="33" l="1"/>
  <c r="AB9" i="33" l="1"/>
  <c r="T367" i="35"/>
  <c r="T504" i="35" l="1"/>
  <c r="T470" i="35"/>
  <c r="T466" i="35"/>
  <c r="T437" i="35"/>
  <c r="T413" i="35"/>
  <c r="T408" i="35"/>
  <c r="T406" i="35"/>
  <c r="T397" i="35"/>
  <c r="T377" i="35"/>
  <c r="T362" i="35"/>
  <c r="T344" i="35"/>
  <c r="T331" i="35"/>
  <c r="T306" i="35"/>
  <c r="T284" i="35"/>
  <c r="T260" i="35"/>
  <c r="T250" i="35"/>
  <c r="T227" i="35"/>
  <c r="T185" i="35"/>
  <c r="T179" i="35"/>
  <c r="T165" i="35"/>
  <c r="T151" i="35"/>
  <c r="T144" i="35"/>
  <c r="T137" i="35"/>
  <c r="T132" i="35"/>
  <c r="T122" i="35"/>
  <c r="T109" i="35"/>
  <c r="T91" i="35"/>
  <c r="T76" i="35"/>
  <c r="T62" i="35"/>
  <c r="T52" i="35"/>
  <c r="T42" i="35"/>
  <c r="T39" i="35"/>
  <c r="T29" i="35"/>
  <c r="T23" i="35"/>
  <c r="T19" i="35"/>
  <c r="T17" i="35"/>
  <c r="T14" i="35"/>
  <c r="T12" i="35"/>
  <c r="T8" i="35"/>
  <c r="T7" i="35" l="1"/>
  <c r="T50" i="35"/>
  <c r="T225" i="35"/>
  <c r="T6" i="35" l="1"/>
  <c r="CK6" i="35" s="1"/>
  <c r="BK132" i="35" l="1"/>
  <c r="I134" i="35"/>
  <c r="N387" i="35"/>
  <c r="Y154" i="35"/>
  <c r="Y50" i="35" s="1"/>
  <c r="BK156" i="35"/>
  <c r="Y45" i="35"/>
  <c r="Y42" i="35"/>
  <c r="Y48" i="35"/>
  <c r="Y7" i="35" l="1"/>
  <c r="Y6" i="35" s="1"/>
  <c r="BK310" i="35"/>
  <c r="BK323" i="35"/>
  <c r="BK315" i="35"/>
  <c r="BK14" i="35"/>
  <c r="BK7" i="35" s="1"/>
  <c r="N408" i="35"/>
  <c r="N411" i="35"/>
  <c r="N410" i="35"/>
  <c r="BF410" i="35"/>
  <c r="BF408" i="35"/>
  <c r="BF407" i="35"/>
  <c r="BF409" i="35"/>
  <c r="BF411" i="35"/>
  <c r="BF406" i="35"/>
  <c r="BC408" i="35"/>
  <c r="N511" i="35"/>
  <c r="N506" i="35"/>
  <c r="N26" i="35"/>
  <c r="BF511" i="35"/>
  <c r="BL512" i="35"/>
  <c r="BN512" i="35" s="1"/>
  <c r="CJ512" i="35" s="1"/>
  <c r="E225" i="35"/>
  <c r="G225" i="35"/>
  <c r="AG225" i="29"/>
  <c r="AP225" i="29"/>
  <c r="AU225" i="29"/>
  <c r="AX225" i="29"/>
  <c r="BB225" i="29"/>
  <c r="BO225" i="29"/>
  <c r="CA225" i="29"/>
  <c r="CB225" i="29"/>
  <c r="CC225" i="29"/>
  <c r="CD225" i="29"/>
  <c r="CE225" i="29"/>
  <c r="CF225" i="29"/>
  <c r="CH225" i="29"/>
  <c r="CI225" i="29"/>
  <c r="CK225" i="29"/>
  <c r="CN225" i="29"/>
  <c r="CR225" i="29"/>
  <c r="CS225" i="29"/>
  <c r="CU225" i="29"/>
  <c r="CV225" i="29"/>
  <c r="CX225" i="29"/>
  <c r="BV512" i="29"/>
  <c r="BS512" i="29"/>
  <c r="BN512" i="29"/>
  <c r="BC512" i="29"/>
  <c r="BC511" i="29"/>
  <c r="AZ512" i="29"/>
  <c r="AQ512" i="29"/>
  <c r="AQ511" i="29"/>
  <c r="AN512" i="29"/>
  <c r="AK512" i="29"/>
  <c r="BE512" i="29" s="1"/>
  <c r="BK512" i="29" s="1"/>
  <c r="AK511" i="29"/>
  <c r="AK510" i="29"/>
  <c r="AF512" i="29"/>
  <c r="BC504" i="35"/>
  <c r="F504" i="35"/>
  <c r="F225" i="35" s="1"/>
  <c r="H504" i="35"/>
  <c r="H225" i="35" s="1"/>
  <c r="AC512" i="29"/>
  <c r="DL512" i="29" s="1"/>
  <c r="DG512" i="29"/>
  <c r="BR509" i="29"/>
  <c r="BO248" i="35"/>
  <c r="R248" i="35"/>
  <c r="Q479" i="35"/>
  <c r="Q480" i="35"/>
  <c r="Q491" i="35"/>
  <c r="Q500" i="35"/>
  <c r="Z9" i="35"/>
  <c r="Z10" i="35"/>
  <c r="Z11" i="35"/>
  <c r="Z12" i="35"/>
  <c r="Z13" i="35"/>
  <c r="Z1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Z42" i="35"/>
  <c r="Z45" i="35"/>
  <c r="Z46" i="35"/>
  <c r="Z48" i="35"/>
  <c r="Z49" i="35"/>
  <c r="Z51" i="35"/>
  <c r="Z52" i="35"/>
  <c r="Z53" i="35"/>
  <c r="Z54" i="35"/>
  <c r="Z55" i="35"/>
  <c r="Z56" i="35"/>
  <c r="Z57" i="35"/>
  <c r="Z58" i="35"/>
  <c r="Z59" i="35"/>
  <c r="Z60" i="35"/>
  <c r="Z61" i="35"/>
  <c r="Z62" i="35"/>
  <c r="Z63" i="35"/>
  <c r="Z64" i="35"/>
  <c r="Z65" i="35"/>
  <c r="Z66" i="35"/>
  <c r="Z67" i="35"/>
  <c r="Z68" i="35"/>
  <c r="Z69" i="35"/>
  <c r="Z70" i="35"/>
  <c r="Z71" i="35"/>
  <c r="Z72" i="35"/>
  <c r="Z73" i="35"/>
  <c r="Z74" i="35"/>
  <c r="Z75" i="35"/>
  <c r="Z76" i="35"/>
  <c r="Z77" i="35"/>
  <c r="Z79" i="35"/>
  <c r="Z80" i="35"/>
  <c r="Z81" i="35"/>
  <c r="Z82" i="35"/>
  <c r="Z84" i="35"/>
  <c r="Z85" i="35"/>
  <c r="Z86" i="35"/>
  <c r="Z87" i="35"/>
  <c r="Z88" i="35"/>
  <c r="Z89" i="35"/>
  <c r="Z90" i="35"/>
  <c r="Z91" i="35"/>
  <c r="Z92" i="35"/>
  <c r="Z93" i="35"/>
  <c r="Z94" i="35"/>
  <c r="Z95" i="35"/>
  <c r="Z96" i="35"/>
  <c r="Z97" i="35"/>
  <c r="Z98" i="35"/>
  <c r="Z99" i="35"/>
  <c r="Z100" i="35"/>
  <c r="Z101" i="35"/>
  <c r="Z102" i="35"/>
  <c r="Z103" i="35"/>
  <c r="Z104" i="35"/>
  <c r="Z105" i="35"/>
  <c r="Z106" i="35"/>
  <c r="Z107" i="35"/>
  <c r="Z108" i="35"/>
  <c r="Z109" i="35"/>
  <c r="Z110" i="35"/>
  <c r="Z111" i="35"/>
  <c r="Z112" i="35"/>
  <c r="Z113" i="35"/>
  <c r="Z114" i="35"/>
  <c r="Z115" i="35"/>
  <c r="Z116" i="35"/>
  <c r="Z117" i="35"/>
  <c r="Z118" i="35"/>
  <c r="Z119" i="35"/>
  <c r="Z120" i="35"/>
  <c r="Z121" i="35"/>
  <c r="Z122" i="35"/>
  <c r="Z123" i="35"/>
  <c r="Z124" i="35"/>
  <c r="Z125" i="35"/>
  <c r="Z126" i="35"/>
  <c r="Z127" i="35"/>
  <c r="Z128" i="35"/>
  <c r="Z129" i="35"/>
  <c r="Z130" i="35"/>
  <c r="Z131" i="35"/>
  <c r="Z132" i="35"/>
  <c r="Z133" i="35"/>
  <c r="Z134" i="35"/>
  <c r="Z135" i="35"/>
  <c r="Z136" i="35"/>
  <c r="Z137" i="35"/>
  <c r="Z138" i="35"/>
  <c r="Z139" i="35"/>
  <c r="Z140" i="35"/>
  <c r="Z141" i="35"/>
  <c r="Z142" i="35"/>
  <c r="Z143" i="35"/>
  <c r="Z144" i="35"/>
  <c r="Z147" i="35"/>
  <c r="Z148" i="35"/>
  <c r="Z149" i="35"/>
  <c r="Z150" i="35"/>
  <c r="Z151" i="35"/>
  <c r="Z152" i="35"/>
  <c r="Z153" i="35"/>
  <c r="Z154" i="35"/>
  <c r="Z156" i="35"/>
  <c r="Z157" i="35"/>
  <c r="Z158" i="35"/>
  <c r="Z159" i="35"/>
  <c r="Z160" i="35"/>
  <c r="Z161" i="35"/>
  <c r="Z162" i="35"/>
  <c r="Z163" i="35"/>
  <c r="Z164" i="35"/>
  <c r="Z165" i="35"/>
  <c r="Z166" i="35"/>
  <c r="Z167" i="35"/>
  <c r="Z168" i="35"/>
  <c r="Z169" i="35"/>
  <c r="Z170" i="35"/>
  <c r="Z171" i="35"/>
  <c r="Z172" i="35"/>
  <c r="Z174" i="35"/>
  <c r="Z175" i="35"/>
  <c r="Z176" i="35"/>
  <c r="Z177" i="35"/>
  <c r="Z179" i="35"/>
  <c r="Z180" i="35"/>
  <c r="Z181" i="35"/>
  <c r="Z182" i="35"/>
  <c r="Z183" i="35"/>
  <c r="Z184" i="35"/>
  <c r="Z185" i="35"/>
  <c r="Z186" i="35"/>
  <c r="Z187" i="35"/>
  <c r="Z188" i="35"/>
  <c r="Z189" i="35"/>
  <c r="Z190" i="35"/>
  <c r="Z191" i="35"/>
  <c r="Z192" i="35"/>
  <c r="Z193" i="35"/>
  <c r="Z194" i="35"/>
  <c r="Z195" i="35"/>
  <c r="Z196" i="35"/>
  <c r="Z197" i="35"/>
  <c r="Z198" i="35"/>
  <c r="Z199" i="35"/>
  <c r="Z200" i="35"/>
  <c r="Z201" i="35"/>
  <c r="Z202" i="35"/>
  <c r="Z203" i="35"/>
  <c r="Z204" i="35"/>
  <c r="Z205" i="35"/>
  <c r="Z206" i="35"/>
  <c r="Z207" i="35"/>
  <c r="Z208" i="35"/>
  <c r="Z209" i="35"/>
  <c r="Z210" i="35"/>
  <c r="Z211" i="35"/>
  <c r="Z212" i="35"/>
  <c r="Z213" i="35"/>
  <c r="Z214" i="35"/>
  <c r="Z215" i="35"/>
  <c r="Z216" i="35"/>
  <c r="Z217" i="35"/>
  <c r="Z218" i="35"/>
  <c r="Z219" i="35"/>
  <c r="Z220" i="35"/>
  <c r="Z221" i="35"/>
  <c r="Z222" i="35"/>
  <c r="Z223" i="35"/>
  <c r="Z224" i="35"/>
  <c r="Z226" i="35"/>
  <c r="Z227" i="35"/>
  <c r="Z228" i="35"/>
  <c r="Z230" i="35"/>
  <c r="Z231" i="35"/>
  <c r="Z232" i="35"/>
  <c r="Z233" i="35"/>
  <c r="Z234" i="35"/>
  <c r="Z235" i="35"/>
  <c r="Z236" i="35"/>
  <c r="Z237" i="35"/>
  <c r="Z238" i="35"/>
  <c r="Z239" i="35"/>
  <c r="Z240" i="35"/>
  <c r="Z241" i="35"/>
  <c r="Z242" i="35"/>
  <c r="Z243" i="35"/>
  <c r="Z244" i="35"/>
  <c r="Z245" i="35"/>
  <c r="Z246" i="35"/>
  <c r="Z247" i="35"/>
  <c r="Z248" i="35"/>
  <c r="Z249" i="35"/>
  <c r="Z250" i="35"/>
  <c r="Z251" i="35"/>
  <c r="Z252" i="35"/>
  <c r="Z253" i="35"/>
  <c r="Z254" i="35"/>
  <c r="Z255" i="35"/>
  <c r="Z256" i="35"/>
  <c r="Z257" i="35"/>
  <c r="Z258" i="35"/>
  <c r="Z259" i="35"/>
  <c r="Z260" i="35"/>
  <c r="Z261" i="35"/>
  <c r="Z262" i="35"/>
  <c r="Z263" i="35"/>
  <c r="Z264" i="35"/>
  <c r="Z265" i="35"/>
  <c r="Z266" i="35"/>
  <c r="Z267" i="35"/>
  <c r="Z268" i="35"/>
  <c r="Z269" i="35"/>
  <c r="Z270" i="35"/>
  <c r="Z271" i="35"/>
  <c r="Z272" i="35"/>
  <c r="Z273" i="35"/>
  <c r="Z274" i="35"/>
  <c r="Z275" i="35"/>
  <c r="Z276" i="35"/>
  <c r="Z277" i="35"/>
  <c r="Z278" i="35"/>
  <c r="Z279" i="35"/>
  <c r="Z280" i="35"/>
  <c r="Z281" i="35"/>
  <c r="Z282" i="35"/>
  <c r="Z283" i="35"/>
  <c r="Z284" i="35"/>
  <c r="Z285" i="35"/>
  <c r="Z286" i="35"/>
  <c r="Z287" i="35"/>
  <c r="Z288" i="35"/>
  <c r="Z289" i="35"/>
  <c r="Z290" i="35"/>
  <c r="Z291" i="35"/>
  <c r="Z292" i="35"/>
  <c r="Z293" i="35"/>
  <c r="Z294" i="35"/>
  <c r="Z295" i="35"/>
  <c r="Z296" i="35"/>
  <c r="Z297" i="35"/>
  <c r="Z298" i="35"/>
  <c r="Z299" i="35"/>
  <c r="Z300" i="35"/>
  <c r="Z301" i="35"/>
  <c r="Z302" i="35"/>
  <c r="Z303" i="35"/>
  <c r="Z304" i="35"/>
  <c r="Z305" i="35"/>
  <c r="Z306" i="35"/>
  <c r="Z307" i="35"/>
  <c r="Z308" i="35"/>
  <c r="Z309" i="35"/>
  <c r="Z310" i="35"/>
  <c r="Z311" i="35"/>
  <c r="Z312" i="35"/>
  <c r="Z313" i="35"/>
  <c r="Z314" i="35"/>
  <c r="Z315" i="35"/>
  <c r="Z316" i="35"/>
  <c r="Z317" i="35"/>
  <c r="Z318" i="35"/>
  <c r="Z319" i="35"/>
  <c r="Z320" i="35"/>
  <c r="Z321" i="35"/>
  <c r="Z322" i="35"/>
  <c r="Z323" i="35"/>
  <c r="Z324" i="35"/>
  <c r="Z325" i="35"/>
  <c r="Z326" i="35"/>
  <c r="Z327" i="35"/>
  <c r="Z328" i="35"/>
  <c r="Z329" i="35"/>
  <c r="Z330" i="35"/>
  <c r="Z331" i="35"/>
  <c r="Z332" i="35"/>
  <c r="Z333" i="35"/>
  <c r="Z334" i="35"/>
  <c r="Z335" i="35"/>
  <c r="Z336" i="35"/>
  <c r="Z337" i="35"/>
  <c r="Z338" i="35"/>
  <c r="Z339" i="35"/>
  <c r="Z340" i="35"/>
  <c r="Z341" i="35"/>
  <c r="Z342" i="35"/>
  <c r="Z343" i="35"/>
  <c r="Z344" i="35"/>
  <c r="Z345" i="35"/>
  <c r="Z346" i="35"/>
  <c r="Z347" i="35"/>
  <c r="Z348" i="35"/>
  <c r="Z349" i="35"/>
  <c r="Z350" i="35"/>
  <c r="Z351" i="35"/>
  <c r="Z352" i="35"/>
  <c r="Z353" i="35"/>
  <c r="Z354" i="35"/>
  <c r="Z355" i="35"/>
  <c r="Z356" i="35"/>
  <c r="Z357" i="35"/>
  <c r="Z358" i="35"/>
  <c r="Z359" i="35"/>
  <c r="Z360" i="35"/>
  <c r="Z361" i="35"/>
  <c r="Z362" i="35"/>
  <c r="Z363" i="35"/>
  <c r="Z364" i="35"/>
  <c r="Z365" i="35"/>
  <c r="Z366" i="35"/>
  <c r="Z367" i="35"/>
  <c r="Z368" i="35"/>
  <c r="Z369" i="35"/>
  <c r="Z370" i="35"/>
  <c r="Z371" i="35"/>
  <c r="Z372" i="35"/>
  <c r="Z373" i="35"/>
  <c r="Z374" i="35"/>
  <c r="Z375" i="35"/>
  <c r="Z376" i="35"/>
  <c r="Z377" i="35"/>
  <c r="Z378" i="35"/>
  <c r="Z381" i="35"/>
  <c r="Z382" i="35"/>
  <c r="Z383" i="35"/>
  <c r="Z385" i="35"/>
  <c r="Z384" i="35"/>
  <c r="Z386" i="35"/>
  <c r="Z390" i="35"/>
  <c r="Z391" i="35"/>
  <c r="Z392" i="35"/>
  <c r="Z387" i="35"/>
  <c r="Z388" i="35"/>
  <c r="Z393" i="35"/>
  <c r="Z394" i="35"/>
  <c r="Z395" i="35"/>
  <c r="Z389" i="35"/>
  <c r="Z379" i="35"/>
  <c r="Z380" i="35"/>
  <c r="Z396" i="35"/>
  <c r="Z397" i="35"/>
  <c r="Z398" i="35"/>
  <c r="Z399" i="35"/>
  <c r="Z400" i="35"/>
  <c r="Z401" i="35"/>
  <c r="Z402" i="35"/>
  <c r="Z403" i="35"/>
  <c r="Z404" i="35"/>
  <c r="Z405" i="35"/>
  <c r="Z406" i="35"/>
  <c r="Z407" i="35"/>
  <c r="Z408" i="35"/>
  <c r="Z409" i="35"/>
  <c r="Z410" i="35"/>
  <c r="Z411" i="35"/>
  <c r="Z412" i="35"/>
  <c r="Z413" i="35"/>
  <c r="Z414" i="35"/>
  <c r="Z415" i="35"/>
  <c r="Z417" i="35"/>
  <c r="Z419" i="35"/>
  <c r="Z420" i="35"/>
  <c r="Z421" i="35"/>
  <c r="Z422" i="35"/>
  <c r="Z423" i="35"/>
  <c r="Z424" i="35"/>
  <c r="Z425" i="35"/>
  <c r="Z426" i="35"/>
  <c r="Z427" i="35"/>
  <c r="Z428" i="35"/>
  <c r="Z429" i="35"/>
  <c r="Z430" i="35"/>
  <c r="Z431" i="35"/>
  <c r="Z432" i="35"/>
  <c r="Z433" i="35"/>
  <c r="Z434" i="35"/>
  <c r="Z435" i="35"/>
  <c r="Z436" i="35"/>
  <c r="Z437" i="35"/>
  <c r="Z438" i="35"/>
  <c r="Z439" i="35"/>
  <c r="Z440" i="35"/>
  <c r="Z441" i="35"/>
  <c r="Z442" i="35"/>
  <c r="Z443" i="35"/>
  <c r="Z444" i="35"/>
  <c r="Z445" i="35"/>
  <c r="Z446" i="35"/>
  <c r="Z447" i="35"/>
  <c r="Z448" i="35"/>
  <c r="Z449" i="35"/>
  <c r="Z450" i="35"/>
  <c r="Z451" i="35"/>
  <c r="Z452" i="35"/>
  <c r="Z453" i="35"/>
  <c r="Z454" i="35"/>
  <c r="Z455" i="35"/>
  <c r="Z457" i="35"/>
  <c r="Z458" i="35"/>
  <c r="Z459" i="35"/>
  <c r="Z460" i="35"/>
  <c r="Z461" i="35"/>
  <c r="Z462" i="35"/>
  <c r="Z463" i="35"/>
  <c r="Z464" i="35"/>
  <c r="Z465" i="35"/>
  <c r="Z466" i="35"/>
  <c r="Z467" i="35"/>
  <c r="Z468" i="35"/>
  <c r="Z469" i="35"/>
  <c r="Z470" i="35"/>
  <c r="Z471" i="35"/>
  <c r="Z472" i="35"/>
  <c r="Z473" i="35"/>
  <c r="Z474" i="35"/>
  <c r="Z475" i="35"/>
  <c r="Z476" i="35"/>
  <c r="Z477" i="35"/>
  <c r="Z478" i="35"/>
  <c r="Z479" i="35"/>
  <c r="Z480" i="35"/>
  <c r="Z481" i="35"/>
  <c r="Z482" i="35"/>
  <c r="Z483" i="35"/>
  <c r="Z484" i="35"/>
  <c r="Z485" i="35"/>
  <c r="Z486" i="35"/>
  <c r="Z487" i="35"/>
  <c r="Z488" i="35"/>
  <c r="Z489" i="35"/>
  <c r="Z490" i="35"/>
  <c r="Z491" i="35"/>
  <c r="Z492" i="35"/>
  <c r="Z493" i="35"/>
  <c r="Z494" i="35"/>
  <c r="Z495" i="35"/>
  <c r="Z496" i="35"/>
  <c r="Z497" i="35"/>
  <c r="Z498" i="35"/>
  <c r="Z499" i="35"/>
  <c r="Z500" i="35"/>
  <c r="Z501" i="35"/>
  <c r="Z502" i="35"/>
  <c r="Z503" i="35"/>
  <c r="Z504" i="35"/>
  <c r="Z505" i="35"/>
  <c r="Z506" i="35"/>
  <c r="Z507" i="35"/>
  <c r="Z508" i="35"/>
  <c r="Z509" i="35"/>
  <c r="Z510" i="35"/>
  <c r="Z511" i="35"/>
  <c r="O8" i="35"/>
  <c r="Z8" i="35"/>
  <c r="S7" i="35"/>
  <c r="S6" i="35" s="1"/>
  <c r="I181" i="35"/>
  <c r="R38" i="27" l="1"/>
  <c r="AB8" i="35"/>
  <c r="BX512" i="29"/>
  <c r="BZ512" i="29" s="1"/>
  <c r="DH512" i="29"/>
  <c r="DJ512" i="29"/>
  <c r="AB507" i="35"/>
  <c r="AB495" i="35"/>
  <c r="AB483" i="35"/>
  <c r="AB475" i="35"/>
  <c r="AB463" i="35"/>
  <c r="AB450" i="35"/>
  <c r="AB442" i="35"/>
  <c r="AB435" i="35"/>
  <c r="AB427" i="35"/>
  <c r="AB423" i="35"/>
  <c r="AB419" i="35"/>
  <c r="AB409" i="35"/>
  <c r="AB405" i="35"/>
  <c r="AB389" i="35"/>
  <c r="AB388" i="35"/>
  <c r="AB390" i="35"/>
  <c r="AB383" i="35"/>
  <c r="AB377" i="35"/>
  <c r="AB373" i="35"/>
  <c r="AB369" i="35"/>
  <c r="AB365" i="35"/>
  <c r="AB361" i="35"/>
  <c r="AB357" i="35"/>
  <c r="AB353" i="35"/>
  <c r="AB349" i="35"/>
  <c r="AB345" i="35"/>
  <c r="AB341" i="35"/>
  <c r="AB337" i="35"/>
  <c r="AB333" i="35"/>
  <c r="AB329" i="35"/>
  <c r="AB325" i="35"/>
  <c r="AB321" i="35"/>
  <c r="AB317" i="35"/>
  <c r="AB313" i="35"/>
  <c r="AB309" i="35"/>
  <c r="AB305" i="35"/>
  <c r="AB301" i="35"/>
  <c r="AB297" i="35"/>
  <c r="AB293" i="35"/>
  <c r="AB289" i="35"/>
  <c r="AB285" i="35"/>
  <c r="AB281" i="35"/>
  <c r="AB277" i="35"/>
  <c r="AB273" i="35"/>
  <c r="AB269" i="35"/>
  <c r="AB265" i="35"/>
  <c r="AB257" i="35"/>
  <c r="AB253" i="35"/>
  <c r="AB249" i="35"/>
  <c r="CJ249" i="35" s="1"/>
  <c r="AB245" i="35"/>
  <c r="AB241" i="35"/>
  <c r="AB237" i="35"/>
  <c r="AB233" i="35"/>
  <c r="AB228" i="35"/>
  <c r="AB223" i="35"/>
  <c r="AB219" i="35"/>
  <c r="AB215" i="35"/>
  <c r="AB211" i="35"/>
  <c r="AB207" i="35"/>
  <c r="AB203" i="35"/>
  <c r="AB199" i="35"/>
  <c r="AB195" i="35"/>
  <c r="AB191" i="35"/>
  <c r="AB187" i="35"/>
  <c r="AB183" i="35"/>
  <c r="AB179" i="35"/>
  <c r="AB175" i="35"/>
  <c r="AB170" i="35"/>
  <c r="AB166" i="35"/>
  <c r="AB162" i="35"/>
  <c r="AB158" i="35"/>
  <c r="AB153" i="35"/>
  <c r="AB149" i="35"/>
  <c r="AB143" i="35"/>
  <c r="AB139" i="35"/>
  <c r="AB135" i="35"/>
  <c r="AB131" i="35"/>
  <c r="AB127" i="35"/>
  <c r="AB123" i="35"/>
  <c r="AB119" i="35"/>
  <c r="AB115" i="35"/>
  <c r="AB111" i="35"/>
  <c r="AB107" i="35"/>
  <c r="AB103" i="35"/>
  <c r="AB99" i="35"/>
  <c r="AB95" i="35"/>
  <c r="AB91" i="35"/>
  <c r="AB87" i="35"/>
  <c r="AB82" i="35"/>
  <c r="AB77" i="35"/>
  <c r="AB73" i="35"/>
  <c r="AB69" i="35"/>
  <c r="AB65" i="35"/>
  <c r="AB61" i="35"/>
  <c r="AB57" i="35"/>
  <c r="AB53" i="35"/>
  <c r="AB48" i="35"/>
  <c r="AB41" i="35"/>
  <c r="AB37" i="35"/>
  <c r="AB33" i="35"/>
  <c r="AB29" i="35"/>
  <c r="AB25" i="35"/>
  <c r="AB21" i="35"/>
  <c r="AB17" i="35"/>
  <c r="AC17" i="35" s="1"/>
  <c r="AB13" i="35"/>
  <c r="AB9" i="35"/>
  <c r="AB510" i="35"/>
  <c r="AB506" i="35"/>
  <c r="AB502" i="35"/>
  <c r="AB498" i="35"/>
  <c r="AB494" i="35"/>
  <c r="AB490" i="35"/>
  <c r="AB486" i="35"/>
  <c r="AB482" i="35"/>
  <c r="AB478" i="35"/>
  <c r="AB474" i="35"/>
  <c r="AB470" i="35"/>
  <c r="AB466" i="35"/>
  <c r="AB462" i="35"/>
  <c r="AB458" i="35"/>
  <c r="AB453" i="35"/>
  <c r="AB449" i="35"/>
  <c r="AB445" i="35"/>
  <c r="AB441" i="35"/>
  <c r="AB437" i="35"/>
  <c r="AB434" i="35"/>
  <c r="AB430" i="35"/>
  <c r="AB426" i="35"/>
  <c r="AB422" i="35"/>
  <c r="AB417" i="35"/>
  <c r="AB412" i="35"/>
  <c r="AB408" i="35"/>
  <c r="AB404" i="35"/>
  <c r="AB400" i="35"/>
  <c r="AB396" i="35"/>
  <c r="AB395" i="35"/>
  <c r="AB387" i="35"/>
  <c r="AB386" i="35"/>
  <c r="AB382" i="35"/>
  <c r="AB376" i="35"/>
  <c r="AB372" i="35"/>
  <c r="AB368" i="35"/>
  <c r="AB364" i="35"/>
  <c r="AB360" i="35"/>
  <c r="AB356" i="35"/>
  <c r="AB352" i="35"/>
  <c r="AB348" i="35"/>
  <c r="AB344" i="35"/>
  <c r="AB340" i="35"/>
  <c r="AB336" i="35"/>
  <c r="AB332" i="35"/>
  <c r="AB328" i="35"/>
  <c r="AB324" i="35"/>
  <c r="AB320" i="35"/>
  <c r="AB316" i="35"/>
  <c r="AB312" i="35"/>
  <c r="AB308" i="35"/>
  <c r="AB304" i="35"/>
  <c r="AB300" i="35"/>
  <c r="AB296" i="35"/>
  <c r="AB292" i="35"/>
  <c r="AB288" i="35"/>
  <c r="AB284" i="35"/>
  <c r="AB280" i="35"/>
  <c r="AB276" i="35"/>
  <c r="AB272" i="35"/>
  <c r="AB268" i="35"/>
  <c r="AB264" i="35"/>
  <c r="AB260" i="35"/>
  <c r="AB256" i="35"/>
  <c r="AB252" i="35"/>
  <c r="AB248" i="35"/>
  <c r="AB244" i="35"/>
  <c r="AB240" i="35"/>
  <c r="AB236" i="35"/>
  <c r="AB232" i="35"/>
  <c r="AB227" i="35"/>
  <c r="Z225" i="35"/>
  <c r="AB222" i="35"/>
  <c r="AB218" i="35"/>
  <c r="AB214" i="35"/>
  <c r="AB210" i="35"/>
  <c r="AB206" i="35"/>
  <c r="AB202" i="35"/>
  <c r="AB198" i="35"/>
  <c r="AB194" i="35"/>
  <c r="AB190" i="35"/>
  <c r="AB186" i="35"/>
  <c r="AB182" i="35"/>
  <c r="AB174" i="35"/>
  <c r="AB169" i="35"/>
  <c r="AB165" i="35"/>
  <c r="AB161" i="35"/>
  <c r="AB157" i="35"/>
  <c r="AB152" i="35"/>
  <c r="AB148" i="35"/>
  <c r="AB142" i="35"/>
  <c r="AB138" i="35"/>
  <c r="AB134" i="35"/>
  <c r="AB130" i="35"/>
  <c r="AB126" i="35"/>
  <c r="AB122" i="35"/>
  <c r="AB118" i="35"/>
  <c r="AB114" i="35"/>
  <c r="AB110" i="35"/>
  <c r="AB106" i="35"/>
  <c r="AB102" i="35"/>
  <c r="AB98" i="35"/>
  <c r="AB94" i="35"/>
  <c r="AB90" i="35"/>
  <c r="AB86" i="35"/>
  <c r="AB81" i="35"/>
  <c r="AB76" i="35"/>
  <c r="AB72" i="35"/>
  <c r="AB68" i="35"/>
  <c r="AB64" i="35"/>
  <c r="AB60" i="35"/>
  <c r="AB56" i="35"/>
  <c r="Z50" i="35"/>
  <c r="AB46" i="35"/>
  <c r="AB40" i="35"/>
  <c r="AB36" i="35"/>
  <c r="AB32" i="35"/>
  <c r="AB24" i="35"/>
  <c r="AB20" i="35"/>
  <c r="AB16" i="35"/>
  <c r="AB12" i="35"/>
  <c r="AC12" i="35" s="1"/>
  <c r="BK225" i="35"/>
  <c r="AB511" i="35"/>
  <c r="AB503" i="35"/>
  <c r="AB499" i="35"/>
  <c r="AB491" i="35"/>
  <c r="CJ491" i="35" s="1"/>
  <c r="AB487" i="35"/>
  <c r="AB479" i="35"/>
  <c r="CJ479" i="35" s="1"/>
  <c r="AB471" i="35"/>
  <c r="AB467" i="35"/>
  <c r="AB459" i="35"/>
  <c r="AB454" i="35"/>
  <c r="AB446" i="35"/>
  <c r="AB438" i="35"/>
  <c r="AB431" i="35"/>
  <c r="AB401" i="35"/>
  <c r="AB505" i="35"/>
  <c r="AB501" i="35"/>
  <c r="AB497" i="35"/>
  <c r="AB493" i="35"/>
  <c r="AB489" i="35"/>
  <c r="AB485" i="35"/>
  <c r="AB481" i="35"/>
  <c r="AB477" i="35"/>
  <c r="AB473" i="35"/>
  <c r="AB469" i="35"/>
  <c r="AB465" i="35"/>
  <c r="AB461" i="35"/>
  <c r="AB457" i="35"/>
  <c r="AB452" i="35"/>
  <c r="AB448" i="35"/>
  <c r="AB444" i="35"/>
  <c r="AB440" i="35"/>
  <c r="AB436" i="35"/>
  <c r="AB433" i="35"/>
  <c r="AB429" i="35"/>
  <c r="AB425" i="35"/>
  <c r="AB421" i="35"/>
  <c r="AB415" i="35"/>
  <c r="AB411" i="35"/>
  <c r="AB407" i="35"/>
  <c r="AB403" i="35"/>
  <c r="AB399" i="35"/>
  <c r="AB380" i="35"/>
  <c r="AB394" i="35"/>
  <c r="AB392" i="35"/>
  <c r="AB384" i="35"/>
  <c r="AB381" i="35"/>
  <c r="AB375" i="35"/>
  <c r="AB371" i="35"/>
  <c r="CJ371" i="35" s="1"/>
  <c r="AB363" i="35"/>
  <c r="AB359" i="35"/>
  <c r="AB355" i="35"/>
  <c r="AB351" i="35"/>
  <c r="AB347" i="35"/>
  <c r="AB343" i="35"/>
  <c r="AB339" i="35"/>
  <c r="AB335" i="35"/>
  <c r="AB331" i="35"/>
  <c r="AB327" i="35"/>
  <c r="AB323" i="35"/>
  <c r="AB319" i="35"/>
  <c r="AB315" i="35"/>
  <c r="AB311" i="35"/>
  <c r="AB307" i="35"/>
  <c r="AB303" i="35"/>
  <c r="AB299" i="35"/>
  <c r="AB295" i="35"/>
  <c r="AB291" i="35"/>
  <c r="AB287" i="35"/>
  <c r="AB283" i="35"/>
  <c r="AB279" i="35"/>
  <c r="AB275" i="35"/>
  <c r="AB271" i="35"/>
  <c r="AB267" i="35"/>
  <c r="AB263" i="35"/>
  <c r="AB259" i="35"/>
  <c r="AB255" i="35"/>
  <c r="AB251" i="35"/>
  <c r="AB247" i="35"/>
  <c r="AB243" i="35"/>
  <c r="AB239" i="35"/>
  <c r="AB235" i="35"/>
  <c r="AB231" i="35"/>
  <c r="AB226" i="35"/>
  <c r="AB221" i="35"/>
  <c r="AB217" i="35"/>
  <c r="AB213" i="35"/>
  <c r="AB209" i="35"/>
  <c r="AB205" i="35"/>
  <c r="AB201" i="35"/>
  <c r="AB197" i="35"/>
  <c r="AB193" i="35"/>
  <c r="AB189" i="35"/>
  <c r="AB185" i="35"/>
  <c r="AB181" i="35"/>
  <c r="CJ181" i="35" s="1"/>
  <c r="AB177" i="35"/>
  <c r="AB172" i="35"/>
  <c r="AB168" i="35"/>
  <c r="AB164" i="35"/>
  <c r="AB160" i="35"/>
  <c r="AB156" i="35"/>
  <c r="AB151" i="35"/>
  <c r="AB147" i="35"/>
  <c r="AB141" i="35"/>
  <c r="AB137" i="35"/>
  <c r="AB133" i="35"/>
  <c r="AB129" i="35"/>
  <c r="AB125" i="35"/>
  <c r="AB121" i="35"/>
  <c r="AB117" i="35"/>
  <c r="AB113" i="35"/>
  <c r="AB109" i="35"/>
  <c r="AB105" i="35"/>
  <c r="AB101" i="35"/>
  <c r="AB97" i="35"/>
  <c r="AB93" i="35"/>
  <c r="AB89" i="35"/>
  <c r="AB85" i="35"/>
  <c r="AB80" i="35"/>
  <c r="AB75" i="35"/>
  <c r="AB71" i="35"/>
  <c r="AB67" i="35"/>
  <c r="AB63" i="35"/>
  <c r="AB59" i="35"/>
  <c r="AB55" i="35"/>
  <c r="AB51" i="35"/>
  <c r="AB45" i="35"/>
  <c r="AB39" i="35"/>
  <c r="AB35" i="35"/>
  <c r="AB31" i="35"/>
  <c r="AB27" i="35"/>
  <c r="AB23" i="35"/>
  <c r="AB19" i="35"/>
  <c r="AB15" i="35"/>
  <c r="AB11" i="35"/>
  <c r="AB508" i="35"/>
  <c r="AB504" i="35"/>
  <c r="AB500" i="35"/>
  <c r="CJ500" i="35" s="1"/>
  <c r="AB496" i="35"/>
  <c r="AB492" i="35"/>
  <c r="AB488" i="35"/>
  <c r="AB484" i="35"/>
  <c r="AB480" i="35"/>
  <c r="CJ480" i="35" s="1"/>
  <c r="AB476" i="35"/>
  <c r="AB472" i="35"/>
  <c r="AB468" i="35"/>
  <c r="AB464" i="35"/>
  <c r="AB460" i="35"/>
  <c r="AB455" i="35"/>
  <c r="AB451" i="35"/>
  <c r="AB447" i="35"/>
  <c r="AB443" i="35"/>
  <c r="AB439" i="35"/>
  <c r="AB432" i="35"/>
  <c r="AB428" i="35"/>
  <c r="AB424" i="35"/>
  <c r="AB420" i="35"/>
  <c r="AB414" i="35"/>
  <c r="AB410" i="35"/>
  <c r="AB406" i="35"/>
  <c r="AC406" i="35" s="1"/>
  <c r="AB402" i="35"/>
  <c r="AB398" i="35"/>
  <c r="AB379" i="35"/>
  <c r="AB393" i="35"/>
  <c r="AB391" i="35"/>
  <c r="AB385" i="35"/>
  <c r="AB378" i="35"/>
  <c r="AB374" i="35"/>
  <c r="AB370" i="35"/>
  <c r="AB366" i="35"/>
  <c r="AB362" i="35"/>
  <c r="AB358" i="35"/>
  <c r="AB354" i="35"/>
  <c r="AB350" i="35"/>
  <c r="AB346" i="35"/>
  <c r="AB342" i="35"/>
  <c r="AB338" i="35"/>
  <c r="AB334" i="35"/>
  <c r="AB330" i="35"/>
  <c r="AB326" i="35"/>
  <c r="AB322" i="35"/>
  <c r="AB318" i="35"/>
  <c r="AB314" i="35"/>
  <c r="AB310" i="35"/>
  <c r="AB306" i="35"/>
  <c r="AB302" i="35"/>
  <c r="AB298" i="35"/>
  <c r="AB294" i="35"/>
  <c r="AB290" i="35"/>
  <c r="AB286" i="35"/>
  <c r="AB282" i="35"/>
  <c r="AB278" i="35"/>
  <c r="AB274" i="35"/>
  <c r="AB270" i="35"/>
  <c r="AB266" i="35"/>
  <c r="AB262" i="35"/>
  <c r="AB258" i="35"/>
  <c r="AB254" i="35"/>
  <c r="AB250" i="35"/>
  <c r="AB246" i="35"/>
  <c r="AB242" i="35"/>
  <c r="AB238" i="35"/>
  <c r="AB234" i="35"/>
  <c r="AB230" i="35"/>
  <c r="AB224" i="35"/>
  <c r="AB220" i="35"/>
  <c r="AB216" i="35"/>
  <c r="AB212" i="35"/>
  <c r="AB208" i="35"/>
  <c r="AB204" i="35"/>
  <c r="AB200" i="35"/>
  <c r="AB196" i="35"/>
  <c r="AB192" i="35"/>
  <c r="AB188" i="35"/>
  <c r="AB184" i="35"/>
  <c r="AB180" i="35"/>
  <c r="AB176" i="35"/>
  <c r="AB171" i="35"/>
  <c r="AB167" i="35"/>
  <c r="AB163" i="35"/>
  <c r="AB159" i="35"/>
  <c r="AB154" i="35"/>
  <c r="AB150" i="35"/>
  <c r="AB144" i="35"/>
  <c r="AB140" i="35"/>
  <c r="AB136" i="35"/>
  <c r="AB132" i="35"/>
  <c r="AB128" i="35"/>
  <c r="AB124" i="35"/>
  <c r="AB120" i="35"/>
  <c r="AB116" i="35"/>
  <c r="AB112" i="35"/>
  <c r="AB108" i="35"/>
  <c r="AB104" i="35"/>
  <c r="AB100" i="35"/>
  <c r="AB96" i="35"/>
  <c r="AB92" i="35"/>
  <c r="AB88" i="35"/>
  <c r="AB84" i="35"/>
  <c r="AB79" i="35"/>
  <c r="AB74" i="35"/>
  <c r="AB70" i="35"/>
  <c r="AB66" i="35"/>
  <c r="AB62" i="35"/>
  <c r="AB58" i="35"/>
  <c r="AB54" i="35"/>
  <c r="AB49" i="35"/>
  <c r="AB42" i="35"/>
  <c r="AB38" i="35"/>
  <c r="AB34" i="35"/>
  <c r="AB30" i="35"/>
  <c r="AB26" i="35"/>
  <c r="AB22" i="35"/>
  <c r="AB18" i="35"/>
  <c r="AB14" i="35"/>
  <c r="AB10" i="35"/>
  <c r="AA367" i="35"/>
  <c r="AA397" i="35"/>
  <c r="AA260" i="35"/>
  <c r="AA504" i="35"/>
  <c r="AA52" i="35"/>
  <c r="AA413" i="35"/>
  <c r="Z7" i="35"/>
  <c r="AA12" i="35"/>
  <c r="AA23" i="35"/>
  <c r="AA109" i="35"/>
  <c r="AA144" i="35"/>
  <c r="AA185" i="35"/>
  <c r="AA284" i="35"/>
  <c r="AA362" i="35"/>
  <c r="AA406" i="35"/>
  <c r="AA466" i="35"/>
  <c r="AB367" i="35"/>
  <c r="AA14" i="35"/>
  <c r="AA29" i="35"/>
  <c r="AA62" i="35"/>
  <c r="AA122" i="35"/>
  <c r="AA151" i="35"/>
  <c r="AA227" i="35"/>
  <c r="AA306" i="35"/>
  <c r="AA408" i="35"/>
  <c r="AA470" i="35"/>
  <c r="AB413" i="35"/>
  <c r="AB397" i="35"/>
  <c r="AB261" i="35"/>
  <c r="AB52" i="35"/>
  <c r="AA17" i="35"/>
  <c r="AA39" i="35"/>
  <c r="AA76" i="35"/>
  <c r="AA132" i="35"/>
  <c r="AA165" i="35"/>
  <c r="AA250" i="35"/>
  <c r="AA331" i="35"/>
  <c r="AA377" i="35"/>
  <c r="AA8" i="35"/>
  <c r="AA19" i="35"/>
  <c r="AA42" i="35"/>
  <c r="AA91" i="35"/>
  <c r="AA137" i="35"/>
  <c r="AA179" i="35"/>
  <c r="AA344" i="35"/>
  <c r="AA437" i="35"/>
  <c r="AB509" i="35"/>
  <c r="DH13" i="29"/>
  <c r="DH15" i="29"/>
  <c r="DH50" i="29"/>
  <c r="DH226" i="29"/>
  <c r="DH371" i="29"/>
  <c r="DH479" i="29"/>
  <c r="DH480" i="29"/>
  <c r="DH491" i="29"/>
  <c r="DH500" i="29"/>
  <c r="DG13" i="29"/>
  <c r="DG15" i="29"/>
  <c r="DG371" i="29"/>
  <c r="DG479" i="29"/>
  <c r="DG480" i="29"/>
  <c r="DG491" i="29"/>
  <c r="DG500" i="29"/>
  <c r="AC52" i="35" l="1"/>
  <c r="AC8" i="35"/>
  <c r="AC248" i="35"/>
  <c r="CJ248" i="35"/>
  <c r="AC39" i="35"/>
  <c r="AC470" i="35"/>
  <c r="AC14" i="35"/>
  <c r="AC42" i="35"/>
  <c r="AC62" i="35"/>
  <c r="AC91" i="35"/>
  <c r="AC122" i="35"/>
  <c r="AC132" i="35"/>
  <c r="AC306" i="35"/>
  <c r="AC362" i="35"/>
  <c r="AC19" i="35"/>
  <c r="AC137" i="35"/>
  <c r="AC179" i="35"/>
  <c r="AC260" i="35"/>
  <c r="AC367" i="35"/>
  <c r="AC144" i="35"/>
  <c r="AC23" i="35"/>
  <c r="AC109" i="35"/>
  <c r="AC185" i="35"/>
  <c r="AC76" i="35"/>
  <c r="AC165" i="35"/>
  <c r="AC284" i="35"/>
  <c r="AC331" i="35"/>
  <c r="AC344" i="35"/>
  <c r="AC408" i="35"/>
  <c r="AC437" i="35"/>
  <c r="AC466" i="35"/>
  <c r="Z6" i="35"/>
  <c r="AC29" i="35"/>
  <c r="AC151" i="35"/>
  <c r="AC227" i="35"/>
  <c r="AC250" i="35"/>
  <c r="AC377" i="35"/>
  <c r="AA50" i="35"/>
  <c r="AB50" i="35"/>
  <c r="AC397" i="35"/>
  <c r="AC504" i="35"/>
  <c r="AC413" i="35"/>
  <c r="AA225" i="35"/>
  <c r="AB225" i="35"/>
  <c r="AA7" i="35"/>
  <c r="AB7" i="35"/>
  <c r="AC50" i="35" l="1"/>
  <c r="BP248" i="35"/>
  <c r="AE248" i="35"/>
  <c r="AC225" i="35"/>
  <c r="AA6" i="35"/>
  <c r="AC7" i="35"/>
  <c r="AB6" i="35"/>
  <c r="M38" i="27" l="1"/>
  <c r="Q38" i="27" s="1"/>
  <c r="AC6" i="35"/>
  <c r="I11" i="35" l="1"/>
  <c r="CL505" i="29"/>
  <c r="P41" i="27" l="1"/>
  <c r="P12" i="27"/>
  <c r="P9" i="27" l="1"/>
  <c r="I9" i="27"/>
  <c r="I46" i="27"/>
  <c r="P46" i="27"/>
  <c r="I24" i="27"/>
  <c r="P24" i="27"/>
  <c r="I28" i="27"/>
  <c r="P28" i="27"/>
  <c r="I34" i="27"/>
  <c r="P34" i="27"/>
  <c r="P22" i="27"/>
  <c r="I33" i="27"/>
  <c r="P33" i="27"/>
  <c r="I12" i="27"/>
  <c r="I53" i="27"/>
  <c r="I49" i="27"/>
  <c r="P49" i="27"/>
  <c r="I47" i="27"/>
  <c r="P47" i="27"/>
  <c r="I43" i="27"/>
  <c r="P43" i="27"/>
  <c r="I19" i="27"/>
  <c r="P19" i="27"/>
  <c r="I35" i="27"/>
  <c r="P35" i="27"/>
  <c r="I20" i="27"/>
  <c r="P20" i="27"/>
  <c r="I48" i="27"/>
  <c r="P48" i="27"/>
  <c r="I30" i="27"/>
  <c r="P30" i="27"/>
  <c r="I16" i="27"/>
  <c r="P16" i="27"/>
  <c r="I32" i="27"/>
  <c r="I22" i="27"/>
  <c r="I52" i="27"/>
  <c r="P52" i="27"/>
  <c r="I27" i="27"/>
  <c r="P27" i="27"/>
  <c r="I55" i="27"/>
  <c r="P55" i="27"/>
  <c r="I44" i="27"/>
  <c r="P44" i="27"/>
  <c r="I29" i="27"/>
  <c r="I41" i="27"/>
  <c r="I23" i="27"/>
  <c r="P23" i="27"/>
  <c r="I10" i="27"/>
  <c r="I51" i="27"/>
  <c r="P51" i="27"/>
  <c r="Q51" i="27" s="1"/>
  <c r="I45" i="27"/>
  <c r="P45" i="27"/>
  <c r="I14" i="27"/>
  <c r="P14" i="27"/>
  <c r="I37" i="27"/>
  <c r="I50" i="27"/>
  <c r="P50" i="27"/>
  <c r="I26" i="27"/>
  <c r="I42" i="27"/>
  <c r="P42" i="27"/>
  <c r="I40" i="27"/>
  <c r="P40" i="27"/>
  <c r="I25" i="27"/>
  <c r="P25" i="27"/>
  <c r="I39" i="27"/>
  <c r="P39" i="27"/>
  <c r="P53" i="27" l="1"/>
  <c r="P37" i="27"/>
  <c r="P29" i="27"/>
  <c r="P36" i="27"/>
  <c r="P21" i="27"/>
  <c r="P10" i="27"/>
  <c r="AQ4" i="33"/>
  <c r="AS5" i="33"/>
  <c r="AP5" i="33"/>
  <c r="P8" i="27" l="1"/>
  <c r="P7" i="27" s="1"/>
  <c r="CO490" i="29"/>
  <c r="BL511" i="35" l="1"/>
  <c r="BN511" i="35" s="1"/>
  <c r="O511" i="35"/>
  <c r="Q511" i="35" s="1"/>
  <c r="I511" i="35"/>
  <c r="BL510" i="35"/>
  <c r="O510" i="35"/>
  <c r="Q510" i="35" s="1"/>
  <c r="I510" i="35"/>
  <c r="BL509" i="35"/>
  <c r="BN509" i="35" s="1"/>
  <c r="BF509" i="35"/>
  <c r="O509" i="35"/>
  <c r="Q509" i="35" s="1"/>
  <c r="I509" i="35"/>
  <c r="BL508" i="35"/>
  <c r="BN508" i="35" s="1"/>
  <c r="BF508" i="35"/>
  <c r="O508" i="35"/>
  <c r="Q508" i="35" s="1"/>
  <c r="I508" i="35"/>
  <c r="BL507" i="35"/>
  <c r="BN507" i="35" s="1"/>
  <c r="BF507" i="35"/>
  <c r="O507" i="35"/>
  <c r="Q507" i="35" s="1"/>
  <c r="I507" i="35"/>
  <c r="BL506" i="35"/>
  <c r="BN506" i="35" s="1"/>
  <c r="BF506" i="35"/>
  <c r="O506" i="35"/>
  <c r="I506" i="35"/>
  <c r="BL505" i="35"/>
  <c r="BN505" i="35" s="1"/>
  <c r="O505" i="35"/>
  <c r="Q505" i="35" s="1"/>
  <c r="I505" i="35"/>
  <c r="BL504" i="35"/>
  <c r="BN504" i="35" s="1"/>
  <c r="BF504" i="35"/>
  <c r="O504" i="35"/>
  <c r="I504" i="35"/>
  <c r="BL503" i="35"/>
  <c r="BN503" i="35" s="1"/>
  <c r="BF503" i="35"/>
  <c r="O503" i="35"/>
  <c r="Q503" i="35" s="1"/>
  <c r="I503" i="35"/>
  <c r="BL502" i="35"/>
  <c r="BN502" i="35" s="1"/>
  <c r="BF502" i="35"/>
  <c r="O502" i="35"/>
  <c r="Q502" i="35" s="1"/>
  <c r="I502" i="35"/>
  <c r="BL501" i="35"/>
  <c r="BN501" i="35" s="1"/>
  <c r="BF501" i="35"/>
  <c r="O501" i="35"/>
  <c r="Q501" i="35" s="1"/>
  <c r="I501" i="35"/>
  <c r="BL499" i="35"/>
  <c r="BN499" i="35" s="1"/>
  <c r="BF499" i="35"/>
  <c r="O499" i="35"/>
  <c r="Q499" i="35" s="1"/>
  <c r="I499" i="35"/>
  <c r="BL498" i="35"/>
  <c r="BN498" i="35" s="1"/>
  <c r="BF498" i="35"/>
  <c r="O498" i="35"/>
  <c r="Q498" i="35" s="1"/>
  <c r="I498" i="35"/>
  <c r="BL497" i="35"/>
  <c r="BN497" i="35" s="1"/>
  <c r="BF497" i="35"/>
  <c r="O497" i="35"/>
  <c r="Q497" i="35" s="1"/>
  <c r="I497" i="35"/>
  <c r="BL496" i="35"/>
  <c r="BN496" i="35" s="1"/>
  <c r="BF496" i="35"/>
  <c r="O496" i="35"/>
  <c r="Q496" i="35" s="1"/>
  <c r="I496" i="35"/>
  <c r="BL495" i="35"/>
  <c r="BN495" i="35" s="1"/>
  <c r="BF495" i="35"/>
  <c r="O495" i="35"/>
  <c r="Q495" i="35" s="1"/>
  <c r="I495" i="35"/>
  <c r="BL494" i="35"/>
  <c r="BN494" i="35" s="1"/>
  <c r="BF494" i="35"/>
  <c r="O494" i="35"/>
  <c r="Q494" i="35" s="1"/>
  <c r="I494" i="35"/>
  <c r="BL493" i="35"/>
  <c r="BN493" i="35" s="1"/>
  <c r="BF493" i="35"/>
  <c r="O493" i="35"/>
  <c r="Q493" i="35" s="1"/>
  <c r="I493" i="35"/>
  <c r="BL492" i="35"/>
  <c r="BN492" i="35" s="1"/>
  <c r="BF492" i="35"/>
  <c r="O492" i="35"/>
  <c r="Q492" i="35" s="1"/>
  <c r="I492" i="35"/>
  <c r="BL490" i="35"/>
  <c r="BN490" i="35" s="1"/>
  <c r="BF490" i="35"/>
  <c r="O490" i="35"/>
  <c r="Q490" i="35" s="1"/>
  <c r="I490" i="35"/>
  <c r="BL489" i="35"/>
  <c r="BN489" i="35" s="1"/>
  <c r="BF489" i="35"/>
  <c r="O489" i="35"/>
  <c r="Q489" i="35" s="1"/>
  <c r="I489" i="35"/>
  <c r="BL488" i="35"/>
  <c r="BN488" i="35" s="1"/>
  <c r="BF488" i="35"/>
  <c r="O488" i="35"/>
  <c r="Q488" i="35" s="1"/>
  <c r="I488" i="35"/>
  <c r="BL487" i="35"/>
  <c r="BN487" i="35" s="1"/>
  <c r="BF487" i="35"/>
  <c r="O487" i="35"/>
  <c r="Q487" i="35" s="1"/>
  <c r="I487" i="35"/>
  <c r="BL486" i="35"/>
  <c r="BN486" i="35" s="1"/>
  <c r="BF486" i="35"/>
  <c r="O486" i="35"/>
  <c r="Q486" i="35" s="1"/>
  <c r="I486" i="35"/>
  <c r="BL485" i="35"/>
  <c r="BN485" i="35" s="1"/>
  <c r="BF485" i="35"/>
  <c r="O485" i="35"/>
  <c r="Q485" i="35" s="1"/>
  <c r="I485" i="35"/>
  <c r="BL484" i="35"/>
  <c r="BN484" i="35" s="1"/>
  <c r="BF484" i="35"/>
  <c r="O484" i="35"/>
  <c r="Q484" i="35" s="1"/>
  <c r="I484" i="35"/>
  <c r="BL483" i="35"/>
  <c r="BN483" i="35" s="1"/>
  <c r="BF483" i="35"/>
  <c r="O483" i="35"/>
  <c r="Q483" i="35" s="1"/>
  <c r="I483" i="35"/>
  <c r="BL482" i="35"/>
  <c r="BN482" i="35" s="1"/>
  <c r="BF482" i="35"/>
  <c r="O482" i="35"/>
  <c r="Q482" i="35" s="1"/>
  <c r="I482" i="35"/>
  <c r="BL481" i="35"/>
  <c r="BN481" i="35" s="1"/>
  <c r="BF481" i="35"/>
  <c r="O481" i="35"/>
  <c r="Q481" i="35" s="1"/>
  <c r="I481" i="35"/>
  <c r="BL478" i="35"/>
  <c r="BN478" i="35" s="1"/>
  <c r="BF478" i="35"/>
  <c r="O478" i="35"/>
  <c r="Q478" i="35" s="1"/>
  <c r="I478" i="35"/>
  <c r="BL477" i="35"/>
  <c r="BN477" i="35" s="1"/>
  <c r="BF477" i="35"/>
  <c r="O477" i="35"/>
  <c r="Q477" i="35" s="1"/>
  <c r="I477" i="35"/>
  <c r="BL476" i="35"/>
  <c r="BN476" i="35" s="1"/>
  <c r="BF476" i="35"/>
  <c r="O476" i="35"/>
  <c r="Q476" i="35" s="1"/>
  <c r="I476" i="35"/>
  <c r="BL475" i="35"/>
  <c r="BN475" i="35" s="1"/>
  <c r="BF475" i="35"/>
  <c r="O475" i="35"/>
  <c r="Q475" i="35" s="1"/>
  <c r="I475" i="35"/>
  <c r="BL474" i="35"/>
  <c r="BN474" i="35" s="1"/>
  <c r="BF474" i="35"/>
  <c r="O474" i="35"/>
  <c r="Q474" i="35" s="1"/>
  <c r="I474" i="35"/>
  <c r="BL473" i="35"/>
  <c r="BN473" i="35" s="1"/>
  <c r="BF473" i="35"/>
  <c r="O473" i="35"/>
  <c r="I473" i="35"/>
  <c r="BL472" i="35"/>
  <c r="BN472" i="35" s="1"/>
  <c r="BF472" i="35"/>
  <c r="O472" i="35"/>
  <c r="Q472" i="35" s="1"/>
  <c r="I472" i="35"/>
  <c r="BL471" i="35"/>
  <c r="BN471" i="35" s="1"/>
  <c r="BF471" i="35"/>
  <c r="O471" i="35"/>
  <c r="Q471" i="35" s="1"/>
  <c r="I471" i="35"/>
  <c r="BL470" i="35"/>
  <c r="BF470" i="35"/>
  <c r="BC470" i="35"/>
  <c r="O470" i="35"/>
  <c r="Q470" i="35" s="1"/>
  <c r="I470" i="35"/>
  <c r="BL469" i="35"/>
  <c r="BN469" i="35" s="1"/>
  <c r="BF469" i="35"/>
  <c r="O469" i="35"/>
  <c r="Q469" i="35" s="1"/>
  <c r="I469" i="35"/>
  <c r="BL468" i="35"/>
  <c r="BN468" i="35" s="1"/>
  <c r="BF468" i="35"/>
  <c r="O468" i="35"/>
  <c r="I468" i="35"/>
  <c r="BL467" i="35"/>
  <c r="BN467" i="35" s="1"/>
  <c r="BF467" i="35"/>
  <c r="O467" i="35"/>
  <c r="Q467" i="35" s="1"/>
  <c r="I467" i="35"/>
  <c r="BL466" i="35"/>
  <c r="BN466" i="35" s="1"/>
  <c r="BF466" i="35"/>
  <c r="BC466" i="35"/>
  <c r="O466" i="35"/>
  <c r="Q466" i="35" s="1"/>
  <c r="I466" i="35"/>
  <c r="BL465" i="35"/>
  <c r="BN465" i="35" s="1"/>
  <c r="BF465" i="35"/>
  <c r="O465" i="35"/>
  <c r="Q465" i="35" s="1"/>
  <c r="I465" i="35"/>
  <c r="BL464" i="35"/>
  <c r="BN464" i="35" s="1"/>
  <c r="CJ464" i="35" s="1"/>
  <c r="BF464" i="35"/>
  <c r="O464" i="35"/>
  <c r="Q464" i="35" s="1"/>
  <c r="BL463" i="35"/>
  <c r="BN463" i="35" s="1"/>
  <c r="CJ463" i="35" s="1"/>
  <c r="BF463" i="35"/>
  <c r="O463" i="35"/>
  <c r="Q463" i="35" s="1"/>
  <c r="BL462" i="35"/>
  <c r="BN462" i="35" s="1"/>
  <c r="BF462" i="35"/>
  <c r="O462" i="35"/>
  <c r="Q462" i="35" s="1"/>
  <c r="BL461" i="35"/>
  <c r="BN461" i="35" s="1"/>
  <c r="BF461" i="35"/>
  <c r="O461" i="35"/>
  <c r="Q461" i="35" s="1"/>
  <c r="BL460" i="35"/>
  <c r="BN460" i="35" s="1"/>
  <c r="CJ460" i="35" s="1"/>
  <c r="BF460" i="35"/>
  <c r="O460" i="35"/>
  <c r="Q460" i="35" s="1"/>
  <c r="BL459" i="35"/>
  <c r="BN459" i="35" s="1"/>
  <c r="CJ459" i="35" s="1"/>
  <c r="BF459" i="35"/>
  <c r="O459" i="35"/>
  <c r="Q459" i="35" s="1"/>
  <c r="BL458" i="35"/>
  <c r="BN458" i="35" s="1"/>
  <c r="BF458" i="35"/>
  <c r="O458" i="35"/>
  <c r="Q458" i="35" s="1"/>
  <c r="BL457" i="35"/>
  <c r="BN457" i="35" s="1"/>
  <c r="BF457" i="35"/>
  <c r="O457" i="35"/>
  <c r="Q457" i="35" s="1"/>
  <c r="BL455" i="35"/>
  <c r="BN455" i="35" s="1"/>
  <c r="BF455" i="35"/>
  <c r="O455" i="35"/>
  <c r="Q455" i="35" s="1"/>
  <c r="BL454" i="35"/>
  <c r="BN454" i="35" s="1"/>
  <c r="O454" i="35"/>
  <c r="Q454" i="35" s="1"/>
  <c r="BL453" i="35"/>
  <c r="BN453" i="35" s="1"/>
  <c r="BF453" i="35"/>
  <c r="O453" i="35"/>
  <c r="Q453" i="35" s="1"/>
  <c r="BL452" i="35"/>
  <c r="BN452" i="35" s="1"/>
  <c r="BF452" i="35"/>
  <c r="O452" i="35"/>
  <c r="Q452" i="35" s="1"/>
  <c r="BL451" i="35"/>
  <c r="BN451" i="35" s="1"/>
  <c r="BF451" i="35"/>
  <c r="O451" i="35"/>
  <c r="Q451" i="35" s="1"/>
  <c r="BL450" i="35"/>
  <c r="BN450" i="35" s="1"/>
  <c r="BF450" i="35"/>
  <c r="O450" i="35"/>
  <c r="Q450" i="35" s="1"/>
  <c r="BL449" i="35"/>
  <c r="BN449" i="35" s="1"/>
  <c r="BF449" i="35"/>
  <c r="O449" i="35"/>
  <c r="Q449" i="35" s="1"/>
  <c r="BL448" i="35"/>
  <c r="BN448" i="35" s="1"/>
  <c r="CJ448" i="35" s="1"/>
  <c r="BF448" i="35"/>
  <c r="O448" i="35"/>
  <c r="Q448" i="35" s="1"/>
  <c r="BL447" i="35"/>
  <c r="BN447" i="35" s="1"/>
  <c r="CJ447" i="35" s="1"/>
  <c r="BF447" i="35"/>
  <c r="O447" i="35"/>
  <c r="Q447" i="35" s="1"/>
  <c r="BL446" i="35"/>
  <c r="BN446" i="35" s="1"/>
  <c r="BF446" i="35"/>
  <c r="O446" i="35"/>
  <c r="Q446" i="35" s="1"/>
  <c r="BL445" i="35"/>
  <c r="BN445" i="35" s="1"/>
  <c r="BF445" i="35"/>
  <c r="O445" i="35"/>
  <c r="Q445" i="35" s="1"/>
  <c r="BL444" i="35"/>
  <c r="BN444" i="35" s="1"/>
  <c r="CJ444" i="35" s="1"/>
  <c r="BF444" i="35"/>
  <c r="O444" i="35"/>
  <c r="Q444" i="35" s="1"/>
  <c r="BL443" i="35"/>
  <c r="BN443" i="35" s="1"/>
  <c r="CJ443" i="35" s="1"/>
  <c r="BF443" i="35"/>
  <c r="O443" i="35"/>
  <c r="Q443" i="35" s="1"/>
  <c r="BL442" i="35"/>
  <c r="BN442" i="35" s="1"/>
  <c r="BF442" i="35"/>
  <c r="O442" i="35"/>
  <c r="Q442" i="35" s="1"/>
  <c r="BL441" i="35"/>
  <c r="BN441" i="35" s="1"/>
  <c r="BF441" i="35"/>
  <c r="O441" i="35"/>
  <c r="Q441" i="35" s="1"/>
  <c r="BL440" i="35"/>
  <c r="BN440" i="35" s="1"/>
  <c r="CJ440" i="35" s="1"/>
  <c r="BF440" i="35"/>
  <c r="O440" i="35"/>
  <c r="Q440" i="35" s="1"/>
  <c r="BL439" i="35"/>
  <c r="BN439" i="35" s="1"/>
  <c r="O439" i="35"/>
  <c r="Q439" i="35" s="1"/>
  <c r="BL438" i="35"/>
  <c r="BN438" i="35" s="1"/>
  <c r="BF438" i="35"/>
  <c r="O438" i="35"/>
  <c r="Q438" i="35" s="1"/>
  <c r="BL437" i="35"/>
  <c r="BN437" i="35" s="1"/>
  <c r="BF437" i="35"/>
  <c r="BC437" i="35"/>
  <c r="O437" i="35"/>
  <c r="Q437" i="35" s="1"/>
  <c r="BL436" i="35"/>
  <c r="BN436" i="35" s="1"/>
  <c r="BF436" i="35"/>
  <c r="O436" i="35"/>
  <c r="Q436" i="35" s="1"/>
  <c r="BL435" i="35"/>
  <c r="BN435" i="35" s="1"/>
  <c r="BF435" i="35"/>
  <c r="O435" i="35"/>
  <c r="Q435" i="35" s="1"/>
  <c r="I435" i="35"/>
  <c r="BL434" i="35"/>
  <c r="BN434" i="35" s="1"/>
  <c r="BF434" i="35"/>
  <c r="O434" i="35"/>
  <c r="I434" i="35"/>
  <c r="BL433" i="35"/>
  <c r="BN433" i="35" s="1"/>
  <c r="BF433" i="35"/>
  <c r="O433" i="35"/>
  <c r="Q433" i="35" s="1"/>
  <c r="I433" i="35"/>
  <c r="BL432" i="35"/>
  <c r="BN432" i="35" s="1"/>
  <c r="BF432" i="35"/>
  <c r="O432" i="35"/>
  <c r="I432" i="35"/>
  <c r="BL431" i="35"/>
  <c r="BN431" i="35" s="1"/>
  <c r="BF431" i="35"/>
  <c r="O431" i="35"/>
  <c r="Q431" i="35" s="1"/>
  <c r="I431" i="35"/>
  <c r="BL430" i="35"/>
  <c r="BN430" i="35" s="1"/>
  <c r="BF430" i="35"/>
  <c r="N430" i="35"/>
  <c r="N225" i="35" s="1"/>
  <c r="I430" i="35"/>
  <c r="BL429" i="35"/>
  <c r="BN429" i="35" s="1"/>
  <c r="BF429" i="35"/>
  <c r="O429" i="35"/>
  <c r="Q429" i="35" s="1"/>
  <c r="I429" i="35"/>
  <c r="BL428" i="35"/>
  <c r="BN428" i="35" s="1"/>
  <c r="BF428" i="35"/>
  <c r="O428" i="35"/>
  <c r="Q428" i="35" s="1"/>
  <c r="I428" i="35"/>
  <c r="BL427" i="35"/>
  <c r="BN427" i="35" s="1"/>
  <c r="BF427" i="35"/>
  <c r="O427" i="35"/>
  <c r="Q427" i="35" s="1"/>
  <c r="I427" i="35"/>
  <c r="BL426" i="35"/>
  <c r="BN426" i="35" s="1"/>
  <c r="BF426" i="35"/>
  <c r="O426" i="35"/>
  <c r="Q426" i="35" s="1"/>
  <c r="I426" i="35"/>
  <c r="BL425" i="35"/>
  <c r="BN425" i="35" s="1"/>
  <c r="BF425" i="35"/>
  <c r="O425" i="35"/>
  <c r="Q425" i="35" s="1"/>
  <c r="I425" i="35"/>
  <c r="BL424" i="35"/>
  <c r="BN424" i="35" s="1"/>
  <c r="BF424" i="35"/>
  <c r="O424" i="35"/>
  <c r="Q424" i="35" s="1"/>
  <c r="I424" i="35"/>
  <c r="BL423" i="35"/>
  <c r="BN423" i="35" s="1"/>
  <c r="BF423" i="35"/>
  <c r="O423" i="35"/>
  <c r="Q423" i="35" s="1"/>
  <c r="I423" i="35"/>
  <c r="BL422" i="35"/>
  <c r="BN422" i="35" s="1"/>
  <c r="BF422" i="35"/>
  <c r="O422" i="35"/>
  <c r="Q422" i="35" s="1"/>
  <c r="I422" i="35"/>
  <c r="BL421" i="35"/>
  <c r="BN421" i="35" s="1"/>
  <c r="BF421" i="35"/>
  <c r="O421" i="35"/>
  <c r="Q421" i="35" s="1"/>
  <c r="I421" i="35"/>
  <c r="BL420" i="35"/>
  <c r="BN420" i="35" s="1"/>
  <c r="BF420" i="35"/>
  <c r="O420" i="35"/>
  <c r="Q420" i="35" s="1"/>
  <c r="I420" i="35"/>
  <c r="BL419" i="35"/>
  <c r="BN419" i="35" s="1"/>
  <c r="BF419" i="35"/>
  <c r="O419" i="35"/>
  <c r="Q419" i="35" s="1"/>
  <c r="I419" i="35"/>
  <c r="BL417" i="35"/>
  <c r="BN417" i="35" s="1"/>
  <c r="BF417" i="35"/>
  <c r="O417" i="35"/>
  <c r="Q417" i="35" s="1"/>
  <c r="I417" i="35"/>
  <c r="BL415" i="35"/>
  <c r="BN415" i="35" s="1"/>
  <c r="BF415" i="35"/>
  <c r="O415" i="35"/>
  <c r="Q415" i="35" s="1"/>
  <c r="I415" i="35"/>
  <c r="BL414" i="35"/>
  <c r="BN414" i="35" s="1"/>
  <c r="BF414" i="35"/>
  <c r="O414" i="35"/>
  <c r="Q414" i="35" s="1"/>
  <c r="I414" i="35"/>
  <c r="BL413" i="35"/>
  <c r="BF413" i="35"/>
  <c r="BC413" i="35"/>
  <c r="O413" i="35"/>
  <c r="Q413" i="35" s="1"/>
  <c r="I413" i="35"/>
  <c r="BL412" i="35"/>
  <c r="BN412" i="35" s="1"/>
  <c r="BF412" i="35"/>
  <c r="O412" i="35"/>
  <c r="Q412" i="35" s="1"/>
  <c r="I412" i="35"/>
  <c r="BL411" i="35"/>
  <c r="BN411" i="35" s="1"/>
  <c r="O411" i="35"/>
  <c r="Q411" i="35" s="1"/>
  <c r="I411" i="35"/>
  <c r="BL410" i="35"/>
  <c r="BN410" i="35" s="1"/>
  <c r="O410" i="35"/>
  <c r="Q410" i="35" s="1"/>
  <c r="I410" i="35"/>
  <c r="BL409" i="35"/>
  <c r="BN409" i="35" s="1"/>
  <c r="O409" i="35"/>
  <c r="Q409" i="35" s="1"/>
  <c r="I409" i="35"/>
  <c r="BL408" i="35"/>
  <c r="BN408" i="35" s="1"/>
  <c r="O408" i="35"/>
  <c r="Q408" i="35" s="1"/>
  <c r="I408" i="35"/>
  <c r="BL407" i="35"/>
  <c r="BN407" i="35" s="1"/>
  <c r="O407" i="35"/>
  <c r="Q407" i="35" s="1"/>
  <c r="I407" i="35"/>
  <c r="BL406" i="35"/>
  <c r="O406" i="35"/>
  <c r="Q406" i="35" s="1"/>
  <c r="R406" i="35" s="1"/>
  <c r="AE406" i="35" s="1"/>
  <c r="I406" i="35"/>
  <c r="BL405" i="35"/>
  <c r="BN405" i="35" s="1"/>
  <c r="BF405" i="35"/>
  <c r="O405" i="35"/>
  <c r="Q405" i="35" s="1"/>
  <c r="I405" i="35"/>
  <c r="BL404" i="35"/>
  <c r="BN404" i="35" s="1"/>
  <c r="BF404" i="35"/>
  <c r="O404" i="35"/>
  <c r="Q404" i="35" s="1"/>
  <c r="I404" i="35"/>
  <c r="BL403" i="35"/>
  <c r="BN403" i="35" s="1"/>
  <c r="CJ403" i="35" s="1"/>
  <c r="BF403" i="35"/>
  <c r="O403" i="35"/>
  <c r="BL402" i="35"/>
  <c r="BN402" i="35" s="1"/>
  <c r="BF402" i="35"/>
  <c r="O402" i="35"/>
  <c r="Q402" i="35" s="1"/>
  <c r="I402" i="35"/>
  <c r="BL401" i="35"/>
  <c r="BN401" i="35" s="1"/>
  <c r="BF401" i="35"/>
  <c r="O401" i="35"/>
  <c r="Q401" i="35" s="1"/>
  <c r="I401" i="35"/>
  <c r="BL400" i="35"/>
  <c r="BN400" i="35" s="1"/>
  <c r="BF400" i="35"/>
  <c r="O400" i="35"/>
  <c r="Q400" i="35" s="1"/>
  <c r="I400" i="35"/>
  <c r="BL399" i="35"/>
  <c r="BN399" i="35" s="1"/>
  <c r="BF399" i="35"/>
  <c r="O399" i="35"/>
  <c r="Q399" i="35" s="1"/>
  <c r="I399" i="35"/>
  <c r="BL398" i="35"/>
  <c r="BN398" i="35" s="1"/>
  <c r="BF398" i="35"/>
  <c r="O398" i="35"/>
  <c r="Q398" i="35" s="1"/>
  <c r="I398" i="35"/>
  <c r="BL397" i="35"/>
  <c r="BN397" i="35" s="1"/>
  <c r="BF397" i="35"/>
  <c r="BC397" i="35"/>
  <c r="O397" i="35"/>
  <c r="Q397" i="35" s="1"/>
  <c r="I397" i="35"/>
  <c r="BL396" i="35"/>
  <c r="BN396" i="35" s="1"/>
  <c r="BF396" i="35"/>
  <c r="O396" i="35"/>
  <c r="Q396" i="35" s="1"/>
  <c r="I396" i="35"/>
  <c r="BL380" i="35"/>
  <c r="BN380" i="35" s="1"/>
  <c r="BF380" i="35"/>
  <c r="O380" i="35"/>
  <c r="Q380" i="35" s="1"/>
  <c r="I380" i="35"/>
  <c r="BL379" i="35"/>
  <c r="BN379" i="35" s="1"/>
  <c r="BF379" i="35"/>
  <c r="O379" i="35"/>
  <c r="Q379" i="35" s="1"/>
  <c r="I379" i="35"/>
  <c r="BL389" i="35"/>
  <c r="BN389" i="35" s="1"/>
  <c r="BF389" i="35"/>
  <c r="O389" i="35"/>
  <c r="Q389" i="35" s="1"/>
  <c r="I389" i="35"/>
  <c r="BL395" i="35"/>
  <c r="BN395" i="35" s="1"/>
  <c r="BF395" i="35"/>
  <c r="O395" i="35"/>
  <c r="Q395" i="35" s="1"/>
  <c r="I395" i="35"/>
  <c r="BL394" i="35"/>
  <c r="BN394" i="35" s="1"/>
  <c r="BF394" i="35"/>
  <c r="O394" i="35"/>
  <c r="Q394" i="35" s="1"/>
  <c r="I394" i="35"/>
  <c r="BL393" i="35"/>
  <c r="BN393" i="35" s="1"/>
  <c r="BF393" i="35"/>
  <c r="O393" i="35"/>
  <c r="Q393" i="35" s="1"/>
  <c r="I393" i="35"/>
  <c r="BL388" i="35"/>
  <c r="BN388" i="35" s="1"/>
  <c r="BF388" i="35"/>
  <c r="O388" i="35"/>
  <c r="Q388" i="35" s="1"/>
  <c r="I388" i="35"/>
  <c r="BL387" i="35"/>
  <c r="BN387" i="35" s="1"/>
  <c r="BF387" i="35"/>
  <c r="O387" i="35"/>
  <c r="Q387" i="35" s="1"/>
  <c r="I387" i="35"/>
  <c r="BL392" i="35"/>
  <c r="BN392" i="35" s="1"/>
  <c r="BF392" i="35"/>
  <c r="O392" i="35"/>
  <c r="Q392" i="35" s="1"/>
  <c r="I392" i="35"/>
  <c r="BL391" i="35"/>
  <c r="BN391" i="35" s="1"/>
  <c r="BF391" i="35"/>
  <c r="O391" i="35"/>
  <c r="Q391" i="35" s="1"/>
  <c r="I391" i="35"/>
  <c r="BL390" i="35"/>
  <c r="BN390" i="35" s="1"/>
  <c r="BF390" i="35"/>
  <c r="O390" i="35"/>
  <c r="Q390" i="35" s="1"/>
  <c r="I390" i="35"/>
  <c r="BL386" i="35"/>
  <c r="BN386" i="35" s="1"/>
  <c r="BF386" i="35"/>
  <c r="O386" i="35"/>
  <c r="Q386" i="35" s="1"/>
  <c r="I386" i="35"/>
  <c r="BL384" i="35"/>
  <c r="BN384" i="35" s="1"/>
  <c r="BF384" i="35"/>
  <c r="O384" i="35"/>
  <c r="Q384" i="35" s="1"/>
  <c r="I384" i="35"/>
  <c r="BL385" i="35"/>
  <c r="BN385" i="35" s="1"/>
  <c r="BF385" i="35"/>
  <c r="O385" i="35"/>
  <c r="Q385" i="35" s="1"/>
  <c r="I385" i="35"/>
  <c r="BL383" i="35"/>
  <c r="BN383" i="35" s="1"/>
  <c r="BF383" i="35"/>
  <c r="O383" i="35"/>
  <c r="Q383" i="35" s="1"/>
  <c r="I383" i="35"/>
  <c r="BL382" i="35"/>
  <c r="BN382" i="35" s="1"/>
  <c r="BF382" i="35"/>
  <c r="O382" i="35"/>
  <c r="Q382" i="35" s="1"/>
  <c r="I382" i="35"/>
  <c r="BL381" i="35"/>
  <c r="BN381" i="35" s="1"/>
  <c r="BF381" i="35"/>
  <c r="O381" i="35"/>
  <c r="Q381" i="35" s="1"/>
  <c r="I381" i="35"/>
  <c r="BL378" i="35"/>
  <c r="BN378" i="35" s="1"/>
  <c r="BF378" i="35"/>
  <c r="O378" i="35"/>
  <c r="Q378" i="35" s="1"/>
  <c r="I378" i="35"/>
  <c r="BL377" i="35"/>
  <c r="BN377" i="35" s="1"/>
  <c r="BF377" i="35"/>
  <c r="BC377" i="35"/>
  <c r="O377" i="35"/>
  <c r="Q377" i="35" s="1"/>
  <c r="I377" i="35"/>
  <c r="BL376" i="35"/>
  <c r="BN376" i="35" s="1"/>
  <c r="BF376" i="35"/>
  <c r="O376" i="35"/>
  <c r="Q376" i="35" s="1"/>
  <c r="I376" i="35"/>
  <c r="BL375" i="35"/>
  <c r="BN375" i="35" s="1"/>
  <c r="BF375" i="35"/>
  <c r="O375" i="35"/>
  <c r="Q375" i="35" s="1"/>
  <c r="I375" i="35"/>
  <c r="BL374" i="35"/>
  <c r="BN374" i="35" s="1"/>
  <c r="BF374" i="35"/>
  <c r="O374" i="35"/>
  <c r="Q374" i="35" s="1"/>
  <c r="I374" i="35"/>
  <c r="BL373" i="35"/>
  <c r="BN373" i="35" s="1"/>
  <c r="BF373" i="35"/>
  <c r="O373" i="35"/>
  <c r="Q373" i="35" s="1"/>
  <c r="I373" i="35"/>
  <c r="BL372" i="35"/>
  <c r="BN372" i="35" s="1"/>
  <c r="BF372" i="35"/>
  <c r="O372" i="35"/>
  <c r="Q372" i="35" s="1"/>
  <c r="I372" i="35"/>
  <c r="BL370" i="35"/>
  <c r="BN370" i="35" s="1"/>
  <c r="BF370" i="35"/>
  <c r="O370" i="35"/>
  <c r="Q370" i="35" s="1"/>
  <c r="I370" i="35"/>
  <c r="BL369" i="35"/>
  <c r="BN369" i="35" s="1"/>
  <c r="BF369" i="35"/>
  <c r="O369" i="35"/>
  <c r="Q369" i="35" s="1"/>
  <c r="I369" i="35"/>
  <c r="BL368" i="35"/>
  <c r="BN368" i="35" s="1"/>
  <c r="BF368" i="35"/>
  <c r="O368" i="35"/>
  <c r="Q368" i="35" s="1"/>
  <c r="I368" i="35"/>
  <c r="BL367" i="35"/>
  <c r="BF367" i="35"/>
  <c r="BC367" i="35"/>
  <c r="O367" i="35"/>
  <c r="I367" i="35"/>
  <c r="BL366" i="35"/>
  <c r="BN366" i="35" s="1"/>
  <c r="BF366" i="35"/>
  <c r="O366" i="35"/>
  <c r="Q366" i="35" s="1"/>
  <c r="I366" i="35"/>
  <c r="BL365" i="35"/>
  <c r="BN365" i="35" s="1"/>
  <c r="BF365" i="35"/>
  <c r="O365" i="35"/>
  <c r="Q365" i="35" s="1"/>
  <c r="I365" i="35"/>
  <c r="BL364" i="35"/>
  <c r="BN364" i="35" s="1"/>
  <c r="BF364" i="35"/>
  <c r="O364" i="35"/>
  <c r="I364" i="35"/>
  <c r="BL363" i="35"/>
  <c r="BN363" i="35" s="1"/>
  <c r="BF363" i="35"/>
  <c r="O363" i="35"/>
  <c r="Q363" i="35" s="1"/>
  <c r="I363" i="35"/>
  <c r="BL362" i="35"/>
  <c r="BN362" i="35" s="1"/>
  <c r="BF362" i="35"/>
  <c r="O362" i="35"/>
  <c r="Q362" i="35" s="1"/>
  <c r="I362" i="35"/>
  <c r="BL361" i="35"/>
  <c r="BN361" i="35" s="1"/>
  <c r="BF361" i="35"/>
  <c r="O361" i="35"/>
  <c r="Q361" i="35" s="1"/>
  <c r="I361" i="35"/>
  <c r="BL360" i="35"/>
  <c r="BN360" i="35" s="1"/>
  <c r="BF360" i="35"/>
  <c r="O360" i="35"/>
  <c r="Q360" i="35" s="1"/>
  <c r="I360" i="35"/>
  <c r="BL359" i="35"/>
  <c r="BN359" i="35" s="1"/>
  <c r="BF359" i="35"/>
  <c r="O359" i="35"/>
  <c r="Q359" i="35" s="1"/>
  <c r="I359" i="35"/>
  <c r="BL358" i="35"/>
  <c r="BN358" i="35" s="1"/>
  <c r="BF358" i="35"/>
  <c r="O358" i="35"/>
  <c r="Q358" i="35" s="1"/>
  <c r="I358" i="35"/>
  <c r="BL357" i="35"/>
  <c r="BN357" i="35" s="1"/>
  <c r="BF357" i="35"/>
  <c r="O357" i="35"/>
  <c r="Q357" i="35" s="1"/>
  <c r="I357" i="35"/>
  <c r="BL356" i="35"/>
  <c r="BN356" i="35" s="1"/>
  <c r="BF356" i="35"/>
  <c r="O356" i="35"/>
  <c r="Q356" i="35" s="1"/>
  <c r="I356" i="35"/>
  <c r="BL355" i="35"/>
  <c r="BN355" i="35" s="1"/>
  <c r="BF355" i="35"/>
  <c r="O355" i="35"/>
  <c r="Q355" i="35" s="1"/>
  <c r="I355" i="35"/>
  <c r="BL354" i="35"/>
  <c r="BN354" i="35" s="1"/>
  <c r="BF354" i="35"/>
  <c r="O354" i="35"/>
  <c r="Q354" i="35" s="1"/>
  <c r="I354" i="35"/>
  <c r="BL353" i="35"/>
  <c r="BN353" i="35" s="1"/>
  <c r="BF353" i="35"/>
  <c r="O353" i="35"/>
  <c r="Q353" i="35" s="1"/>
  <c r="I353" i="35"/>
  <c r="BL352" i="35"/>
  <c r="BN352" i="35" s="1"/>
  <c r="BF352" i="35"/>
  <c r="O352" i="35"/>
  <c r="Q352" i="35" s="1"/>
  <c r="I352" i="35"/>
  <c r="BL351" i="35"/>
  <c r="BN351" i="35" s="1"/>
  <c r="BF351" i="35"/>
  <c r="O351" i="35"/>
  <c r="Q351" i="35" s="1"/>
  <c r="I351" i="35"/>
  <c r="BL350" i="35"/>
  <c r="BN350" i="35" s="1"/>
  <c r="BF350" i="35"/>
  <c r="O350" i="35"/>
  <c r="Q350" i="35" s="1"/>
  <c r="I350" i="35"/>
  <c r="BL349" i="35"/>
  <c r="BN349" i="35" s="1"/>
  <c r="BF349" i="35"/>
  <c r="O349" i="35"/>
  <c r="Q349" i="35" s="1"/>
  <c r="I349" i="35"/>
  <c r="BL348" i="35"/>
  <c r="BN348" i="35" s="1"/>
  <c r="BF348" i="35"/>
  <c r="O348" i="35"/>
  <c r="Q348" i="35" s="1"/>
  <c r="I348" i="35"/>
  <c r="BL347" i="35"/>
  <c r="BN347" i="35" s="1"/>
  <c r="BF347" i="35"/>
  <c r="O347" i="35"/>
  <c r="Q347" i="35" s="1"/>
  <c r="I347" i="35"/>
  <c r="BL346" i="35"/>
  <c r="BN346" i="35" s="1"/>
  <c r="BF346" i="35"/>
  <c r="O346" i="35"/>
  <c r="Q346" i="35" s="1"/>
  <c r="I346" i="35"/>
  <c r="BL345" i="35"/>
  <c r="BN345" i="35" s="1"/>
  <c r="BF345" i="35"/>
  <c r="O345" i="35"/>
  <c r="Q345" i="35" s="1"/>
  <c r="I345" i="35"/>
  <c r="BL344" i="35"/>
  <c r="BN344" i="35" s="1"/>
  <c r="BF344" i="35"/>
  <c r="BC344" i="35"/>
  <c r="O344" i="35"/>
  <c r="Q344" i="35" s="1"/>
  <c r="I344" i="35"/>
  <c r="BL343" i="35"/>
  <c r="BN343" i="35" s="1"/>
  <c r="BF343" i="35"/>
  <c r="O343" i="35"/>
  <c r="Q343" i="35" s="1"/>
  <c r="I343" i="35"/>
  <c r="BL342" i="35"/>
  <c r="BN342" i="35" s="1"/>
  <c r="BF342" i="35"/>
  <c r="O342" i="35"/>
  <c r="Q342" i="35" s="1"/>
  <c r="I342" i="35"/>
  <c r="BL341" i="35"/>
  <c r="BN341" i="35" s="1"/>
  <c r="BF341" i="35"/>
  <c r="O341" i="35"/>
  <c r="Q341" i="35" s="1"/>
  <c r="I341" i="35"/>
  <c r="BL340" i="35"/>
  <c r="BN340" i="35" s="1"/>
  <c r="BF340" i="35"/>
  <c r="O340" i="35"/>
  <c r="Q340" i="35" s="1"/>
  <c r="I340" i="35"/>
  <c r="BL339" i="35"/>
  <c r="BN339" i="35" s="1"/>
  <c r="BF339" i="35"/>
  <c r="O339" i="35"/>
  <c r="Q339" i="35" s="1"/>
  <c r="I339" i="35"/>
  <c r="BL338" i="35"/>
  <c r="BN338" i="35" s="1"/>
  <c r="BF338" i="35"/>
  <c r="O338" i="35"/>
  <c r="Q338" i="35" s="1"/>
  <c r="I338" i="35"/>
  <c r="BL337" i="35"/>
  <c r="BN337" i="35" s="1"/>
  <c r="BF337" i="35"/>
  <c r="O337" i="35"/>
  <c r="Q337" i="35" s="1"/>
  <c r="I337" i="35"/>
  <c r="BL336" i="35"/>
  <c r="BN336" i="35" s="1"/>
  <c r="BF336" i="35"/>
  <c r="O336" i="35"/>
  <c r="Q336" i="35" s="1"/>
  <c r="I336" i="35"/>
  <c r="BL335" i="35"/>
  <c r="BF335" i="35"/>
  <c r="O335" i="35"/>
  <c r="Q335" i="35" s="1"/>
  <c r="I335" i="35"/>
  <c r="BL334" i="35"/>
  <c r="BN334" i="35" s="1"/>
  <c r="BF334" i="35"/>
  <c r="O334" i="35"/>
  <c r="Q334" i="35" s="1"/>
  <c r="I334" i="35"/>
  <c r="BL333" i="35"/>
  <c r="BN333" i="35" s="1"/>
  <c r="BF333" i="35"/>
  <c r="O333" i="35"/>
  <c r="Q333" i="35" s="1"/>
  <c r="I333" i="35"/>
  <c r="BL332" i="35"/>
  <c r="BN332" i="35" s="1"/>
  <c r="BF332" i="35"/>
  <c r="O332" i="35"/>
  <c r="Q332" i="35" s="1"/>
  <c r="I332" i="35"/>
  <c r="BL331" i="35"/>
  <c r="BN331" i="35" s="1"/>
  <c r="BF331" i="35"/>
  <c r="BC331" i="35"/>
  <c r="O331" i="35"/>
  <c r="Q331" i="35" s="1"/>
  <c r="I331" i="35"/>
  <c r="BL330" i="35"/>
  <c r="BN330" i="35" s="1"/>
  <c r="BF330" i="35"/>
  <c r="O330" i="35"/>
  <c r="Q330" i="35" s="1"/>
  <c r="I330" i="35"/>
  <c r="BL329" i="35"/>
  <c r="BN329" i="35" s="1"/>
  <c r="BF329" i="35"/>
  <c r="O329" i="35"/>
  <c r="Q329" i="35" s="1"/>
  <c r="I329" i="35"/>
  <c r="BL328" i="35"/>
  <c r="BN328" i="35" s="1"/>
  <c r="BF328" i="35"/>
  <c r="O328" i="35"/>
  <c r="Q328" i="35" s="1"/>
  <c r="I328" i="35"/>
  <c r="BL327" i="35"/>
  <c r="BN327" i="35" s="1"/>
  <c r="BF327" i="35"/>
  <c r="O327" i="35"/>
  <c r="Q327" i="35" s="1"/>
  <c r="I327" i="35"/>
  <c r="BL326" i="35"/>
  <c r="BN326" i="35" s="1"/>
  <c r="BF326" i="35"/>
  <c r="O326" i="35"/>
  <c r="Q326" i="35" s="1"/>
  <c r="I326" i="35"/>
  <c r="BL325" i="35"/>
  <c r="BN325" i="35" s="1"/>
  <c r="BF325" i="35"/>
  <c r="O325" i="35"/>
  <c r="Q325" i="35" s="1"/>
  <c r="I325" i="35"/>
  <c r="BL324" i="35"/>
  <c r="BN324" i="35" s="1"/>
  <c r="BF324" i="35"/>
  <c r="O324" i="35"/>
  <c r="Q324" i="35" s="1"/>
  <c r="I324" i="35"/>
  <c r="BL323" i="35"/>
  <c r="BN323" i="35" s="1"/>
  <c r="BF323" i="35"/>
  <c r="O323" i="35"/>
  <c r="Q323" i="35" s="1"/>
  <c r="I323" i="35"/>
  <c r="BL322" i="35"/>
  <c r="BN322" i="35" s="1"/>
  <c r="BF322" i="35"/>
  <c r="O322" i="35"/>
  <c r="Q322" i="35" s="1"/>
  <c r="I322" i="35"/>
  <c r="BL321" i="35"/>
  <c r="BN321" i="35" s="1"/>
  <c r="BF321" i="35"/>
  <c r="O321" i="35"/>
  <c r="Q321" i="35" s="1"/>
  <c r="I321" i="35"/>
  <c r="BL320" i="35"/>
  <c r="BN320" i="35" s="1"/>
  <c r="BF320" i="35"/>
  <c r="O320" i="35"/>
  <c r="Q320" i="35" s="1"/>
  <c r="I320" i="35"/>
  <c r="BL319" i="35"/>
  <c r="BN319" i="35" s="1"/>
  <c r="BF319" i="35"/>
  <c r="O319" i="35"/>
  <c r="Q319" i="35" s="1"/>
  <c r="I319" i="35"/>
  <c r="BL318" i="35"/>
  <c r="BN318" i="35" s="1"/>
  <c r="BF318" i="35"/>
  <c r="O318" i="35"/>
  <c r="Q318" i="35" s="1"/>
  <c r="I318" i="35"/>
  <c r="BL317" i="35"/>
  <c r="BN317" i="35" s="1"/>
  <c r="BF317" i="35"/>
  <c r="O317" i="35"/>
  <c r="Q317" i="35" s="1"/>
  <c r="I317" i="35"/>
  <c r="BL316" i="35"/>
  <c r="BN316" i="35" s="1"/>
  <c r="BF316" i="35"/>
  <c r="O316" i="35"/>
  <c r="Q316" i="35" s="1"/>
  <c r="I316" i="35"/>
  <c r="BL315" i="35"/>
  <c r="BN315" i="35" s="1"/>
  <c r="BF315" i="35"/>
  <c r="O315" i="35"/>
  <c r="Q315" i="35" s="1"/>
  <c r="I315" i="35"/>
  <c r="BL314" i="35"/>
  <c r="BN314" i="35" s="1"/>
  <c r="BF314" i="35"/>
  <c r="O314" i="35"/>
  <c r="Q314" i="35" s="1"/>
  <c r="I314" i="35"/>
  <c r="BL313" i="35"/>
  <c r="BN313" i="35" s="1"/>
  <c r="BF313" i="35"/>
  <c r="O313" i="35"/>
  <c r="Q313" i="35" s="1"/>
  <c r="I313" i="35"/>
  <c r="BL312" i="35"/>
  <c r="BN312" i="35" s="1"/>
  <c r="BF312" i="35"/>
  <c r="O312" i="35"/>
  <c r="Q312" i="35" s="1"/>
  <c r="I312" i="35"/>
  <c r="BL311" i="35"/>
  <c r="BN311" i="35" s="1"/>
  <c r="BF311" i="35"/>
  <c r="O311" i="35"/>
  <c r="Q311" i="35" s="1"/>
  <c r="I311" i="35"/>
  <c r="BL310" i="35"/>
  <c r="BN310" i="35" s="1"/>
  <c r="BF310" i="35"/>
  <c r="O310" i="35"/>
  <c r="Q310" i="35" s="1"/>
  <c r="I310" i="35"/>
  <c r="BL309" i="35"/>
  <c r="BN309" i="35" s="1"/>
  <c r="BF309" i="35"/>
  <c r="O309" i="35"/>
  <c r="Q309" i="35" s="1"/>
  <c r="I309" i="35"/>
  <c r="BL308" i="35"/>
  <c r="BN308" i="35" s="1"/>
  <c r="BF308" i="35"/>
  <c r="O308" i="35"/>
  <c r="Q308" i="35" s="1"/>
  <c r="I308" i="35"/>
  <c r="BL307" i="35"/>
  <c r="BN307" i="35" s="1"/>
  <c r="BF307" i="35"/>
  <c r="O307" i="35"/>
  <c r="Q307" i="35" s="1"/>
  <c r="I307" i="35"/>
  <c r="BL306" i="35"/>
  <c r="BN306" i="35" s="1"/>
  <c r="BF306" i="35"/>
  <c r="BC306" i="35"/>
  <c r="O306" i="35"/>
  <c r="Q306" i="35" s="1"/>
  <c r="I306" i="35"/>
  <c r="BL305" i="35"/>
  <c r="BN305" i="35" s="1"/>
  <c r="BF305" i="35"/>
  <c r="O305" i="35"/>
  <c r="Q305" i="35" s="1"/>
  <c r="I305" i="35"/>
  <c r="BL304" i="35"/>
  <c r="BN304" i="35" s="1"/>
  <c r="BF304" i="35"/>
  <c r="O304" i="35"/>
  <c r="Q304" i="35" s="1"/>
  <c r="I304" i="35"/>
  <c r="BL303" i="35"/>
  <c r="BN303" i="35" s="1"/>
  <c r="BF303" i="35"/>
  <c r="O303" i="35"/>
  <c r="Q303" i="35" s="1"/>
  <c r="I303" i="35"/>
  <c r="BL302" i="35"/>
  <c r="BN302" i="35" s="1"/>
  <c r="BF302" i="35"/>
  <c r="O302" i="35"/>
  <c r="Q302" i="35" s="1"/>
  <c r="I302" i="35"/>
  <c r="BL301" i="35"/>
  <c r="BN301" i="35" s="1"/>
  <c r="BF301" i="35"/>
  <c r="O301" i="35"/>
  <c r="Q301" i="35" s="1"/>
  <c r="I301" i="35"/>
  <c r="BL300" i="35"/>
  <c r="BN300" i="35" s="1"/>
  <c r="BF300" i="35"/>
  <c r="O300" i="35"/>
  <c r="Q300" i="35" s="1"/>
  <c r="I300" i="35"/>
  <c r="BL299" i="35"/>
  <c r="BN299" i="35" s="1"/>
  <c r="BF299" i="35"/>
  <c r="O299" i="35"/>
  <c r="Q299" i="35" s="1"/>
  <c r="I299" i="35"/>
  <c r="BL298" i="35"/>
  <c r="BN298" i="35" s="1"/>
  <c r="BF298" i="35"/>
  <c r="O298" i="35"/>
  <c r="Q298" i="35" s="1"/>
  <c r="I298" i="35"/>
  <c r="BL297" i="35"/>
  <c r="BN297" i="35" s="1"/>
  <c r="BF297" i="35"/>
  <c r="O297" i="35"/>
  <c r="Q297" i="35" s="1"/>
  <c r="I297" i="35"/>
  <c r="BL296" i="35"/>
  <c r="BN296" i="35" s="1"/>
  <c r="BF296" i="35"/>
  <c r="O296" i="35"/>
  <c r="Q296" i="35" s="1"/>
  <c r="I296" i="35"/>
  <c r="BL295" i="35"/>
  <c r="BN295" i="35" s="1"/>
  <c r="BF295" i="35"/>
  <c r="O295" i="35"/>
  <c r="Q295" i="35" s="1"/>
  <c r="I295" i="35"/>
  <c r="BL294" i="35"/>
  <c r="BN294" i="35" s="1"/>
  <c r="BF294" i="35"/>
  <c r="O294" i="35"/>
  <c r="Q294" i="35" s="1"/>
  <c r="I294" i="35"/>
  <c r="BL293" i="35"/>
  <c r="BN293" i="35" s="1"/>
  <c r="BF293" i="35"/>
  <c r="O293" i="35"/>
  <c r="Q293" i="35" s="1"/>
  <c r="I293" i="35"/>
  <c r="BL292" i="35"/>
  <c r="BN292" i="35" s="1"/>
  <c r="BF292" i="35"/>
  <c r="O292" i="35"/>
  <c r="Q292" i="35" s="1"/>
  <c r="I292" i="35"/>
  <c r="BL291" i="35"/>
  <c r="BN291" i="35" s="1"/>
  <c r="BF291" i="35"/>
  <c r="O291" i="35"/>
  <c r="Q291" i="35" s="1"/>
  <c r="I291" i="35"/>
  <c r="BL290" i="35"/>
  <c r="BN290" i="35" s="1"/>
  <c r="BF290" i="35"/>
  <c r="O290" i="35"/>
  <c r="Q290" i="35" s="1"/>
  <c r="I290" i="35"/>
  <c r="BL289" i="35"/>
  <c r="BN289" i="35" s="1"/>
  <c r="BF289" i="35"/>
  <c r="O289" i="35"/>
  <c r="Q289" i="35" s="1"/>
  <c r="I289" i="35"/>
  <c r="BL288" i="35"/>
  <c r="BN288" i="35" s="1"/>
  <c r="BF288" i="35"/>
  <c r="O288" i="35"/>
  <c r="Q288" i="35" s="1"/>
  <c r="I288" i="35"/>
  <c r="BL287" i="35"/>
  <c r="BN287" i="35" s="1"/>
  <c r="BF287" i="35"/>
  <c r="O287" i="35"/>
  <c r="Q287" i="35" s="1"/>
  <c r="I287" i="35"/>
  <c r="BL286" i="35"/>
  <c r="BN286" i="35" s="1"/>
  <c r="BF286" i="35"/>
  <c r="O286" i="35"/>
  <c r="Q286" i="35" s="1"/>
  <c r="I286" i="35"/>
  <c r="BL285" i="35"/>
  <c r="BN285" i="35" s="1"/>
  <c r="BF285" i="35"/>
  <c r="O285" i="35"/>
  <c r="Q285" i="35" s="1"/>
  <c r="I285" i="35"/>
  <c r="BL284" i="35"/>
  <c r="BF284" i="35"/>
  <c r="BC284" i="35"/>
  <c r="O284" i="35"/>
  <c r="I284" i="35"/>
  <c r="BL283" i="35"/>
  <c r="BN283" i="35" s="1"/>
  <c r="BF283" i="35"/>
  <c r="O283" i="35"/>
  <c r="Q283" i="35" s="1"/>
  <c r="I283" i="35"/>
  <c r="BL282" i="35"/>
  <c r="BN282" i="35" s="1"/>
  <c r="BF282" i="35"/>
  <c r="O282" i="35"/>
  <c r="Q282" i="35" s="1"/>
  <c r="I282" i="35"/>
  <c r="BL281" i="35"/>
  <c r="BF281" i="35"/>
  <c r="O281" i="35"/>
  <c r="Q281" i="35" s="1"/>
  <c r="I281" i="35"/>
  <c r="BL280" i="35"/>
  <c r="BF280" i="35"/>
  <c r="O280" i="35"/>
  <c r="Q280" i="35" s="1"/>
  <c r="I280" i="35"/>
  <c r="BL279" i="35"/>
  <c r="BN279" i="35" s="1"/>
  <c r="BF279" i="35"/>
  <c r="O279" i="35"/>
  <c r="Q279" i="35" s="1"/>
  <c r="I279" i="35"/>
  <c r="BL278" i="35"/>
  <c r="BN278" i="35" s="1"/>
  <c r="BF278" i="35"/>
  <c r="O278" i="35"/>
  <c r="Q278" i="35" s="1"/>
  <c r="I278" i="35"/>
  <c r="BL277" i="35"/>
  <c r="BN277" i="35" s="1"/>
  <c r="BF277" i="35"/>
  <c r="O277" i="35"/>
  <c r="Q277" i="35" s="1"/>
  <c r="I277" i="35"/>
  <c r="BL276" i="35"/>
  <c r="BN276" i="35" s="1"/>
  <c r="BF276" i="35"/>
  <c r="O276" i="35"/>
  <c r="Q276" i="35" s="1"/>
  <c r="I276" i="35"/>
  <c r="BL275" i="35"/>
  <c r="BN275" i="35" s="1"/>
  <c r="O275" i="35"/>
  <c r="Q275" i="35" s="1"/>
  <c r="I275" i="35"/>
  <c r="BL274" i="35"/>
  <c r="BN274" i="35" s="1"/>
  <c r="BF274" i="35"/>
  <c r="O274" i="35"/>
  <c r="Q274" i="35" s="1"/>
  <c r="I274" i="35"/>
  <c r="BL273" i="35"/>
  <c r="BN273" i="35" s="1"/>
  <c r="BF273" i="35"/>
  <c r="O273" i="35"/>
  <c r="Q273" i="35" s="1"/>
  <c r="I273" i="35"/>
  <c r="BL272" i="35"/>
  <c r="BN272" i="35" s="1"/>
  <c r="BF272" i="35"/>
  <c r="O272" i="35"/>
  <c r="Q272" i="35" s="1"/>
  <c r="I272" i="35"/>
  <c r="BL271" i="35"/>
  <c r="BN271" i="35" s="1"/>
  <c r="BF271" i="35"/>
  <c r="O271" i="35"/>
  <c r="Q271" i="35" s="1"/>
  <c r="I271" i="35"/>
  <c r="BL270" i="35"/>
  <c r="BN270" i="35" s="1"/>
  <c r="BF270" i="35"/>
  <c r="O270" i="35"/>
  <c r="Q270" i="35" s="1"/>
  <c r="I270" i="35"/>
  <c r="BL269" i="35"/>
  <c r="BN269" i="35" s="1"/>
  <c r="BF269" i="35"/>
  <c r="O269" i="35"/>
  <c r="Q269" i="35" s="1"/>
  <c r="I269" i="35"/>
  <c r="BL268" i="35"/>
  <c r="BN268" i="35" s="1"/>
  <c r="BF268" i="35"/>
  <c r="O268" i="35"/>
  <c r="Q268" i="35" s="1"/>
  <c r="I268" i="35"/>
  <c r="BL267" i="35"/>
  <c r="BN267" i="35" s="1"/>
  <c r="BF267" i="35"/>
  <c r="O267" i="35"/>
  <c r="Q267" i="35" s="1"/>
  <c r="I267" i="35"/>
  <c r="BL266" i="35"/>
  <c r="BN266" i="35" s="1"/>
  <c r="BF266" i="35"/>
  <c r="O266" i="35"/>
  <c r="Q266" i="35" s="1"/>
  <c r="I266" i="35"/>
  <c r="BL265" i="35"/>
  <c r="BN265" i="35" s="1"/>
  <c r="BF265" i="35"/>
  <c r="O265" i="35"/>
  <c r="Q265" i="35" s="1"/>
  <c r="I265" i="35"/>
  <c r="BL264" i="35"/>
  <c r="BN264" i="35" s="1"/>
  <c r="BF264" i="35"/>
  <c r="O264" i="35"/>
  <c r="Q264" i="35" s="1"/>
  <c r="I264" i="35"/>
  <c r="BL263" i="35"/>
  <c r="BN263" i="35" s="1"/>
  <c r="O263" i="35"/>
  <c r="Q263" i="35" s="1"/>
  <c r="I263" i="35"/>
  <c r="BL262" i="35"/>
  <c r="BN262" i="35" s="1"/>
  <c r="BF262" i="35"/>
  <c r="O262" i="35"/>
  <c r="I262" i="35"/>
  <c r="BL261" i="35"/>
  <c r="BN261" i="35" s="1"/>
  <c r="BF261" i="35"/>
  <c r="O261" i="35"/>
  <c r="Q261" i="35" s="1"/>
  <c r="I261" i="35"/>
  <c r="BL260" i="35"/>
  <c r="BN260" i="35" s="1"/>
  <c r="BF260" i="35"/>
  <c r="BC260" i="35"/>
  <c r="O260" i="35"/>
  <c r="Q260" i="35" s="1"/>
  <c r="I260" i="35"/>
  <c r="BL259" i="35"/>
  <c r="BN259" i="35" s="1"/>
  <c r="CJ259" i="35" s="1"/>
  <c r="BF259" i="35"/>
  <c r="O259" i="35"/>
  <c r="Q259" i="35" s="1"/>
  <c r="I259" i="35"/>
  <c r="BL258" i="35"/>
  <c r="BN258" i="35" s="1"/>
  <c r="CJ258" i="35" s="1"/>
  <c r="BF258" i="35"/>
  <c r="O258" i="35"/>
  <c r="Q258" i="35" s="1"/>
  <c r="I258" i="35"/>
  <c r="BL257" i="35"/>
  <c r="BN257" i="35" s="1"/>
  <c r="CJ257" i="35" s="1"/>
  <c r="BF257" i="35"/>
  <c r="O257" i="35"/>
  <c r="Q257" i="35" s="1"/>
  <c r="I257" i="35"/>
  <c r="BL256" i="35"/>
  <c r="BN256" i="35" s="1"/>
  <c r="CJ256" i="35" s="1"/>
  <c r="BF256" i="35"/>
  <c r="O256" i="35"/>
  <c r="Q256" i="35" s="1"/>
  <c r="I256" i="35"/>
  <c r="BL255" i="35"/>
  <c r="BN255" i="35" s="1"/>
  <c r="CJ255" i="35" s="1"/>
  <c r="BF255" i="35"/>
  <c r="O255" i="35"/>
  <c r="Q255" i="35" s="1"/>
  <c r="I255" i="35"/>
  <c r="BL254" i="35"/>
  <c r="BN254" i="35" s="1"/>
  <c r="BF254" i="35"/>
  <c r="O254" i="35"/>
  <c r="Q254" i="35" s="1"/>
  <c r="I254" i="35"/>
  <c r="BL253" i="35"/>
  <c r="BN253" i="35" s="1"/>
  <c r="CJ253" i="35" s="1"/>
  <c r="BF253" i="35"/>
  <c r="O253" i="35"/>
  <c r="Q253" i="35" s="1"/>
  <c r="I253" i="35"/>
  <c r="BL252" i="35"/>
  <c r="BN252" i="35" s="1"/>
  <c r="BF252" i="35"/>
  <c r="O252" i="35"/>
  <c r="Q252" i="35" s="1"/>
  <c r="I252" i="35"/>
  <c r="BL251" i="35"/>
  <c r="BN251" i="35" s="1"/>
  <c r="O251" i="35"/>
  <c r="Q251" i="35" s="1"/>
  <c r="I251" i="35"/>
  <c r="BL250" i="35"/>
  <c r="BF250" i="35"/>
  <c r="BC250" i="35"/>
  <c r="O250" i="35"/>
  <c r="I250" i="35"/>
  <c r="BL247" i="35"/>
  <c r="BN247" i="35" s="1"/>
  <c r="BF247" i="35"/>
  <c r="O247" i="35"/>
  <c r="Q247" i="35" s="1"/>
  <c r="I247" i="35"/>
  <c r="BL246" i="35"/>
  <c r="BN246" i="35" s="1"/>
  <c r="BF246" i="35"/>
  <c r="O246" i="35"/>
  <c r="Q246" i="35" s="1"/>
  <c r="I246" i="35"/>
  <c r="BL245" i="35"/>
  <c r="BN245" i="35" s="1"/>
  <c r="BF245" i="35"/>
  <c r="O245" i="35"/>
  <c r="Q245" i="35" s="1"/>
  <c r="I245" i="35"/>
  <c r="BL244" i="35"/>
  <c r="BN244" i="35" s="1"/>
  <c r="BF244" i="35"/>
  <c r="O244" i="35"/>
  <c r="Q244" i="35" s="1"/>
  <c r="I244" i="35"/>
  <c r="BL243" i="35"/>
  <c r="BN243" i="35" s="1"/>
  <c r="BF243" i="35"/>
  <c r="O243" i="35"/>
  <c r="Q243" i="35" s="1"/>
  <c r="I243" i="35"/>
  <c r="BL242" i="35"/>
  <c r="BN242" i="35" s="1"/>
  <c r="BF242" i="35"/>
  <c r="O242" i="35"/>
  <c r="Q242" i="35" s="1"/>
  <c r="I242" i="35"/>
  <c r="BL241" i="35"/>
  <c r="BN241" i="35" s="1"/>
  <c r="BF241" i="35"/>
  <c r="O241" i="35"/>
  <c r="Q241" i="35" s="1"/>
  <c r="I241" i="35"/>
  <c r="BL240" i="35"/>
  <c r="BN240" i="35" s="1"/>
  <c r="BF240" i="35"/>
  <c r="O240" i="35"/>
  <c r="Q240" i="35" s="1"/>
  <c r="I240" i="35"/>
  <c r="BL239" i="35"/>
  <c r="BN239" i="35" s="1"/>
  <c r="BF239" i="35"/>
  <c r="O239" i="35"/>
  <c r="Q239" i="35" s="1"/>
  <c r="I239" i="35"/>
  <c r="BL238" i="35"/>
  <c r="BN238" i="35" s="1"/>
  <c r="BF238" i="35"/>
  <c r="O238" i="35"/>
  <c r="Q238" i="35" s="1"/>
  <c r="I238" i="35"/>
  <c r="BL237" i="35"/>
  <c r="BN237" i="35" s="1"/>
  <c r="BF237" i="35"/>
  <c r="O237" i="35"/>
  <c r="Q237" i="35" s="1"/>
  <c r="I237" i="35"/>
  <c r="BL236" i="35"/>
  <c r="BN236" i="35" s="1"/>
  <c r="BF236" i="35"/>
  <c r="O236" i="35"/>
  <c r="Q236" i="35" s="1"/>
  <c r="I236" i="35"/>
  <c r="BL235" i="35"/>
  <c r="BN235" i="35" s="1"/>
  <c r="BF235" i="35"/>
  <c r="O235" i="35"/>
  <c r="Q235" i="35" s="1"/>
  <c r="I235" i="35"/>
  <c r="BL234" i="35"/>
  <c r="BN234" i="35" s="1"/>
  <c r="BF234" i="35"/>
  <c r="O234" i="35"/>
  <c r="Q234" i="35" s="1"/>
  <c r="I234" i="35"/>
  <c r="BL233" i="35"/>
  <c r="BN233" i="35" s="1"/>
  <c r="BF233" i="35"/>
  <c r="O233" i="35"/>
  <c r="Q233" i="35" s="1"/>
  <c r="I233" i="35"/>
  <c r="BL232" i="35"/>
  <c r="BN232" i="35" s="1"/>
  <c r="BF232" i="35"/>
  <c r="O232" i="35"/>
  <c r="Q232" i="35" s="1"/>
  <c r="I232" i="35"/>
  <c r="BL231" i="35"/>
  <c r="BN231" i="35" s="1"/>
  <c r="BF231" i="35"/>
  <c r="O231" i="35"/>
  <c r="Q231" i="35" s="1"/>
  <c r="I231" i="35"/>
  <c r="BL230" i="35"/>
  <c r="BN230" i="35" s="1"/>
  <c r="BF230" i="35"/>
  <c r="O230" i="35"/>
  <c r="Q230" i="35" s="1"/>
  <c r="I230" i="35"/>
  <c r="BL228" i="35"/>
  <c r="BN228" i="35" s="1"/>
  <c r="BF228" i="35"/>
  <c r="O228" i="35"/>
  <c r="Q228" i="35" s="1"/>
  <c r="I228" i="35"/>
  <c r="BL227" i="35"/>
  <c r="BF227" i="35"/>
  <c r="BC227" i="35"/>
  <c r="O227" i="35"/>
  <c r="I227" i="35"/>
  <c r="BL226" i="35"/>
  <c r="BN226" i="35" s="1"/>
  <c r="BF226" i="35"/>
  <c r="Q226" i="35"/>
  <c r="I226" i="35"/>
  <c r="BL224" i="35"/>
  <c r="BN224" i="35" s="1"/>
  <c r="BF224" i="35"/>
  <c r="Q224" i="35"/>
  <c r="I224" i="35"/>
  <c r="BL223" i="35"/>
  <c r="BN223" i="35" s="1"/>
  <c r="BF223" i="35"/>
  <c r="O223" i="35"/>
  <c r="Q223" i="35" s="1"/>
  <c r="I223" i="35"/>
  <c r="BL222" i="35"/>
  <c r="BN222" i="35" s="1"/>
  <c r="BF222" i="35"/>
  <c r="O222" i="35"/>
  <c r="Q222" i="35" s="1"/>
  <c r="I222" i="35"/>
  <c r="BL221" i="35"/>
  <c r="BN221" i="35" s="1"/>
  <c r="BF221" i="35"/>
  <c r="O221" i="35"/>
  <c r="Q221" i="35" s="1"/>
  <c r="I221" i="35"/>
  <c r="BL220" i="35"/>
  <c r="BN220" i="35" s="1"/>
  <c r="BF220" i="35"/>
  <c r="O220" i="35"/>
  <c r="Q220" i="35" s="1"/>
  <c r="I220" i="35"/>
  <c r="BL219" i="35"/>
  <c r="BN219" i="35" s="1"/>
  <c r="BF219" i="35"/>
  <c r="O219" i="35"/>
  <c r="Q219" i="35" s="1"/>
  <c r="I219" i="35"/>
  <c r="BL218" i="35"/>
  <c r="BN218" i="35" s="1"/>
  <c r="BF218" i="35"/>
  <c r="O218" i="35"/>
  <c r="Q218" i="35" s="1"/>
  <c r="I218" i="35"/>
  <c r="BL217" i="35"/>
  <c r="BN217" i="35" s="1"/>
  <c r="BF217" i="35"/>
  <c r="O217" i="35"/>
  <c r="Q217" i="35" s="1"/>
  <c r="I217" i="35"/>
  <c r="BL216" i="35"/>
  <c r="BN216" i="35" s="1"/>
  <c r="BF216" i="35"/>
  <c r="O216" i="35"/>
  <c r="Q216" i="35" s="1"/>
  <c r="I216" i="35"/>
  <c r="BL215" i="35"/>
  <c r="BN215" i="35" s="1"/>
  <c r="BF215" i="35"/>
  <c r="O215" i="35"/>
  <c r="Q215" i="35" s="1"/>
  <c r="I215" i="35"/>
  <c r="BL214" i="35"/>
  <c r="BN214" i="35" s="1"/>
  <c r="BF214" i="35"/>
  <c r="O214" i="35"/>
  <c r="Q214" i="35" s="1"/>
  <c r="I214" i="35"/>
  <c r="BL213" i="35"/>
  <c r="BN213" i="35" s="1"/>
  <c r="BF213" i="35"/>
  <c r="O213" i="35"/>
  <c r="Q213" i="35" s="1"/>
  <c r="I213" i="35"/>
  <c r="BL212" i="35"/>
  <c r="BN212" i="35" s="1"/>
  <c r="BF212" i="35"/>
  <c r="O212" i="35"/>
  <c r="Q212" i="35" s="1"/>
  <c r="I212" i="35"/>
  <c r="BL211" i="35"/>
  <c r="BN211" i="35" s="1"/>
  <c r="BF211" i="35"/>
  <c r="O211" i="35"/>
  <c r="Q211" i="35" s="1"/>
  <c r="I211" i="35"/>
  <c r="BL210" i="35"/>
  <c r="BN210" i="35" s="1"/>
  <c r="BF210" i="35"/>
  <c r="O210" i="35"/>
  <c r="Q210" i="35" s="1"/>
  <c r="I210" i="35"/>
  <c r="BL209" i="35"/>
  <c r="BN209" i="35" s="1"/>
  <c r="BF209" i="35"/>
  <c r="O209" i="35"/>
  <c r="Q209" i="35" s="1"/>
  <c r="I209" i="35"/>
  <c r="BL208" i="35"/>
  <c r="BN208" i="35" s="1"/>
  <c r="BF208" i="35"/>
  <c r="O208" i="35"/>
  <c r="Q208" i="35" s="1"/>
  <c r="I208" i="35"/>
  <c r="BL207" i="35"/>
  <c r="BN207" i="35" s="1"/>
  <c r="BF207" i="35"/>
  <c r="O207" i="35"/>
  <c r="Q207" i="35" s="1"/>
  <c r="I207" i="35"/>
  <c r="BL206" i="35"/>
  <c r="BN206" i="35" s="1"/>
  <c r="BF206" i="35"/>
  <c r="O206" i="35"/>
  <c r="Q206" i="35" s="1"/>
  <c r="I206" i="35"/>
  <c r="BL205" i="35"/>
  <c r="BN205" i="35" s="1"/>
  <c r="BF205" i="35"/>
  <c r="O205" i="35"/>
  <c r="Q205" i="35" s="1"/>
  <c r="I205" i="35"/>
  <c r="BL204" i="35"/>
  <c r="BN204" i="35" s="1"/>
  <c r="BF204" i="35"/>
  <c r="O204" i="35"/>
  <c r="Q204" i="35" s="1"/>
  <c r="I204" i="35"/>
  <c r="BL203" i="35"/>
  <c r="BN203" i="35" s="1"/>
  <c r="BF203" i="35"/>
  <c r="O203" i="35"/>
  <c r="Q203" i="35" s="1"/>
  <c r="I203" i="35"/>
  <c r="BL202" i="35"/>
  <c r="BN202" i="35" s="1"/>
  <c r="BF202" i="35"/>
  <c r="O202" i="35"/>
  <c r="Q202" i="35" s="1"/>
  <c r="I202" i="35"/>
  <c r="BL201" i="35"/>
  <c r="BN201" i="35" s="1"/>
  <c r="BF201" i="35"/>
  <c r="O201" i="35"/>
  <c r="Q201" i="35" s="1"/>
  <c r="I201" i="35"/>
  <c r="BL200" i="35"/>
  <c r="BN200" i="35" s="1"/>
  <c r="BF200" i="35"/>
  <c r="O200" i="35"/>
  <c r="Q200" i="35" s="1"/>
  <c r="I200" i="35"/>
  <c r="BL199" i="35"/>
  <c r="BN199" i="35" s="1"/>
  <c r="BF199" i="35"/>
  <c r="O199" i="35"/>
  <c r="Q199" i="35" s="1"/>
  <c r="I199" i="35"/>
  <c r="BL198" i="35"/>
  <c r="BN198" i="35" s="1"/>
  <c r="BF198" i="35"/>
  <c r="O198" i="35"/>
  <c r="Q198" i="35" s="1"/>
  <c r="I198" i="35"/>
  <c r="BL197" i="35"/>
  <c r="BN197" i="35" s="1"/>
  <c r="BF197" i="35"/>
  <c r="O197" i="35"/>
  <c r="Q197" i="35" s="1"/>
  <c r="I197" i="35"/>
  <c r="BL196" i="35"/>
  <c r="BN196" i="35" s="1"/>
  <c r="BF196" i="35"/>
  <c r="O196" i="35"/>
  <c r="Q196" i="35" s="1"/>
  <c r="I196" i="35"/>
  <c r="BL195" i="35"/>
  <c r="BN195" i="35" s="1"/>
  <c r="BF195" i="35"/>
  <c r="O195" i="35"/>
  <c r="Q195" i="35" s="1"/>
  <c r="I195" i="35"/>
  <c r="BL194" i="35"/>
  <c r="BN194" i="35" s="1"/>
  <c r="BF194" i="35"/>
  <c r="O194" i="35"/>
  <c r="Q194" i="35" s="1"/>
  <c r="I194" i="35"/>
  <c r="BL193" i="35"/>
  <c r="BN193" i="35" s="1"/>
  <c r="BF193" i="35"/>
  <c r="O193" i="35"/>
  <c r="Q193" i="35" s="1"/>
  <c r="I193" i="35"/>
  <c r="BL192" i="35"/>
  <c r="BN192" i="35" s="1"/>
  <c r="BF192" i="35"/>
  <c r="O192" i="35"/>
  <c r="Q192" i="35" s="1"/>
  <c r="I192" i="35"/>
  <c r="BL191" i="35"/>
  <c r="BN191" i="35" s="1"/>
  <c r="BF191" i="35"/>
  <c r="O191" i="35"/>
  <c r="Q191" i="35" s="1"/>
  <c r="I191" i="35"/>
  <c r="BL190" i="35"/>
  <c r="BN190" i="35" s="1"/>
  <c r="BF190" i="35"/>
  <c r="O190" i="35"/>
  <c r="Q190" i="35" s="1"/>
  <c r="I190" i="35"/>
  <c r="BL189" i="35"/>
  <c r="BN189" i="35" s="1"/>
  <c r="BF189" i="35"/>
  <c r="O189" i="35"/>
  <c r="Q189" i="35" s="1"/>
  <c r="I189" i="35"/>
  <c r="BL188" i="35"/>
  <c r="BN188" i="35" s="1"/>
  <c r="BF188" i="35"/>
  <c r="O188" i="35"/>
  <c r="Q188" i="35" s="1"/>
  <c r="I188" i="35"/>
  <c r="BL187" i="35"/>
  <c r="BN187" i="35" s="1"/>
  <c r="BF187" i="35"/>
  <c r="O187" i="35"/>
  <c r="Q187" i="35" s="1"/>
  <c r="I187" i="35"/>
  <c r="BL186" i="35"/>
  <c r="BN186" i="35" s="1"/>
  <c r="BF186" i="35"/>
  <c r="O186" i="35"/>
  <c r="Q186" i="35" s="1"/>
  <c r="I186" i="35"/>
  <c r="BL185" i="35"/>
  <c r="BF185" i="35"/>
  <c r="BC185" i="35"/>
  <c r="O185" i="35"/>
  <c r="I185" i="35"/>
  <c r="BL184" i="35"/>
  <c r="BN184" i="35" s="1"/>
  <c r="BF184" i="35"/>
  <c r="O184" i="35"/>
  <c r="Q184" i="35" s="1"/>
  <c r="I184" i="35"/>
  <c r="BL183" i="35"/>
  <c r="BN183" i="35" s="1"/>
  <c r="BF183" i="35"/>
  <c r="N183" i="35"/>
  <c r="O183" i="35" s="1"/>
  <c r="Q183" i="35" s="1"/>
  <c r="I183" i="35"/>
  <c r="BL182" i="35"/>
  <c r="BN182" i="35" s="1"/>
  <c r="BF182" i="35"/>
  <c r="O182" i="35"/>
  <c r="I182" i="35"/>
  <c r="BL180" i="35"/>
  <c r="BF180" i="35"/>
  <c r="N180" i="35"/>
  <c r="O180" i="35" s="1"/>
  <c r="Q180" i="35" s="1"/>
  <c r="I180" i="35"/>
  <c r="BL179" i="35"/>
  <c r="BN179" i="35" s="1"/>
  <c r="BF179" i="35"/>
  <c r="BC179" i="35"/>
  <c r="O179" i="35"/>
  <c r="I179" i="35"/>
  <c r="BL177" i="35"/>
  <c r="BN177" i="35" s="1"/>
  <c r="BF177" i="35"/>
  <c r="O177" i="35"/>
  <c r="Q177" i="35" s="1"/>
  <c r="I177" i="35"/>
  <c r="BK176" i="35"/>
  <c r="BL176" i="35" s="1"/>
  <c r="BN176" i="35" s="1"/>
  <c r="BF176" i="35"/>
  <c r="O176" i="35"/>
  <c r="Q176" i="35" s="1"/>
  <c r="I176" i="35"/>
  <c r="BK175" i="35"/>
  <c r="BL175" i="35" s="1"/>
  <c r="BN175" i="35" s="1"/>
  <c r="BF175" i="35"/>
  <c r="O175" i="35"/>
  <c r="Q175" i="35" s="1"/>
  <c r="I175" i="35"/>
  <c r="BK174" i="35"/>
  <c r="BL174" i="35" s="1"/>
  <c r="BN174" i="35" s="1"/>
  <c r="BF174" i="35"/>
  <c r="O174" i="35"/>
  <c r="Q174" i="35" s="1"/>
  <c r="I174" i="35"/>
  <c r="BL172" i="35"/>
  <c r="BN172" i="35" s="1"/>
  <c r="BF172" i="35"/>
  <c r="O172" i="35"/>
  <c r="Q172" i="35" s="1"/>
  <c r="I172" i="35"/>
  <c r="BL171" i="35"/>
  <c r="BN171" i="35" s="1"/>
  <c r="BF171" i="35"/>
  <c r="O171" i="35"/>
  <c r="Q171" i="35" s="1"/>
  <c r="I171" i="35"/>
  <c r="BL170" i="35"/>
  <c r="BN170" i="35" s="1"/>
  <c r="BF170" i="35"/>
  <c r="O170" i="35"/>
  <c r="Q170" i="35" s="1"/>
  <c r="I170" i="35"/>
  <c r="BK169" i="35"/>
  <c r="BL169" i="35" s="1"/>
  <c r="BN169" i="35" s="1"/>
  <c r="BF169" i="35"/>
  <c r="O169" i="35"/>
  <c r="Q169" i="35" s="1"/>
  <c r="I169" i="35"/>
  <c r="BK168" i="35"/>
  <c r="BL168" i="35" s="1"/>
  <c r="BN168" i="35" s="1"/>
  <c r="BF168" i="35"/>
  <c r="O168" i="35"/>
  <c r="Q168" i="35" s="1"/>
  <c r="I168" i="35"/>
  <c r="BK167" i="35"/>
  <c r="BL167" i="35" s="1"/>
  <c r="BN167" i="35" s="1"/>
  <c r="BF167" i="35"/>
  <c r="O167" i="35"/>
  <c r="Q167" i="35" s="1"/>
  <c r="I167" i="35"/>
  <c r="BK166" i="35"/>
  <c r="BL166" i="35" s="1"/>
  <c r="BF166" i="35"/>
  <c r="O166" i="35"/>
  <c r="Q166" i="35" s="1"/>
  <c r="I166" i="35"/>
  <c r="BK165" i="35"/>
  <c r="BL165" i="35" s="1"/>
  <c r="BN165" i="35" s="1"/>
  <c r="BF165" i="35"/>
  <c r="BC165" i="35"/>
  <c r="O165" i="35"/>
  <c r="Q165" i="35" s="1"/>
  <c r="I165" i="35"/>
  <c r="BL164" i="35"/>
  <c r="BN164" i="35" s="1"/>
  <c r="BF164" i="35"/>
  <c r="O164" i="35"/>
  <c r="Q164" i="35" s="1"/>
  <c r="I164" i="35"/>
  <c r="BK163" i="35"/>
  <c r="BL163" i="35" s="1"/>
  <c r="BN163" i="35" s="1"/>
  <c r="BF163" i="35"/>
  <c r="N163" i="35"/>
  <c r="O163" i="35" s="1"/>
  <c r="Q163" i="35" s="1"/>
  <c r="I163" i="35"/>
  <c r="BL162" i="35"/>
  <c r="BN162" i="35" s="1"/>
  <c r="BF162" i="35"/>
  <c r="N162" i="35"/>
  <c r="O162" i="35" s="1"/>
  <c r="Q162" i="35" s="1"/>
  <c r="I162" i="35"/>
  <c r="BK161" i="35"/>
  <c r="BL161" i="35" s="1"/>
  <c r="BN161" i="35" s="1"/>
  <c r="BF161" i="35"/>
  <c r="N161" i="35"/>
  <c r="O161" i="35" s="1"/>
  <c r="Q161" i="35" s="1"/>
  <c r="I161" i="35"/>
  <c r="BK160" i="35"/>
  <c r="BL160" i="35" s="1"/>
  <c r="BN160" i="35" s="1"/>
  <c r="BF160" i="35"/>
  <c r="O160" i="35"/>
  <c r="Q160" i="35" s="1"/>
  <c r="I160" i="35"/>
  <c r="BL159" i="35"/>
  <c r="BN159" i="35" s="1"/>
  <c r="BF159" i="35"/>
  <c r="O159" i="35"/>
  <c r="Q159" i="35" s="1"/>
  <c r="I159" i="35"/>
  <c r="BK158" i="35"/>
  <c r="BL158" i="35" s="1"/>
  <c r="BN158" i="35" s="1"/>
  <c r="BF158" i="35"/>
  <c r="O158" i="35"/>
  <c r="Q158" i="35" s="1"/>
  <c r="I158" i="35"/>
  <c r="BK157" i="35"/>
  <c r="BL157" i="35" s="1"/>
  <c r="BN157" i="35" s="1"/>
  <c r="BF157" i="35"/>
  <c r="O157" i="35"/>
  <c r="Q157" i="35" s="1"/>
  <c r="I157" i="35"/>
  <c r="BL156" i="35"/>
  <c r="BF156" i="35"/>
  <c r="N156" i="35"/>
  <c r="O156" i="35" s="1"/>
  <c r="Q156" i="35" s="1"/>
  <c r="I156" i="35"/>
  <c r="BK154" i="35"/>
  <c r="BL154" i="35" s="1"/>
  <c r="BN154" i="35" s="1"/>
  <c r="BF154" i="35"/>
  <c r="O154" i="35"/>
  <c r="Q154" i="35" s="1"/>
  <c r="I154" i="35"/>
  <c r="BL153" i="35"/>
  <c r="BN153" i="35" s="1"/>
  <c r="BF153" i="35"/>
  <c r="O153" i="35"/>
  <c r="Q153" i="35" s="1"/>
  <c r="I153" i="35"/>
  <c r="BL152" i="35"/>
  <c r="BN152" i="35" s="1"/>
  <c r="BF152" i="35"/>
  <c r="O152" i="35"/>
  <c r="Q152" i="35" s="1"/>
  <c r="I152" i="35"/>
  <c r="BK151" i="35"/>
  <c r="BL151" i="35" s="1"/>
  <c r="BN151" i="35" s="1"/>
  <c r="BF151" i="35"/>
  <c r="BC151" i="35"/>
  <c r="N151" i="35"/>
  <c r="I151" i="35"/>
  <c r="BL150" i="35"/>
  <c r="BN150" i="35" s="1"/>
  <c r="BF150" i="35"/>
  <c r="O150" i="35"/>
  <c r="Q150" i="35" s="1"/>
  <c r="I150" i="35"/>
  <c r="BL149" i="35"/>
  <c r="BN149" i="35" s="1"/>
  <c r="BF149" i="35"/>
  <c r="O149" i="35"/>
  <c r="Q149" i="35" s="1"/>
  <c r="I149" i="35"/>
  <c r="BL148" i="35"/>
  <c r="BN148" i="35" s="1"/>
  <c r="BF148" i="35"/>
  <c r="O148" i="35"/>
  <c r="Q148" i="35" s="1"/>
  <c r="I148" i="35"/>
  <c r="BL147" i="35"/>
  <c r="BN147" i="35" s="1"/>
  <c r="BF147" i="35"/>
  <c r="O147" i="35"/>
  <c r="Q147" i="35" s="1"/>
  <c r="I147" i="35"/>
  <c r="BL144" i="35"/>
  <c r="BN144" i="35" s="1"/>
  <c r="BF144" i="35"/>
  <c r="BC144" i="35"/>
  <c r="O144" i="35"/>
  <c r="Q144" i="35" s="1"/>
  <c r="I144" i="35"/>
  <c r="BL143" i="35"/>
  <c r="BN143" i="35" s="1"/>
  <c r="BF143" i="35"/>
  <c r="O143" i="35"/>
  <c r="Q143" i="35" s="1"/>
  <c r="I143" i="35"/>
  <c r="BL142" i="35"/>
  <c r="BN142" i="35" s="1"/>
  <c r="BF142" i="35"/>
  <c r="O142" i="35"/>
  <c r="Q142" i="35" s="1"/>
  <c r="I142" i="35"/>
  <c r="BL141" i="35"/>
  <c r="BN141" i="35" s="1"/>
  <c r="BF141" i="35"/>
  <c r="O141" i="35"/>
  <c r="Q141" i="35" s="1"/>
  <c r="I141" i="35"/>
  <c r="BL140" i="35"/>
  <c r="BN140" i="35" s="1"/>
  <c r="BF140" i="35"/>
  <c r="O140" i="35"/>
  <c r="Q140" i="35" s="1"/>
  <c r="I140" i="35"/>
  <c r="BL139" i="35"/>
  <c r="BN139" i="35" s="1"/>
  <c r="BF139" i="35"/>
  <c r="O139" i="35"/>
  <c r="Q139" i="35" s="1"/>
  <c r="I139" i="35"/>
  <c r="BL138" i="35"/>
  <c r="BN138" i="35" s="1"/>
  <c r="BF138" i="35"/>
  <c r="O138" i="35"/>
  <c r="Q138" i="35" s="1"/>
  <c r="I138" i="35"/>
  <c r="BL137" i="35"/>
  <c r="BF137" i="35"/>
  <c r="BC137" i="35"/>
  <c r="O137" i="35"/>
  <c r="Q137" i="35" s="1"/>
  <c r="I137" i="35"/>
  <c r="BL136" i="35"/>
  <c r="BN136" i="35" s="1"/>
  <c r="BF136" i="35"/>
  <c r="O136" i="35"/>
  <c r="Q136" i="35" s="1"/>
  <c r="I136" i="35"/>
  <c r="BL135" i="35"/>
  <c r="BN135" i="35" s="1"/>
  <c r="BF135" i="35"/>
  <c r="O135" i="35"/>
  <c r="Q135" i="35" s="1"/>
  <c r="I135" i="35"/>
  <c r="BL134" i="35"/>
  <c r="BN134" i="35" s="1"/>
  <c r="BF134" i="35"/>
  <c r="O134" i="35"/>
  <c r="Q134" i="35" s="1"/>
  <c r="BL133" i="35"/>
  <c r="BN133" i="35" s="1"/>
  <c r="BF133" i="35"/>
  <c r="O133" i="35"/>
  <c r="Q133" i="35" s="1"/>
  <c r="I133" i="35"/>
  <c r="BL132" i="35"/>
  <c r="BN132" i="35" s="1"/>
  <c r="BF132" i="35"/>
  <c r="BC132" i="35"/>
  <c r="O132" i="35"/>
  <c r="Q132" i="35" s="1"/>
  <c r="I132" i="35"/>
  <c r="BL131" i="35"/>
  <c r="BN131" i="35" s="1"/>
  <c r="BF131" i="35"/>
  <c r="O131" i="35"/>
  <c r="Q131" i="35" s="1"/>
  <c r="I131" i="35"/>
  <c r="BL130" i="35"/>
  <c r="BN130" i="35" s="1"/>
  <c r="BF130" i="35"/>
  <c r="O130" i="35"/>
  <c r="Q130" i="35" s="1"/>
  <c r="I130" i="35"/>
  <c r="BL129" i="35"/>
  <c r="BN129" i="35" s="1"/>
  <c r="BF129" i="35"/>
  <c r="O129" i="35"/>
  <c r="Q129" i="35" s="1"/>
  <c r="I129" i="35"/>
  <c r="BL128" i="35"/>
  <c r="BN128" i="35" s="1"/>
  <c r="BF128" i="35"/>
  <c r="O128" i="35"/>
  <c r="Q128" i="35" s="1"/>
  <c r="I128" i="35"/>
  <c r="BL127" i="35"/>
  <c r="BN127" i="35" s="1"/>
  <c r="BF127" i="35"/>
  <c r="O127" i="35"/>
  <c r="Q127" i="35" s="1"/>
  <c r="I127" i="35"/>
  <c r="BL126" i="35"/>
  <c r="BN126" i="35" s="1"/>
  <c r="BF126" i="35"/>
  <c r="O126" i="35"/>
  <c r="Q126" i="35" s="1"/>
  <c r="I126" i="35"/>
  <c r="BL125" i="35"/>
  <c r="BN125" i="35" s="1"/>
  <c r="BF125" i="35"/>
  <c r="O125" i="35"/>
  <c r="Q125" i="35" s="1"/>
  <c r="I125" i="35"/>
  <c r="BL124" i="35"/>
  <c r="BN124" i="35" s="1"/>
  <c r="BF124" i="35"/>
  <c r="O124" i="35"/>
  <c r="Q124" i="35" s="1"/>
  <c r="I124" i="35"/>
  <c r="BL123" i="35"/>
  <c r="BN123" i="35" s="1"/>
  <c r="BF123" i="35"/>
  <c r="O123" i="35"/>
  <c r="Q123" i="35" s="1"/>
  <c r="I123" i="35"/>
  <c r="BL122" i="35"/>
  <c r="BN122" i="35" s="1"/>
  <c r="BF122" i="35"/>
  <c r="BC122" i="35"/>
  <c r="O122" i="35"/>
  <c r="Q122" i="35" s="1"/>
  <c r="I122" i="35"/>
  <c r="BL121" i="35"/>
  <c r="BN121" i="35" s="1"/>
  <c r="BF121" i="35"/>
  <c r="O121" i="35"/>
  <c r="Q121" i="35" s="1"/>
  <c r="I121" i="35"/>
  <c r="BL120" i="35"/>
  <c r="BN120" i="35" s="1"/>
  <c r="BF120" i="35"/>
  <c r="O120" i="35"/>
  <c r="Q120" i="35" s="1"/>
  <c r="I120" i="35"/>
  <c r="BL119" i="35"/>
  <c r="BN119" i="35" s="1"/>
  <c r="BF119" i="35"/>
  <c r="O119" i="35"/>
  <c r="Q119" i="35" s="1"/>
  <c r="I119" i="35"/>
  <c r="BL118" i="35"/>
  <c r="BN118" i="35" s="1"/>
  <c r="BF118" i="35"/>
  <c r="O118" i="35"/>
  <c r="Q118" i="35" s="1"/>
  <c r="I118" i="35"/>
  <c r="BL117" i="35"/>
  <c r="BN117" i="35" s="1"/>
  <c r="BF117" i="35"/>
  <c r="O117" i="35"/>
  <c r="Q117" i="35" s="1"/>
  <c r="I117" i="35"/>
  <c r="BL116" i="35"/>
  <c r="BN116" i="35" s="1"/>
  <c r="BF116" i="35"/>
  <c r="O116" i="35"/>
  <c r="Q116" i="35" s="1"/>
  <c r="I116" i="35"/>
  <c r="BL115" i="35"/>
  <c r="BN115" i="35" s="1"/>
  <c r="BF115" i="35"/>
  <c r="O115" i="35"/>
  <c r="Q115" i="35" s="1"/>
  <c r="I115" i="35"/>
  <c r="BL114" i="35"/>
  <c r="BN114" i="35" s="1"/>
  <c r="BF114" i="35"/>
  <c r="O114" i="35"/>
  <c r="Q114" i="35" s="1"/>
  <c r="I114" i="35"/>
  <c r="BL113" i="35"/>
  <c r="BN113" i="35" s="1"/>
  <c r="BF113" i="35"/>
  <c r="O113" i="35"/>
  <c r="Q113" i="35" s="1"/>
  <c r="I113" i="35"/>
  <c r="BL112" i="35"/>
  <c r="BN112" i="35" s="1"/>
  <c r="CJ112" i="35" s="1"/>
  <c r="BF112" i="35"/>
  <c r="O112" i="35"/>
  <c r="Q112" i="35" s="1"/>
  <c r="I112" i="35"/>
  <c r="BL111" i="35"/>
  <c r="BN111" i="35" s="1"/>
  <c r="CJ111" i="35" s="1"/>
  <c r="BF111" i="35"/>
  <c r="O111" i="35"/>
  <c r="Q111" i="35" s="1"/>
  <c r="I111" i="35"/>
  <c r="BL110" i="35"/>
  <c r="BN110" i="35" s="1"/>
  <c r="CJ110" i="35" s="1"/>
  <c r="BF110" i="35"/>
  <c r="Q110" i="35"/>
  <c r="I110" i="35"/>
  <c r="BL109" i="35"/>
  <c r="BN109" i="35" s="1"/>
  <c r="BF109" i="35"/>
  <c r="BC109" i="35"/>
  <c r="O109" i="35"/>
  <c r="I109" i="35"/>
  <c r="BL108" i="35"/>
  <c r="BN108" i="35" s="1"/>
  <c r="BF108" i="35"/>
  <c r="O108" i="35"/>
  <c r="Q108" i="35" s="1"/>
  <c r="I108" i="35"/>
  <c r="BL107" i="35"/>
  <c r="BN107" i="35" s="1"/>
  <c r="BF107" i="35"/>
  <c r="O107" i="35"/>
  <c r="Q107" i="35" s="1"/>
  <c r="I107" i="35"/>
  <c r="BL106" i="35"/>
  <c r="BN106" i="35" s="1"/>
  <c r="BF106" i="35"/>
  <c r="O106" i="35"/>
  <c r="Q106" i="35" s="1"/>
  <c r="I106" i="35"/>
  <c r="BK105" i="35"/>
  <c r="BL105" i="35" s="1"/>
  <c r="BN105" i="35" s="1"/>
  <c r="BF105" i="35"/>
  <c r="O105" i="35"/>
  <c r="Q105" i="35" s="1"/>
  <c r="I105" i="35"/>
  <c r="BL104" i="35"/>
  <c r="BN104" i="35" s="1"/>
  <c r="BF104" i="35"/>
  <c r="O104" i="35"/>
  <c r="Q104" i="35" s="1"/>
  <c r="I104" i="35"/>
  <c r="BL103" i="35"/>
  <c r="BN103" i="35" s="1"/>
  <c r="BF103" i="35"/>
  <c r="O103" i="35"/>
  <c r="Q103" i="35" s="1"/>
  <c r="I103" i="35"/>
  <c r="BK102" i="35"/>
  <c r="BL102" i="35" s="1"/>
  <c r="BN102" i="35" s="1"/>
  <c r="BF102" i="35"/>
  <c r="O102" i="35"/>
  <c r="Q102" i="35" s="1"/>
  <c r="I102" i="35"/>
  <c r="BK101" i="35"/>
  <c r="BL101" i="35" s="1"/>
  <c r="BN101" i="35" s="1"/>
  <c r="BF101" i="35"/>
  <c r="O101" i="35"/>
  <c r="Q101" i="35" s="1"/>
  <c r="I101" i="35"/>
  <c r="BL100" i="35"/>
  <c r="BN100" i="35" s="1"/>
  <c r="BF100" i="35"/>
  <c r="O100" i="35"/>
  <c r="Q100" i="35" s="1"/>
  <c r="I100" i="35"/>
  <c r="BK99" i="35"/>
  <c r="BL99" i="35" s="1"/>
  <c r="BN99" i="35" s="1"/>
  <c r="BF99" i="35"/>
  <c r="O99" i="35"/>
  <c r="Q99" i="35" s="1"/>
  <c r="I99" i="35"/>
  <c r="BL98" i="35"/>
  <c r="BN98" i="35" s="1"/>
  <c r="BF98" i="35"/>
  <c r="O98" i="35"/>
  <c r="Q98" i="35" s="1"/>
  <c r="I98" i="35"/>
  <c r="BK97" i="35"/>
  <c r="BL97" i="35" s="1"/>
  <c r="BN97" i="35" s="1"/>
  <c r="BF97" i="35"/>
  <c r="O97" i="35"/>
  <c r="Q97" i="35" s="1"/>
  <c r="I97" i="35"/>
  <c r="BL96" i="35"/>
  <c r="BN96" i="35" s="1"/>
  <c r="BF96" i="35"/>
  <c r="O96" i="35"/>
  <c r="Q96" i="35" s="1"/>
  <c r="I96" i="35"/>
  <c r="BL95" i="35"/>
  <c r="BN95" i="35" s="1"/>
  <c r="BF95" i="35"/>
  <c r="O95" i="35"/>
  <c r="Q95" i="35" s="1"/>
  <c r="I95" i="35"/>
  <c r="BL94" i="35"/>
  <c r="BN94" i="35" s="1"/>
  <c r="BF94" i="35"/>
  <c r="O94" i="35"/>
  <c r="Q94" i="35" s="1"/>
  <c r="I94" i="35"/>
  <c r="BK93" i="35"/>
  <c r="BL93" i="35" s="1"/>
  <c r="BN93" i="35" s="1"/>
  <c r="BF93" i="35"/>
  <c r="O93" i="35"/>
  <c r="Q93" i="35" s="1"/>
  <c r="I93" i="35"/>
  <c r="BF92" i="35"/>
  <c r="O92" i="35"/>
  <c r="Q92" i="35" s="1"/>
  <c r="I92" i="35"/>
  <c r="BL91" i="35"/>
  <c r="BF91" i="35"/>
  <c r="BC91" i="35"/>
  <c r="O91" i="35"/>
  <c r="I91" i="35"/>
  <c r="BL90" i="35"/>
  <c r="BN90" i="35" s="1"/>
  <c r="BF90" i="35"/>
  <c r="O90" i="35"/>
  <c r="Q90" i="35" s="1"/>
  <c r="I90" i="35"/>
  <c r="BL89" i="35"/>
  <c r="BN89" i="35" s="1"/>
  <c r="BF89" i="35"/>
  <c r="O89" i="35"/>
  <c r="Q89" i="35" s="1"/>
  <c r="I89" i="35"/>
  <c r="BL88" i="35"/>
  <c r="BN88" i="35" s="1"/>
  <c r="BF88" i="35"/>
  <c r="O88" i="35"/>
  <c r="Q88" i="35" s="1"/>
  <c r="I88" i="35"/>
  <c r="BL87" i="35"/>
  <c r="BN87" i="35" s="1"/>
  <c r="BF87" i="35"/>
  <c r="O87" i="35"/>
  <c r="Q87" i="35" s="1"/>
  <c r="I87" i="35"/>
  <c r="BL86" i="35"/>
  <c r="BN86" i="35" s="1"/>
  <c r="BF86" i="35"/>
  <c r="O86" i="35"/>
  <c r="Q86" i="35" s="1"/>
  <c r="I86" i="35"/>
  <c r="BL85" i="35"/>
  <c r="BN85" i="35" s="1"/>
  <c r="BF85" i="35"/>
  <c r="O85" i="35"/>
  <c r="Q85" i="35" s="1"/>
  <c r="I85" i="35"/>
  <c r="BL84" i="35"/>
  <c r="BN84" i="35" s="1"/>
  <c r="BF84" i="35"/>
  <c r="O84" i="35"/>
  <c r="Q84" i="35" s="1"/>
  <c r="I84" i="35"/>
  <c r="BL82" i="35"/>
  <c r="BN82" i="35" s="1"/>
  <c r="BF82" i="35"/>
  <c r="O82" i="35"/>
  <c r="Q82" i="35" s="1"/>
  <c r="I82" i="35"/>
  <c r="BL81" i="35"/>
  <c r="BN81" i="35" s="1"/>
  <c r="BF81" i="35"/>
  <c r="O81" i="35"/>
  <c r="Q81" i="35" s="1"/>
  <c r="I81" i="35"/>
  <c r="BL80" i="35"/>
  <c r="BN80" i="35" s="1"/>
  <c r="BF80" i="35"/>
  <c r="O80" i="35"/>
  <c r="Q80" i="35" s="1"/>
  <c r="I80" i="35"/>
  <c r="BL79" i="35"/>
  <c r="BN79" i="35" s="1"/>
  <c r="BF79" i="35"/>
  <c r="O79" i="35"/>
  <c r="Q79" i="35" s="1"/>
  <c r="I79" i="35"/>
  <c r="BL77" i="35"/>
  <c r="BN77" i="35" s="1"/>
  <c r="BF77" i="35"/>
  <c r="O77" i="35"/>
  <c r="Q77" i="35" s="1"/>
  <c r="I77" i="35"/>
  <c r="BL76" i="35"/>
  <c r="BF76" i="35"/>
  <c r="BC76" i="35"/>
  <c r="O76" i="35"/>
  <c r="Q76" i="35" s="1"/>
  <c r="I76" i="35"/>
  <c r="BL75" i="35"/>
  <c r="BN75" i="35" s="1"/>
  <c r="BF75" i="35"/>
  <c r="O75" i="35"/>
  <c r="Q75" i="35" s="1"/>
  <c r="I75" i="35"/>
  <c r="BL74" i="35"/>
  <c r="BN74" i="35" s="1"/>
  <c r="BF74" i="35"/>
  <c r="O74" i="35"/>
  <c r="Q74" i="35" s="1"/>
  <c r="I74" i="35"/>
  <c r="BL73" i="35"/>
  <c r="BN73" i="35" s="1"/>
  <c r="BF73" i="35"/>
  <c r="O73" i="35"/>
  <c r="Q73" i="35" s="1"/>
  <c r="I73" i="35"/>
  <c r="BL72" i="35"/>
  <c r="BN72" i="35" s="1"/>
  <c r="BF72" i="35"/>
  <c r="O72" i="35"/>
  <c r="Q72" i="35" s="1"/>
  <c r="I72" i="35"/>
  <c r="BL71" i="35"/>
  <c r="BN71" i="35" s="1"/>
  <c r="BF71" i="35"/>
  <c r="O71" i="35"/>
  <c r="Q71" i="35" s="1"/>
  <c r="I71" i="35"/>
  <c r="BL70" i="35"/>
  <c r="BN70" i="35" s="1"/>
  <c r="BF70" i="35"/>
  <c r="O70" i="35"/>
  <c r="Q70" i="35" s="1"/>
  <c r="I70" i="35"/>
  <c r="BL69" i="35"/>
  <c r="BN69" i="35" s="1"/>
  <c r="BF69" i="35"/>
  <c r="O69" i="35"/>
  <c r="Q69" i="35" s="1"/>
  <c r="I69" i="35"/>
  <c r="BL68" i="35"/>
  <c r="BN68" i="35" s="1"/>
  <c r="BF68" i="35"/>
  <c r="O68" i="35"/>
  <c r="Q68" i="35" s="1"/>
  <c r="I68" i="35"/>
  <c r="BL67" i="35"/>
  <c r="BN67" i="35" s="1"/>
  <c r="BF67" i="35"/>
  <c r="O67" i="35"/>
  <c r="Q67" i="35" s="1"/>
  <c r="I67" i="35"/>
  <c r="BL66" i="35"/>
  <c r="BN66" i="35" s="1"/>
  <c r="BF66" i="35"/>
  <c r="O66" i="35"/>
  <c r="Q66" i="35" s="1"/>
  <c r="I66" i="35"/>
  <c r="BL65" i="35"/>
  <c r="BN65" i="35" s="1"/>
  <c r="BF65" i="35"/>
  <c r="O65" i="35"/>
  <c r="Q65" i="35" s="1"/>
  <c r="I65" i="35"/>
  <c r="BL64" i="35"/>
  <c r="BN64" i="35" s="1"/>
  <c r="BF64" i="35"/>
  <c r="O64" i="35"/>
  <c r="Q64" i="35" s="1"/>
  <c r="I64" i="35"/>
  <c r="BL63" i="35"/>
  <c r="BF63" i="35"/>
  <c r="O63" i="35"/>
  <c r="Q63" i="35" s="1"/>
  <c r="I63" i="35"/>
  <c r="BL62" i="35"/>
  <c r="BN62" i="35" s="1"/>
  <c r="BF62" i="35"/>
  <c r="BC62" i="35"/>
  <c r="O62" i="35"/>
  <c r="I62" i="35"/>
  <c r="BL61" i="35"/>
  <c r="BN61" i="35" s="1"/>
  <c r="BF61" i="35"/>
  <c r="O61" i="35"/>
  <c r="Q61" i="35" s="1"/>
  <c r="I61" i="35"/>
  <c r="BL60" i="35"/>
  <c r="BN60" i="35" s="1"/>
  <c r="BF60" i="35"/>
  <c r="O60" i="35"/>
  <c r="Q60" i="35" s="1"/>
  <c r="I60" i="35"/>
  <c r="BL59" i="35"/>
  <c r="BN59" i="35" s="1"/>
  <c r="BF59" i="35"/>
  <c r="O59" i="35"/>
  <c r="Q59" i="35" s="1"/>
  <c r="I59" i="35"/>
  <c r="BL58" i="35"/>
  <c r="BN58" i="35" s="1"/>
  <c r="BF58" i="35"/>
  <c r="O58" i="35"/>
  <c r="Q58" i="35" s="1"/>
  <c r="I58" i="35"/>
  <c r="BL57" i="35"/>
  <c r="BN57" i="35" s="1"/>
  <c r="BF57" i="35"/>
  <c r="O57" i="35"/>
  <c r="Q57" i="35" s="1"/>
  <c r="I57" i="35"/>
  <c r="BL56" i="35"/>
  <c r="BN56" i="35" s="1"/>
  <c r="BF56" i="35"/>
  <c r="O56" i="35"/>
  <c r="Q56" i="35" s="1"/>
  <c r="I56" i="35"/>
  <c r="BL55" i="35"/>
  <c r="BN55" i="35" s="1"/>
  <c r="BF55" i="35"/>
  <c r="O55" i="35"/>
  <c r="Q55" i="35" s="1"/>
  <c r="I55" i="35"/>
  <c r="BL54" i="35"/>
  <c r="BN54" i="35" s="1"/>
  <c r="BF54" i="35"/>
  <c r="O54" i="35"/>
  <c r="Q54" i="35" s="1"/>
  <c r="I54" i="35"/>
  <c r="BL53" i="35"/>
  <c r="BF53" i="35"/>
  <c r="O53" i="35"/>
  <c r="Q53" i="35" s="1"/>
  <c r="I53" i="35"/>
  <c r="BL52" i="35"/>
  <c r="BN52" i="35" s="1"/>
  <c r="BF52" i="35"/>
  <c r="BC52" i="35"/>
  <c r="O52" i="35"/>
  <c r="I52" i="35"/>
  <c r="BL51" i="35"/>
  <c r="BN51" i="35" s="1"/>
  <c r="BF51" i="35"/>
  <c r="Q51" i="35"/>
  <c r="I51" i="35"/>
  <c r="I50" i="35"/>
  <c r="BL49" i="35"/>
  <c r="BN49" i="35" s="1"/>
  <c r="BF49" i="35"/>
  <c r="O49" i="35"/>
  <c r="Q49" i="35" s="1"/>
  <c r="I49" i="35"/>
  <c r="BL48" i="35"/>
  <c r="BN48" i="35" s="1"/>
  <c r="BF48" i="35"/>
  <c r="O48" i="35"/>
  <c r="Q48" i="35" s="1"/>
  <c r="I48" i="35"/>
  <c r="BL46" i="35"/>
  <c r="BN46" i="35" s="1"/>
  <c r="BF46" i="35"/>
  <c r="O46" i="35"/>
  <c r="Q46" i="35" s="1"/>
  <c r="I46" i="35"/>
  <c r="BL45" i="35"/>
  <c r="BN45" i="35" s="1"/>
  <c r="BF45" i="35"/>
  <c r="O45" i="35"/>
  <c r="Q45" i="35" s="1"/>
  <c r="I45" i="35"/>
  <c r="BL42" i="35"/>
  <c r="BN42" i="35" s="1"/>
  <c r="BF42" i="35"/>
  <c r="BC42" i="35"/>
  <c r="O42" i="35"/>
  <c r="Q42" i="35" s="1"/>
  <c r="I42" i="35"/>
  <c r="BL41" i="35"/>
  <c r="BN41" i="35" s="1"/>
  <c r="BF41" i="35"/>
  <c r="O41" i="35"/>
  <c r="Q41" i="35" s="1"/>
  <c r="I41" i="35"/>
  <c r="BL40" i="35"/>
  <c r="BN40" i="35" s="1"/>
  <c r="BF40" i="35"/>
  <c r="O40" i="35"/>
  <c r="Q40" i="35" s="1"/>
  <c r="I40" i="35"/>
  <c r="BL39" i="35"/>
  <c r="BN39" i="35" s="1"/>
  <c r="BF39" i="35"/>
  <c r="BC39" i="35"/>
  <c r="O39" i="35"/>
  <c r="I39" i="35"/>
  <c r="BL38" i="35"/>
  <c r="BN38" i="35" s="1"/>
  <c r="BF38" i="35"/>
  <c r="O38" i="35"/>
  <c r="Q38" i="35" s="1"/>
  <c r="I38" i="35"/>
  <c r="BL37" i="35"/>
  <c r="BN37" i="35" s="1"/>
  <c r="BF37" i="35"/>
  <c r="O37" i="35"/>
  <c r="Q37" i="35" s="1"/>
  <c r="I37" i="35"/>
  <c r="BL36" i="35"/>
  <c r="BN36" i="35" s="1"/>
  <c r="BF36" i="35"/>
  <c r="O36" i="35"/>
  <c r="Q36" i="35" s="1"/>
  <c r="I36" i="35"/>
  <c r="BL35" i="35"/>
  <c r="BN35" i="35" s="1"/>
  <c r="BF35" i="35"/>
  <c r="O35" i="35"/>
  <c r="Q35" i="35" s="1"/>
  <c r="I35" i="35"/>
  <c r="BL34" i="35"/>
  <c r="BN34" i="35" s="1"/>
  <c r="BF34" i="35"/>
  <c r="O34" i="35"/>
  <c r="Q34" i="35" s="1"/>
  <c r="I34" i="35"/>
  <c r="BL33" i="35"/>
  <c r="BN33" i="35" s="1"/>
  <c r="BF33" i="35"/>
  <c r="O33" i="35"/>
  <c r="Q33" i="35" s="1"/>
  <c r="I33" i="35"/>
  <c r="BL32" i="35"/>
  <c r="BN32" i="35" s="1"/>
  <c r="BF32" i="35"/>
  <c r="O32" i="35"/>
  <c r="Q32" i="35" s="1"/>
  <c r="I32" i="35"/>
  <c r="BL31" i="35"/>
  <c r="BN31" i="35" s="1"/>
  <c r="BF31" i="35"/>
  <c r="O31" i="35"/>
  <c r="Q31" i="35" s="1"/>
  <c r="I31" i="35"/>
  <c r="BL30" i="35"/>
  <c r="BN30" i="35" s="1"/>
  <c r="BF30" i="35"/>
  <c r="O30" i="35"/>
  <c r="Q30" i="35" s="1"/>
  <c r="I30" i="35"/>
  <c r="BL29" i="35"/>
  <c r="BF29" i="35"/>
  <c r="BC29" i="35"/>
  <c r="O29" i="35"/>
  <c r="Q29" i="35" s="1"/>
  <c r="I29" i="35"/>
  <c r="BL27" i="35"/>
  <c r="BN27" i="35" s="1"/>
  <c r="BF27" i="35"/>
  <c r="O27" i="35"/>
  <c r="Q27" i="35" s="1"/>
  <c r="I27" i="35"/>
  <c r="BL26" i="35"/>
  <c r="BN26" i="35" s="1"/>
  <c r="BF26" i="35"/>
  <c r="O26" i="35"/>
  <c r="Q26" i="35" s="1"/>
  <c r="I26" i="35"/>
  <c r="BL25" i="35"/>
  <c r="BN25" i="35" s="1"/>
  <c r="BF25" i="35"/>
  <c r="O25" i="35"/>
  <c r="Q25" i="35" s="1"/>
  <c r="I25" i="35"/>
  <c r="BL24" i="35"/>
  <c r="BN24" i="35" s="1"/>
  <c r="BF24" i="35"/>
  <c r="O24" i="35"/>
  <c r="Q24" i="35" s="1"/>
  <c r="I24" i="35"/>
  <c r="BL23" i="35"/>
  <c r="BN23" i="35" s="1"/>
  <c r="BF23" i="35"/>
  <c r="BC23" i="35"/>
  <c r="O23" i="35"/>
  <c r="Q23" i="35" s="1"/>
  <c r="I23" i="35"/>
  <c r="BL22" i="35"/>
  <c r="BN22" i="35" s="1"/>
  <c r="BF22" i="35"/>
  <c r="O22" i="35"/>
  <c r="Q22" i="35" s="1"/>
  <c r="I22" i="35"/>
  <c r="BL21" i="35"/>
  <c r="BN21" i="35" s="1"/>
  <c r="BF21" i="35"/>
  <c r="O21" i="35"/>
  <c r="Q21" i="35" s="1"/>
  <c r="I21" i="35"/>
  <c r="BL20" i="35"/>
  <c r="BN20" i="35" s="1"/>
  <c r="BF20" i="35"/>
  <c r="O20" i="35"/>
  <c r="Q20" i="35" s="1"/>
  <c r="I20" i="35"/>
  <c r="BL19" i="35"/>
  <c r="BN19" i="35" s="1"/>
  <c r="BF19" i="35"/>
  <c r="BC19" i="35"/>
  <c r="O19" i="35"/>
  <c r="Q19" i="35" s="1"/>
  <c r="I19" i="35"/>
  <c r="BL18" i="35"/>
  <c r="BN18" i="35" s="1"/>
  <c r="BF18" i="35"/>
  <c r="O18" i="35"/>
  <c r="Q18" i="35" s="1"/>
  <c r="I18" i="35"/>
  <c r="BL17" i="35"/>
  <c r="BM17" i="35" s="1"/>
  <c r="BF17" i="35"/>
  <c r="BC17" i="35"/>
  <c r="O17" i="35"/>
  <c r="P17" i="35" s="1"/>
  <c r="I17" i="35"/>
  <c r="BL16" i="35"/>
  <c r="BN16" i="35" s="1"/>
  <c r="BF16" i="35"/>
  <c r="O16" i="35"/>
  <c r="Q16" i="35" s="1"/>
  <c r="I16" i="35"/>
  <c r="BL15" i="35"/>
  <c r="BN15" i="35" s="1"/>
  <c r="BF15" i="35"/>
  <c r="O15" i="35"/>
  <c r="Q15" i="35" s="1"/>
  <c r="I15" i="35"/>
  <c r="BL14" i="35"/>
  <c r="BN14" i="35" s="1"/>
  <c r="BF14" i="35"/>
  <c r="BC14" i="35"/>
  <c r="O14" i="35"/>
  <c r="Q14" i="35" s="1"/>
  <c r="I14" i="35"/>
  <c r="BL13" i="35"/>
  <c r="BN13" i="35" s="1"/>
  <c r="BF13" i="35"/>
  <c r="O13" i="35"/>
  <c r="Q13" i="35" s="1"/>
  <c r="I13" i="35"/>
  <c r="BL12" i="35"/>
  <c r="BM12" i="35" s="1"/>
  <c r="BF12" i="35"/>
  <c r="BC12" i="35"/>
  <c r="O12" i="35"/>
  <c r="Q12" i="35" s="1"/>
  <c r="R12" i="35" s="1"/>
  <c r="AE12" i="35" s="1"/>
  <c r="I12" i="35"/>
  <c r="BL11" i="35"/>
  <c r="BN11" i="35" s="1"/>
  <c r="BF11" i="35"/>
  <c r="O11" i="35"/>
  <c r="Q11" i="35" s="1"/>
  <c r="BL10" i="35"/>
  <c r="BN10" i="35" s="1"/>
  <c r="BF10" i="35"/>
  <c r="O10" i="35"/>
  <c r="Q10" i="35" s="1"/>
  <c r="I10" i="35"/>
  <c r="BL9" i="35"/>
  <c r="BN9" i="35" s="1"/>
  <c r="BF9" i="35"/>
  <c r="O9" i="35"/>
  <c r="I9" i="35"/>
  <c r="BL8" i="35"/>
  <c r="BF8" i="35"/>
  <c r="BC8" i="35"/>
  <c r="I8" i="35"/>
  <c r="BE7" i="35"/>
  <c r="BE6" i="35" s="1"/>
  <c r="BD7" i="35"/>
  <c r="BD6" i="35" s="1"/>
  <c r="N7" i="35"/>
  <c r="I6" i="35"/>
  <c r="M49" i="27" l="1"/>
  <c r="Q49" i="27" s="1"/>
  <c r="M10" i="27"/>
  <c r="Q10" i="27" s="1"/>
  <c r="CJ251" i="35"/>
  <c r="CJ439" i="35"/>
  <c r="CJ454" i="35"/>
  <c r="CJ308" i="35"/>
  <c r="CJ311" i="35"/>
  <c r="CJ312" i="35"/>
  <c r="CJ314" i="35"/>
  <c r="CJ316" i="35"/>
  <c r="CJ317" i="35"/>
  <c r="CJ318" i="35"/>
  <c r="CJ319" i="35"/>
  <c r="CJ320" i="35"/>
  <c r="CJ321" i="35"/>
  <c r="CJ378" i="35"/>
  <c r="CJ442" i="35"/>
  <c r="CJ450" i="35"/>
  <c r="CJ462" i="35"/>
  <c r="R377" i="35"/>
  <c r="CJ438" i="35"/>
  <c r="CJ445" i="35"/>
  <c r="CJ449" i="35"/>
  <c r="CJ457" i="35"/>
  <c r="CJ461" i="35"/>
  <c r="CJ322" i="35"/>
  <c r="CJ113" i="35"/>
  <c r="CJ114" i="35"/>
  <c r="CJ115" i="35"/>
  <c r="CJ116" i="35"/>
  <c r="CJ117" i="35"/>
  <c r="CJ118" i="35"/>
  <c r="CJ167" i="35"/>
  <c r="CJ168" i="35"/>
  <c r="CJ169" i="35"/>
  <c r="CJ170" i="35"/>
  <c r="CJ171" i="35"/>
  <c r="CJ172" i="35"/>
  <c r="CJ174" i="35"/>
  <c r="CJ175" i="35"/>
  <c r="CJ455" i="35"/>
  <c r="R437" i="35"/>
  <c r="AE437" i="35" s="1"/>
  <c r="CJ254" i="35"/>
  <c r="CJ252" i="35"/>
  <c r="CJ446" i="35"/>
  <c r="CJ458" i="35"/>
  <c r="CJ451" i="35"/>
  <c r="CJ64" i="35"/>
  <c r="CJ65" i="35"/>
  <c r="CJ66" i="35"/>
  <c r="CJ67" i="35"/>
  <c r="CJ68" i="35"/>
  <c r="CJ69" i="35"/>
  <c r="CJ70" i="35"/>
  <c r="CJ71" i="35"/>
  <c r="CJ72" i="35"/>
  <c r="CJ73" i="35"/>
  <c r="CJ74" i="35"/>
  <c r="CJ75" i="35"/>
  <c r="CJ138" i="35"/>
  <c r="CJ139" i="35"/>
  <c r="CJ140" i="35"/>
  <c r="CJ141" i="35"/>
  <c r="CJ142" i="35"/>
  <c r="CJ143" i="35"/>
  <c r="CJ32" i="35"/>
  <c r="CJ35" i="35"/>
  <c r="CJ38" i="35"/>
  <c r="CJ313" i="35"/>
  <c r="CJ310" i="35"/>
  <c r="CJ309" i="35"/>
  <c r="CJ307" i="35"/>
  <c r="CJ315" i="35"/>
  <c r="CJ323" i="35"/>
  <c r="CJ453" i="35"/>
  <c r="CJ452" i="35"/>
  <c r="CJ441" i="35"/>
  <c r="CJ51" i="35"/>
  <c r="CJ412" i="35"/>
  <c r="CJ505" i="35"/>
  <c r="CJ507" i="35"/>
  <c r="CJ508" i="35"/>
  <c r="CJ119" i="35"/>
  <c r="CJ120" i="35"/>
  <c r="CJ121" i="35"/>
  <c r="CJ324" i="35"/>
  <c r="CJ325" i="35"/>
  <c r="CJ326" i="35"/>
  <c r="CJ327" i="35"/>
  <c r="CJ328" i="35"/>
  <c r="CJ329" i="35"/>
  <c r="CJ330" i="35"/>
  <c r="CJ509" i="35"/>
  <c r="CJ22" i="35"/>
  <c r="CJ20" i="35"/>
  <c r="CJ21" i="35"/>
  <c r="CJ27" i="35"/>
  <c r="CJ33" i="35"/>
  <c r="CJ34" i="35"/>
  <c r="CJ36" i="35"/>
  <c r="CJ37" i="35"/>
  <c r="CJ407" i="35"/>
  <c r="CJ411" i="35"/>
  <c r="CJ465" i="35"/>
  <c r="CJ11" i="35"/>
  <c r="CJ15" i="35"/>
  <c r="CJ16" i="35"/>
  <c r="CJ40" i="35"/>
  <c r="CJ41" i="35"/>
  <c r="CJ77" i="35"/>
  <c r="CJ79" i="35"/>
  <c r="CJ80" i="35"/>
  <c r="CJ81" i="35"/>
  <c r="CJ82" i="35"/>
  <c r="CJ84" i="35"/>
  <c r="CJ85" i="35"/>
  <c r="CJ86" i="35"/>
  <c r="CJ87" i="35"/>
  <c r="CJ88" i="35"/>
  <c r="CJ89" i="35"/>
  <c r="CJ90" i="35"/>
  <c r="CJ123" i="35"/>
  <c r="CJ124" i="35"/>
  <c r="CJ125" i="35"/>
  <c r="CJ126" i="35"/>
  <c r="CJ127" i="35"/>
  <c r="CJ128" i="35"/>
  <c r="CJ129" i="35"/>
  <c r="CJ130" i="35"/>
  <c r="CJ131" i="35"/>
  <c r="CJ147" i="35"/>
  <c r="CJ148" i="35"/>
  <c r="CJ149" i="35"/>
  <c r="CJ150" i="35"/>
  <c r="CJ260" i="35"/>
  <c r="CJ261" i="35"/>
  <c r="CJ263" i="35"/>
  <c r="CJ264" i="35"/>
  <c r="CJ265" i="35"/>
  <c r="CJ266" i="35"/>
  <c r="CJ267" i="35"/>
  <c r="CJ268" i="35"/>
  <c r="CJ269" i="35"/>
  <c r="CJ270" i="35"/>
  <c r="CJ271" i="35"/>
  <c r="CJ272" i="35"/>
  <c r="CJ273" i="35"/>
  <c r="CJ274" i="35"/>
  <c r="CJ275" i="35"/>
  <c r="CJ276" i="35"/>
  <c r="CJ277" i="35"/>
  <c r="CJ278" i="35"/>
  <c r="CJ279" i="35"/>
  <c r="CJ280" i="35"/>
  <c r="CJ281" i="35"/>
  <c r="CJ282" i="35"/>
  <c r="CJ283" i="35"/>
  <c r="CJ331" i="35"/>
  <c r="CJ332" i="35"/>
  <c r="CJ333" i="35"/>
  <c r="CJ334" i="35"/>
  <c r="CJ336" i="35"/>
  <c r="CJ337" i="35"/>
  <c r="CJ338" i="35"/>
  <c r="CJ339" i="35"/>
  <c r="CJ340" i="35"/>
  <c r="CJ341" i="35"/>
  <c r="CJ342" i="35"/>
  <c r="CJ343" i="35"/>
  <c r="CJ381" i="35"/>
  <c r="CJ382" i="35"/>
  <c r="CJ383" i="35"/>
  <c r="CJ385" i="35"/>
  <c r="CJ384" i="35"/>
  <c r="CJ386" i="35"/>
  <c r="CJ390" i="35"/>
  <c r="CJ391" i="35"/>
  <c r="CJ392" i="35"/>
  <c r="CJ387" i="35"/>
  <c r="CJ344" i="35"/>
  <c r="CJ368" i="35"/>
  <c r="CJ397" i="35"/>
  <c r="CJ176" i="35"/>
  <c r="CJ177" i="35"/>
  <c r="CJ186" i="35"/>
  <c r="CJ187" i="35"/>
  <c r="CJ188" i="35"/>
  <c r="CJ189" i="35"/>
  <c r="CJ190" i="35"/>
  <c r="CJ191" i="35"/>
  <c r="CJ192" i="35"/>
  <c r="CJ193" i="35"/>
  <c r="CJ194" i="35"/>
  <c r="CJ195" i="35"/>
  <c r="CJ196" i="35"/>
  <c r="CJ197" i="35"/>
  <c r="CJ198" i="35"/>
  <c r="CJ199" i="35"/>
  <c r="CJ200" i="35"/>
  <c r="CJ201" i="35"/>
  <c r="CJ202" i="35"/>
  <c r="CJ203" i="35"/>
  <c r="CJ204" i="35"/>
  <c r="CJ205" i="35"/>
  <c r="CJ206" i="35"/>
  <c r="CJ207" i="35"/>
  <c r="CJ208" i="35"/>
  <c r="CJ209" i="35"/>
  <c r="CJ210" i="35"/>
  <c r="CJ211" i="35"/>
  <c r="CJ212" i="35"/>
  <c r="CJ213" i="35"/>
  <c r="CJ214" i="35"/>
  <c r="CJ215" i="35"/>
  <c r="CJ216" i="35"/>
  <c r="CJ217" i="35"/>
  <c r="CJ218" i="35"/>
  <c r="CJ219" i="35"/>
  <c r="CJ220" i="35"/>
  <c r="CJ221" i="35"/>
  <c r="CJ222" i="35"/>
  <c r="CJ223" i="35"/>
  <c r="CJ224" i="35"/>
  <c r="CJ226" i="35"/>
  <c r="CJ122" i="35"/>
  <c r="CJ437" i="35"/>
  <c r="CJ474" i="35"/>
  <c r="CJ475" i="35"/>
  <c r="CJ476" i="35"/>
  <c r="CJ477" i="35"/>
  <c r="CJ478" i="35"/>
  <c r="CJ481" i="35"/>
  <c r="CJ482" i="35"/>
  <c r="CJ483" i="35"/>
  <c r="CJ484" i="35"/>
  <c r="CJ485" i="35"/>
  <c r="CJ486" i="35"/>
  <c r="CJ487" i="35"/>
  <c r="CJ488" i="35"/>
  <c r="CJ489" i="35"/>
  <c r="CJ490" i="35"/>
  <c r="CJ492" i="35"/>
  <c r="CJ493" i="35"/>
  <c r="CJ494" i="35"/>
  <c r="CJ495" i="35"/>
  <c r="CJ496" i="35"/>
  <c r="CJ497" i="35"/>
  <c r="CJ498" i="35"/>
  <c r="CJ499" i="35"/>
  <c r="CJ165" i="35"/>
  <c r="CJ388" i="35"/>
  <c r="CJ393" i="35"/>
  <c r="CJ394" i="35"/>
  <c r="CJ395" i="35"/>
  <c r="CJ389" i="35"/>
  <c r="CJ379" i="35"/>
  <c r="CJ380" i="35"/>
  <c r="CJ396" i="35"/>
  <c r="CJ23" i="35"/>
  <c r="CJ501" i="35"/>
  <c r="CJ502" i="35"/>
  <c r="CJ503" i="35"/>
  <c r="CJ511" i="35"/>
  <c r="CJ144" i="35"/>
  <c r="CJ377" i="35"/>
  <c r="CJ14" i="35"/>
  <c r="CJ410" i="35"/>
  <c r="CJ25" i="35"/>
  <c r="CJ55" i="35"/>
  <c r="CJ57" i="35"/>
  <c r="CJ59" i="35"/>
  <c r="CJ61" i="35"/>
  <c r="CJ93" i="35"/>
  <c r="CJ95" i="35"/>
  <c r="CJ97" i="35"/>
  <c r="CJ99" i="35"/>
  <c r="CJ101" i="35"/>
  <c r="CJ102" i="35"/>
  <c r="CJ104" i="35"/>
  <c r="CJ106" i="35"/>
  <c r="CJ107" i="35"/>
  <c r="CJ134" i="35"/>
  <c r="CJ135" i="35"/>
  <c r="CJ136" i="35"/>
  <c r="CJ152" i="35"/>
  <c r="CJ153" i="35"/>
  <c r="CJ154" i="35"/>
  <c r="CJ157" i="35"/>
  <c r="CJ158" i="35"/>
  <c r="CJ159" i="35"/>
  <c r="CJ160" i="35"/>
  <c r="CJ161" i="35"/>
  <c r="CJ162" i="35"/>
  <c r="CJ163" i="35"/>
  <c r="CJ164" i="35"/>
  <c r="CJ183" i="35"/>
  <c r="CJ184" i="35"/>
  <c r="CJ228" i="35"/>
  <c r="CJ230" i="35"/>
  <c r="CJ231" i="35"/>
  <c r="CJ232" i="35"/>
  <c r="CJ233" i="35"/>
  <c r="CJ234" i="35"/>
  <c r="CJ235" i="35"/>
  <c r="CJ236" i="35"/>
  <c r="CJ237" i="35"/>
  <c r="CJ238" i="35"/>
  <c r="CJ239" i="35"/>
  <c r="CJ240" i="35"/>
  <c r="CJ241" i="35"/>
  <c r="CJ242" i="35"/>
  <c r="CJ243" i="35"/>
  <c r="CJ244" i="35"/>
  <c r="CJ245" i="35"/>
  <c r="CJ246" i="35"/>
  <c r="CJ247" i="35"/>
  <c r="CJ285" i="35"/>
  <c r="CJ286" i="35"/>
  <c r="CJ287" i="35"/>
  <c r="CJ288" i="35"/>
  <c r="CJ289" i="35"/>
  <c r="CJ290" i="35"/>
  <c r="CJ291" i="35"/>
  <c r="CJ292" i="35"/>
  <c r="CJ293" i="35"/>
  <c r="CJ294" i="35"/>
  <c r="CJ295" i="35"/>
  <c r="CJ296" i="35"/>
  <c r="CJ297" i="35"/>
  <c r="CJ298" i="35"/>
  <c r="CJ299" i="35"/>
  <c r="CJ300" i="35"/>
  <c r="CJ301" i="35"/>
  <c r="CJ302" i="35"/>
  <c r="CJ303" i="35"/>
  <c r="CJ304" i="35"/>
  <c r="CJ305" i="35"/>
  <c r="CJ345" i="35"/>
  <c r="CJ346" i="35"/>
  <c r="CJ347" i="35"/>
  <c r="CJ348" i="35"/>
  <c r="CJ349" i="35"/>
  <c r="CJ350" i="35"/>
  <c r="CJ351" i="35"/>
  <c r="CJ352" i="35"/>
  <c r="CJ353" i="35"/>
  <c r="CJ354" i="35"/>
  <c r="CJ355" i="35"/>
  <c r="CJ356" i="35"/>
  <c r="CJ357" i="35"/>
  <c r="CJ358" i="35"/>
  <c r="CJ359" i="35"/>
  <c r="CJ360" i="35"/>
  <c r="CJ361" i="35"/>
  <c r="CJ369" i="35"/>
  <c r="CJ370" i="35"/>
  <c r="CJ372" i="35"/>
  <c r="CJ373" i="35"/>
  <c r="CJ374" i="35"/>
  <c r="CJ375" i="35"/>
  <c r="CJ376" i="35"/>
  <c r="CJ398" i="35"/>
  <c r="CJ399" i="35"/>
  <c r="CJ400" i="35"/>
  <c r="CJ401" i="35"/>
  <c r="CJ402" i="35"/>
  <c r="CJ404" i="35"/>
  <c r="CJ405" i="35"/>
  <c r="CJ409" i="35"/>
  <c r="CJ414" i="35"/>
  <c r="CJ415" i="35"/>
  <c r="CJ417" i="35"/>
  <c r="CJ419" i="35"/>
  <c r="CJ420" i="35"/>
  <c r="CJ421" i="35"/>
  <c r="CJ422" i="35"/>
  <c r="CJ423" i="35"/>
  <c r="CJ424" i="35"/>
  <c r="CJ425" i="35"/>
  <c r="CJ426" i="35"/>
  <c r="CJ427" i="35"/>
  <c r="CJ428" i="35"/>
  <c r="CJ429" i="35"/>
  <c r="CJ431" i="35"/>
  <c r="CJ432" i="35"/>
  <c r="CJ433" i="35"/>
  <c r="CJ434" i="35"/>
  <c r="CJ466" i="35"/>
  <c r="CJ467" i="35"/>
  <c r="CJ469" i="35"/>
  <c r="CJ19" i="35"/>
  <c r="CJ306" i="35"/>
  <c r="CJ10" i="35"/>
  <c r="CJ18" i="35"/>
  <c r="CJ24" i="35"/>
  <c r="CJ26" i="35"/>
  <c r="CJ54" i="35"/>
  <c r="CJ56" i="35"/>
  <c r="CJ58" i="35"/>
  <c r="CJ60" i="35"/>
  <c r="CJ94" i="35"/>
  <c r="CJ96" i="35"/>
  <c r="CJ98" i="35"/>
  <c r="CJ100" i="35"/>
  <c r="CJ103" i="35"/>
  <c r="CJ105" i="35"/>
  <c r="CJ108" i="35"/>
  <c r="CJ13" i="35"/>
  <c r="CJ30" i="35"/>
  <c r="CJ31" i="35"/>
  <c r="CJ42" i="35"/>
  <c r="CJ45" i="35"/>
  <c r="CJ46" i="35"/>
  <c r="CJ48" i="35"/>
  <c r="CJ49" i="35"/>
  <c r="CJ132" i="35"/>
  <c r="CJ133" i="35"/>
  <c r="CJ362" i="35"/>
  <c r="CJ363" i="35"/>
  <c r="CJ365" i="35"/>
  <c r="CJ366" i="35"/>
  <c r="CJ408" i="35"/>
  <c r="CJ435" i="35"/>
  <c r="CJ436" i="35"/>
  <c r="CJ471" i="35"/>
  <c r="CJ472" i="35"/>
  <c r="BO408" i="35"/>
  <c r="BN335" i="35"/>
  <c r="BO331" i="35" s="1"/>
  <c r="BF7" i="35"/>
  <c r="BC50" i="35"/>
  <c r="BC225" i="35"/>
  <c r="BF50" i="35"/>
  <c r="BL92" i="35"/>
  <c r="BN92" i="35" s="1"/>
  <c r="CJ92" i="35" s="1"/>
  <c r="BK50" i="35"/>
  <c r="BK6" i="35" s="1"/>
  <c r="Q367" i="35"/>
  <c r="R367" i="35" s="1"/>
  <c r="AE367" i="35" s="1"/>
  <c r="P367" i="35"/>
  <c r="BF225" i="35"/>
  <c r="O151" i="35"/>
  <c r="O50" i="35" s="1"/>
  <c r="N50" i="35"/>
  <c r="N6" i="35" s="1"/>
  <c r="BN227" i="35"/>
  <c r="BO227" i="35" s="1"/>
  <c r="BL225" i="35"/>
  <c r="Q182" i="35"/>
  <c r="CJ182" i="35" s="1"/>
  <c r="BN53" i="35"/>
  <c r="CJ53" i="35" s="1"/>
  <c r="BN180" i="35"/>
  <c r="Q9" i="35"/>
  <c r="CJ9" i="35" s="1"/>
  <c r="P8" i="35"/>
  <c r="BO344" i="35"/>
  <c r="O430" i="35"/>
  <c r="Q430" i="35" s="1"/>
  <c r="R413" i="35" s="1"/>
  <c r="I225" i="35"/>
  <c r="BM406" i="35"/>
  <c r="BN406" i="35"/>
  <c r="BO362" i="35"/>
  <c r="Q506" i="35"/>
  <c r="CJ506" i="35" s="1"/>
  <c r="P504" i="35"/>
  <c r="BO466" i="35"/>
  <c r="Q468" i="35"/>
  <c r="R466" i="35" s="1"/>
  <c r="AE466" i="35" s="1"/>
  <c r="BN510" i="35"/>
  <c r="CJ510" i="35" s="1"/>
  <c r="BM504" i="35"/>
  <c r="R408" i="35"/>
  <c r="AE408" i="35" s="1"/>
  <c r="BN8" i="35"/>
  <c r="BL7" i="35"/>
  <c r="R331" i="35"/>
  <c r="AE331" i="35" s="1"/>
  <c r="P179" i="35"/>
  <c r="BM227" i="35"/>
  <c r="R19" i="35"/>
  <c r="AE19" i="35" s="1"/>
  <c r="P52" i="35"/>
  <c r="R14" i="35"/>
  <c r="AE14" i="35" s="1"/>
  <c r="BM137" i="35"/>
  <c r="P39" i="35"/>
  <c r="BO23" i="35"/>
  <c r="BM42" i="35"/>
  <c r="BO122" i="35"/>
  <c r="P122" i="35"/>
  <c r="BN12" i="35"/>
  <c r="BO14" i="35"/>
  <c r="Q39" i="35"/>
  <c r="R39" i="35" s="1"/>
  <c r="AE39" i="35" s="1"/>
  <c r="BM76" i="35"/>
  <c r="P144" i="35"/>
  <c r="BM144" i="35"/>
  <c r="Q8" i="35"/>
  <c r="BM8" i="35"/>
  <c r="BC7" i="35"/>
  <c r="P14" i="35"/>
  <c r="BM19" i="35"/>
  <c r="P29" i="35"/>
  <c r="Q52" i="35"/>
  <c r="R52" i="35" s="1"/>
  <c r="AE52" i="35" s="1"/>
  <c r="P76" i="35"/>
  <c r="BM62" i="35"/>
  <c r="P250" i="35"/>
  <c r="BN250" i="35"/>
  <c r="BM250" i="35"/>
  <c r="R76" i="35"/>
  <c r="AE76" i="35" s="1"/>
  <c r="Q227" i="35"/>
  <c r="R227" i="35" s="1"/>
  <c r="AE227" i="35" s="1"/>
  <c r="O7" i="35"/>
  <c r="Q17" i="35"/>
  <c r="R17" i="35" s="1"/>
  <c r="AE17" i="35" s="1"/>
  <c r="R23" i="35"/>
  <c r="AE23" i="35" s="1"/>
  <c r="BM23" i="35"/>
  <c r="BM29" i="35"/>
  <c r="BM52" i="35"/>
  <c r="P62" i="35"/>
  <c r="BN76" i="35"/>
  <c r="Q91" i="35"/>
  <c r="R91" i="35" s="1"/>
  <c r="AE91" i="35" s="1"/>
  <c r="P91" i="35"/>
  <c r="R132" i="35"/>
  <c r="AE132" i="35" s="1"/>
  <c r="BO132" i="35"/>
  <c r="BM260" i="35"/>
  <c r="P260" i="35"/>
  <c r="Q262" i="35"/>
  <c r="R306" i="35"/>
  <c r="AE306" i="35" s="1"/>
  <c r="BO306" i="35"/>
  <c r="R344" i="35"/>
  <c r="AE344" i="35" s="1"/>
  <c r="R122" i="35"/>
  <c r="AE122" i="35" s="1"/>
  <c r="P185" i="35"/>
  <c r="Q364" i="35"/>
  <c r="R362" i="35" s="1"/>
  <c r="P362" i="35"/>
  <c r="BO437" i="35"/>
  <c r="P109" i="35"/>
  <c r="P132" i="35"/>
  <c r="R137" i="35"/>
  <c r="AE137" i="35" s="1"/>
  <c r="R165" i="35"/>
  <c r="AE165" i="35" s="1"/>
  <c r="BM185" i="35"/>
  <c r="P284" i="35"/>
  <c r="BM284" i="35"/>
  <c r="BM331" i="35"/>
  <c r="BN137" i="35"/>
  <c r="P165" i="35"/>
  <c r="Q179" i="35"/>
  <c r="P306" i="35"/>
  <c r="BM367" i="35"/>
  <c r="BN367" i="35"/>
  <c r="BN413" i="35"/>
  <c r="BM413" i="35"/>
  <c r="P466" i="35"/>
  <c r="BN470" i="35"/>
  <c r="BM470" i="35"/>
  <c r="Q473" i="35"/>
  <c r="P470" i="35"/>
  <c r="BO377" i="35"/>
  <c r="BO397" i="35"/>
  <c r="BM437" i="35"/>
  <c r="BM362" i="35"/>
  <c r="BM377" i="35"/>
  <c r="R397" i="35"/>
  <c r="AE397" i="35" s="1"/>
  <c r="BM408" i="35"/>
  <c r="BO39" i="35"/>
  <c r="BO42" i="35"/>
  <c r="BO109" i="35"/>
  <c r="BO19" i="35"/>
  <c r="R29" i="35"/>
  <c r="AE29" i="35" s="1"/>
  <c r="BO144" i="35"/>
  <c r="R42" i="35"/>
  <c r="AE42" i="35" s="1"/>
  <c r="BN156" i="35"/>
  <c r="BM151" i="35"/>
  <c r="BN166" i="35"/>
  <c r="BM165" i="35"/>
  <c r="R144" i="35"/>
  <c r="AE144" i="35" s="1"/>
  <c r="P12" i="35"/>
  <c r="P23" i="35"/>
  <c r="BM39" i="35"/>
  <c r="BM14" i="35"/>
  <c r="BN17" i="35"/>
  <c r="P19" i="35"/>
  <c r="P42" i="35"/>
  <c r="BN63" i="35"/>
  <c r="CJ63" i="35" s="1"/>
  <c r="BN29" i="35"/>
  <c r="Q62" i="35"/>
  <c r="R62" i="35" s="1"/>
  <c r="AE62" i="35" s="1"/>
  <c r="BN91" i="35"/>
  <c r="Q109" i="35"/>
  <c r="R109" i="35" s="1"/>
  <c r="AE109" i="35" s="1"/>
  <c r="BM132" i="35"/>
  <c r="BN185" i="35"/>
  <c r="BM109" i="35"/>
  <c r="BM122" i="35"/>
  <c r="P227" i="35"/>
  <c r="BO260" i="35"/>
  <c r="P137" i="35"/>
  <c r="BM179" i="35"/>
  <c r="Q185" i="35"/>
  <c r="R185" i="35" s="1"/>
  <c r="Q250" i="35"/>
  <c r="Q284" i="35"/>
  <c r="R284" i="35" s="1"/>
  <c r="AE284" i="35" s="1"/>
  <c r="P344" i="35"/>
  <c r="BM344" i="35"/>
  <c r="AE377" i="35"/>
  <c r="BN284" i="35"/>
  <c r="BM306" i="35"/>
  <c r="P331" i="35"/>
  <c r="P397" i="35"/>
  <c r="BM397" i="35"/>
  <c r="P437" i="35"/>
  <c r="P377" i="35"/>
  <c r="P406" i="35"/>
  <c r="P408" i="35"/>
  <c r="BM466" i="35"/>
  <c r="Q504" i="35"/>
  <c r="CJ504" i="35" s="1"/>
  <c r="M47" i="27" l="1"/>
  <c r="Q47" i="27" s="1"/>
  <c r="R47" i="27"/>
  <c r="R28" i="27"/>
  <c r="M37" i="27"/>
  <c r="Q37" i="27" s="1"/>
  <c r="M25" i="27"/>
  <c r="Q25" i="27" s="1"/>
  <c r="M26" i="27"/>
  <c r="Q26" i="27" s="1"/>
  <c r="M30" i="27"/>
  <c r="Q30" i="27" s="1"/>
  <c r="M33" i="27"/>
  <c r="Q33" i="27" s="1"/>
  <c r="M27" i="27"/>
  <c r="Q27" i="27" s="1"/>
  <c r="M28" i="27"/>
  <c r="Q28" i="27" s="1"/>
  <c r="M24" i="27"/>
  <c r="Q24" i="27" s="1"/>
  <c r="R27" i="27"/>
  <c r="M53" i="27"/>
  <c r="Q53" i="27" s="1"/>
  <c r="R45" i="27"/>
  <c r="R43" i="27"/>
  <c r="M43" i="27"/>
  <c r="Q43" i="27" s="1"/>
  <c r="M41" i="27"/>
  <c r="Q41" i="27" s="1"/>
  <c r="R26" i="27"/>
  <c r="M48" i="27"/>
  <c r="Q48" i="27" s="1"/>
  <c r="R48" i="27"/>
  <c r="M29" i="27"/>
  <c r="Q29" i="27" s="1"/>
  <c r="M44" i="27"/>
  <c r="Q44" i="27" s="1"/>
  <c r="M50" i="27"/>
  <c r="Q50" i="27" s="1"/>
  <c r="R53" i="27"/>
  <c r="M46" i="27"/>
  <c r="Q46" i="27" s="1"/>
  <c r="R50" i="27"/>
  <c r="M16" i="27"/>
  <c r="Q16" i="27" s="1"/>
  <c r="M19" i="27"/>
  <c r="Q19" i="27" s="1"/>
  <c r="R14" i="27"/>
  <c r="M13" i="27"/>
  <c r="Q13" i="27" s="1"/>
  <c r="M12" i="27"/>
  <c r="Q12" i="27" s="1"/>
  <c r="M23" i="27"/>
  <c r="Q23" i="27" s="1"/>
  <c r="R16" i="27"/>
  <c r="M20" i="27"/>
  <c r="Q20" i="27" s="1"/>
  <c r="R19" i="27"/>
  <c r="M14" i="27"/>
  <c r="Q14" i="27" s="1"/>
  <c r="R20" i="27"/>
  <c r="R37" i="27"/>
  <c r="R30" i="27"/>
  <c r="M17" i="27"/>
  <c r="Q17" i="27" s="1"/>
  <c r="R52" i="27"/>
  <c r="R42" i="27"/>
  <c r="M22" i="27"/>
  <c r="Q22" i="27" s="1"/>
  <c r="M52" i="27"/>
  <c r="Q52" i="27" s="1"/>
  <c r="R44" i="27"/>
  <c r="M42" i="27"/>
  <c r="Q42" i="27" s="1"/>
  <c r="R250" i="35"/>
  <c r="AE250" i="35" s="1"/>
  <c r="R260" i="35"/>
  <c r="BP260" i="35" s="1"/>
  <c r="R40" i="27"/>
  <c r="AE185" i="35"/>
  <c r="BP14" i="35"/>
  <c r="R12" i="27"/>
  <c r="BP39" i="35"/>
  <c r="BP132" i="35"/>
  <c r="BP362" i="35"/>
  <c r="AE362" i="35"/>
  <c r="R8" i="35"/>
  <c r="AE8" i="35" s="1"/>
  <c r="BP42" i="35"/>
  <c r="BP377" i="35"/>
  <c r="BP306" i="35"/>
  <c r="BP23" i="35"/>
  <c r="CJ39" i="35"/>
  <c r="BP408" i="35"/>
  <c r="BP19" i="35"/>
  <c r="BP437" i="35"/>
  <c r="BP122" i="35"/>
  <c r="CJ8" i="35"/>
  <c r="BP227" i="35"/>
  <c r="CJ430" i="35"/>
  <c r="CJ52" i="35"/>
  <c r="BP144" i="35"/>
  <c r="CJ91" i="35"/>
  <c r="BO91" i="35"/>
  <c r="BP109" i="35"/>
  <c r="BP397" i="35"/>
  <c r="R179" i="35"/>
  <c r="AE179" i="35" s="1"/>
  <c r="BP466" i="35"/>
  <c r="BP344" i="35"/>
  <c r="BO284" i="35"/>
  <c r="CJ284" i="35"/>
  <c r="BO413" i="35"/>
  <c r="CJ413" i="35"/>
  <c r="BO406" i="35"/>
  <c r="CJ406" i="35"/>
  <c r="BO367" i="35"/>
  <c r="CJ367" i="35"/>
  <c r="BO29" i="35"/>
  <c r="CJ29" i="35"/>
  <c r="BO137" i="35"/>
  <c r="CJ137" i="35"/>
  <c r="BO76" i="35"/>
  <c r="CJ76" i="35"/>
  <c r="BP331" i="35"/>
  <c r="CJ335" i="35"/>
  <c r="CJ109" i="35"/>
  <c r="CJ468" i="35"/>
  <c r="BO185" i="35"/>
  <c r="CJ185" i="35"/>
  <c r="BO165" i="35"/>
  <c r="CJ166" i="35"/>
  <c r="BO470" i="35"/>
  <c r="CJ470" i="35"/>
  <c r="BO250" i="35"/>
  <c r="CJ250" i="35"/>
  <c r="BO12" i="35"/>
  <c r="CJ12" i="35"/>
  <c r="BO17" i="35"/>
  <c r="CJ17" i="35"/>
  <c r="BO151" i="35"/>
  <c r="CJ156" i="35"/>
  <c r="R470" i="35"/>
  <c r="AE470" i="35" s="1"/>
  <c r="CJ473" i="35"/>
  <c r="BO179" i="35"/>
  <c r="CJ180" i="35"/>
  <c r="CJ227" i="35"/>
  <c r="CJ364" i="35"/>
  <c r="CJ262" i="35"/>
  <c r="CJ179" i="35"/>
  <c r="CJ62" i="35"/>
  <c r="BN50" i="35"/>
  <c r="BO8" i="35"/>
  <c r="BN7" i="35"/>
  <c r="BM7" i="35"/>
  <c r="BC6" i="35"/>
  <c r="BF6" i="35"/>
  <c r="BM91" i="35"/>
  <c r="BM50" i="35" s="1"/>
  <c r="P413" i="35"/>
  <c r="P225" i="35" s="1"/>
  <c r="Q151" i="35"/>
  <c r="Q225" i="35"/>
  <c r="BL50" i="35"/>
  <c r="BL6" i="35" s="1"/>
  <c r="BN225" i="35"/>
  <c r="P151" i="35"/>
  <c r="P50" i="35" s="1"/>
  <c r="BO52" i="35"/>
  <c r="BM225" i="35"/>
  <c r="O225" i="35"/>
  <c r="O6" i="35" s="1"/>
  <c r="R504" i="35"/>
  <c r="BO504" i="35"/>
  <c r="P7" i="35"/>
  <c r="Q7" i="35"/>
  <c r="BO62" i="35"/>
  <c r="R25" i="27" l="1"/>
  <c r="M45" i="27"/>
  <c r="Q45" i="27" s="1"/>
  <c r="M54" i="27"/>
  <c r="Q54" i="27" s="1"/>
  <c r="AE260" i="35"/>
  <c r="M34" i="27"/>
  <c r="Q34" i="27" s="1"/>
  <c r="M35" i="27"/>
  <c r="Q35" i="27" s="1"/>
  <c r="M39" i="27"/>
  <c r="Q39" i="27" s="1"/>
  <c r="R55" i="27"/>
  <c r="R34" i="27"/>
  <c r="R32" i="27"/>
  <c r="R54" i="27"/>
  <c r="R9" i="27"/>
  <c r="M9" i="27"/>
  <c r="Q9" i="27" s="1"/>
  <c r="Q8" i="27" s="1"/>
  <c r="BP406" i="35"/>
  <c r="R49" i="27"/>
  <c r="BP284" i="35"/>
  <c r="R41" i="27"/>
  <c r="BP413" i="35"/>
  <c r="R51" i="27"/>
  <c r="BP62" i="35"/>
  <c r="R23" i="27"/>
  <c r="BP52" i="35"/>
  <c r="R22" i="27"/>
  <c r="BP185" i="35"/>
  <c r="R35" i="27"/>
  <c r="BP91" i="35"/>
  <c r="BP17" i="35"/>
  <c r="R13" i="27"/>
  <c r="BP165" i="35"/>
  <c r="R33" i="27"/>
  <c r="BP76" i="35"/>
  <c r="R24" i="27"/>
  <c r="BP29" i="35"/>
  <c r="R17" i="27"/>
  <c r="BP12" i="35"/>
  <c r="R10" i="27"/>
  <c r="BP137" i="35"/>
  <c r="R29" i="27"/>
  <c r="R7" i="35"/>
  <c r="BP250" i="35"/>
  <c r="R39" i="27"/>
  <c r="BP367" i="35"/>
  <c r="R46" i="27"/>
  <c r="AE7" i="35"/>
  <c r="BP179" i="35"/>
  <c r="R225" i="35"/>
  <c r="AE504" i="35"/>
  <c r="CJ7" i="35"/>
  <c r="BP470" i="35"/>
  <c r="BP504" i="35"/>
  <c r="BP8" i="35"/>
  <c r="CJ225" i="35"/>
  <c r="R151" i="35"/>
  <c r="CJ151" i="35"/>
  <c r="CJ50" i="35" s="1"/>
  <c r="BO7" i="35"/>
  <c r="BN6" i="35"/>
  <c r="BO50" i="35"/>
  <c r="BM6" i="35"/>
  <c r="Q50" i="35"/>
  <c r="Q6" i="35" s="1"/>
  <c r="BO225" i="35"/>
  <c r="P6" i="35"/>
  <c r="J11" i="27"/>
  <c r="K11" i="27" s="1"/>
  <c r="I8" i="27"/>
  <c r="J15" i="27"/>
  <c r="K15" i="27" s="1"/>
  <c r="J18" i="27"/>
  <c r="K18" i="27" s="1"/>
  <c r="I21" i="27"/>
  <c r="J31" i="27"/>
  <c r="K31" i="27" s="1"/>
  <c r="M8" i="27" l="1"/>
  <c r="M40" i="27"/>
  <c r="Q40" i="27" s="1"/>
  <c r="R21" i="27"/>
  <c r="BP7" i="35"/>
  <c r="R8" i="27"/>
  <c r="AE225" i="35"/>
  <c r="M55" i="27"/>
  <c r="R36" i="27"/>
  <c r="BP225" i="35"/>
  <c r="R50" i="35"/>
  <c r="R6" i="35" s="1"/>
  <c r="AE151" i="35"/>
  <c r="BP151" i="35"/>
  <c r="BP50" i="35" s="1"/>
  <c r="CJ6" i="35"/>
  <c r="CL6" i="35" s="1"/>
  <c r="BO6" i="35"/>
  <c r="I36" i="27"/>
  <c r="I7" i="27" s="1"/>
  <c r="M32" i="27" l="1"/>
  <c r="R7" i="27"/>
  <c r="Q55" i="27"/>
  <c r="Q36" i="27" s="1"/>
  <c r="M36" i="27"/>
  <c r="AE50" i="35"/>
  <c r="AE6" i="35" s="1"/>
  <c r="BP6" i="35"/>
  <c r="BP5" i="35"/>
  <c r="M21" i="27" l="1"/>
  <c r="M7" i="27" s="1"/>
  <c r="Q32" i="27"/>
  <c r="Q21" i="27" s="1"/>
  <c r="Q7" i="27" s="1"/>
  <c r="BR315" i="29"/>
  <c r="BR310" i="29"/>
  <c r="BR323" i="29"/>
  <c r="BR309" i="29"/>
  <c r="BX13" i="29"/>
  <c r="BX15" i="29"/>
  <c r="BX50" i="29"/>
  <c r="BX226" i="29"/>
  <c r="BX247" i="29"/>
  <c r="BX248" i="29"/>
  <c r="BX249" i="29"/>
  <c r="BX371" i="29"/>
  <c r="BX402" i="29"/>
  <c r="BV203" i="29"/>
  <c r="BR162" i="29" l="1"/>
  <c r="BR156" i="29"/>
  <c r="AC44" i="29"/>
  <c r="AF44" i="29"/>
  <c r="AK44" i="29"/>
  <c r="AN44" i="29"/>
  <c r="AQ44" i="29"/>
  <c r="AV44" i="29"/>
  <c r="AZ44" i="29"/>
  <c r="BC44" i="29"/>
  <c r="BN44" i="29"/>
  <c r="BP44" i="29"/>
  <c r="BS44" i="29"/>
  <c r="BV44" i="29"/>
  <c r="CG44" i="29"/>
  <c r="CJ44" i="29"/>
  <c r="CL44" i="29"/>
  <c r="CO44" i="29"/>
  <c r="CT44" i="29"/>
  <c r="CW44" i="29"/>
  <c r="CY44" i="29"/>
  <c r="DB44" i="29"/>
  <c r="BV508" i="29"/>
  <c r="BV140" i="29"/>
  <c r="BV141" i="29"/>
  <c r="BV139" i="29"/>
  <c r="DL44" i="29" l="1"/>
  <c r="BE44" i="29"/>
  <c r="BI44" i="29"/>
  <c r="DG44" i="29"/>
  <c r="DH44" i="29"/>
  <c r="AS44" i="29"/>
  <c r="BG44" i="29"/>
  <c r="BX44" i="29"/>
  <c r="BK44" i="29" l="1"/>
  <c r="BZ44" i="29" s="1"/>
  <c r="AL328" i="33" l="1"/>
  <c r="A246" i="33"/>
  <c r="A54" i="33"/>
  <c r="Y10" i="33"/>
  <c r="Y9" i="33" s="1"/>
  <c r="W10" i="33"/>
  <c r="W9" i="33" s="1"/>
  <c r="V10" i="33"/>
  <c r="S10" i="33"/>
  <c r="Q10" i="33"/>
  <c r="P10" i="33"/>
  <c r="O10" i="33"/>
  <c r="N10" i="33"/>
  <c r="M10" i="33"/>
  <c r="L10" i="33"/>
  <c r="F9" i="33"/>
  <c r="V9" i="33" l="1"/>
  <c r="P9" i="33"/>
  <c r="S9" i="33"/>
  <c r="M9" i="33"/>
  <c r="H14" i="27"/>
  <c r="T10" i="33"/>
  <c r="X10" i="33"/>
  <c r="H16" i="27"/>
  <c r="H25" i="27"/>
  <c r="H40" i="27"/>
  <c r="H41" i="27"/>
  <c r="H43" i="27"/>
  <c r="H22" i="27"/>
  <c r="H23" i="27"/>
  <c r="O9" i="33"/>
  <c r="L9" i="33"/>
  <c r="H12" i="27"/>
  <c r="H9" i="27"/>
  <c r="H24" i="27"/>
  <c r="H44" i="27"/>
  <c r="H46" i="27"/>
  <c r="H50" i="27"/>
  <c r="H45" i="27" l="1"/>
  <c r="H47" i="27"/>
  <c r="H49" i="27"/>
  <c r="H19" i="27"/>
  <c r="H13" i="27"/>
  <c r="H51" i="27"/>
  <c r="H10" i="27"/>
  <c r="H42" i="27"/>
  <c r="H39" i="27"/>
  <c r="H38" i="27"/>
  <c r="Q9" i="33"/>
  <c r="N9" i="33"/>
  <c r="H48" i="27"/>
  <c r="H21" i="27"/>
  <c r="H52" i="27"/>
  <c r="T9" i="33"/>
  <c r="U10" i="33"/>
  <c r="X9" i="33"/>
  <c r="H37" i="27"/>
  <c r="H8" i="27" l="1"/>
  <c r="AK10" i="33"/>
  <c r="AJ10" i="33"/>
  <c r="AJ9" i="33" s="1"/>
  <c r="AA10" i="33"/>
  <c r="U9" i="33"/>
  <c r="H36" i="27"/>
  <c r="H7" i="27" s="1"/>
  <c r="AN54" i="33"/>
  <c r="AN246" i="33"/>
  <c r="AK9" i="33" l="1"/>
  <c r="AA9" i="33"/>
  <c r="AN9" i="33" s="1"/>
  <c r="BR159" i="29" l="1"/>
  <c r="AV63" i="29" l="1"/>
  <c r="G49" i="27" l="1"/>
  <c r="J49" i="27" s="1"/>
  <c r="K49" i="27" s="1"/>
  <c r="BC219" i="29" l="1"/>
  <c r="CL219" i="29"/>
  <c r="CL203" i="29"/>
  <c r="DC248" i="29" l="1"/>
  <c r="CJ511" i="29"/>
  <c r="CG511" i="29"/>
  <c r="CJ510" i="29"/>
  <c r="CG510" i="29"/>
  <c r="CJ509" i="29"/>
  <c r="CG509" i="29"/>
  <c r="CJ508" i="29"/>
  <c r="CG508" i="29"/>
  <c r="CJ507" i="29"/>
  <c r="CG507" i="29"/>
  <c r="CJ506" i="29"/>
  <c r="CG506" i="29"/>
  <c r="CJ505" i="29"/>
  <c r="CG505" i="29"/>
  <c r="CJ504" i="29"/>
  <c r="CG504" i="29"/>
  <c r="CJ503" i="29"/>
  <c r="CG503" i="29"/>
  <c r="CJ502" i="29"/>
  <c r="CG502" i="29"/>
  <c r="CJ501" i="29"/>
  <c r="CG501" i="29"/>
  <c r="CJ499" i="29"/>
  <c r="CG499" i="29"/>
  <c r="CJ498" i="29"/>
  <c r="CG498" i="29"/>
  <c r="CJ497" i="29"/>
  <c r="CG497" i="29"/>
  <c r="CJ496" i="29"/>
  <c r="CG496" i="29"/>
  <c r="CJ495" i="29"/>
  <c r="CG495" i="29"/>
  <c r="CJ494" i="29"/>
  <c r="CG494" i="29"/>
  <c r="CJ493" i="29"/>
  <c r="CG493" i="29"/>
  <c r="CJ492" i="29"/>
  <c r="CG492" i="29"/>
  <c r="CJ490" i="29"/>
  <c r="CG490" i="29"/>
  <c r="CJ489" i="29"/>
  <c r="CG489" i="29"/>
  <c r="CJ488" i="29"/>
  <c r="CG488" i="29"/>
  <c r="CJ487" i="29"/>
  <c r="CG487" i="29"/>
  <c r="CJ486" i="29"/>
  <c r="CG486" i="29"/>
  <c r="CJ485" i="29"/>
  <c r="CG485" i="29"/>
  <c r="CJ484" i="29"/>
  <c r="CG484" i="29"/>
  <c r="CJ483" i="29"/>
  <c r="CG483" i="29"/>
  <c r="CJ482" i="29"/>
  <c r="CG482" i="29"/>
  <c r="CJ481" i="29"/>
  <c r="CG481" i="29"/>
  <c r="CJ478" i="29"/>
  <c r="CG478" i="29"/>
  <c r="CJ477" i="29"/>
  <c r="CG477" i="29"/>
  <c r="CJ476" i="29"/>
  <c r="CG476" i="29"/>
  <c r="CJ475" i="29"/>
  <c r="CG475" i="29"/>
  <c r="CJ474" i="29"/>
  <c r="CG474" i="29"/>
  <c r="CJ473" i="29"/>
  <c r="CG473" i="29"/>
  <c r="CJ472" i="29"/>
  <c r="CG472" i="29"/>
  <c r="CJ471" i="29"/>
  <c r="CG471" i="29"/>
  <c r="CJ470" i="29"/>
  <c r="CG470" i="29"/>
  <c r="CJ469" i="29"/>
  <c r="CG469" i="29"/>
  <c r="CJ468" i="29"/>
  <c r="CG468" i="29"/>
  <c r="CJ467" i="29"/>
  <c r="CG467" i="29"/>
  <c r="CJ466" i="29"/>
  <c r="CG466" i="29"/>
  <c r="CJ465" i="29"/>
  <c r="CG465" i="29"/>
  <c r="CJ464" i="29"/>
  <c r="CG464" i="29"/>
  <c r="CJ463" i="29"/>
  <c r="CG463" i="29"/>
  <c r="CJ462" i="29"/>
  <c r="CG462" i="29"/>
  <c r="CJ461" i="29"/>
  <c r="CG461" i="29"/>
  <c r="CJ460" i="29"/>
  <c r="CG460" i="29"/>
  <c r="CJ459" i="29"/>
  <c r="CG459" i="29"/>
  <c r="CJ458" i="29"/>
  <c r="CG458" i="29"/>
  <c r="CJ457" i="29"/>
  <c r="CG457" i="29"/>
  <c r="CJ455" i="29"/>
  <c r="CG455" i="29"/>
  <c r="CJ454" i="29"/>
  <c r="CG454" i="29"/>
  <c r="CJ453" i="29"/>
  <c r="CG453" i="29"/>
  <c r="CJ452" i="29"/>
  <c r="CG452" i="29"/>
  <c r="CJ451" i="29"/>
  <c r="CG451" i="29"/>
  <c r="CJ450" i="29"/>
  <c r="CG450" i="29"/>
  <c r="CJ449" i="29"/>
  <c r="CG449" i="29"/>
  <c r="CJ448" i="29"/>
  <c r="CG448" i="29"/>
  <c r="CJ447" i="29"/>
  <c r="CG447" i="29"/>
  <c r="CJ446" i="29"/>
  <c r="CG446" i="29"/>
  <c r="CJ445" i="29"/>
  <c r="CG445" i="29"/>
  <c r="CJ444" i="29"/>
  <c r="CG444" i="29"/>
  <c r="CJ443" i="29"/>
  <c r="CG443" i="29"/>
  <c r="CJ442" i="29"/>
  <c r="CG442" i="29"/>
  <c r="CJ441" i="29"/>
  <c r="CG441" i="29"/>
  <c r="CJ440" i="29"/>
  <c r="CG440" i="29"/>
  <c r="CJ439" i="29"/>
  <c r="CG439" i="29"/>
  <c r="CJ438" i="29"/>
  <c r="CG438" i="29"/>
  <c r="CJ437" i="29"/>
  <c r="CG437" i="29"/>
  <c r="CJ436" i="29"/>
  <c r="CG436" i="29"/>
  <c r="CJ435" i="29"/>
  <c r="CG435" i="29"/>
  <c r="CJ434" i="29"/>
  <c r="CG434" i="29"/>
  <c r="CJ433" i="29"/>
  <c r="CG433" i="29"/>
  <c r="CJ432" i="29"/>
  <c r="CG432" i="29"/>
  <c r="CJ431" i="29"/>
  <c r="CG431" i="29"/>
  <c r="CJ430" i="29"/>
  <c r="CG430" i="29"/>
  <c r="CJ429" i="29"/>
  <c r="CG429" i="29"/>
  <c r="CJ428" i="29"/>
  <c r="CG428" i="29"/>
  <c r="CJ427" i="29"/>
  <c r="CG427" i="29"/>
  <c r="CJ426" i="29"/>
  <c r="CG426" i="29"/>
  <c r="CJ425" i="29"/>
  <c r="CG425" i="29"/>
  <c r="CJ424" i="29"/>
  <c r="CG424" i="29"/>
  <c r="CJ423" i="29"/>
  <c r="CG423" i="29"/>
  <c r="CJ422" i="29"/>
  <c r="CG422" i="29"/>
  <c r="CJ421" i="29"/>
  <c r="CG421" i="29"/>
  <c r="CJ420" i="29"/>
  <c r="CG420" i="29"/>
  <c r="CJ419" i="29"/>
  <c r="CG419" i="29"/>
  <c r="CJ418" i="29"/>
  <c r="CG418" i="29"/>
  <c r="CJ416" i="29"/>
  <c r="CG416" i="29"/>
  <c r="CJ414" i="29"/>
  <c r="CG414" i="29"/>
  <c r="CJ413" i="29"/>
  <c r="CG413" i="29"/>
  <c r="CJ412" i="29"/>
  <c r="CG412" i="29"/>
  <c r="CJ411" i="29"/>
  <c r="CG411" i="29"/>
  <c r="CJ410" i="29"/>
  <c r="CG410" i="29"/>
  <c r="CJ409" i="29"/>
  <c r="CG409" i="29"/>
  <c r="CJ408" i="29"/>
  <c r="CG408" i="29"/>
  <c r="CJ407" i="29"/>
  <c r="CG407" i="29"/>
  <c r="CJ406" i="29"/>
  <c r="CG406" i="29"/>
  <c r="CJ405" i="29"/>
  <c r="CG405" i="29"/>
  <c r="CJ403" i="29"/>
  <c r="CG403" i="29"/>
  <c r="CJ401" i="29"/>
  <c r="CG401" i="29"/>
  <c r="CJ399" i="29"/>
  <c r="CG399" i="29"/>
  <c r="CJ396" i="29"/>
  <c r="CG396" i="29"/>
  <c r="CJ395" i="29"/>
  <c r="CG395" i="29"/>
  <c r="CJ380" i="29"/>
  <c r="CG380" i="29"/>
  <c r="CJ379" i="29"/>
  <c r="CG379" i="29"/>
  <c r="CJ388" i="29"/>
  <c r="CG388" i="29"/>
  <c r="CJ394" i="29"/>
  <c r="CG394" i="29"/>
  <c r="CJ393" i="29"/>
  <c r="CG393" i="29"/>
  <c r="CJ392" i="29"/>
  <c r="CG392" i="29"/>
  <c r="CJ387" i="29"/>
  <c r="CG387" i="29"/>
  <c r="CJ391" i="29"/>
  <c r="CG391" i="29"/>
  <c r="CJ390" i="29"/>
  <c r="CG390" i="29"/>
  <c r="CJ389" i="29"/>
  <c r="CG389" i="29"/>
  <c r="CJ386" i="29"/>
  <c r="CG386" i="29"/>
  <c r="CJ384" i="29"/>
  <c r="CG384" i="29"/>
  <c r="CJ385" i="29"/>
  <c r="CG385" i="29"/>
  <c r="CJ383" i="29"/>
  <c r="CG383" i="29"/>
  <c r="CJ382" i="29"/>
  <c r="CG382" i="29"/>
  <c r="CJ381" i="29"/>
  <c r="CG381" i="29"/>
  <c r="CJ378" i="29"/>
  <c r="CG378" i="29"/>
  <c r="CJ377" i="29"/>
  <c r="CG377" i="29"/>
  <c r="CJ376" i="29"/>
  <c r="CG376" i="29"/>
  <c r="CJ375" i="29"/>
  <c r="CG375" i="29"/>
  <c r="CJ374" i="29"/>
  <c r="CG374" i="29"/>
  <c r="CJ373" i="29"/>
  <c r="CG373" i="29"/>
  <c r="CJ372" i="29"/>
  <c r="CG372" i="29"/>
  <c r="CJ370" i="29"/>
  <c r="CG370" i="29"/>
  <c r="CJ369" i="29"/>
  <c r="CG369" i="29"/>
  <c r="CJ368" i="29"/>
  <c r="CG368" i="29"/>
  <c r="CJ367" i="29"/>
  <c r="CG367" i="29"/>
  <c r="CJ366" i="29"/>
  <c r="CG366" i="29"/>
  <c r="CJ365" i="29"/>
  <c r="CG365" i="29"/>
  <c r="CJ364" i="29"/>
  <c r="CG364" i="29"/>
  <c r="CJ363" i="29"/>
  <c r="CG363" i="29"/>
  <c r="CJ362" i="29"/>
  <c r="CG362" i="29"/>
  <c r="CJ361" i="29"/>
  <c r="CG361" i="29"/>
  <c r="CJ360" i="29"/>
  <c r="CG360" i="29"/>
  <c r="CJ359" i="29"/>
  <c r="CG359" i="29"/>
  <c r="CJ358" i="29"/>
  <c r="CG358" i="29"/>
  <c r="CJ357" i="29"/>
  <c r="CG357" i="29"/>
  <c r="CJ356" i="29"/>
  <c r="CG356" i="29"/>
  <c r="CJ355" i="29"/>
  <c r="CG355" i="29"/>
  <c r="CJ354" i="29"/>
  <c r="CG354" i="29"/>
  <c r="CJ353" i="29"/>
  <c r="CG353" i="29"/>
  <c r="CJ352" i="29"/>
  <c r="CG352" i="29"/>
  <c r="CJ351" i="29"/>
  <c r="CG351" i="29"/>
  <c r="CJ350" i="29"/>
  <c r="CG350" i="29"/>
  <c r="CJ349" i="29"/>
  <c r="CG349" i="29"/>
  <c r="CJ348" i="29"/>
  <c r="CG348" i="29"/>
  <c r="CJ347" i="29"/>
  <c r="CG347" i="29"/>
  <c r="CJ346" i="29"/>
  <c r="CG346" i="29"/>
  <c r="CJ345" i="29"/>
  <c r="CG345" i="29"/>
  <c r="CJ344" i="29"/>
  <c r="CG344" i="29"/>
  <c r="CJ343" i="29"/>
  <c r="CG343" i="29"/>
  <c r="CJ342" i="29"/>
  <c r="CG342" i="29"/>
  <c r="CJ341" i="29"/>
  <c r="CG341" i="29"/>
  <c r="CJ340" i="29"/>
  <c r="CG340" i="29"/>
  <c r="CJ339" i="29"/>
  <c r="CG339" i="29"/>
  <c r="CJ338" i="29"/>
  <c r="CG338" i="29"/>
  <c r="CJ337" i="29"/>
  <c r="CG337" i="29"/>
  <c r="CJ336" i="29"/>
  <c r="CG336" i="29"/>
  <c r="CJ335" i="29"/>
  <c r="CG335" i="29"/>
  <c r="CJ334" i="29"/>
  <c r="CG334" i="29"/>
  <c r="CJ333" i="29"/>
  <c r="CG333" i="29"/>
  <c r="CJ332" i="29"/>
  <c r="CG332" i="29"/>
  <c r="CJ331" i="29"/>
  <c r="CG331" i="29"/>
  <c r="CJ329" i="29"/>
  <c r="CG329" i="29"/>
  <c r="CJ328" i="29"/>
  <c r="CG328" i="29"/>
  <c r="CJ327" i="29"/>
  <c r="CG327" i="29"/>
  <c r="CJ326" i="29"/>
  <c r="CG326" i="29"/>
  <c r="CJ325" i="29"/>
  <c r="CG325" i="29"/>
  <c r="CJ324" i="29"/>
  <c r="CG324" i="29"/>
  <c r="CJ323" i="29"/>
  <c r="CG323" i="29"/>
  <c r="CJ322" i="29"/>
  <c r="CG322" i="29"/>
  <c r="CJ321" i="29"/>
  <c r="CG321" i="29"/>
  <c r="CJ320" i="29"/>
  <c r="CG320" i="29"/>
  <c r="CJ319" i="29"/>
  <c r="CG319" i="29"/>
  <c r="CJ318" i="29"/>
  <c r="CG318" i="29"/>
  <c r="CJ317" i="29"/>
  <c r="CG317" i="29"/>
  <c r="CJ316" i="29"/>
  <c r="CG316" i="29"/>
  <c r="CJ315" i="29"/>
  <c r="CG315" i="29"/>
  <c r="CJ314" i="29"/>
  <c r="CG314" i="29"/>
  <c r="CJ313" i="29"/>
  <c r="CG313" i="29"/>
  <c r="CJ312" i="29"/>
  <c r="CG312" i="29"/>
  <c r="CJ311" i="29"/>
  <c r="CG311" i="29"/>
  <c r="CJ310" i="29"/>
  <c r="CG310" i="29"/>
  <c r="CJ309" i="29"/>
  <c r="CG309" i="29"/>
  <c r="CJ308" i="29"/>
  <c r="CG308" i="29"/>
  <c r="CJ307" i="29"/>
  <c r="CG307" i="29"/>
  <c r="CJ306" i="29"/>
  <c r="CG306" i="29"/>
  <c r="CJ305" i="29"/>
  <c r="CG305" i="29"/>
  <c r="CJ304" i="29"/>
  <c r="CG304" i="29"/>
  <c r="CJ303" i="29"/>
  <c r="CG303" i="29"/>
  <c r="CJ302" i="29"/>
  <c r="CG302" i="29"/>
  <c r="CJ301" i="29"/>
  <c r="CG301" i="29"/>
  <c r="CJ300" i="29"/>
  <c r="CG300" i="29"/>
  <c r="CJ299" i="29"/>
  <c r="CG299" i="29"/>
  <c r="CJ298" i="29"/>
  <c r="CG298" i="29"/>
  <c r="CJ297" i="29"/>
  <c r="CG297" i="29"/>
  <c r="CJ296" i="29"/>
  <c r="CG296" i="29"/>
  <c r="CJ295" i="29"/>
  <c r="CG295" i="29"/>
  <c r="CJ294" i="29"/>
  <c r="CG294" i="29"/>
  <c r="CJ293" i="29"/>
  <c r="CG293" i="29"/>
  <c r="CJ292" i="29"/>
  <c r="CG292" i="29"/>
  <c r="CJ291" i="29"/>
  <c r="CG291" i="29"/>
  <c r="CJ290" i="29"/>
  <c r="CG290" i="29"/>
  <c r="CJ289" i="29"/>
  <c r="CG289" i="29"/>
  <c r="CJ288" i="29"/>
  <c r="CG288" i="29"/>
  <c r="CJ287" i="29"/>
  <c r="CG287" i="29"/>
  <c r="CJ286" i="29"/>
  <c r="CG286" i="29"/>
  <c r="CJ285" i="29"/>
  <c r="CG285" i="29"/>
  <c r="CJ284" i="29"/>
  <c r="CG284" i="29"/>
  <c r="CJ283" i="29"/>
  <c r="CG283" i="29"/>
  <c r="CJ282" i="29"/>
  <c r="CG282" i="29"/>
  <c r="CJ281" i="29"/>
  <c r="CG281" i="29"/>
  <c r="CJ280" i="29"/>
  <c r="CG280" i="29"/>
  <c r="CJ279" i="29"/>
  <c r="CG279" i="29"/>
  <c r="CJ278" i="29"/>
  <c r="CG278" i="29"/>
  <c r="CJ277" i="29"/>
  <c r="CG277" i="29"/>
  <c r="CJ276" i="29"/>
  <c r="CG276" i="29"/>
  <c r="CJ275" i="29"/>
  <c r="CG275" i="29"/>
  <c r="CJ274" i="29"/>
  <c r="CG274" i="29"/>
  <c r="CJ273" i="29"/>
  <c r="CG273" i="29"/>
  <c r="CJ272" i="29"/>
  <c r="CG272" i="29"/>
  <c r="CJ271" i="29"/>
  <c r="CG271" i="29"/>
  <c r="CJ270" i="29"/>
  <c r="CG270" i="29"/>
  <c r="CJ269" i="29"/>
  <c r="CG269" i="29"/>
  <c r="CJ268" i="29"/>
  <c r="CG268" i="29"/>
  <c r="CJ267" i="29"/>
  <c r="CG267" i="29"/>
  <c r="CJ266" i="29"/>
  <c r="CG266" i="29"/>
  <c r="CJ265" i="29"/>
  <c r="CG265" i="29"/>
  <c r="CJ264" i="29"/>
  <c r="CG264" i="29"/>
  <c r="CJ263" i="29"/>
  <c r="CG263" i="29"/>
  <c r="CJ262" i="29"/>
  <c r="CG262" i="29"/>
  <c r="CJ261" i="29"/>
  <c r="CG261" i="29"/>
  <c r="CJ260" i="29"/>
  <c r="CG260" i="29"/>
  <c r="CJ259" i="29"/>
  <c r="CG259" i="29"/>
  <c r="CJ258" i="29"/>
  <c r="CG258" i="29"/>
  <c r="CJ257" i="29"/>
  <c r="CG257" i="29"/>
  <c r="CJ256" i="29"/>
  <c r="CG256" i="29"/>
  <c r="CJ255" i="29"/>
  <c r="CG255" i="29"/>
  <c r="CJ254" i="29"/>
  <c r="CG254" i="29"/>
  <c r="CJ253" i="29"/>
  <c r="CG253" i="29"/>
  <c r="CJ252" i="29"/>
  <c r="CG252" i="29"/>
  <c r="CJ251" i="29"/>
  <c r="CG251" i="29"/>
  <c r="CJ250" i="29"/>
  <c r="CG250" i="29"/>
  <c r="CJ245" i="29"/>
  <c r="CG245" i="29"/>
  <c r="CJ244" i="29"/>
  <c r="CG244" i="29"/>
  <c r="CJ243" i="29"/>
  <c r="CG243" i="29"/>
  <c r="CJ242" i="29"/>
  <c r="CG242" i="29"/>
  <c r="CJ241" i="29"/>
  <c r="CG241" i="29"/>
  <c r="CJ240" i="29"/>
  <c r="CG240" i="29"/>
  <c r="CJ239" i="29"/>
  <c r="CG239" i="29"/>
  <c r="CJ238" i="29"/>
  <c r="CG238" i="29"/>
  <c r="CJ237" i="29"/>
  <c r="CG237" i="29"/>
  <c r="CJ236" i="29"/>
  <c r="CG236" i="29"/>
  <c r="CJ235" i="29"/>
  <c r="CG235" i="29"/>
  <c r="CJ234" i="29"/>
  <c r="CG234" i="29"/>
  <c r="CJ233" i="29"/>
  <c r="CG233" i="29"/>
  <c r="CJ232" i="29"/>
  <c r="CG232" i="29"/>
  <c r="CJ231" i="29"/>
  <c r="CG231" i="29"/>
  <c r="CJ230" i="29"/>
  <c r="CG230" i="29"/>
  <c r="CJ228" i="29"/>
  <c r="CG228" i="29"/>
  <c r="CJ227" i="29"/>
  <c r="CG227" i="29"/>
  <c r="CJ226" i="29"/>
  <c r="CG226" i="29"/>
  <c r="CJ223" i="29"/>
  <c r="CG223" i="29"/>
  <c r="CJ222" i="29"/>
  <c r="CG222" i="29"/>
  <c r="CJ221" i="29"/>
  <c r="CG221" i="29"/>
  <c r="CJ220" i="29"/>
  <c r="CG220" i="29"/>
  <c r="CJ219" i="29"/>
  <c r="CG219" i="29"/>
  <c r="CJ218" i="29"/>
  <c r="CG218" i="29"/>
  <c r="CJ217" i="29"/>
  <c r="CG217" i="29"/>
  <c r="CJ216" i="29"/>
  <c r="CG216" i="29"/>
  <c r="CJ215" i="29"/>
  <c r="CG215" i="29"/>
  <c r="CJ214" i="29"/>
  <c r="CG214" i="29"/>
  <c r="CJ213" i="29"/>
  <c r="CG213" i="29"/>
  <c r="CJ212" i="29"/>
  <c r="CG212" i="29"/>
  <c r="CJ211" i="29"/>
  <c r="CG211" i="29"/>
  <c r="CJ210" i="29"/>
  <c r="CG210" i="29"/>
  <c r="CJ209" i="29"/>
  <c r="CG209" i="29"/>
  <c r="CJ208" i="29"/>
  <c r="CG208" i="29"/>
  <c r="CJ207" i="29"/>
  <c r="CG207" i="29"/>
  <c r="CJ206" i="29"/>
  <c r="CG206" i="29"/>
  <c r="CJ205" i="29"/>
  <c r="CG205" i="29"/>
  <c r="CJ204" i="29"/>
  <c r="CG204" i="29"/>
  <c r="CJ202" i="29"/>
  <c r="CG202" i="29"/>
  <c r="CJ201" i="29"/>
  <c r="CG201" i="29"/>
  <c r="CJ200" i="29"/>
  <c r="CG200" i="29"/>
  <c r="CJ199" i="29"/>
  <c r="CG199" i="29"/>
  <c r="CJ198" i="29"/>
  <c r="CG198" i="29"/>
  <c r="CJ197" i="29"/>
  <c r="CG197" i="29"/>
  <c r="CJ196" i="29"/>
  <c r="CG196" i="29"/>
  <c r="CJ195" i="29"/>
  <c r="CG195" i="29"/>
  <c r="CJ194" i="29"/>
  <c r="CG194" i="29"/>
  <c r="CJ193" i="29"/>
  <c r="CG193" i="29"/>
  <c r="CJ192" i="29"/>
  <c r="CG192" i="29"/>
  <c r="CJ191" i="29"/>
  <c r="CG191" i="29"/>
  <c r="CJ190" i="29"/>
  <c r="CG190" i="29"/>
  <c r="CJ189" i="29"/>
  <c r="CG189" i="29"/>
  <c r="CJ188" i="29"/>
  <c r="CG188" i="29"/>
  <c r="CJ187" i="29"/>
  <c r="CG187" i="29"/>
  <c r="CJ186" i="29"/>
  <c r="CG186" i="29"/>
  <c r="CJ185" i="29"/>
  <c r="CG185" i="29"/>
  <c r="CJ184" i="29"/>
  <c r="CG184" i="29"/>
  <c r="CJ182" i="29"/>
  <c r="CG182" i="29"/>
  <c r="CJ183" i="29"/>
  <c r="CG183" i="29"/>
  <c r="CJ180" i="29"/>
  <c r="CG180" i="29"/>
  <c r="CJ179" i="29"/>
  <c r="CG179" i="29"/>
  <c r="CJ177" i="29"/>
  <c r="CG177" i="29"/>
  <c r="CJ176" i="29"/>
  <c r="CG176" i="29"/>
  <c r="CJ175" i="29"/>
  <c r="CG175" i="29"/>
  <c r="CJ174" i="29"/>
  <c r="CG174" i="29"/>
  <c r="CJ173" i="29"/>
  <c r="CG173" i="29"/>
  <c r="CJ171" i="29"/>
  <c r="CG171" i="29"/>
  <c r="CJ170" i="29"/>
  <c r="CG170" i="29"/>
  <c r="CJ169" i="29"/>
  <c r="CG169" i="29"/>
  <c r="CJ168" i="29"/>
  <c r="CG168" i="29"/>
  <c r="CJ167" i="29"/>
  <c r="CG167" i="29"/>
  <c r="CJ166" i="29"/>
  <c r="CG166" i="29"/>
  <c r="CJ165" i="29"/>
  <c r="CG165" i="29"/>
  <c r="CJ164" i="29"/>
  <c r="CG164" i="29"/>
  <c r="CJ163" i="29"/>
  <c r="CG163" i="29"/>
  <c r="CJ162" i="29"/>
  <c r="CG162" i="29"/>
  <c r="CJ161" i="29"/>
  <c r="CG161" i="29"/>
  <c r="CJ160" i="29"/>
  <c r="CG160" i="29"/>
  <c r="CJ159" i="29"/>
  <c r="CG159" i="29"/>
  <c r="CJ158" i="29"/>
  <c r="CG158" i="29"/>
  <c r="CJ157" i="29"/>
  <c r="CG157" i="29"/>
  <c r="CJ155" i="29"/>
  <c r="CG155" i="29"/>
  <c r="CJ153" i="29"/>
  <c r="CG153" i="29"/>
  <c r="CJ152" i="29"/>
  <c r="CG152" i="29"/>
  <c r="CJ151" i="29"/>
  <c r="CG151" i="29"/>
  <c r="CJ150" i="29"/>
  <c r="CG150" i="29"/>
  <c r="CJ149" i="29"/>
  <c r="CG149" i="29"/>
  <c r="CJ148" i="29"/>
  <c r="CG148" i="29"/>
  <c r="CJ147" i="29"/>
  <c r="CG147" i="29"/>
  <c r="CJ146" i="29"/>
  <c r="CG146" i="29"/>
  <c r="CJ143" i="29"/>
  <c r="CG143" i="29"/>
  <c r="CJ142" i="29"/>
  <c r="CG142" i="29"/>
  <c r="CJ141" i="29"/>
  <c r="CG141" i="29"/>
  <c r="CJ140" i="29"/>
  <c r="CG140" i="29"/>
  <c r="CJ139" i="29"/>
  <c r="CG139" i="29"/>
  <c r="CJ138" i="29"/>
  <c r="CG138" i="29"/>
  <c r="CJ137" i="29"/>
  <c r="CG137" i="29"/>
  <c r="CJ136" i="29"/>
  <c r="CG136" i="29"/>
  <c r="CJ135" i="29"/>
  <c r="CG135" i="29"/>
  <c r="CJ134" i="29"/>
  <c r="CG134" i="29"/>
  <c r="CJ133" i="29"/>
  <c r="CG133" i="29"/>
  <c r="CJ132" i="29"/>
  <c r="CG132" i="29"/>
  <c r="CJ131" i="29"/>
  <c r="CG131" i="29"/>
  <c r="CJ130" i="29"/>
  <c r="CG130" i="29"/>
  <c r="CJ129" i="29"/>
  <c r="CG129" i="29"/>
  <c r="CJ128" i="29"/>
  <c r="CG128" i="29"/>
  <c r="CJ127" i="29"/>
  <c r="CG127" i="29"/>
  <c r="CJ126" i="29"/>
  <c r="CG126" i="29"/>
  <c r="CJ125" i="29"/>
  <c r="CG125" i="29"/>
  <c r="CJ124" i="29"/>
  <c r="CG124" i="29"/>
  <c r="CJ123" i="29"/>
  <c r="CG123" i="29"/>
  <c r="CJ122" i="29"/>
  <c r="CG122" i="29"/>
  <c r="CJ121" i="29"/>
  <c r="CG121" i="29"/>
  <c r="CJ120" i="29"/>
  <c r="CG120" i="29"/>
  <c r="CJ119" i="29"/>
  <c r="CG119" i="29"/>
  <c r="CJ118" i="29"/>
  <c r="CG118" i="29"/>
  <c r="CJ117" i="29"/>
  <c r="CG117" i="29"/>
  <c r="CJ116" i="29"/>
  <c r="CG116" i="29"/>
  <c r="CJ115" i="29"/>
  <c r="CG115" i="29"/>
  <c r="CJ114" i="29"/>
  <c r="CG114" i="29"/>
  <c r="CJ113" i="29"/>
  <c r="CG113" i="29"/>
  <c r="CJ112" i="29"/>
  <c r="CG112" i="29"/>
  <c r="CJ111" i="29"/>
  <c r="CG111" i="29"/>
  <c r="CJ110" i="29"/>
  <c r="CG110" i="29"/>
  <c r="CJ109" i="29"/>
  <c r="CG109" i="29"/>
  <c r="CJ108" i="29"/>
  <c r="CG108" i="29"/>
  <c r="CJ107" i="29"/>
  <c r="CG107" i="29"/>
  <c r="CJ106" i="29"/>
  <c r="CG106" i="29"/>
  <c r="CJ105" i="29"/>
  <c r="CG105" i="29"/>
  <c r="CJ104" i="29"/>
  <c r="CG104" i="29"/>
  <c r="CJ103" i="29"/>
  <c r="CG103" i="29"/>
  <c r="CJ102" i="29"/>
  <c r="CG102" i="29"/>
  <c r="CJ101" i="29"/>
  <c r="CG101" i="29"/>
  <c r="CJ100" i="29"/>
  <c r="CG100" i="29"/>
  <c r="CJ99" i="29"/>
  <c r="CG99" i="29"/>
  <c r="CJ97" i="29"/>
  <c r="CG97" i="29"/>
  <c r="CJ96" i="29"/>
  <c r="CG96" i="29"/>
  <c r="CJ95" i="29"/>
  <c r="CG95" i="29"/>
  <c r="CJ94" i="29"/>
  <c r="CG94" i="29"/>
  <c r="CJ93" i="29"/>
  <c r="CG93" i="29"/>
  <c r="CJ92" i="29"/>
  <c r="CG92" i="29"/>
  <c r="CJ91" i="29"/>
  <c r="CG91" i="29"/>
  <c r="CJ90" i="29"/>
  <c r="CG90" i="29"/>
  <c r="CJ89" i="29"/>
  <c r="CG89" i="29"/>
  <c r="CJ88" i="29"/>
  <c r="CG88" i="29"/>
  <c r="CJ87" i="29"/>
  <c r="CG87" i="29"/>
  <c r="CJ86" i="29"/>
  <c r="CG86" i="29"/>
  <c r="CJ85" i="29"/>
  <c r="CG85" i="29"/>
  <c r="CJ84" i="29"/>
  <c r="CG84" i="29"/>
  <c r="CJ81" i="29"/>
  <c r="CG81" i="29"/>
  <c r="CJ80" i="29"/>
  <c r="CG80" i="29"/>
  <c r="CJ79" i="29"/>
  <c r="CG79" i="29"/>
  <c r="CJ78" i="29"/>
  <c r="CG78" i="29"/>
  <c r="CJ76" i="29"/>
  <c r="CG76" i="29"/>
  <c r="CJ75" i="29"/>
  <c r="CG75" i="29"/>
  <c r="CJ74" i="29"/>
  <c r="CG74" i="29"/>
  <c r="CJ73" i="29"/>
  <c r="CG73" i="29"/>
  <c r="CJ72" i="29"/>
  <c r="CG72" i="29"/>
  <c r="CJ71" i="29"/>
  <c r="CG71" i="29"/>
  <c r="CJ70" i="29"/>
  <c r="CG70" i="29"/>
  <c r="CJ69" i="29"/>
  <c r="CG69" i="29"/>
  <c r="CJ68" i="29"/>
  <c r="CG68" i="29"/>
  <c r="CJ67" i="29"/>
  <c r="CG67" i="29"/>
  <c r="CJ66" i="29"/>
  <c r="CG66" i="29"/>
  <c r="CJ65" i="29"/>
  <c r="CG65" i="29"/>
  <c r="CJ63" i="29"/>
  <c r="CG63" i="29"/>
  <c r="CJ62" i="29"/>
  <c r="CG62" i="29"/>
  <c r="CJ61" i="29"/>
  <c r="CG61" i="29"/>
  <c r="CJ60" i="29"/>
  <c r="CG60" i="29"/>
  <c r="CJ59" i="29"/>
  <c r="CG59" i="29"/>
  <c r="CJ58" i="29"/>
  <c r="CG58" i="29"/>
  <c r="CJ57" i="29"/>
  <c r="CG57" i="29"/>
  <c r="CJ56" i="29"/>
  <c r="CG56" i="29"/>
  <c r="CJ55" i="29"/>
  <c r="CG55" i="29"/>
  <c r="CJ54" i="29"/>
  <c r="CG54" i="29"/>
  <c r="CJ53" i="29"/>
  <c r="CG53" i="29"/>
  <c r="CJ52" i="29"/>
  <c r="CG52" i="29"/>
  <c r="CJ51" i="29"/>
  <c r="CG51" i="29"/>
  <c r="CJ50" i="29"/>
  <c r="CG50" i="29"/>
  <c r="CJ49" i="29"/>
  <c r="CF49" i="29"/>
  <c r="CE49" i="29"/>
  <c r="CJ48" i="29"/>
  <c r="CG48" i="29"/>
  <c r="CG47" i="29"/>
  <c r="CJ46" i="29"/>
  <c r="CG46" i="29"/>
  <c r="CJ45" i="29"/>
  <c r="CG45" i="29"/>
  <c r="CJ43" i="29"/>
  <c r="CG43" i="29"/>
  <c r="CJ42" i="29"/>
  <c r="CG42" i="29"/>
  <c r="CJ41" i="29"/>
  <c r="CG41" i="29"/>
  <c r="CJ40" i="29"/>
  <c r="CG40" i="29"/>
  <c r="CJ39" i="29"/>
  <c r="CG39" i="29"/>
  <c r="CJ38" i="29"/>
  <c r="CG38" i="29"/>
  <c r="CJ37" i="29"/>
  <c r="CG37" i="29"/>
  <c r="CJ36" i="29"/>
  <c r="CG36" i="29"/>
  <c r="CJ35" i="29"/>
  <c r="CG35" i="29"/>
  <c r="CJ34" i="29"/>
  <c r="CG34" i="29"/>
  <c r="CJ33" i="29"/>
  <c r="CG33" i="29"/>
  <c r="CJ32" i="29"/>
  <c r="CG32" i="29"/>
  <c r="CJ31" i="29"/>
  <c r="CG31" i="29"/>
  <c r="CJ30" i="29"/>
  <c r="CG30" i="29"/>
  <c r="CJ29" i="29"/>
  <c r="CG29" i="29"/>
  <c r="CJ28" i="29"/>
  <c r="CG28" i="29"/>
  <c r="CJ27" i="29"/>
  <c r="CG27" i="29"/>
  <c r="CJ26" i="29"/>
  <c r="CG26" i="29"/>
  <c r="CJ25" i="29"/>
  <c r="CG25" i="29"/>
  <c r="CJ24" i="29"/>
  <c r="CG24" i="29"/>
  <c r="CJ23" i="29"/>
  <c r="CG23" i="29"/>
  <c r="CJ22" i="29"/>
  <c r="CG22" i="29"/>
  <c r="CJ21" i="29"/>
  <c r="CG21" i="29"/>
  <c r="CJ20" i="29"/>
  <c r="CG20" i="29"/>
  <c r="CJ19" i="29"/>
  <c r="CG19" i="29"/>
  <c r="CJ18" i="29"/>
  <c r="CG18" i="29"/>
  <c r="CJ17" i="29"/>
  <c r="CG17" i="29"/>
  <c r="CJ16" i="29"/>
  <c r="CG16" i="29"/>
  <c r="CI11" i="29"/>
  <c r="CI10" i="29" s="1"/>
  <c r="CH11" i="29"/>
  <c r="CH10" i="29" s="1"/>
  <c r="CF11" i="29"/>
  <c r="CE11" i="29"/>
  <c r="CG225" i="29" l="1"/>
  <c r="CJ225" i="29"/>
  <c r="CG11" i="29"/>
  <c r="CG49" i="29"/>
  <c r="CE10" i="29"/>
  <c r="CF10" i="29"/>
  <c r="CJ11" i="29"/>
  <c r="CJ10" i="29" l="1"/>
  <c r="CG10" i="29"/>
  <c r="BV71" i="29" l="1"/>
  <c r="BI50" i="29" l="1"/>
  <c r="BI226" i="29"/>
  <c r="BI247" i="29"/>
  <c r="BI248" i="29"/>
  <c r="BI249" i="29"/>
  <c r="BI402" i="29"/>
  <c r="BG247" i="29"/>
  <c r="BG248" i="29"/>
  <c r="BG249" i="29"/>
  <c r="BG397" i="29"/>
  <c r="BG404" i="29"/>
  <c r="AS47" i="29"/>
  <c r="AS247" i="29"/>
  <c r="AS248" i="29"/>
  <c r="AS249" i="29"/>
  <c r="AS397" i="29"/>
  <c r="AS400" i="29"/>
  <c r="AS402" i="29"/>
  <c r="AS404" i="29"/>
  <c r="DB511" i="29"/>
  <c r="CY511" i="29"/>
  <c r="AV511" i="29"/>
  <c r="CW511" i="29"/>
  <c r="CT511" i="29"/>
  <c r="BV511" i="29"/>
  <c r="BS511" i="29"/>
  <c r="BP511" i="29"/>
  <c r="BN511" i="29"/>
  <c r="CO511" i="29"/>
  <c r="CL511" i="29"/>
  <c r="AZ511" i="29"/>
  <c r="AN511" i="29"/>
  <c r="AI511" i="29"/>
  <c r="AF511" i="29"/>
  <c r="Y511" i="29"/>
  <c r="V511" i="29"/>
  <c r="K511" i="29"/>
  <c r="H511" i="29"/>
  <c r="DB510" i="29"/>
  <c r="CY510" i="29"/>
  <c r="AV510" i="29"/>
  <c r="AQ510" i="29"/>
  <c r="CW510" i="29"/>
  <c r="CT510" i="29"/>
  <c r="BV510" i="29"/>
  <c r="BS510" i="29"/>
  <c r="BP510" i="29"/>
  <c r="BN510" i="29"/>
  <c r="CO510" i="29"/>
  <c r="CL510" i="29"/>
  <c r="BC510" i="29"/>
  <c r="AZ510" i="29"/>
  <c r="BE510" i="29" s="1"/>
  <c r="AN510" i="29"/>
  <c r="AI510" i="29"/>
  <c r="AF510" i="29"/>
  <c r="AC510" i="29"/>
  <c r="Y510" i="29"/>
  <c r="V510" i="29"/>
  <c r="K510" i="29"/>
  <c r="H510" i="29"/>
  <c r="DB509" i="29"/>
  <c r="CY509" i="29"/>
  <c r="AV509" i="29"/>
  <c r="AQ509" i="29"/>
  <c r="CW509" i="29"/>
  <c r="CT509" i="29"/>
  <c r="BV509" i="29"/>
  <c r="BS509" i="29"/>
  <c r="BP509" i="29"/>
  <c r="BM509" i="29"/>
  <c r="BN509" i="29" s="1"/>
  <c r="CO509" i="29"/>
  <c r="CL509" i="29"/>
  <c r="BC509" i="29"/>
  <c r="AZ509" i="29"/>
  <c r="AN509" i="29"/>
  <c r="AK509" i="29"/>
  <c r="AH509" i="29"/>
  <c r="AI509" i="29" s="1"/>
  <c r="AF509" i="29"/>
  <c r="AC509" i="29"/>
  <c r="Y509" i="29"/>
  <c r="K509" i="29"/>
  <c r="H509" i="29"/>
  <c r="DB508" i="29"/>
  <c r="CY508" i="29"/>
  <c r="AV508" i="29"/>
  <c r="AQ508" i="29"/>
  <c r="BG508" i="29" s="1"/>
  <c r="CW508" i="29"/>
  <c r="CT508" i="29"/>
  <c r="BS508" i="29"/>
  <c r="BP508" i="29"/>
  <c r="BN508" i="29"/>
  <c r="CO508" i="29"/>
  <c r="AZ508" i="29"/>
  <c r="BE508" i="29" s="1"/>
  <c r="AF508" i="29"/>
  <c r="AC508" i="29"/>
  <c r="DB507" i="29"/>
  <c r="CY507" i="29"/>
  <c r="AV507" i="29"/>
  <c r="AQ507" i="29"/>
  <c r="CW507" i="29"/>
  <c r="CT507" i="29"/>
  <c r="BV507" i="29"/>
  <c r="BS507" i="29"/>
  <c r="BP507" i="29"/>
  <c r="BM507" i="29"/>
  <c r="BN507" i="29" s="1"/>
  <c r="CO507" i="29"/>
  <c r="CL507" i="29"/>
  <c r="BC507" i="29"/>
  <c r="AZ507" i="29"/>
  <c r="AN507" i="29"/>
  <c r="AK507" i="29"/>
  <c r="AH507" i="29"/>
  <c r="AI507" i="29" s="1"/>
  <c r="AF507" i="29"/>
  <c r="AC507" i="29"/>
  <c r="Y507" i="29"/>
  <c r="V507" i="29"/>
  <c r="K507" i="29"/>
  <c r="H507" i="29"/>
  <c r="DB506" i="29"/>
  <c r="CY506" i="29"/>
  <c r="AV506" i="29"/>
  <c r="AQ506" i="29"/>
  <c r="CW506" i="29"/>
  <c r="CT506" i="29"/>
  <c r="BV506" i="29"/>
  <c r="BS506" i="29"/>
  <c r="BP506" i="29"/>
  <c r="BM506" i="29"/>
  <c r="BN506" i="29" s="1"/>
  <c r="CO506" i="29"/>
  <c r="CL506" i="29"/>
  <c r="BC506" i="29"/>
  <c r="AZ506" i="29"/>
  <c r="AN506" i="29"/>
  <c r="AK506" i="29"/>
  <c r="AH506" i="29"/>
  <c r="AI506" i="29" s="1"/>
  <c r="AF506" i="29"/>
  <c r="AC506" i="29"/>
  <c r="Y506" i="29"/>
  <c r="K506" i="29"/>
  <c r="H506" i="29"/>
  <c r="DB505" i="29"/>
  <c r="CY505" i="29"/>
  <c r="AV505" i="29"/>
  <c r="AQ505" i="29"/>
  <c r="AS505" i="29" s="1"/>
  <c r="CW505" i="29"/>
  <c r="CT505" i="29"/>
  <c r="DL505" i="29" s="1"/>
  <c r="BP505" i="29"/>
  <c r="BX505" i="29" s="1"/>
  <c r="CO505" i="29"/>
  <c r="DB504" i="29"/>
  <c r="CY504" i="29"/>
  <c r="AV504" i="29"/>
  <c r="AQ504" i="29"/>
  <c r="CW504" i="29"/>
  <c r="CT504" i="29"/>
  <c r="BV504" i="29"/>
  <c r="BS504" i="29"/>
  <c r="BP504" i="29"/>
  <c r="BN504" i="29"/>
  <c r="CO504" i="29"/>
  <c r="CL504" i="29"/>
  <c r="BC504" i="29"/>
  <c r="AZ504" i="29"/>
  <c r="AN504" i="29"/>
  <c r="AK504" i="29"/>
  <c r="AI504" i="29"/>
  <c r="AF504" i="29"/>
  <c r="AC504" i="29"/>
  <c r="Y504" i="29"/>
  <c r="V504" i="29"/>
  <c r="K504" i="29"/>
  <c r="H504" i="29"/>
  <c r="DB503" i="29"/>
  <c r="CY503" i="29"/>
  <c r="AV503" i="29"/>
  <c r="AQ503" i="29"/>
  <c r="AS503" i="29" s="1"/>
  <c r="CW503" i="29"/>
  <c r="CT503" i="29"/>
  <c r="DL503" i="29" s="1"/>
  <c r="BP503" i="29"/>
  <c r="BX503" i="29" s="1"/>
  <c r="CO503" i="29"/>
  <c r="DB502" i="29"/>
  <c r="CY502" i="29"/>
  <c r="AV502" i="29"/>
  <c r="AQ502" i="29"/>
  <c r="CW502" i="29"/>
  <c r="CT502" i="29"/>
  <c r="BV502" i="29"/>
  <c r="BS502" i="29"/>
  <c r="BP502" i="29"/>
  <c r="BN502" i="29"/>
  <c r="CO502" i="29"/>
  <c r="CL502" i="29"/>
  <c r="BC502" i="29"/>
  <c r="AZ502" i="29"/>
  <c r="AN502" i="29"/>
  <c r="AK502" i="29"/>
  <c r="AI502" i="29"/>
  <c r="AF502" i="29"/>
  <c r="AC502" i="29"/>
  <c r="Y502" i="29"/>
  <c r="V502" i="29"/>
  <c r="DB501" i="29"/>
  <c r="CY501" i="29"/>
  <c r="AV501" i="29"/>
  <c r="AQ501" i="29"/>
  <c r="CW501" i="29"/>
  <c r="CT501" i="29"/>
  <c r="BV501" i="29"/>
  <c r="BS501" i="29"/>
  <c r="BP501" i="29"/>
  <c r="BN501" i="29"/>
  <c r="CO501" i="29"/>
  <c r="CL501" i="29"/>
  <c r="BC501" i="29"/>
  <c r="AZ501" i="29"/>
  <c r="AN501" i="29"/>
  <c r="AK501" i="29"/>
  <c r="AI501" i="29"/>
  <c r="AF501" i="29"/>
  <c r="AC501" i="29"/>
  <c r="Y501" i="29"/>
  <c r="V501" i="29"/>
  <c r="DB499" i="29"/>
  <c r="CY499" i="29"/>
  <c r="AV499" i="29"/>
  <c r="AQ499" i="29"/>
  <c r="CW499" i="29"/>
  <c r="CT499" i="29"/>
  <c r="BV499" i="29"/>
  <c r="BS499" i="29"/>
  <c r="BP499" i="29"/>
  <c r="BN499" i="29"/>
  <c r="CO499" i="29"/>
  <c r="CL499" i="29"/>
  <c r="BC499" i="29"/>
  <c r="AZ499" i="29"/>
  <c r="AN499" i="29"/>
  <c r="AK499" i="29"/>
  <c r="AI499" i="29"/>
  <c r="AF499" i="29"/>
  <c r="AC499" i="29"/>
  <c r="Y499" i="29"/>
  <c r="V499" i="29"/>
  <c r="DB498" i="29"/>
  <c r="CY498" i="29"/>
  <c r="AV498" i="29"/>
  <c r="AQ498" i="29"/>
  <c r="CW498" i="29"/>
  <c r="CT498" i="29"/>
  <c r="BV498" i="29"/>
  <c r="BS498" i="29"/>
  <c r="BP498" i="29"/>
  <c r="BN498" i="29"/>
  <c r="CO498" i="29"/>
  <c r="CL498" i="29"/>
  <c r="BC498" i="29"/>
  <c r="AZ498" i="29"/>
  <c r="AN498" i="29"/>
  <c r="AK498" i="29"/>
  <c r="AI498" i="29"/>
  <c r="AF498" i="29"/>
  <c r="AC498" i="29"/>
  <c r="Y498" i="29"/>
  <c r="V498" i="29"/>
  <c r="DB497" i="29"/>
  <c r="CY497" i="29"/>
  <c r="AV497" i="29"/>
  <c r="AQ497" i="29"/>
  <c r="CW497" i="29"/>
  <c r="CT497" i="29"/>
  <c r="BV497" i="29"/>
  <c r="BS497" i="29"/>
  <c r="BP497" i="29"/>
  <c r="BN497" i="29"/>
  <c r="CO497" i="29"/>
  <c r="CL497" i="29"/>
  <c r="BC497" i="29"/>
  <c r="AZ497" i="29"/>
  <c r="AM497" i="29"/>
  <c r="AN497" i="29" s="1"/>
  <c r="AK497" i="29"/>
  <c r="AI497" i="29"/>
  <c r="AF497" i="29"/>
  <c r="Y497" i="29"/>
  <c r="V497" i="29"/>
  <c r="DB496" i="29"/>
  <c r="CY496" i="29"/>
  <c r="AV496" i="29"/>
  <c r="AQ496" i="29"/>
  <c r="CW496" i="29"/>
  <c r="CT496" i="29"/>
  <c r="BV496" i="29"/>
  <c r="BS496" i="29"/>
  <c r="BP496" i="29"/>
  <c r="BN496" i="29"/>
  <c r="CO496" i="29"/>
  <c r="CL496" i="29"/>
  <c r="BC496" i="29"/>
  <c r="AZ496" i="29"/>
  <c r="AN496" i="29"/>
  <c r="AK496" i="29"/>
  <c r="AI496" i="29"/>
  <c r="AF496" i="29"/>
  <c r="AC496" i="29"/>
  <c r="Y496" i="29"/>
  <c r="V496" i="29"/>
  <c r="DB495" i="29"/>
  <c r="CY495" i="29"/>
  <c r="AV495" i="29"/>
  <c r="AQ495" i="29"/>
  <c r="CW495" i="29"/>
  <c r="CT495" i="29"/>
  <c r="BV495" i="29"/>
  <c r="BS495" i="29"/>
  <c r="BP495" i="29"/>
  <c r="BN495" i="29"/>
  <c r="CO495" i="29"/>
  <c r="CL495" i="29"/>
  <c r="BC495" i="29"/>
  <c r="AZ495" i="29"/>
  <c r="AN495" i="29"/>
  <c r="AK495" i="29"/>
  <c r="AI495" i="29"/>
  <c r="AF495" i="29"/>
  <c r="AC495" i="29"/>
  <c r="Y495" i="29"/>
  <c r="V495" i="29"/>
  <c r="DB494" i="29"/>
  <c r="CY494" i="29"/>
  <c r="AV494" i="29"/>
  <c r="AQ494" i="29"/>
  <c r="CW494" i="29"/>
  <c r="CT494" i="29"/>
  <c r="BV494" i="29"/>
  <c r="BS494" i="29"/>
  <c r="BP494" i="29"/>
  <c r="BN494" i="29"/>
  <c r="CO494" i="29"/>
  <c r="CL494" i="29"/>
  <c r="BC494" i="29"/>
  <c r="AZ494" i="29"/>
  <c r="AN494" i="29"/>
  <c r="AK494" i="29"/>
  <c r="AI494" i="29"/>
  <c r="AF494" i="29"/>
  <c r="AC494" i="29"/>
  <c r="Y494" i="29"/>
  <c r="V494" i="29"/>
  <c r="DB493" i="29"/>
  <c r="CY493" i="29"/>
  <c r="AV493" i="29"/>
  <c r="AQ493" i="29"/>
  <c r="CW493" i="29"/>
  <c r="CT493" i="29"/>
  <c r="BV493" i="29"/>
  <c r="BS493" i="29"/>
  <c r="BP493" i="29"/>
  <c r="BN493" i="29"/>
  <c r="CO493" i="29"/>
  <c r="CL493" i="29"/>
  <c r="BC493" i="29"/>
  <c r="AZ493" i="29"/>
  <c r="AN493" i="29"/>
  <c r="AK493" i="29"/>
  <c r="AI493" i="29"/>
  <c r="AF493" i="29"/>
  <c r="AC493" i="29"/>
  <c r="Y493" i="29"/>
  <c r="V493" i="29"/>
  <c r="DB492" i="29"/>
  <c r="CY492" i="29"/>
  <c r="AV492" i="29"/>
  <c r="AQ492" i="29"/>
  <c r="CW492" i="29"/>
  <c r="CT492" i="29"/>
  <c r="BV492" i="29"/>
  <c r="BS492" i="29"/>
  <c r="BP492" i="29"/>
  <c r="BN492" i="29"/>
  <c r="CO492" i="29"/>
  <c r="CL492" i="29"/>
  <c r="BC492" i="29"/>
  <c r="AZ492" i="29"/>
  <c r="AN492" i="29"/>
  <c r="AK492" i="29"/>
  <c r="AI492" i="29"/>
  <c r="AF492" i="29"/>
  <c r="AC492" i="29"/>
  <c r="Y492" i="29"/>
  <c r="V492" i="29"/>
  <c r="DB490" i="29"/>
  <c r="CY490" i="29"/>
  <c r="AV490" i="29"/>
  <c r="AQ490" i="29"/>
  <c r="CW490" i="29"/>
  <c r="CT490" i="29"/>
  <c r="BV490" i="29"/>
  <c r="BS490" i="29"/>
  <c r="BP490" i="29"/>
  <c r="BN490" i="29"/>
  <c r="CL490" i="29"/>
  <c r="BC490" i="29"/>
  <c r="AZ490" i="29"/>
  <c r="AN490" i="29"/>
  <c r="AK490" i="29"/>
  <c r="AI490" i="29"/>
  <c r="AF490" i="29"/>
  <c r="AC490" i="29"/>
  <c r="Y490" i="29"/>
  <c r="V490" i="29"/>
  <c r="DB489" i="29"/>
  <c r="CY489" i="29"/>
  <c r="AV489" i="29"/>
  <c r="AQ489" i="29"/>
  <c r="CW489" i="29"/>
  <c r="CT489" i="29"/>
  <c r="BV489" i="29"/>
  <c r="BS489" i="29"/>
  <c r="BP489" i="29"/>
  <c r="BN489" i="29"/>
  <c r="CO489" i="29"/>
  <c r="CL489" i="29"/>
  <c r="BC489" i="29"/>
  <c r="AZ489" i="29"/>
  <c r="AN489" i="29"/>
  <c r="AK489" i="29"/>
  <c r="AI489" i="29"/>
  <c r="AF489" i="29"/>
  <c r="AC489" i="29"/>
  <c r="Y489" i="29"/>
  <c r="V489" i="29"/>
  <c r="DB488" i="29"/>
  <c r="CY488" i="29"/>
  <c r="AV488" i="29"/>
  <c r="AQ488" i="29"/>
  <c r="CW488" i="29"/>
  <c r="CT488" i="29"/>
  <c r="BV488" i="29"/>
  <c r="BS488" i="29"/>
  <c r="BP488" i="29"/>
  <c r="BN488" i="29"/>
  <c r="CO488" i="29"/>
  <c r="CL488" i="29"/>
  <c r="BC488" i="29"/>
  <c r="AZ488" i="29"/>
  <c r="AN488" i="29"/>
  <c r="AK488" i="29"/>
  <c r="AI488" i="29"/>
  <c r="AF488" i="29"/>
  <c r="AC488" i="29"/>
  <c r="Y488" i="29"/>
  <c r="V488" i="29"/>
  <c r="DB487" i="29"/>
  <c r="CY487" i="29"/>
  <c r="AV487" i="29"/>
  <c r="AQ487" i="29"/>
  <c r="CW487" i="29"/>
  <c r="CT487" i="29"/>
  <c r="BV487" i="29"/>
  <c r="BS487" i="29"/>
  <c r="BP487" i="29"/>
  <c r="BN487" i="29"/>
  <c r="CO487" i="29"/>
  <c r="CL487" i="29"/>
  <c r="BC487" i="29"/>
  <c r="AN487" i="29"/>
  <c r="AK487" i="29"/>
  <c r="BE487" i="29" s="1"/>
  <c r="AI487" i="29"/>
  <c r="AF487" i="29"/>
  <c r="AC487" i="29"/>
  <c r="Y487" i="29"/>
  <c r="V487" i="29"/>
  <c r="DB486" i="29"/>
  <c r="CY486" i="29"/>
  <c r="AV486" i="29"/>
  <c r="AQ486" i="29"/>
  <c r="CW486" i="29"/>
  <c r="CT486" i="29"/>
  <c r="BV486" i="29"/>
  <c r="BS486" i="29"/>
  <c r="BP486" i="29"/>
  <c r="BN486" i="29"/>
  <c r="CO486" i="29"/>
  <c r="CL486" i="29"/>
  <c r="BC486" i="29"/>
  <c r="AZ486" i="29"/>
  <c r="AN486" i="29"/>
  <c r="AK486" i="29"/>
  <c r="AI486" i="29"/>
  <c r="AF486" i="29"/>
  <c r="AC486" i="29"/>
  <c r="Y486" i="29"/>
  <c r="V486" i="29"/>
  <c r="DB485" i="29"/>
  <c r="CY485" i="29"/>
  <c r="AV485" i="29"/>
  <c r="AQ485" i="29"/>
  <c r="CW485" i="29"/>
  <c r="CT485" i="29"/>
  <c r="BV485" i="29"/>
  <c r="BS485" i="29"/>
  <c r="BP485" i="29"/>
  <c r="BN485" i="29"/>
  <c r="CO485" i="29"/>
  <c r="CL485" i="29"/>
  <c r="BC485" i="29"/>
  <c r="AZ485" i="29"/>
  <c r="AN485" i="29"/>
  <c r="AK485" i="29"/>
  <c r="AI485" i="29"/>
  <c r="AF485" i="29"/>
  <c r="AC485" i="29"/>
  <c r="Y485" i="29"/>
  <c r="V485" i="29"/>
  <c r="DB484" i="29"/>
  <c r="CY484" i="29"/>
  <c r="AV484" i="29"/>
  <c r="AQ484" i="29"/>
  <c r="CW484" i="29"/>
  <c r="CT484" i="29"/>
  <c r="BV484" i="29"/>
  <c r="BS484" i="29"/>
  <c r="BP484" i="29"/>
  <c r="BN484" i="29"/>
  <c r="CO484" i="29"/>
  <c r="CL484" i="29"/>
  <c r="BC484" i="29"/>
  <c r="AZ484" i="29"/>
  <c r="AN484" i="29"/>
  <c r="AK484" i="29"/>
  <c r="AI484" i="29"/>
  <c r="AF484" i="29"/>
  <c r="AC484" i="29"/>
  <c r="Y484" i="29"/>
  <c r="V484" i="29"/>
  <c r="DB483" i="29"/>
  <c r="CY483" i="29"/>
  <c r="AV483" i="29"/>
  <c r="AQ483" i="29"/>
  <c r="CW483" i="29"/>
  <c r="CT483" i="29"/>
  <c r="BV483" i="29"/>
  <c r="BS483" i="29"/>
  <c r="BP483" i="29"/>
  <c r="BN483" i="29"/>
  <c r="CO483" i="29"/>
  <c r="CL483" i="29"/>
  <c r="BC483" i="29"/>
  <c r="AZ483" i="29"/>
  <c r="AN483" i="29"/>
  <c r="AK483" i="29"/>
  <c r="AI483" i="29"/>
  <c r="AF483" i="29"/>
  <c r="AC483" i="29"/>
  <c r="Y483" i="29"/>
  <c r="V483" i="29"/>
  <c r="DB482" i="29"/>
  <c r="CY482" i="29"/>
  <c r="AV482" i="29"/>
  <c r="AQ482" i="29"/>
  <c r="CW482" i="29"/>
  <c r="CT482" i="29"/>
  <c r="BV482" i="29"/>
  <c r="BS482" i="29"/>
  <c r="BP482" i="29"/>
  <c r="BN482" i="29"/>
  <c r="CO482" i="29"/>
  <c r="CL482" i="29"/>
  <c r="BC482" i="29"/>
  <c r="AZ482" i="29"/>
  <c r="AN482" i="29"/>
  <c r="AK482" i="29"/>
  <c r="AI482" i="29"/>
  <c r="AF482" i="29"/>
  <c r="AC482" i="29"/>
  <c r="Y482" i="29"/>
  <c r="V482" i="29"/>
  <c r="DB481" i="29"/>
  <c r="CY481" i="29"/>
  <c r="AV481" i="29"/>
  <c r="AQ481" i="29"/>
  <c r="CW481" i="29"/>
  <c r="CT481" i="29"/>
  <c r="BV481" i="29"/>
  <c r="BS481" i="29"/>
  <c r="BP481" i="29"/>
  <c r="BN481" i="29"/>
  <c r="CO481" i="29"/>
  <c r="CL481" i="29"/>
  <c r="BC481" i="29"/>
  <c r="AZ481" i="29"/>
  <c r="AN481" i="29"/>
  <c r="AK481" i="29"/>
  <c r="AI481" i="29"/>
  <c r="AF481" i="29"/>
  <c r="AC481" i="29"/>
  <c r="Y481" i="29"/>
  <c r="V481" i="29"/>
  <c r="DB478" i="29"/>
  <c r="CY478" i="29"/>
  <c r="AV478" i="29"/>
  <c r="AQ478" i="29"/>
  <c r="CW478" i="29"/>
  <c r="CT478" i="29"/>
  <c r="BV478" i="29"/>
  <c r="BS478" i="29"/>
  <c r="BP478" i="29"/>
  <c r="BN478" i="29"/>
  <c r="CO478" i="29"/>
  <c r="CL478" i="29"/>
  <c r="BC478" i="29"/>
  <c r="AZ478" i="29"/>
  <c r="AN478" i="29"/>
  <c r="AK478" i="29"/>
  <c r="AI478" i="29"/>
  <c r="AF478" i="29"/>
  <c r="AC478" i="29"/>
  <c r="Y478" i="29"/>
  <c r="V478" i="29"/>
  <c r="DB477" i="29"/>
  <c r="CY477" i="29"/>
  <c r="AV477" i="29"/>
  <c r="AQ477" i="29"/>
  <c r="CW477" i="29"/>
  <c r="CT477" i="29"/>
  <c r="BV477" i="29"/>
  <c r="BS477" i="29"/>
  <c r="BP477" i="29"/>
  <c r="BN477" i="29"/>
  <c r="CO477" i="29"/>
  <c r="CL477" i="29"/>
  <c r="BC477" i="29"/>
  <c r="AZ477" i="29"/>
  <c r="AN477" i="29"/>
  <c r="AK477" i="29"/>
  <c r="AI477" i="29"/>
  <c r="AF477" i="29"/>
  <c r="AC477" i="29"/>
  <c r="Y477" i="29"/>
  <c r="V477" i="29"/>
  <c r="DB476" i="29"/>
  <c r="CY476" i="29"/>
  <c r="AV476" i="29"/>
  <c r="AQ476" i="29"/>
  <c r="CW476" i="29"/>
  <c r="CT476" i="29"/>
  <c r="BV476" i="29"/>
  <c r="BS476" i="29"/>
  <c r="BP476" i="29"/>
  <c r="BN476" i="29"/>
  <c r="CO476" i="29"/>
  <c r="CL476" i="29"/>
  <c r="BC476" i="29"/>
  <c r="AZ476" i="29"/>
  <c r="AN476" i="29"/>
  <c r="AK476" i="29"/>
  <c r="AI476" i="29"/>
  <c r="AF476" i="29"/>
  <c r="AC476" i="29"/>
  <c r="Y476" i="29"/>
  <c r="V476" i="29"/>
  <c r="DB475" i="29"/>
  <c r="CY475" i="29"/>
  <c r="AV475" i="29"/>
  <c r="AQ475" i="29"/>
  <c r="CW475" i="29"/>
  <c r="CT475" i="29"/>
  <c r="BV475" i="29"/>
  <c r="BS475" i="29"/>
  <c r="BP475" i="29"/>
  <c r="BN475" i="29"/>
  <c r="CO475" i="29"/>
  <c r="CL475" i="29"/>
  <c r="BC475" i="29"/>
  <c r="AZ475" i="29"/>
  <c r="AN475" i="29"/>
  <c r="AK475" i="29"/>
  <c r="AI475" i="29"/>
  <c r="AF475" i="29"/>
  <c r="AC475" i="29"/>
  <c r="Y475" i="29"/>
  <c r="V475" i="29"/>
  <c r="DB474" i="29"/>
  <c r="CY474" i="29"/>
  <c r="AV474" i="29"/>
  <c r="AQ474" i="29"/>
  <c r="CW474" i="29"/>
  <c r="CT474" i="29"/>
  <c r="BV474" i="29"/>
  <c r="BS474" i="29"/>
  <c r="BP474" i="29"/>
  <c r="BM474" i="29"/>
  <c r="BN474" i="29" s="1"/>
  <c r="CO474" i="29"/>
  <c r="CL474" i="29"/>
  <c r="BC474" i="29"/>
  <c r="AZ474" i="29"/>
  <c r="AN474" i="29"/>
  <c r="AK474" i="29"/>
  <c r="AI474" i="29"/>
  <c r="AF474" i="29"/>
  <c r="AC474" i="29"/>
  <c r="Y474" i="29"/>
  <c r="V474" i="29"/>
  <c r="DB473" i="29"/>
  <c r="CY473" i="29"/>
  <c r="AV473" i="29"/>
  <c r="AQ473" i="29"/>
  <c r="CW473" i="29"/>
  <c r="CT473" i="29"/>
  <c r="BV473" i="29"/>
  <c r="BS473" i="29"/>
  <c r="BP473" i="29"/>
  <c r="BN473" i="29"/>
  <c r="CO473" i="29"/>
  <c r="CL473" i="29"/>
  <c r="BC473" i="29"/>
  <c r="AZ473" i="29"/>
  <c r="AN473" i="29"/>
  <c r="AK473" i="29"/>
  <c r="AI473" i="29"/>
  <c r="AF473" i="29"/>
  <c r="AC473" i="29"/>
  <c r="Y473" i="29"/>
  <c r="V473" i="29"/>
  <c r="DB472" i="29"/>
  <c r="CY472" i="29"/>
  <c r="AV472" i="29"/>
  <c r="AQ472" i="29"/>
  <c r="CW472" i="29"/>
  <c r="CT472" i="29"/>
  <c r="BV472" i="29"/>
  <c r="BS472" i="29"/>
  <c r="BP472" i="29"/>
  <c r="BN472" i="29"/>
  <c r="CO472" i="29"/>
  <c r="CL472" i="29"/>
  <c r="BC472" i="29"/>
  <c r="AZ472" i="29"/>
  <c r="AN472" i="29"/>
  <c r="AK472" i="29"/>
  <c r="AI472" i="29"/>
  <c r="AF472" i="29"/>
  <c r="AC472" i="29"/>
  <c r="Y472" i="29"/>
  <c r="V472" i="29"/>
  <c r="DB471" i="29"/>
  <c r="CY471" i="29"/>
  <c r="AV471" i="29"/>
  <c r="AQ471" i="29"/>
  <c r="CW471" i="29"/>
  <c r="CT471" i="29"/>
  <c r="BV471" i="29"/>
  <c r="BS471" i="29"/>
  <c r="BP471" i="29"/>
  <c r="BN471" i="29"/>
  <c r="CO471" i="29"/>
  <c r="CL471" i="29"/>
  <c r="BC471" i="29"/>
  <c r="AZ471" i="29"/>
  <c r="AN471" i="29"/>
  <c r="AK471" i="29"/>
  <c r="AI471" i="29"/>
  <c r="AF471" i="29"/>
  <c r="AC471" i="29"/>
  <c r="V471" i="29"/>
  <c r="DB470" i="29"/>
  <c r="CY470" i="29"/>
  <c r="AV470" i="29"/>
  <c r="AQ470" i="29"/>
  <c r="CW470" i="29"/>
  <c r="CT470" i="29"/>
  <c r="BV470" i="29"/>
  <c r="BS470" i="29"/>
  <c r="BP470" i="29"/>
  <c r="BN470" i="29"/>
  <c r="CO470" i="29"/>
  <c r="CL470" i="29"/>
  <c r="BC470" i="29"/>
  <c r="AZ470" i="29"/>
  <c r="AN470" i="29"/>
  <c r="AK470" i="29"/>
  <c r="AF470" i="29"/>
  <c r="AC470" i="29"/>
  <c r="Y470" i="29"/>
  <c r="V470" i="29"/>
  <c r="DB469" i="29"/>
  <c r="CY469" i="29"/>
  <c r="AV469" i="29"/>
  <c r="AQ469" i="29"/>
  <c r="AS469" i="29" s="1"/>
  <c r="CW469" i="29"/>
  <c r="CT469" i="29"/>
  <c r="DL469" i="29" s="1"/>
  <c r="BP469" i="29"/>
  <c r="BX469" i="29" s="1"/>
  <c r="CO469" i="29"/>
  <c r="DB468" i="29"/>
  <c r="CY468" i="29"/>
  <c r="AV468" i="29"/>
  <c r="AQ468" i="29"/>
  <c r="CW468" i="29"/>
  <c r="CT468" i="29"/>
  <c r="BV468" i="29"/>
  <c r="BS468" i="29"/>
  <c r="BP468" i="29"/>
  <c r="BN468" i="29"/>
  <c r="CO468" i="29"/>
  <c r="CL468" i="29"/>
  <c r="BC468" i="29"/>
  <c r="AZ468" i="29"/>
  <c r="AN468" i="29"/>
  <c r="AK468" i="29"/>
  <c r="AI468" i="29"/>
  <c r="AF468" i="29"/>
  <c r="AC468" i="29"/>
  <c r="Y468" i="29"/>
  <c r="V468" i="29"/>
  <c r="DB467" i="29"/>
  <c r="CY467" i="29"/>
  <c r="AV467" i="29"/>
  <c r="AQ467" i="29"/>
  <c r="CW467" i="29"/>
  <c r="CT467" i="29"/>
  <c r="BV467" i="29"/>
  <c r="BS467" i="29"/>
  <c r="BP467" i="29"/>
  <c r="BN467" i="29"/>
  <c r="CO467" i="29"/>
  <c r="CL467" i="29"/>
  <c r="BC467" i="29"/>
  <c r="AZ467" i="29"/>
  <c r="AN467" i="29"/>
  <c r="AK467" i="29"/>
  <c r="AI467" i="29"/>
  <c r="AF467" i="29"/>
  <c r="AC467" i="29"/>
  <c r="Y467" i="29"/>
  <c r="V467" i="29"/>
  <c r="DB466" i="29"/>
  <c r="CY466" i="29"/>
  <c r="AV466" i="29"/>
  <c r="AQ466" i="29"/>
  <c r="CW466" i="29"/>
  <c r="CT466" i="29"/>
  <c r="BV466" i="29"/>
  <c r="BS466" i="29"/>
  <c r="BP466" i="29"/>
  <c r="BN466" i="29"/>
  <c r="CO466" i="29"/>
  <c r="CL466" i="29"/>
  <c r="BC466" i="29"/>
  <c r="AZ466" i="29"/>
  <c r="AN466" i="29"/>
  <c r="AK466" i="29"/>
  <c r="AI466" i="29"/>
  <c r="AF466" i="29"/>
  <c r="AC466" i="29"/>
  <c r="Y466" i="29"/>
  <c r="V466" i="29"/>
  <c r="DB465" i="29"/>
  <c r="CY465" i="29"/>
  <c r="AV465" i="29"/>
  <c r="AQ465" i="29"/>
  <c r="AS465" i="29" s="1"/>
  <c r="CW465" i="29"/>
  <c r="CT465" i="29"/>
  <c r="DL465" i="29" s="1"/>
  <c r="BP465" i="29"/>
  <c r="BX465" i="29" s="1"/>
  <c r="CO465" i="29"/>
  <c r="DB464" i="29"/>
  <c r="CY464" i="29"/>
  <c r="AV464" i="29"/>
  <c r="AQ464" i="29"/>
  <c r="CW464" i="29"/>
  <c r="CT464" i="29"/>
  <c r="BV464" i="29"/>
  <c r="BS464" i="29"/>
  <c r="BP464" i="29"/>
  <c r="BN464" i="29"/>
  <c r="CO464" i="29"/>
  <c r="CL464" i="29"/>
  <c r="BC464" i="29"/>
  <c r="AZ464" i="29"/>
  <c r="AN464" i="29"/>
  <c r="AK464" i="29"/>
  <c r="AI464" i="29"/>
  <c r="AF464" i="29"/>
  <c r="AC464" i="29"/>
  <c r="Y464" i="29"/>
  <c r="V464" i="29"/>
  <c r="K464" i="29"/>
  <c r="H464" i="29"/>
  <c r="DB463" i="29"/>
  <c r="CY463" i="29"/>
  <c r="AV463" i="29"/>
  <c r="AQ463" i="29"/>
  <c r="CW463" i="29"/>
  <c r="CT463" i="29"/>
  <c r="BV463" i="29"/>
  <c r="BS463" i="29"/>
  <c r="BP463" i="29"/>
  <c r="BN463" i="29"/>
  <c r="CO463" i="29"/>
  <c r="CL463" i="29"/>
  <c r="BC463" i="29"/>
  <c r="AZ463" i="29"/>
  <c r="AN463" i="29"/>
  <c r="AK463" i="29"/>
  <c r="AI463" i="29"/>
  <c r="AF463" i="29"/>
  <c r="Y463" i="29"/>
  <c r="V463" i="29"/>
  <c r="K463" i="29"/>
  <c r="H463" i="29"/>
  <c r="DB462" i="29"/>
  <c r="CY462" i="29"/>
  <c r="AV462" i="29"/>
  <c r="AQ462" i="29"/>
  <c r="CW462" i="29"/>
  <c r="CT462" i="29"/>
  <c r="BV462" i="29"/>
  <c r="BS462" i="29"/>
  <c r="BP462" i="29"/>
  <c r="BN462" i="29"/>
  <c r="CO462" i="29"/>
  <c r="CL462" i="29"/>
  <c r="BC462" i="29"/>
  <c r="AZ462" i="29"/>
  <c r="AN462" i="29"/>
  <c r="AK462" i="29"/>
  <c r="AI462" i="29"/>
  <c r="AF462" i="29"/>
  <c r="Y462" i="29"/>
  <c r="V462" i="29"/>
  <c r="K462" i="29"/>
  <c r="H462" i="29"/>
  <c r="DB461" i="29"/>
  <c r="CY461" i="29"/>
  <c r="AV461" i="29"/>
  <c r="AQ461" i="29"/>
  <c r="CW461" i="29"/>
  <c r="CT461" i="29"/>
  <c r="BV461" i="29"/>
  <c r="BS461" i="29"/>
  <c r="BP461" i="29"/>
  <c r="BN461" i="29"/>
  <c r="CO461" i="29"/>
  <c r="CL461" i="29"/>
  <c r="BC461" i="29"/>
  <c r="AZ461" i="29"/>
  <c r="AN461" i="29"/>
  <c r="AK461" i="29"/>
  <c r="AI461" i="29"/>
  <c r="AF461" i="29"/>
  <c r="AC461" i="29"/>
  <c r="Y461" i="29"/>
  <c r="V461" i="29"/>
  <c r="K461" i="29"/>
  <c r="H461" i="29"/>
  <c r="DB460" i="29"/>
  <c r="CY460" i="29"/>
  <c r="AV460" i="29"/>
  <c r="AQ460" i="29"/>
  <c r="CW460" i="29"/>
  <c r="CT460" i="29"/>
  <c r="BV460" i="29"/>
  <c r="BS460" i="29"/>
  <c r="BP460" i="29"/>
  <c r="BN460" i="29"/>
  <c r="CO460" i="29"/>
  <c r="CL460" i="29"/>
  <c r="BC460" i="29"/>
  <c r="AZ460" i="29"/>
  <c r="AN460" i="29"/>
  <c r="AK460" i="29"/>
  <c r="AI460" i="29"/>
  <c r="AF460" i="29"/>
  <c r="Y460" i="29"/>
  <c r="DB459" i="29"/>
  <c r="CY459" i="29"/>
  <c r="AV459" i="29"/>
  <c r="AQ459" i="29"/>
  <c r="CW459" i="29"/>
  <c r="CT459" i="29"/>
  <c r="BV459" i="29"/>
  <c r="BS459" i="29"/>
  <c r="BP459" i="29"/>
  <c r="BN459" i="29"/>
  <c r="CO459" i="29"/>
  <c r="CL459" i="29"/>
  <c r="BC459" i="29"/>
  <c r="AZ459" i="29"/>
  <c r="AN459" i="29"/>
  <c r="AK459" i="29"/>
  <c r="AI459" i="29"/>
  <c r="AF459" i="29"/>
  <c r="Y459" i="29"/>
  <c r="V459" i="29"/>
  <c r="DB458" i="29"/>
  <c r="CY458" i="29"/>
  <c r="AV458" i="29"/>
  <c r="AQ458" i="29"/>
  <c r="CW458" i="29"/>
  <c r="CT458" i="29"/>
  <c r="BV458" i="29"/>
  <c r="BS458" i="29"/>
  <c r="BP458" i="29"/>
  <c r="BN458" i="29"/>
  <c r="CO458" i="29"/>
  <c r="CL458" i="29"/>
  <c r="BC458" i="29"/>
  <c r="AZ458" i="29"/>
  <c r="AN458" i="29"/>
  <c r="AK458" i="29"/>
  <c r="AH458" i="29"/>
  <c r="AI458" i="29" s="1"/>
  <c r="AF458" i="29"/>
  <c r="Y458" i="29"/>
  <c r="V458" i="29"/>
  <c r="DB457" i="29"/>
  <c r="CY457" i="29"/>
  <c r="AV457" i="29"/>
  <c r="AQ457" i="29"/>
  <c r="CW457" i="29"/>
  <c r="CT457" i="29"/>
  <c r="BV457" i="29"/>
  <c r="BS457" i="29"/>
  <c r="BP457" i="29"/>
  <c r="BN457" i="29"/>
  <c r="CO457" i="29"/>
  <c r="CL457" i="29"/>
  <c r="BC457" i="29"/>
  <c r="AZ457" i="29"/>
  <c r="AN457" i="29"/>
  <c r="AK457" i="29"/>
  <c r="AI457" i="29"/>
  <c r="AF457" i="29"/>
  <c r="Y457" i="29"/>
  <c r="V457" i="29"/>
  <c r="K457" i="29"/>
  <c r="H457" i="29"/>
  <c r="DB455" i="29"/>
  <c r="CY455" i="29"/>
  <c r="AV455" i="29"/>
  <c r="AQ455" i="29"/>
  <c r="CW455" i="29"/>
  <c r="CT455" i="29"/>
  <c r="BV455" i="29"/>
  <c r="BS455" i="29"/>
  <c r="BP455" i="29"/>
  <c r="BN455" i="29"/>
  <c r="CO455" i="29"/>
  <c r="CL455" i="29"/>
  <c r="BC455" i="29"/>
  <c r="AZ455" i="29"/>
  <c r="AN455" i="29"/>
  <c r="AK455" i="29"/>
  <c r="AI455" i="29"/>
  <c r="AF455" i="29"/>
  <c r="Y455" i="29"/>
  <c r="V455" i="29"/>
  <c r="K455" i="29"/>
  <c r="H455" i="29"/>
  <c r="DB454" i="29"/>
  <c r="CY454" i="29"/>
  <c r="AV454" i="29"/>
  <c r="AQ454" i="29"/>
  <c r="CW454" i="29"/>
  <c r="CT454" i="29"/>
  <c r="BV454" i="29"/>
  <c r="BS454" i="29"/>
  <c r="BP454" i="29"/>
  <c r="BN454" i="29"/>
  <c r="CO454" i="29"/>
  <c r="CL454" i="29"/>
  <c r="BC454" i="29"/>
  <c r="AZ454" i="29"/>
  <c r="AN454" i="29"/>
  <c r="AK454" i="29"/>
  <c r="AI454" i="29"/>
  <c r="AF454" i="29"/>
  <c r="Y454" i="29"/>
  <c r="DB453" i="29"/>
  <c r="CY453" i="29"/>
  <c r="AV453" i="29"/>
  <c r="AQ453" i="29"/>
  <c r="CW453" i="29"/>
  <c r="CT453" i="29"/>
  <c r="BV453" i="29"/>
  <c r="BR453" i="29"/>
  <c r="BS453" i="29" s="1"/>
  <c r="BP453" i="29"/>
  <c r="CO453" i="29"/>
  <c r="CL453" i="29"/>
  <c r="BC453" i="29"/>
  <c r="AZ453" i="29"/>
  <c r="AN453" i="29"/>
  <c r="AF453" i="29"/>
  <c r="DB452" i="29"/>
  <c r="CY452" i="29"/>
  <c r="AV452" i="29"/>
  <c r="AQ452" i="29"/>
  <c r="CW452" i="29"/>
  <c r="CT452" i="29"/>
  <c r="BV452" i="29"/>
  <c r="BS452" i="29"/>
  <c r="BP452" i="29"/>
  <c r="BN452" i="29"/>
  <c r="CO452" i="29"/>
  <c r="CL452" i="29"/>
  <c r="BC452" i="29"/>
  <c r="AZ452" i="29"/>
  <c r="AN452" i="29"/>
  <c r="AK452" i="29"/>
  <c r="AH452" i="29"/>
  <c r="AI452" i="29" s="1"/>
  <c r="AF452" i="29"/>
  <c r="Y452" i="29"/>
  <c r="K452" i="29"/>
  <c r="H452" i="29"/>
  <c r="DB451" i="29"/>
  <c r="CY451" i="29"/>
  <c r="AV451" i="29"/>
  <c r="AQ451" i="29"/>
  <c r="CW451" i="29"/>
  <c r="CT451" i="29"/>
  <c r="BV451" i="29"/>
  <c r="BS451" i="29"/>
  <c r="BP451" i="29"/>
  <c r="BN451" i="29"/>
  <c r="CO451" i="29"/>
  <c r="CL451" i="29"/>
  <c r="BC451" i="29"/>
  <c r="AZ451" i="29"/>
  <c r="AN451" i="29"/>
  <c r="AK451" i="29"/>
  <c r="AI451" i="29"/>
  <c r="AF451" i="29"/>
  <c r="AC451" i="29"/>
  <c r="Y451" i="29"/>
  <c r="V451" i="29"/>
  <c r="K451" i="29"/>
  <c r="H451" i="29"/>
  <c r="DB450" i="29"/>
  <c r="CY450" i="29"/>
  <c r="AV450" i="29"/>
  <c r="AQ450" i="29"/>
  <c r="CW450" i="29"/>
  <c r="CT450" i="29"/>
  <c r="BV450" i="29"/>
  <c r="BS450" i="29"/>
  <c r="BP450" i="29"/>
  <c r="BN450" i="29"/>
  <c r="CO450" i="29"/>
  <c r="CL450" i="29"/>
  <c r="BC450" i="29"/>
  <c r="AZ450" i="29"/>
  <c r="AN450" i="29"/>
  <c r="AK450" i="29"/>
  <c r="AI450" i="29"/>
  <c r="AF450" i="29"/>
  <c r="AC450" i="29"/>
  <c r="Y450" i="29"/>
  <c r="V450" i="29"/>
  <c r="K450" i="29"/>
  <c r="H450" i="29"/>
  <c r="DB449" i="29"/>
  <c r="CY449" i="29"/>
  <c r="AV449" i="29"/>
  <c r="AQ449" i="29"/>
  <c r="CW449" i="29"/>
  <c r="CT449" i="29"/>
  <c r="BV449" i="29"/>
  <c r="BS449" i="29"/>
  <c r="BP449" i="29"/>
  <c r="BN449" i="29"/>
  <c r="CO449" i="29"/>
  <c r="CL449" i="29"/>
  <c r="BC449" i="29"/>
  <c r="AY449" i="29"/>
  <c r="AZ449" i="29" s="1"/>
  <c r="AN449" i="29"/>
  <c r="AJ449" i="29"/>
  <c r="AK449" i="29" s="1"/>
  <c r="AI449" i="29"/>
  <c r="AF449" i="29"/>
  <c r="Y449" i="29"/>
  <c r="V449" i="29"/>
  <c r="K449" i="29"/>
  <c r="H449" i="29"/>
  <c r="DB448" i="29"/>
  <c r="CY448" i="29"/>
  <c r="AV448" i="29"/>
  <c r="AQ448" i="29"/>
  <c r="CW448" i="29"/>
  <c r="CT448" i="29"/>
  <c r="BV448" i="29"/>
  <c r="BS448" i="29"/>
  <c r="BP448" i="29"/>
  <c r="BN448" i="29"/>
  <c r="CO448" i="29"/>
  <c r="CL448" i="29"/>
  <c r="BC448" i="29"/>
  <c r="AZ448" i="29"/>
  <c r="AN448" i="29"/>
  <c r="AK448" i="29"/>
  <c r="AI448" i="29"/>
  <c r="AF448" i="29"/>
  <c r="Y448" i="29"/>
  <c r="V448" i="29"/>
  <c r="K448" i="29"/>
  <c r="H448" i="29"/>
  <c r="DB447" i="29"/>
  <c r="CY447" i="29"/>
  <c r="AV447" i="29"/>
  <c r="AQ447" i="29"/>
  <c r="CW447" i="29"/>
  <c r="CT447" i="29"/>
  <c r="BV447" i="29"/>
  <c r="BS447" i="29"/>
  <c r="BP447" i="29"/>
  <c r="BN447" i="29"/>
  <c r="CO447" i="29"/>
  <c r="CL447" i="29"/>
  <c r="BC447" i="29"/>
  <c r="AZ447" i="29"/>
  <c r="AN447" i="29"/>
  <c r="AK447" i="29"/>
  <c r="AI447" i="29"/>
  <c r="AF447" i="29"/>
  <c r="AC447" i="29"/>
  <c r="Y447" i="29"/>
  <c r="V447" i="29"/>
  <c r="K447" i="29"/>
  <c r="H447" i="29"/>
  <c r="DX446" i="29"/>
  <c r="DB446" i="29"/>
  <c r="CY446" i="29"/>
  <c r="AV446" i="29"/>
  <c r="AQ446" i="29"/>
  <c r="CW446" i="29"/>
  <c r="CT446" i="29"/>
  <c r="BV446" i="29"/>
  <c r="BS446" i="29"/>
  <c r="BP446" i="29"/>
  <c r="BN446" i="29"/>
  <c r="CO446" i="29"/>
  <c r="CL446" i="29"/>
  <c r="BC446" i="29"/>
  <c r="AY446" i="29"/>
  <c r="AZ446" i="29" s="1"/>
  <c r="AN446" i="29"/>
  <c r="AK446" i="29"/>
  <c r="AI446" i="29"/>
  <c r="AF446" i="29"/>
  <c r="Y446" i="29"/>
  <c r="V446" i="29"/>
  <c r="K446" i="29"/>
  <c r="H446" i="29"/>
  <c r="DB445" i="29"/>
  <c r="CY445" i="29"/>
  <c r="AV445" i="29"/>
  <c r="AQ445" i="29"/>
  <c r="CW445" i="29"/>
  <c r="CT445" i="29"/>
  <c r="BV445" i="29"/>
  <c r="BS445" i="29"/>
  <c r="BP445" i="29"/>
  <c r="BN445" i="29"/>
  <c r="CO445" i="29"/>
  <c r="CL445" i="29"/>
  <c r="BC445" i="29"/>
  <c r="AZ445" i="29"/>
  <c r="AN445" i="29"/>
  <c r="AK445" i="29"/>
  <c r="AH445" i="29"/>
  <c r="AI445" i="29" s="1"/>
  <c r="AF445" i="29"/>
  <c r="AC445" i="29"/>
  <c r="Y445" i="29"/>
  <c r="V445" i="29"/>
  <c r="K445" i="29"/>
  <c r="H445" i="29"/>
  <c r="DB444" i="29"/>
  <c r="CY444" i="29"/>
  <c r="AV444" i="29"/>
  <c r="AQ444" i="29"/>
  <c r="CW444" i="29"/>
  <c r="CT444" i="29"/>
  <c r="BV444" i="29"/>
  <c r="BS444" i="29"/>
  <c r="BP444" i="29"/>
  <c r="BN444" i="29"/>
  <c r="CO444" i="29"/>
  <c r="CL444" i="29"/>
  <c r="BC444" i="29"/>
  <c r="AZ444" i="29"/>
  <c r="AN444" i="29"/>
  <c r="AK444" i="29"/>
  <c r="AI444" i="29"/>
  <c r="AF444" i="29"/>
  <c r="Y444" i="29"/>
  <c r="V444" i="29"/>
  <c r="K444" i="29"/>
  <c r="H444" i="29"/>
  <c r="DB443" i="29"/>
  <c r="CY443" i="29"/>
  <c r="AV443" i="29"/>
  <c r="AQ443" i="29"/>
  <c r="CW443" i="29"/>
  <c r="CT443" i="29"/>
  <c r="BV443" i="29"/>
  <c r="BS443" i="29"/>
  <c r="BP443" i="29"/>
  <c r="BN443" i="29"/>
  <c r="CO443" i="29"/>
  <c r="CL443" i="29"/>
  <c r="BC443" i="29"/>
  <c r="AZ443" i="29"/>
  <c r="AN443" i="29"/>
  <c r="AK443" i="29"/>
  <c r="AI443" i="29"/>
  <c r="AF443" i="29"/>
  <c r="Y443" i="29"/>
  <c r="V443" i="29"/>
  <c r="K443" i="29"/>
  <c r="H443" i="29"/>
  <c r="DB442" i="29"/>
  <c r="CY442" i="29"/>
  <c r="AV442" i="29"/>
  <c r="AQ442" i="29"/>
  <c r="CW442" i="29"/>
  <c r="CT442" i="29"/>
  <c r="BV442" i="29"/>
  <c r="BS442" i="29"/>
  <c r="BP442" i="29"/>
  <c r="BN442" i="29"/>
  <c r="CO442" i="29"/>
  <c r="CL442" i="29"/>
  <c r="BC442" i="29"/>
  <c r="AZ442" i="29"/>
  <c r="AN442" i="29"/>
  <c r="AK442" i="29"/>
  <c r="AI442" i="29"/>
  <c r="AF442" i="29"/>
  <c r="Y442" i="29"/>
  <c r="V442" i="29"/>
  <c r="K442" i="29"/>
  <c r="H442" i="29"/>
  <c r="DB441" i="29"/>
  <c r="CY441" i="29"/>
  <c r="AV441" i="29"/>
  <c r="AQ441" i="29"/>
  <c r="CW441" i="29"/>
  <c r="CT441" i="29"/>
  <c r="BV441" i="29"/>
  <c r="BS441" i="29"/>
  <c r="BP441" i="29"/>
  <c r="CO441" i="29"/>
  <c r="CL441" i="29"/>
  <c r="BC441" i="29"/>
  <c r="AZ441" i="29"/>
  <c r="AN441" i="29"/>
  <c r="AK441" i="29"/>
  <c r="AI441" i="29"/>
  <c r="AF441" i="29"/>
  <c r="AC441" i="29"/>
  <c r="DB440" i="29"/>
  <c r="CY440" i="29"/>
  <c r="AV440" i="29"/>
  <c r="AQ440" i="29"/>
  <c r="CW440" i="29"/>
  <c r="CT440" i="29"/>
  <c r="BV440" i="29"/>
  <c r="BS440" i="29"/>
  <c r="BP440" i="29"/>
  <c r="BN440" i="29"/>
  <c r="CO440" i="29"/>
  <c r="CL440" i="29"/>
  <c r="BC440" i="29"/>
  <c r="AZ440" i="29"/>
  <c r="AN440" i="29"/>
  <c r="AK440" i="29"/>
  <c r="AI440" i="29"/>
  <c r="AF440" i="29"/>
  <c r="AC440" i="29"/>
  <c r="Y440" i="29"/>
  <c r="V440" i="29"/>
  <c r="DB439" i="29"/>
  <c r="CY439" i="29"/>
  <c r="AV439" i="29"/>
  <c r="AQ439" i="29"/>
  <c r="CW439" i="29"/>
  <c r="CT439" i="29"/>
  <c r="DL439" i="29" s="1"/>
  <c r="BV439" i="29"/>
  <c r="BS439" i="29"/>
  <c r="BP439" i="29"/>
  <c r="BN439" i="29"/>
  <c r="CO439" i="29"/>
  <c r="CL439" i="29"/>
  <c r="BC439" i="29"/>
  <c r="AZ439" i="29"/>
  <c r="AN439" i="29"/>
  <c r="AK439" i="29"/>
  <c r="AI439" i="29"/>
  <c r="AF439" i="29"/>
  <c r="AC439" i="29"/>
  <c r="Y439" i="29"/>
  <c r="V439" i="29"/>
  <c r="K439" i="29"/>
  <c r="H439" i="29"/>
  <c r="DB438" i="29"/>
  <c r="CY438" i="29"/>
  <c r="AV438" i="29"/>
  <c r="AQ438" i="29"/>
  <c r="CW438" i="29"/>
  <c r="CT438" i="29"/>
  <c r="BV438" i="29"/>
  <c r="BS438" i="29"/>
  <c r="BP438" i="29"/>
  <c r="BN438" i="29"/>
  <c r="CO438" i="29"/>
  <c r="CL438" i="29"/>
  <c r="BC438" i="29"/>
  <c r="AZ438" i="29"/>
  <c r="AN438" i="29"/>
  <c r="AK438" i="29"/>
  <c r="AI438" i="29"/>
  <c r="AF438" i="29"/>
  <c r="Y438" i="29"/>
  <c r="V438" i="29"/>
  <c r="K438" i="29"/>
  <c r="H438" i="29"/>
  <c r="DB437" i="29"/>
  <c r="CY437" i="29"/>
  <c r="AV437" i="29"/>
  <c r="AQ437" i="29"/>
  <c r="CW437" i="29"/>
  <c r="CT437" i="29"/>
  <c r="BV437" i="29"/>
  <c r="BS437" i="29"/>
  <c r="BP437" i="29"/>
  <c r="BN437" i="29"/>
  <c r="CO437" i="29"/>
  <c r="CL437" i="29"/>
  <c r="BC437" i="29"/>
  <c r="AZ437" i="29"/>
  <c r="AN437" i="29"/>
  <c r="AJ437" i="29"/>
  <c r="AK437" i="29" s="1"/>
  <c r="AH437" i="29"/>
  <c r="AI437" i="29" s="1"/>
  <c r="AF437" i="29"/>
  <c r="Y437" i="29"/>
  <c r="V437" i="29"/>
  <c r="K437" i="29"/>
  <c r="H437" i="29"/>
  <c r="DB436" i="29"/>
  <c r="CY436" i="29"/>
  <c r="AV436" i="29"/>
  <c r="AQ436" i="29"/>
  <c r="AS436" i="29" s="1"/>
  <c r="CW436" i="29"/>
  <c r="CT436" i="29"/>
  <c r="DL436" i="29" s="1"/>
  <c r="BP436" i="29"/>
  <c r="BX436" i="29" s="1"/>
  <c r="CO436" i="29"/>
  <c r="DB435" i="29"/>
  <c r="CY435" i="29"/>
  <c r="AV435" i="29"/>
  <c r="AQ435" i="29"/>
  <c r="CW435" i="29"/>
  <c r="CT435" i="29"/>
  <c r="BV435" i="29"/>
  <c r="BS435" i="29"/>
  <c r="BP435" i="29"/>
  <c r="BN435" i="29"/>
  <c r="CO435" i="29"/>
  <c r="CL435" i="29"/>
  <c r="BC435" i="29"/>
  <c r="AZ435" i="29"/>
  <c r="AN435" i="29"/>
  <c r="AK435" i="29"/>
  <c r="AI435" i="29"/>
  <c r="AF435" i="29"/>
  <c r="AC435" i="29"/>
  <c r="Y435" i="29"/>
  <c r="V435" i="29"/>
  <c r="DB434" i="29"/>
  <c r="CY434" i="29"/>
  <c r="AV434" i="29"/>
  <c r="AQ434" i="29"/>
  <c r="CW434" i="29"/>
  <c r="CT434" i="29"/>
  <c r="DL434" i="29" s="1"/>
  <c r="BV434" i="29"/>
  <c r="BS434" i="29"/>
  <c r="BP434" i="29"/>
  <c r="BN434" i="29"/>
  <c r="CO434" i="29"/>
  <c r="CL434" i="29"/>
  <c r="BC434" i="29"/>
  <c r="AZ434" i="29"/>
  <c r="AN434" i="29"/>
  <c r="AI434" i="29"/>
  <c r="Y434" i="29"/>
  <c r="V434" i="29"/>
  <c r="DB433" i="29"/>
  <c r="CY433" i="29"/>
  <c r="AV433" i="29"/>
  <c r="AQ433" i="29"/>
  <c r="CW433" i="29"/>
  <c r="CT433" i="29"/>
  <c r="DL433" i="29" s="1"/>
  <c r="BV433" i="29"/>
  <c r="BS433" i="29"/>
  <c r="BP433" i="29"/>
  <c r="BN433" i="29"/>
  <c r="CO433" i="29"/>
  <c r="CL433" i="29"/>
  <c r="BC433" i="29"/>
  <c r="AZ433" i="29"/>
  <c r="BE433" i="29" s="1"/>
  <c r="AN433" i="29"/>
  <c r="AI433" i="29"/>
  <c r="Y433" i="29"/>
  <c r="V433" i="29"/>
  <c r="DB432" i="29"/>
  <c r="CY432" i="29"/>
  <c r="AV432" i="29"/>
  <c r="AQ432" i="29"/>
  <c r="CW432" i="29"/>
  <c r="CT432" i="29"/>
  <c r="DL432" i="29" s="1"/>
  <c r="BV432" i="29"/>
  <c r="BS432" i="29"/>
  <c r="BP432" i="29"/>
  <c r="BN432" i="29"/>
  <c r="CO432" i="29"/>
  <c r="CL432" i="29"/>
  <c r="BC432" i="29"/>
  <c r="AZ432" i="29"/>
  <c r="AN432" i="29"/>
  <c r="AI432" i="29"/>
  <c r="Y432" i="29"/>
  <c r="V432" i="29"/>
  <c r="DB431" i="29"/>
  <c r="CY431" i="29"/>
  <c r="AV431" i="29"/>
  <c r="AQ431" i="29"/>
  <c r="CW431" i="29"/>
  <c r="CT431" i="29"/>
  <c r="DL431" i="29" s="1"/>
  <c r="BV431" i="29"/>
  <c r="BS431" i="29"/>
  <c r="BP431" i="29"/>
  <c r="BN431" i="29"/>
  <c r="CO431" i="29"/>
  <c r="CL431" i="29"/>
  <c r="BC431" i="29"/>
  <c r="AZ431" i="29"/>
  <c r="AN431" i="29"/>
  <c r="AI431" i="29"/>
  <c r="Y431" i="29"/>
  <c r="V431" i="29"/>
  <c r="DB430" i="29"/>
  <c r="CY430" i="29"/>
  <c r="AV430" i="29"/>
  <c r="AQ430" i="29"/>
  <c r="CW430" i="29"/>
  <c r="CT430" i="29"/>
  <c r="DL430" i="29" s="1"/>
  <c r="BV430" i="29"/>
  <c r="BS430" i="29"/>
  <c r="BP430" i="29"/>
  <c r="BN430" i="29"/>
  <c r="CO430" i="29"/>
  <c r="CL430" i="29"/>
  <c r="BC430" i="29"/>
  <c r="AZ430" i="29"/>
  <c r="AN430" i="29"/>
  <c r="AI430" i="29"/>
  <c r="Y430" i="29"/>
  <c r="V430" i="29"/>
  <c r="DB429" i="29"/>
  <c r="CY429" i="29"/>
  <c r="AV429" i="29"/>
  <c r="AQ429" i="29"/>
  <c r="CW429" i="29"/>
  <c r="CT429" i="29"/>
  <c r="DL429" i="29" s="1"/>
  <c r="BV429" i="29"/>
  <c r="BS429" i="29"/>
  <c r="BP429" i="29"/>
  <c r="BN429" i="29"/>
  <c r="CO429" i="29"/>
  <c r="CL429" i="29"/>
  <c r="BC429" i="29"/>
  <c r="AZ429" i="29"/>
  <c r="AN429" i="29"/>
  <c r="AI429" i="29"/>
  <c r="Y429" i="29"/>
  <c r="V429" i="29"/>
  <c r="DB428" i="29"/>
  <c r="CY428" i="29"/>
  <c r="AV428" i="29"/>
  <c r="AQ428" i="29"/>
  <c r="CW428" i="29"/>
  <c r="CT428" i="29"/>
  <c r="BV428" i="29"/>
  <c r="BS428" i="29"/>
  <c r="BP428" i="29"/>
  <c r="BN428" i="29"/>
  <c r="CO428" i="29"/>
  <c r="CL428" i="29"/>
  <c r="BC428" i="29"/>
  <c r="AZ428" i="29"/>
  <c r="AN428" i="29"/>
  <c r="AK428" i="29"/>
  <c r="AI428" i="29"/>
  <c r="AF428" i="29"/>
  <c r="AC428" i="29"/>
  <c r="Y428" i="29"/>
  <c r="V428" i="29"/>
  <c r="DB427" i="29"/>
  <c r="CY427" i="29"/>
  <c r="AV427" i="29"/>
  <c r="AQ427" i="29"/>
  <c r="CW427" i="29"/>
  <c r="CT427" i="29"/>
  <c r="BV427" i="29"/>
  <c r="BS427" i="29"/>
  <c r="BP427" i="29"/>
  <c r="BN427" i="29"/>
  <c r="CO427" i="29"/>
  <c r="CL427" i="29"/>
  <c r="BC427" i="29"/>
  <c r="AZ427" i="29"/>
  <c r="AN427" i="29"/>
  <c r="AK427" i="29"/>
  <c r="AI427" i="29"/>
  <c r="AF427" i="29"/>
  <c r="AC427" i="29"/>
  <c r="Y427" i="29"/>
  <c r="V427" i="29"/>
  <c r="DB426" i="29"/>
  <c r="CY426" i="29"/>
  <c r="AV426" i="29"/>
  <c r="AQ426" i="29"/>
  <c r="CW426" i="29"/>
  <c r="CT426" i="29"/>
  <c r="BV426" i="29"/>
  <c r="BS426" i="29"/>
  <c r="BP426" i="29"/>
  <c r="BN426" i="29"/>
  <c r="CO426" i="29"/>
  <c r="CL426" i="29"/>
  <c r="BC426" i="29"/>
  <c r="AZ426" i="29"/>
  <c r="AN426" i="29"/>
  <c r="AK426" i="29"/>
  <c r="AI426" i="29"/>
  <c r="AF426" i="29"/>
  <c r="AC426" i="29"/>
  <c r="Y426" i="29"/>
  <c r="V426" i="29"/>
  <c r="DB425" i="29"/>
  <c r="CY425" i="29"/>
  <c r="AV425" i="29"/>
  <c r="AQ425" i="29"/>
  <c r="AS425" i="29" s="1"/>
  <c r="CW425" i="29"/>
  <c r="CT425" i="29"/>
  <c r="BV425" i="29"/>
  <c r="BS425" i="29"/>
  <c r="BP425" i="29"/>
  <c r="BN425" i="29"/>
  <c r="CO425" i="29"/>
  <c r="CL425" i="29"/>
  <c r="AZ425" i="29"/>
  <c r="BE425" i="29" s="1"/>
  <c r="AF425" i="29"/>
  <c r="AC425" i="29"/>
  <c r="Y425" i="29"/>
  <c r="V425" i="29"/>
  <c r="DB424" i="29"/>
  <c r="CY424" i="29"/>
  <c r="AV424" i="29"/>
  <c r="AQ424" i="29"/>
  <c r="AS424" i="29" s="1"/>
  <c r="CW424" i="29"/>
  <c r="CT424" i="29"/>
  <c r="BV424" i="29"/>
  <c r="BS424" i="29"/>
  <c r="BP424" i="29"/>
  <c r="BN424" i="29"/>
  <c r="CO424" i="29"/>
  <c r="CL424" i="29"/>
  <c r="DH424" i="29" s="1"/>
  <c r="AZ424" i="29"/>
  <c r="AF424" i="29"/>
  <c r="AC424" i="29"/>
  <c r="Y424" i="29"/>
  <c r="V424" i="29"/>
  <c r="DB423" i="29"/>
  <c r="CY423" i="29"/>
  <c r="AV423" i="29"/>
  <c r="AQ423" i="29"/>
  <c r="CW423" i="29"/>
  <c r="CT423" i="29"/>
  <c r="BV423" i="29"/>
  <c r="BS423" i="29"/>
  <c r="BP423" i="29"/>
  <c r="BN423" i="29"/>
  <c r="CO423" i="29"/>
  <c r="CL423" i="29"/>
  <c r="BC423" i="29"/>
  <c r="AZ423" i="29"/>
  <c r="AN423" i="29"/>
  <c r="AK423" i="29"/>
  <c r="AI423" i="29"/>
  <c r="AF423" i="29"/>
  <c r="AC423" i="29"/>
  <c r="Y423" i="29"/>
  <c r="V423" i="29"/>
  <c r="DB422" i="29"/>
  <c r="CY422" i="29"/>
  <c r="AV422" i="29"/>
  <c r="AQ422" i="29"/>
  <c r="CW422" i="29"/>
  <c r="CT422" i="29"/>
  <c r="BV422" i="29"/>
  <c r="BS422" i="29"/>
  <c r="BP422" i="29"/>
  <c r="BN422" i="29"/>
  <c r="CO422" i="29"/>
  <c r="CL422" i="29"/>
  <c r="BC422" i="29"/>
  <c r="AZ422" i="29"/>
  <c r="AN422" i="29"/>
  <c r="AK422" i="29"/>
  <c r="AF422" i="29"/>
  <c r="AC422" i="29"/>
  <c r="Y422" i="29"/>
  <c r="V422" i="29"/>
  <c r="DB421" i="29"/>
  <c r="CY421" i="29"/>
  <c r="AV421" i="29"/>
  <c r="AQ421" i="29"/>
  <c r="CW421" i="29"/>
  <c r="CT421" i="29"/>
  <c r="BV421" i="29"/>
  <c r="BS421" i="29"/>
  <c r="BP421" i="29"/>
  <c r="BN421" i="29"/>
  <c r="CO421" i="29"/>
  <c r="CL421" i="29"/>
  <c r="BC421" i="29"/>
  <c r="AZ421" i="29"/>
  <c r="AN421" i="29"/>
  <c r="AK421" i="29"/>
  <c r="AI421" i="29"/>
  <c r="AF421" i="29"/>
  <c r="AC421" i="29"/>
  <c r="Y421" i="29"/>
  <c r="V421" i="29"/>
  <c r="DB420" i="29"/>
  <c r="CY420" i="29"/>
  <c r="AV420" i="29"/>
  <c r="AQ420" i="29"/>
  <c r="CW420" i="29"/>
  <c r="CT420" i="29"/>
  <c r="BV420" i="29"/>
  <c r="BS420" i="29"/>
  <c r="BP420" i="29"/>
  <c r="BN420" i="29"/>
  <c r="CO420" i="29"/>
  <c r="CL420" i="29"/>
  <c r="BC420" i="29"/>
  <c r="AZ420" i="29"/>
  <c r="AN420" i="29"/>
  <c r="AK420" i="29"/>
  <c r="AI420" i="29"/>
  <c r="AF420" i="29"/>
  <c r="AC420" i="29"/>
  <c r="Y420" i="29"/>
  <c r="V420" i="29"/>
  <c r="DB419" i="29"/>
  <c r="CY419" i="29"/>
  <c r="AV419" i="29"/>
  <c r="AQ419" i="29"/>
  <c r="CW419" i="29"/>
  <c r="CT419" i="29"/>
  <c r="BV419" i="29"/>
  <c r="BS419" i="29"/>
  <c r="BP419" i="29"/>
  <c r="BN419" i="29"/>
  <c r="CO419" i="29"/>
  <c r="CL419" i="29"/>
  <c r="BC419" i="29"/>
  <c r="AZ419" i="29"/>
  <c r="AN419" i="29"/>
  <c r="AK419" i="29"/>
  <c r="AI419" i="29"/>
  <c r="AF419" i="29"/>
  <c r="AC419" i="29"/>
  <c r="Y419" i="29"/>
  <c r="V419" i="29"/>
  <c r="DB418" i="29"/>
  <c r="CY418" i="29"/>
  <c r="AV418" i="29"/>
  <c r="AQ418" i="29"/>
  <c r="CW418" i="29"/>
  <c r="CT418" i="29"/>
  <c r="BV418" i="29"/>
  <c r="BS418" i="29"/>
  <c r="BP418" i="29"/>
  <c r="BN418" i="29"/>
  <c r="CO418" i="29"/>
  <c r="CL418" i="29"/>
  <c r="BC418" i="29"/>
  <c r="AZ418" i="29"/>
  <c r="AN418" i="29"/>
  <c r="AK418" i="29"/>
  <c r="AI418" i="29"/>
  <c r="AF418" i="29"/>
  <c r="AC418" i="29"/>
  <c r="Y418" i="29"/>
  <c r="V418" i="29"/>
  <c r="DB416" i="29"/>
  <c r="AV416" i="29"/>
  <c r="AQ416" i="29"/>
  <c r="CT416" i="29"/>
  <c r="BV416" i="29"/>
  <c r="BS416" i="29"/>
  <c r="BP416" i="29"/>
  <c r="BN416" i="29"/>
  <c r="CO416" i="29"/>
  <c r="CL416" i="29"/>
  <c r="BC416" i="29"/>
  <c r="AZ416" i="29"/>
  <c r="AN416" i="29"/>
  <c r="AK416" i="29"/>
  <c r="AI416" i="29"/>
  <c r="AF416" i="29"/>
  <c r="AC416" i="29"/>
  <c r="Y416" i="29"/>
  <c r="V416" i="29"/>
  <c r="DB414" i="29"/>
  <c r="CY414" i="29"/>
  <c r="AV414" i="29"/>
  <c r="AQ414" i="29"/>
  <c r="CT414" i="29"/>
  <c r="BV414" i="29"/>
  <c r="BS414" i="29"/>
  <c r="BP414" i="29"/>
  <c r="BN414" i="29"/>
  <c r="CO414" i="29"/>
  <c r="CL414" i="29"/>
  <c r="BC414" i="29"/>
  <c r="AZ414" i="29"/>
  <c r="AN414" i="29"/>
  <c r="AK414" i="29"/>
  <c r="AF414" i="29"/>
  <c r="AC414" i="29"/>
  <c r="Y414" i="29"/>
  <c r="V414" i="29"/>
  <c r="DB413" i="29"/>
  <c r="CY413" i="29"/>
  <c r="AV413" i="29"/>
  <c r="AQ413" i="29"/>
  <c r="CW413" i="29"/>
  <c r="CT413" i="29"/>
  <c r="BV413" i="29"/>
  <c r="BS413" i="29"/>
  <c r="BP413" i="29"/>
  <c r="BN413" i="29"/>
  <c r="CO413" i="29"/>
  <c r="CL413" i="29"/>
  <c r="BC413" i="29"/>
  <c r="AZ413" i="29"/>
  <c r="AN413" i="29"/>
  <c r="AK413" i="29"/>
  <c r="AI413" i="29"/>
  <c r="AF413" i="29"/>
  <c r="AC413" i="29"/>
  <c r="Y413" i="29"/>
  <c r="V413" i="29"/>
  <c r="DB412" i="29"/>
  <c r="CY412" i="29"/>
  <c r="AV412" i="29"/>
  <c r="AQ412" i="29"/>
  <c r="CW412" i="29"/>
  <c r="CT412" i="29"/>
  <c r="BV412" i="29"/>
  <c r="BS412" i="29"/>
  <c r="BP412" i="29"/>
  <c r="BN412" i="29"/>
  <c r="CO412" i="29"/>
  <c r="CL412" i="29"/>
  <c r="BC412" i="29"/>
  <c r="AZ412" i="29"/>
  <c r="AN412" i="29"/>
  <c r="AK412" i="29"/>
  <c r="AI412" i="29"/>
  <c r="AF412" i="29"/>
  <c r="AC412" i="29"/>
  <c r="Y412" i="29"/>
  <c r="V412" i="29"/>
  <c r="K412" i="29"/>
  <c r="H412" i="29"/>
  <c r="DB411" i="29"/>
  <c r="CY411" i="29"/>
  <c r="AV411" i="29"/>
  <c r="AQ411" i="29"/>
  <c r="AS411" i="29" s="1"/>
  <c r="CW411" i="29"/>
  <c r="CT411" i="29"/>
  <c r="DL411" i="29" s="1"/>
  <c r="BP411" i="29"/>
  <c r="BX411" i="29" s="1"/>
  <c r="CO411" i="29"/>
  <c r="DB410" i="29"/>
  <c r="CY410" i="29"/>
  <c r="AV410" i="29"/>
  <c r="AQ410" i="29"/>
  <c r="CW410" i="29"/>
  <c r="CT410" i="29"/>
  <c r="BV410" i="29"/>
  <c r="BS410" i="29"/>
  <c r="BP410" i="29"/>
  <c r="BN410" i="29"/>
  <c r="CO410" i="29"/>
  <c r="CL410" i="29"/>
  <c r="BC410" i="29"/>
  <c r="AZ410" i="29"/>
  <c r="AN410" i="29"/>
  <c r="AK410" i="29"/>
  <c r="AI410" i="29"/>
  <c r="AF410" i="29"/>
  <c r="AC410" i="29"/>
  <c r="Y410" i="29"/>
  <c r="V410" i="29"/>
  <c r="K410" i="29"/>
  <c r="H410" i="29"/>
  <c r="DB409" i="29"/>
  <c r="CY409" i="29"/>
  <c r="AV409" i="29"/>
  <c r="AQ409" i="29"/>
  <c r="CW409" i="29"/>
  <c r="CT409" i="29"/>
  <c r="BV409" i="29"/>
  <c r="BS409" i="29"/>
  <c r="BP409" i="29"/>
  <c r="BN409" i="29"/>
  <c r="CO409" i="29"/>
  <c r="CL409" i="29"/>
  <c r="BC409" i="29"/>
  <c r="AZ409" i="29"/>
  <c r="AN409" i="29"/>
  <c r="AK409" i="29"/>
  <c r="AI409" i="29"/>
  <c r="AF409" i="29"/>
  <c r="AC409" i="29"/>
  <c r="Y409" i="29"/>
  <c r="V409" i="29"/>
  <c r="K409" i="29"/>
  <c r="H409" i="29"/>
  <c r="DB408" i="29"/>
  <c r="CY408" i="29"/>
  <c r="AV408" i="29"/>
  <c r="AQ408" i="29"/>
  <c r="AS408" i="29" s="1"/>
  <c r="CW408" i="29"/>
  <c r="CT408" i="29"/>
  <c r="BV408" i="29"/>
  <c r="BS408" i="29"/>
  <c r="BP408" i="29"/>
  <c r="BN408" i="29"/>
  <c r="CO408" i="29"/>
  <c r="AZ408" i="29"/>
  <c r="BE408" i="29" s="1"/>
  <c r="AI408" i="29"/>
  <c r="AF408" i="29"/>
  <c r="AC408" i="29"/>
  <c r="Y408" i="29"/>
  <c r="V408" i="29"/>
  <c r="DB407" i="29"/>
  <c r="CY407" i="29"/>
  <c r="AV407" i="29"/>
  <c r="AQ407" i="29"/>
  <c r="CW407" i="29"/>
  <c r="CT407" i="29"/>
  <c r="BV407" i="29"/>
  <c r="BS407" i="29"/>
  <c r="BP407" i="29"/>
  <c r="BN407" i="29"/>
  <c r="CO407" i="29"/>
  <c r="CL407" i="29"/>
  <c r="BC407" i="29"/>
  <c r="AZ407" i="29"/>
  <c r="AN407" i="29"/>
  <c r="AK407" i="29"/>
  <c r="AI407" i="29"/>
  <c r="AF407" i="29"/>
  <c r="AC407" i="29"/>
  <c r="Y407" i="29"/>
  <c r="V407" i="29"/>
  <c r="K407" i="29"/>
  <c r="H407" i="29"/>
  <c r="DB406" i="29"/>
  <c r="CY406" i="29"/>
  <c r="AV406" i="29"/>
  <c r="AQ406" i="29"/>
  <c r="AS406" i="29" s="1"/>
  <c r="CW406" i="29"/>
  <c r="CT406" i="29"/>
  <c r="DL406" i="29" s="1"/>
  <c r="BP406" i="29"/>
  <c r="BX406" i="29" s="1"/>
  <c r="CO406" i="29"/>
  <c r="EA405" i="29"/>
  <c r="DB405" i="29"/>
  <c r="CY405" i="29"/>
  <c r="AV405" i="29"/>
  <c r="AQ405" i="29"/>
  <c r="CW405" i="29"/>
  <c r="CT405" i="29"/>
  <c r="BV405" i="29"/>
  <c r="BS405" i="29"/>
  <c r="BP405" i="29"/>
  <c r="BN405" i="29"/>
  <c r="CO405" i="29"/>
  <c r="CL405" i="29"/>
  <c r="BC405" i="29"/>
  <c r="AZ405" i="29"/>
  <c r="AN405" i="29"/>
  <c r="AK405" i="29"/>
  <c r="AI405" i="29"/>
  <c r="AF405" i="29"/>
  <c r="AC405" i="29"/>
  <c r="Y405" i="29"/>
  <c r="V405" i="29"/>
  <c r="K405" i="29"/>
  <c r="H405" i="29"/>
  <c r="CY404" i="29"/>
  <c r="AV404" i="29"/>
  <c r="BP404" i="29"/>
  <c r="BX404" i="29" s="1"/>
  <c r="CO404" i="29"/>
  <c r="DB403" i="29"/>
  <c r="CY403" i="29"/>
  <c r="AV403" i="29"/>
  <c r="AQ403" i="29"/>
  <c r="CW403" i="29"/>
  <c r="CT403" i="29"/>
  <c r="BV403" i="29"/>
  <c r="BS403" i="29"/>
  <c r="BP403" i="29"/>
  <c r="BN403" i="29"/>
  <c r="BE403" i="29"/>
  <c r="CO403" i="29"/>
  <c r="CL403" i="29"/>
  <c r="BC403" i="29"/>
  <c r="AN403" i="29"/>
  <c r="AF403" i="29"/>
  <c r="AC403" i="29"/>
  <c r="CY402" i="29"/>
  <c r="DG402" i="29" s="1"/>
  <c r="BE402" i="29"/>
  <c r="CO402" i="29"/>
  <c r="BC402" i="29"/>
  <c r="DB401" i="29"/>
  <c r="CY401" i="29"/>
  <c r="AV401" i="29"/>
  <c r="AQ401" i="29"/>
  <c r="CW401" i="29"/>
  <c r="CT401" i="29"/>
  <c r="BV401" i="29"/>
  <c r="BS401" i="29"/>
  <c r="BP401" i="29"/>
  <c r="BN401" i="29"/>
  <c r="CO401" i="29"/>
  <c r="CL401" i="29"/>
  <c r="BC401" i="29"/>
  <c r="AZ401" i="29"/>
  <c r="AN401" i="29"/>
  <c r="AK401" i="29"/>
  <c r="AI401" i="29"/>
  <c r="AF401" i="29"/>
  <c r="AC401" i="29"/>
  <c r="Y401" i="29"/>
  <c r="V401" i="29"/>
  <c r="K401" i="29"/>
  <c r="DB400" i="29"/>
  <c r="CY400" i="29"/>
  <c r="AV400" i="29"/>
  <c r="BV400" i="29"/>
  <c r="BS400" i="29"/>
  <c r="BP400" i="29"/>
  <c r="CO400" i="29"/>
  <c r="CL400" i="29"/>
  <c r="BC400" i="29"/>
  <c r="AZ400" i="29"/>
  <c r="AF400" i="29"/>
  <c r="AC400" i="29"/>
  <c r="DL400" i="29" s="1"/>
  <c r="DB399" i="29"/>
  <c r="CY399" i="29"/>
  <c r="AV399" i="29"/>
  <c r="AQ399" i="29"/>
  <c r="CW399" i="29"/>
  <c r="CT399" i="29"/>
  <c r="BV399" i="29"/>
  <c r="BS399" i="29"/>
  <c r="BP399" i="29"/>
  <c r="BN399" i="29"/>
  <c r="CO399" i="29"/>
  <c r="CL399" i="29"/>
  <c r="BC399" i="29"/>
  <c r="AZ399" i="29"/>
  <c r="AN399" i="29"/>
  <c r="AK399" i="29"/>
  <c r="AI399" i="29"/>
  <c r="AF399" i="29"/>
  <c r="AC399" i="29"/>
  <c r="Y399" i="29"/>
  <c r="V399" i="29"/>
  <c r="K399" i="29"/>
  <c r="DB398" i="29"/>
  <c r="CY398" i="29"/>
  <c r="AV398" i="29"/>
  <c r="BV398" i="29"/>
  <c r="BS398" i="29"/>
  <c r="BP398" i="29"/>
  <c r="BN398" i="29"/>
  <c r="CO398" i="29"/>
  <c r="CL398" i="29"/>
  <c r="BC398" i="29"/>
  <c r="AZ398" i="29"/>
  <c r="AN398" i="29"/>
  <c r="AK398" i="29"/>
  <c r="AI398" i="29"/>
  <c r="AF398" i="29"/>
  <c r="AC398" i="29"/>
  <c r="DL398" i="29" s="1"/>
  <c r="CY397" i="29"/>
  <c r="AV397" i="29"/>
  <c r="BP397" i="29"/>
  <c r="BX397" i="29" s="1"/>
  <c r="CO397" i="29"/>
  <c r="CL397" i="29"/>
  <c r="DB396" i="29"/>
  <c r="CY396" i="29"/>
  <c r="AV396" i="29"/>
  <c r="AQ396" i="29"/>
  <c r="CW396" i="29"/>
  <c r="CT396" i="29"/>
  <c r="BV396" i="29"/>
  <c r="BS396" i="29"/>
  <c r="BP396" i="29"/>
  <c r="BN396" i="29"/>
  <c r="CO396" i="29"/>
  <c r="CL396" i="29"/>
  <c r="BC396" i="29"/>
  <c r="AZ396" i="29"/>
  <c r="AN396" i="29"/>
  <c r="AK396" i="29"/>
  <c r="AI396" i="29"/>
  <c r="AF396" i="29"/>
  <c r="AC396" i="29"/>
  <c r="Y396" i="29"/>
  <c r="V396" i="29"/>
  <c r="DB395" i="29"/>
  <c r="CY395" i="29"/>
  <c r="AV395" i="29"/>
  <c r="AQ395" i="29"/>
  <c r="AS395" i="29" s="1"/>
  <c r="CW395" i="29"/>
  <c r="CT395" i="29"/>
  <c r="DL395" i="29" s="1"/>
  <c r="BP395" i="29"/>
  <c r="BX395" i="29" s="1"/>
  <c r="CO395" i="29"/>
  <c r="DB380" i="29"/>
  <c r="CY380" i="29"/>
  <c r="AV380" i="29"/>
  <c r="AQ380" i="29"/>
  <c r="CW380" i="29"/>
  <c r="CT380" i="29"/>
  <c r="BV380" i="29"/>
  <c r="BS380" i="29"/>
  <c r="BP380" i="29"/>
  <c r="CO380" i="29"/>
  <c r="CL380" i="29"/>
  <c r="BC380" i="29"/>
  <c r="AN380" i="29"/>
  <c r="AK380" i="29"/>
  <c r="AI380" i="29"/>
  <c r="AF380" i="29"/>
  <c r="AC380" i="29"/>
  <c r="V380" i="29"/>
  <c r="DB379" i="29"/>
  <c r="CY379" i="29"/>
  <c r="AV379" i="29"/>
  <c r="AQ379" i="29"/>
  <c r="CW379" i="29"/>
  <c r="CT379" i="29"/>
  <c r="BV379" i="29"/>
  <c r="BS379" i="29"/>
  <c r="BP379" i="29"/>
  <c r="BN379" i="29"/>
  <c r="CO379" i="29"/>
  <c r="AZ379" i="29"/>
  <c r="AF379" i="29"/>
  <c r="AC379" i="29"/>
  <c r="Y379" i="29"/>
  <c r="V379" i="29"/>
  <c r="DB388" i="29"/>
  <c r="CY388" i="29"/>
  <c r="AV388" i="29"/>
  <c r="AQ388" i="29"/>
  <c r="CW388" i="29"/>
  <c r="CT388" i="29"/>
  <c r="BV388" i="29"/>
  <c r="BS388" i="29"/>
  <c r="BP388" i="29"/>
  <c r="CO388" i="29"/>
  <c r="CL388" i="29"/>
  <c r="BC388" i="29"/>
  <c r="AN388" i="29"/>
  <c r="AK388" i="29"/>
  <c r="BE388" i="29" s="1"/>
  <c r="AI388" i="29"/>
  <c r="AF388" i="29"/>
  <c r="AC388" i="29"/>
  <c r="Y388" i="29"/>
  <c r="V388" i="29"/>
  <c r="DB394" i="29"/>
  <c r="CY394" i="29"/>
  <c r="AV394" i="29"/>
  <c r="AQ394" i="29"/>
  <c r="CW394" i="29"/>
  <c r="CT394" i="29"/>
  <c r="BV394" i="29"/>
  <c r="BS394" i="29"/>
  <c r="BP394" i="29"/>
  <c r="BN394" i="29"/>
  <c r="CO394" i="29"/>
  <c r="CL394" i="29"/>
  <c r="BC394" i="29"/>
  <c r="AZ394" i="29"/>
  <c r="AN394" i="29"/>
  <c r="AK394" i="29"/>
  <c r="AI394" i="29"/>
  <c r="AF394" i="29"/>
  <c r="AC394" i="29"/>
  <c r="Y394" i="29"/>
  <c r="V394" i="29"/>
  <c r="DB393" i="29"/>
  <c r="CY393" i="29"/>
  <c r="AV393" i="29"/>
  <c r="AQ393" i="29"/>
  <c r="CW393" i="29"/>
  <c r="CT393" i="29"/>
  <c r="BV393" i="29"/>
  <c r="BS393" i="29"/>
  <c r="BP393" i="29"/>
  <c r="BN393" i="29"/>
  <c r="CO393" i="29"/>
  <c r="CL393" i="29"/>
  <c r="BC393" i="29"/>
  <c r="AZ393" i="29"/>
  <c r="AN393" i="29"/>
  <c r="AK393" i="29"/>
  <c r="AI393" i="29"/>
  <c r="AF393" i="29"/>
  <c r="AC393" i="29"/>
  <c r="Y393" i="29"/>
  <c r="V393" i="29"/>
  <c r="K393" i="29"/>
  <c r="H393" i="29"/>
  <c r="DB392" i="29"/>
  <c r="CY392" i="29"/>
  <c r="AV392" i="29"/>
  <c r="AQ392" i="29"/>
  <c r="CW392" i="29"/>
  <c r="CT392" i="29"/>
  <c r="BV392" i="29"/>
  <c r="BS392" i="29"/>
  <c r="BP392" i="29"/>
  <c r="BN392" i="29"/>
  <c r="CO392" i="29"/>
  <c r="CL392" i="29"/>
  <c r="BC392" i="29"/>
  <c r="AZ392" i="29"/>
  <c r="AN392" i="29"/>
  <c r="AK392" i="29"/>
  <c r="AI392" i="29"/>
  <c r="AF392" i="29"/>
  <c r="AC392" i="29"/>
  <c r="Y392" i="29"/>
  <c r="V392" i="29"/>
  <c r="K392" i="29"/>
  <c r="H392" i="29"/>
  <c r="DB387" i="29"/>
  <c r="CY387" i="29"/>
  <c r="AV387" i="29"/>
  <c r="AQ387" i="29"/>
  <c r="CW387" i="29"/>
  <c r="CT387" i="29"/>
  <c r="BV387" i="29"/>
  <c r="BS387" i="29"/>
  <c r="BP387" i="29"/>
  <c r="BN387" i="29"/>
  <c r="CO387" i="29"/>
  <c r="CL387" i="29"/>
  <c r="BC387" i="29"/>
  <c r="AZ387" i="29"/>
  <c r="AM387" i="29"/>
  <c r="AK387" i="29"/>
  <c r="AI387" i="29"/>
  <c r="AF387" i="29"/>
  <c r="Y387" i="29"/>
  <c r="V387" i="29"/>
  <c r="K387" i="29"/>
  <c r="H387" i="29"/>
  <c r="DB391" i="29"/>
  <c r="CY391" i="29"/>
  <c r="AV391" i="29"/>
  <c r="AQ391" i="29"/>
  <c r="CW391" i="29"/>
  <c r="CT391" i="29"/>
  <c r="BV391" i="29"/>
  <c r="BS391" i="29"/>
  <c r="BP391" i="29"/>
  <c r="BN391" i="29"/>
  <c r="CO391" i="29"/>
  <c r="CL391" i="29"/>
  <c r="BC391" i="29"/>
  <c r="AZ391" i="29"/>
  <c r="AN391" i="29"/>
  <c r="AK391" i="29"/>
  <c r="AI391" i="29"/>
  <c r="AF391" i="29"/>
  <c r="AC391" i="29"/>
  <c r="Y391" i="29"/>
  <c r="V391" i="29"/>
  <c r="K391" i="29"/>
  <c r="H391" i="29"/>
  <c r="DB390" i="29"/>
  <c r="CY390" i="29"/>
  <c r="AV390" i="29"/>
  <c r="AQ390" i="29"/>
  <c r="CW390" i="29"/>
  <c r="CT390" i="29"/>
  <c r="BV390" i="29"/>
  <c r="BS390" i="29"/>
  <c r="BP390" i="29"/>
  <c r="BN390" i="29"/>
  <c r="CO390" i="29"/>
  <c r="CL390" i="29"/>
  <c r="BC390" i="29"/>
  <c r="AZ390" i="29"/>
  <c r="AN390" i="29"/>
  <c r="AK390" i="29"/>
  <c r="AI390" i="29"/>
  <c r="AF390" i="29"/>
  <c r="AC390" i="29"/>
  <c r="Y390" i="29"/>
  <c r="V390" i="29"/>
  <c r="K390" i="29"/>
  <c r="H390" i="29"/>
  <c r="DB389" i="29"/>
  <c r="CY389" i="29"/>
  <c r="AV389" i="29"/>
  <c r="AQ389" i="29"/>
  <c r="CW389" i="29"/>
  <c r="CT389" i="29"/>
  <c r="BV389" i="29"/>
  <c r="BS389" i="29"/>
  <c r="BP389" i="29"/>
  <c r="BN389" i="29"/>
  <c r="CO389" i="29"/>
  <c r="CL389" i="29"/>
  <c r="BC389" i="29"/>
  <c r="AZ389" i="29"/>
  <c r="AN389" i="29"/>
  <c r="AK389" i="29"/>
  <c r="AI389" i="29"/>
  <c r="AF389" i="29"/>
  <c r="AC389" i="29"/>
  <c r="Y389" i="29"/>
  <c r="V389" i="29"/>
  <c r="K389" i="29"/>
  <c r="H389" i="29"/>
  <c r="DB386" i="29"/>
  <c r="CY386" i="29"/>
  <c r="AV386" i="29"/>
  <c r="AQ386" i="29"/>
  <c r="CW386" i="29"/>
  <c r="CT386" i="29"/>
  <c r="BV386" i="29"/>
  <c r="BS386" i="29"/>
  <c r="BP386" i="29"/>
  <c r="BN386" i="29"/>
  <c r="CO386" i="29"/>
  <c r="CL386" i="29"/>
  <c r="BC386" i="29"/>
  <c r="AZ386" i="29"/>
  <c r="AN386" i="29"/>
  <c r="AK386" i="29"/>
  <c r="AI386" i="29"/>
  <c r="AF386" i="29"/>
  <c r="AC386" i="29"/>
  <c r="Y386" i="29"/>
  <c r="V386" i="29"/>
  <c r="K386" i="29"/>
  <c r="H386" i="29"/>
  <c r="DB384" i="29"/>
  <c r="CY384" i="29"/>
  <c r="AV384" i="29"/>
  <c r="AQ384" i="29"/>
  <c r="CW384" i="29"/>
  <c r="CT384" i="29"/>
  <c r="BV384" i="29"/>
  <c r="BS384" i="29"/>
  <c r="BP384" i="29"/>
  <c r="BN384" i="29"/>
  <c r="CO384" i="29"/>
  <c r="CL384" i="29"/>
  <c r="BC384" i="29"/>
  <c r="AZ384" i="29"/>
  <c r="AN384" i="29"/>
  <c r="AK384" i="29"/>
  <c r="AI384" i="29"/>
  <c r="AF384" i="29"/>
  <c r="AC384" i="29"/>
  <c r="Y384" i="29"/>
  <c r="V384" i="29"/>
  <c r="K384" i="29"/>
  <c r="H384" i="29"/>
  <c r="DB385" i="29"/>
  <c r="CY385" i="29"/>
  <c r="AV385" i="29"/>
  <c r="AQ385" i="29"/>
  <c r="CW385" i="29"/>
  <c r="CT385" i="29"/>
  <c r="BV385" i="29"/>
  <c r="BS385" i="29"/>
  <c r="BP385" i="29"/>
  <c r="BN385" i="29"/>
  <c r="CO385" i="29"/>
  <c r="CL385" i="29"/>
  <c r="BC385" i="29"/>
  <c r="AZ385" i="29"/>
  <c r="AN385" i="29"/>
  <c r="AK385" i="29"/>
  <c r="AI385" i="29"/>
  <c r="AF385" i="29"/>
  <c r="AC385" i="29"/>
  <c r="Y385" i="29"/>
  <c r="DB383" i="29"/>
  <c r="CY383" i="29"/>
  <c r="AV383" i="29"/>
  <c r="AQ383" i="29"/>
  <c r="CW383" i="29"/>
  <c r="CT383" i="29"/>
  <c r="BV383" i="29"/>
  <c r="BS383" i="29"/>
  <c r="BP383" i="29"/>
  <c r="BN383" i="29"/>
  <c r="CO383" i="29"/>
  <c r="CL383" i="29"/>
  <c r="BC383" i="29"/>
  <c r="AZ383" i="29"/>
  <c r="AN383" i="29"/>
  <c r="AK383" i="29"/>
  <c r="AI383" i="29"/>
  <c r="AF383" i="29"/>
  <c r="AC383" i="29"/>
  <c r="Y383" i="29"/>
  <c r="V383" i="29"/>
  <c r="K383" i="29"/>
  <c r="H383" i="29"/>
  <c r="DB382" i="29"/>
  <c r="CY382" i="29"/>
  <c r="AV382" i="29"/>
  <c r="AQ382" i="29"/>
  <c r="CW382" i="29"/>
  <c r="CT382" i="29"/>
  <c r="BV382" i="29"/>
  <c r="BS382" i="29"/>
  <c r="BP382" i="29"/>
  <c r="BN382" i="29"/>
  <c r="CO382" i="29"/>
  <c r="CL382" i="29"/>
  <c r="BC382" i="29"/>
  <c r="AZ382" i="29"/>
  <c r="AN382" i="29"/>
  <c r="AK382" i="29"/>
  <c r="AI382" i="29"/>
  <c r="AF382" i="29"/>
  <c r="AC382" i="29"/>
  <c r="Y382" i="29"/>
  <c r="V382" i="29"/>
  <c r="K382" i="29"/>
  <c r="H382" i="29"/>
  <c r="DB381" i="29"/>
  <c r="CY381" i="29"/>
  <c r="AV381" i="29"/>
  <c r="AQ381" i="29"/>
  <c r="CW381" i="29"/>
  <c r="CT381" i="29"/>
  <c r="BV381" i="29"/>
  <c r="BS381" i="29"/>
  <c r="BP381" i="29"/>
  <c r="BN381" i="29"/>
  <c r="CO381" i="29"/>
  <c r="CL381" i="29"/>
  <c r="BC381" i="29"/>
  <c r="AZ381" i="29"/>
  <c r="AN381" i="29"/>
  <c r="AK381" i="29"/>
  <c r="AI381" i="29"/>
  <c r="AF381" i="29"/>
  <c r="AC381" i="29"/>
  <c r="Y381" i="29"/>
  <c r="V381" i="29"/>
  <c r="K381" i="29"/>
  <c r="H381" i="29"/>
  <c r="DB378" i="29"/>
  <c r="CY378" i="29"/>
  <c r="AV378" i="29"/>
  <c r="AQ378" i="29"/>
  <c r="CW378" i="29"/>
  <c r="CT378" i="29"/>
  <c r="BV378" i="29"/>
  <c r="BS378" i="29"/>
  <c r="BP378" i="29"/>
  <c r="BN378" i="29"/>
  <c r="CO378" i="29"/>
  <c r="CL378" i="29"/>
  <c r="BC378" i="29"/>
  <c r="AZ378" i="29"/>
  <c r="AN378" i="29"/>
  <c r="AK378" i="29"/>
  <c r="AI378" i="29"/>
  <c r="AF378" i="29"/>
  <c r="AC378" i="29"/>
  <c r="Y378" i="29"/>
  <c r="V378" i="29"/>
  <c r="K378" i="29"/>
  <c r="H378" i="29"/>
  <c r="DB377" i="29"/>
  <c r="CY377" i="29"/>
  <c r="AV377" i="29"/>
  <c r="AQ377" i="29"/>
  <c r="CW377" i="29"/>
  <c r="CT377" i="29"/>
  <c r="BV377" i="29"/>
  <c r="BS377" i="29"/>
  <c r="BP377" i="29"/>
  <c r="BN377" i="29"/>
  <c r="CO377" i="29"/>
  <c r="CL377" i="29"/>
  <c r="BC377" i="29"/>
  <c r="AZ377" i="29"/>
  <c r="AN377" i="29"/>
  <c r="AK377" i="29"/>
  <c r="AI377" i="29"/>
  <c r="AF377" i="29"/>
  <c r="AC377" i="29"/>
  <c r="Y377" i="29"/>
  <c r="V377" i="29"/>
  <c r="K377" i="29"/>
  <c r="H377" i="29"/>
  <c r="DB376" i="29"/>
  <c r="CY376" i="29"/>
  <c r="AV376" i="29"/>
  <c r="AQ376" i="29"/>
  <c r="AS376" i="29" s="1"/>
  <c r="CW376" i="29"/>
  <c r="CT376" i="29"/>
  <c r="DL376" i="29" s="1"/>
  <c r="BP376" i="29"/>
  <c r="BX376" i="29" s="1"/>
  <c r="CO376" i="29"/>
  <c r="DB375" i="29"/>
  <c r="CY375" i="29"/>
  <c r="AV375" i="29"/>
  <c r="AQ375" i="29"/>
  <c r="CW375" i="29"/>
  <c r="CT375" i="29"/>
  <c r="BV375" i="29"/>
  <c r="BS375" i="29"/>
  <c r="BP375" i="29"/>
  <c r="BN375" i="29"/>
  <c r="CO375" i="29"/>
  <c r="CL375" i="29"/>
  <c r="BC375" i="29"/>
  <c r="AZ375" i="29"/>
  <c r="AN375" i="29"/>
  <c r="AK375" i="29"/>
  <c r="AI375" i="29"/>
  <c r="AF375" i="29"/>
  <c r="AC375" i="29"/>
  <c r="Y375" i="29"/>
  <c r="V375" i="29"/>
  <c r="K375" i="29"/>
  <c r="H375" i="29"/>
  <c r="DB374" i="29"/>
  <c r="CY374" i="29"/>
  <c r="AV374" i="29"/>
  <c r="AQ374" i="29"/>
  <c r="CW374" i="29"/>
  <c r="CT374" i="29"/>
  <c r="BV374" i="29"/>
  <c r="BS374" i="29"/>
  <c r="BP374" i="29"/>
  <c r="BN374" i="29"/>
  <c r="CO374" i="29"/>
  <c r="CL374" i="29"/>
  <c r="BC374" i="29"/>
  <c r="AZ374" i="29"/>
  <c r="AN374" i="29"/>
  <c r="AK374" i="29"/>
  <c r="AI374" i="29"/>
  <c r="AF374" i="29"/>
  <c r="AC374" i="29"/>
  <c r="Y374" i="29"/>
  <c r="V374" i="29"/>
  <c r="K374" i="29"/>
  <c r="H374" i="29"/>
  <c r="DB373" i="29"/>
  <c r="CY373" i="29"/>
  <c r="AV373" i="29"/>
  <c r="AQ373" i="29"/>
  <c r="CW373" i="29"/>
  <c r="CT373" i="29"/>
  <c r="BV373" i="29"/>
  <c r="BS373" i="29"/>
  <c r="BP373" i="29"/>
  <c r="BN373" i="29"/>
  <c r="CO373" i="29"/>
  <c r="CL373" i="29"/>
  <c r="BC373" i="29"/>
  <c r="AZ373" i="29"/>
  <c r="AN373" i="29"/>
  <c r="AK373" i="29"/>
  <c r="AI373" i="29"/>
  <c r="AF373" i="29"/>
  <c r="AC373" i="29"/>
  <c r="Y373" i="29"/>
  <c r="V373" i="29"/>
  <c r="K373" i="29"/>
  <c r="H373" i="29"/>
  <c r="DB372" i="29"/>
  <c r="CY372" i="29"/>
  <c r="AV372" i="29"/>
  <c r="AQ372" i="29"/>
  <c r="CW372" i="29"/>
  <c r="CT372" i="29"/>
  <c r="BV372" i="29"/>
  <c r="BS372" i="29"/>
  <c r="BP372" i="29"/>
  <c r="BN372" i="29"/>
  <c r="CO372" i="29"/>
  <c r="CL372" i="29"/>
  <c r="BC372" i="29"/>
  <c r="AZ372" i="29"/>
  <c r="AN372" i="29"/>
  <c r="AK372" i="29"/>
  <c r="AI372" i="29"/>
  <c r="AF372" i="29"/>
  <c r="AC372" i="29"/>
  <c r="Y372" i="29"/>
  <c r="V372" i="29"/>
  <c r="K372" i="29"/>
  <c r="H372" i="29"/>
  <c r="DB370" i="29"/>
  <c r="CY370" i="29"/>
  <c r="AV370" i="29"/>
  <c r="AQ370" i="29"/>
  <c r="CW370" i="29"/>
  <c r="CT370" i="29"/>
  <c r="BV370" i="29"/>
  <c r="BS370" i="29"/>
  <c r="BP370" i="29"/>
  <c r="BN370" i="29"/>
  <c r="CO370" i="29"/>
  <c r="CL370" i="29"/>
  <c r="BC370" i="29"/>
  <c r="AZ370" i="29"/>
  <c r="AN370" i="29"/>
  <c r="AK370" i="29"/>
  <c r="AI370" i="29"/>
  <c r="AF370" i="29"/>
  <c r="AC370" i="29"/>
  <c r="Y370" i="29"/>
  <c r="V370" i="29"/>
  <c r="K370" i="29"/>
  <c r="H370" i="29"/>
  <c r="DB369" i="29"/>
  <c r="CY369" i="29"/>
  <c r="AV369" i="29"/>
  <c r="AQ369" i="29"/>
  <c r="CW369" i="29"/>
  <c r="CT369" i="29"/>
  <c r="BV369" i="29"/>
  <c r="BS369" i="29"/>
  <c r="BP369" i="29"/>
  <c r="BN369" i="29"/>
  <c r="CO369" i="29"/>
  <c r="CL369" i="29"/>
  <c r="BC369" i="29"/>
  <c r="AZ369" i="29"/>
  <c r="AN369" i="29"/>
  <c r="AK369" i="29"/>
  <c r="AI369" i="29"/>
  <c r="AF369" i="29"/>
  <c r="AC369" i="29"/>
  <c r="Y369" i="29"/>
  <c r="V369" i="29"/>
  <c r="K369" i="29"/>
  <c r="H369" i="29"/>
  <c r="DB368" i="29"/>
  <c r="CY368" i="29"/>
  <c r="AV368" i="29"/>
  <c r="AQ368" i="29"/>
  <c r="CW368" i="29"/>
  <c r="CT368" i="29"/>
  <c r="BV368" i="29"/>
  <c r="BS368" i="29"/>
  <c r="BP368" i="29"/>
  <c r="BN368" i="29"/>
  <c r="CO368" i="29"/>
  <c r="CL368" i="29"/>
  <c r="BC368" i="29"/>
  <c r="AZ368" i="29"/>
  <c r="AN368" i="29"/>
  <c r="AK368" i="29"/>
  <c r="AI368" i="29"/>
  <c r="AF368" i="29"/>
  <c r="AC368" i="29"/>
  <c r="Y368" i="29"/>
  <c r="V368" i="29"/>
  <c r="K368" i="29"/>
  <c r="H368" i="29"/>
  <c r="DB367" i="29"/>
  <c r="CY367" i="29"/>
  <c r="AV367" i="29"/>
  <c r="AQ367" i="29"/>
  <c r="CW367" i="29"/>
  <c r="CT367" i="29"/>
  <c r="BV367" i="29"/>
  <c r="BS367" i="29"/>
  <c r="BP367" i="29"/>
  <c r="BN367" i="29"/>
  <c r="CO367" i="29"/>
  <c r="CL367" i="29"/>
  <c r="BC367" i="29"/>
  <c r="AZ367" i="29"/>
  <c r="AN367" i="29"/>
  <c r="AK367" i="29"/>
  <c r="AI367" i="29"/>
  <c r="AF367" i="29"/>
  <c r="AC367" i="29"/>
  <c r="Y367" i="29"/>
  <c r="V367" i="29"/>
  <c r="K367" i="29"/>
  <c r="H367" i="29"/>
  <c r="DB366" i="29"/>
  <c r="CY366" i="29"/>
  <c r="AV366" i="29"/>
  <c r="AQ366" i="29"/>
  <c r="BG366" i="29" s="1"/>
  <c r="CW366" i="29"/>
  <c r="CT366" i="29"/>
  <c r="DL366" i="29" s="1"/>
  <c r="BP366" i="29"/>
  <c r="BX366" i="29" s="1"/>
  <c r="CO366" i="29"/>
  <c r="DB365" i="29"/>
  <c r="CY365" i="29"/>
  <c r="AV365" i="29"/>
  <c r="AQ365" i="29"/>
  <c r="CW365" i="29"/>
  <c r="CT365" i="29"/>
  <c r="BV365" i="29"/>
  <c r="BS365" i="29"/>
  <c r="BP365" i="29"/>
  <c r="BN365" i="29"/>
  <c r="CO365" i="29"/>
  <c r="CL365" i="29"/>
  <c r="BC365" i="29"/>
  <c r="AZ365" i="29"/>
  <c r="AN365" i="29"/>
  <c r="AK365" i="29"/>
  <c r="AI365" i="29"/>
  <c r="AF365" i="29"/>
  <c r="AC365" i="29"/>
  <c r="Y365" i="29"/>
  <c r="V365" i="29"/>
  <c r="K365" i="29"/>
  <c r="H365" i="29"/>
  <c r="DB364" i="29"/>
  <c r="CY364" i="29"/>
  <c r="AV364" i="29"/>
  <c r="AQ364" i="29"/>
  <c r="CW364" i="29"/>
  <c r="CT364" i="29"/>
  <c r="BV364" i="29"/>
  <c r="BS364" i="29"/>
  <c r="BP364" i="29"/>
  <c r="BN364" i="29"/>
  <c r="CO364" i="29"/>
  <c r="CL364" i="29"/>
  <c r="BC364" i="29"/>
  <c r="AZ364" i="29"/>
  <c r="BE364" i="29" s="1"/>
  <c r="AN364" i="29"/>
  <c r="AF364" i="29"/>
  <c r="AC364" i="29"/>
  <c r="DB363" i="29"/>
  <c r="CY363" i="29"/>
  <c r="AV363" i="29"/>
  <c r="AQ363" i="29"/>
  <c r="CW363" i="29"/>
  <c r="CT363" i="29"/>
  <c r="BV363" i="29"/>
  <c r="BS363" i="29"/>
  <c r="BP363" i="29"/>
  <c r="BN363" i="29"/>
  <c r="CO363" i="29"/>
  <c r="CL363" i="29"/>
  <c r="BC363" i="29"/>
  <c r="AZ363" i="29"/>
  <c r="BE363" i="29" s="1"/>
  <c r="AN363" i="29"/>
  <c r="AF363" i="29"/>
  <c r="AC363" i="29"/>
  <c r="DB362" i="29"/>
  <c r="CY362" i="29"/>
  <c r="AV362" i="29"/>
  <c r="AQ362" i="29"/>
  <c r="CW362" i="29"/>
  <c r="CT362" i="29"/>
  <c r="BV362" i="29"/>
  <c r="BS362" i="29"/>
  <c r="BP362" i="29"/>
  <c r="BN362" i="29"/>
  <c r="CO362" i="29"/>
  <c r="CL362" i="29"/>
  <c r="BC362" i="29"/>
  <c r="AZ362" i="29"/>
  <c r="AN362" i="29"/>
  <c r="AK362" i="29"/>
  <c r="AI362" i="29"/>
  <c r="AF362" i="29"/>
  <c r="AC362" i="29"/>
  <c r="Y362" i="29"/>
  <c r="V362" i="29"/>
  <c r="K362" i="29"/>
  <c r="H362" i="29"/>
  <c r="DB361" i="29"/>
  <c r="CY361" i="29"/>
  <c r="AV361" i="29"/>
  <c r="AQ361" i="29"/>
  <c r="CW361" i="29"/>
  <c r="CT361" i="29"/>
  <c r="DL361" i="29" s="1"/>
  <c r="BP361" i="29"/>
  <c r="BX361" i="29" s="1"/>
  <c r="CO361" i="29"/>
  <c r="DB360" i="29"/>
  <c r="CY360" i="29"/>
  <c r="AV360" i="29"/>
  <c r="AQ360" i="29"/>
  <c r="CW360" i="29"/>
  <c r="CT360" i="29"/>
  <c r="BV360" i="29"/>
  <c r="BS360" i="29"/>
  <c r="BP360" i="29"/>
  <c r="BN360" i="29"/>
  <c r="CO360" i="29"/>
  <c r="CL360" i="29"/>
  <c r="BC360" i="29"/>
  <c r="AZ360" i="29"/>
  <c r="AN360" i="29"/>
  <c r="AK360" i="29"/>
  <c r="AI360" i="29"/>
  <c r="AF360" i="29"/>
  <c r="AC360" i="29"/>
  <c r="Y360" i="29"/>
  <c r="V360" i="29"/>
  <c r="K360" i="29"/>
  <c r="H360" i="29"/>
  <c r="DB359" i="29"/>
  <c r="CY359" i="29"/>
  <c r="AV359" i="29"/>
  <c r="AQ359" i="29"/>
  <c r="CW359" i="29"/>
  <c r="CT359" i="29"/>
  <c r="BV359" i="29"/>
  <c r="BS359" i="29"/>
  <c r="BP359" i="29"/>
  <c r="BN359" i="29"/>
  <c r="CO359" i="29"/>
  <c r="CL359" i="29"/>
  <c r="BC359" i="29"/>
  <c r="AZ359" i="29"/>
  <c r="AN359" i="29"/>
  <c r="AK359" i="29"/>
  <c r="AI359" i="29"/>
  <c r="AF359" i="29"/>
  <c r="AC359" i="29"/>
  <c r="Y359" i="29"/>
  <c r="V359" i="29"/>
  <c r="K359" i="29"/>
  <c r="H359" i="29"/>
  <c r="DB358" i="29"/>
  <c r="CY358" i="29"/>
  <c r="AV358" i="29"/>
  <c r="AQ358" i="29"/>
  <c r="CW358" i="29"/>
  <c r="CT358" i="29"/>
  <c r="BV358" i="29"/>
  <c r="BS358" i="29"/>
  <c r="BP358" i="29"/>
  <c r="BN358" i="29"/>
  <c r="CO358" i="29"/>
  <c r="CL358" i="29"/>
  <c r="BC358" i="29"/>
  <c r="AZ358" i="29"/>
  <c r="AN358" i="29"/>
  <c r="AK358" i="29"/>
  <c r="AI358" i="29"/>
  <c r="AF358" i="29"/>
  <c r="AC358" i="29"/>
  <c r="Y358" i="29"/>
  <c r="V358" i="29"/>
  <c r="DB357" i="29"/>
  <c r="CY357" i="29"/>
  <c r="AV357" i="29"/>
  <c r="AQ357" i="29"/>
  <c r="CW357" i="29"/>
  <c r="CT357" i="29"/>
  <c r="BV357" i="29"/>
  <c r="BS357" i="29"/>
  <c r="BP357" i="29"/>
  <c r="BN357" i="29"/>
  <c r="CO357" i="29"/>
  <c r="CL357" i="29"/>
  <c r="BC357" i="29"/>
  <c r="AZ357" i="29"/>
  <c r="AN357" i="29"/>
  <c r="AK357" i="29"/>
  <c r="AF357" i="29"/>
  <c r="AC357" i="29"/>
  <c r="Y357" i="29"/>
  <c r="V357" i="29"/>
  <c r="DB356" i="29"/>
  <c r="CY356" i="29"/>
  <c r="AV356" i="29"/>
  <c r="AQ356" i="29"/>
  <c r="CW356" i="29"/>
  <c r="CT356" i="29"/>
  <c r="BV356" i="29"/>
  <c r="BS356" i="29"/>
  <c r="BP356" i="29"/>
  <c r="BN356" i="29"/>
  <c r="CO356" i="29"/>
  <c r="CL356" i="29"/>
  <c r="BC356" i="29"/>
  <c r="AZ356" i="29"/>
  <c r="AN356" i="29"/>
  <c r="AK356" i="29"/>
  <c r="AI356" i="29"/>
  <c r="AF356" i="29"/>
  <c r="AC356" i="29"/>
  <c r="Y356" i="29"/>
  <c r="V356" i="29"/>
  <c r="K356" i="29"/>
  <c r="H356" i="29"/>
  <c r="DB355" i="29"/>
  <c r="CY355" i="29"/>
  <c r="AV355" i="29"/>
  <c r="AQ355" i="29"/>
  <c r="CW355" i="29"/>
  <c r="CT355" i="29"/>
  <c r="BV355" i="29"/>
  <c r="BS355" i="29"/>
  <c r="BP355" i="29"/>
  <c r="BN355" i="29"/>
  <c r="CO355" i="29"/>
  <c r="CL355" i="29"/>
  <c r="BC355" i="29"/>
  <c r="AZ355" i="29"/>
  <c r="AN355" i="29"/>
  <c r="AK355" i="29"/>
  <c r="AI355" i="29"/>
  <c r="AF355" i="29"/>
  <c r="AC355" i="29"/>
  <c r="Y355" i="29"/>
  <c r="V355" i="29"/>
  <c r="DB354" i="29"/>
  <c r="CY354" i="29"/>
  <c r="AV354" i="29"/>
  <c r="AQ354" i="29"/>
  <c r="CW354" i="29"/>
  <c r="CT354" i="29"/>
  <c r="BV354" i="29"/>
  <c r="BS354" i="29"/>
  <c r="BP354" i="29"/>
  <c r="BN354" i="29"/>
  <c r="CO354" i="29"/>
  <c r="CL354" i="29"/>
  <c r="BC354" i="29"/>
  <c r="AZ354" i="29"/>
  <c r="AN354" i="29"/>
  <c r="AK354" i="29"/>
  <c r="AI354" i="29"/>
  <c r="AF354" i="29"/>
  <c r="AC354" i="29"/>
  <c r="Y354" i="29"/>
  <c r="V354" i="29"/>
  <c r="K354" i="29"/>
  <c r="H354" i="29"/>
  <c r="DB353" i="29"/>
  <c r="CY353" i="29"/>
  <c r="AV353" i="29"/>
  <c r="AQ353" i="29"/>
  <c r="CW353" i="29"/>
  <c r="CT353" i="29"/>
  <c r="BV353" i="29"/>
  <c r="BS353" i="29"/>
  <c r="BP353" i="29"/>
  <c r="BN353" i="29"/>
  <c r="CO353" i="29"/>
  <c r="CL353" i="29"/>
  <c r="BC353" i="29"/>
  <c r="AZ353" i="29"/>
  <c r="AN353" i="29"/>
  <c r="AK353" i="29"/>
  <c r="AI353" i="29"/>
  <c r="AF353" i="29"/>
  <c r="AC353" i="29"/>
  <c r="Y353" i="29"/>
  <c r="V353" i="29"/>
  <c r="K353" i="29"/>
  <c r="H353" i="29"/>
  <c r="DB352" i="29"/>
  <c r="CY352" i="29"/>
  <c r="AV352" i="29"/>
  <c r="AQ352" i="29"/>
  <c r="CW352" i="29"/>
  <c r="CT352" i="29"/>
  <c r="BV352" i="29"/>
  <c r="BS352" i="29"/>
  <c r="BP352" i="29"/>
  <c r="BN352" i="29"/>
  <c r="CO352" i="29"/>
  <c r="CL352" i="29"/>
  <c r="BC352" i="29"/>
  <c r="AZ352" i="29"/>
  <c r="AN352" i="29"/>
  <c r="AK352" i="29"/>
  <c r="AI352" i="29"/>
  <c r="AF352" i="29"/>
  <c r="AC352" i="29"/>
  <c r="Y352" i="29"/>
  <c r="V352" i="29"/>
  <c r="K352" i="29"/>
  <c r="H352" i="29"/>
  <c r="DB351" i="29"/>
  <c r="CY351" i="29"/>
  <c r="AV351" i="29"/>
  <c r="AQ351" i="29"/>
  <c r="CW351" i="29"/>
  <c r="CT351" i="29"/>
  <c r="BV351" i="29"/>
  <c r="BS351" i="29"/>
  <c r="BP351" i="29"/>
  <c r="BN351" i="29"/>
  <c r="CO351" i="29"/>
  <c r="CL351" i="29"/>
  <c r="BC351" i="29"/>
  <c r="AZ351" i="29"/>
  <c r="AN351" i="29"/>
  <c r="AK351" i="29"/>
  <c r="AI351" i="29"/>
  <c r="AF351" i="29"/>
  <c r="AC351" i="29"/>
  <c r="Y351" i="29"/>
  <c r="V351" i="29"/>
  <c r="K351" i="29"/>
  <c r="H351" i="29"/>
  <c r="DB350" i="29"/>
  <c r="CY350" i="29"/>
  <c r="AV350" i="29"/>
  <c r="AQ350" i="29"/>
  <c r="CW350" i="29"/>
  <c r="CT350" i="29"/>
  <c r="BV350" i="29"/>
  <c r="BS350" i="29"/>
  <c r="BP350" i="29"/>
  <c r="BN350" i="29"/>
  <c r="CO350" i="29"/>
  <c r="CL350" i="29"/>
  <c r="BC350" i="29"/>
  <c r="AZ350" i="29"/>
  <c r="AN350" i="29"/>
  <c r="AK350" i="29"/>
  <c r="AI350" i="29"/>
  <c r="AF350" i="29"/>
  <c r="AC350" i="29"/>
  <c r="Y350" i="29"/>
  <c r="V350" i="29"/>
  <c r="K350" i="29"/>
  <c r="H350" i="29"/>
  <c r="DB349" i="29"/>
  <c r="CY349" i="29"/>
  <c r="AV349" i="29"/>
  <c r="AQ349" i="29"/>
  <c r="CW349" i="29"/>
  <c r="CT349" i="29"/>
  <c r="BV349" i="29"/>
  <c r="BS349" i="29"/>
  <c r="BP349" i="29"/>
  <c r="BN349" i="29"/>
  <c r="CO349" i="29"/>
  <c r="CL349" i="29"/>
  <c r="BC349" i="29"/>
  <c r="AZ349" i="29"/>
  <c r="AN349" i="29"/>
  <c r="AK349" i="29"/>
  <c r="AI349" i="29"/>
  <c r="AF349" i="29"/>
  <c r="AC349" i="29"/>
  <c r="Y349" i="29"/>
  <c r="V349" i="29"/>
  <c r="K349" i="29"/>
  <c r="H349" i="29"/>
  <c r="DB348" i="29"/>
  <c r="CY348" i="29"/>
  <c r="AV348" i="29"/>
  <c r="AQ348" i="29"/>
  <c r="CW348" i="29"/>
  <c r="CT348" i="29"/>
  <c r="BV348" i="29"/>
  <c r="BS348" i="29"/>
  <c r="BP348" i="29"/>
  <c r="BN348" i="29"/>
  <c r="CO348" i="29"/>
  <c r="CL348" i="29"/>
  <c r="BC348" i="29"/>
  <c r="AZ348" i="29"/>
  <c r="AN348" i="29"/>
  <c r="AK348" i="29"/>
  <c r="AI348" i="29"/>
  <c r="AF348" i="29"/>
  <c r="AC348" i="29"/>
  <c r="Y348" i="29"/>
  <c r="V348" i="29"/>
  <c r="K348" i="29"/>
  <c r="H348" i="29"/>
  <c r="DB347" i="29"/>
  <c r="CY347" i="29"/>
  <c r="AV347" i="29"/>
  <c r="AQ347" i="29"/>
  <c r="CW347" i="29"/>
  <c r="CT347" i="29"/>
  <c r="BV347" i="29"/>
  <c r="BS347" i="29"/>
  <c r="BP347" i="29"/>
  <c r="BN347" i="29"/>
  <c r="CO347" i="29"/>
  <c r="CL347" i="29"/>
  <c r="BC347" i="29"/>
  <c r="AZ347" i="29"/>
  <c r="AN347" i="29"/>
  <c r="AK347" i="29"/>
  <c r="AI347" i="29"/>
  <c r="AF347" i="29"/>
  <c r="AC347" i="29"/>
  <c r="Y347" i="29"/>
  <c r="V347" i="29"/>
  <c r="K347" i="29"/>
  <c r="H347" i="29"/>
  <c r="DB346" i="29"/>
  <c r="CY346" i="29"/>
  <c r="AV346" i="29"/>
  <c r="AQ346" i="29"/>
  <c r="CW346" i="29"/>
  <c r="CT346" i="29"/>
  <c r="BV346" i="29"/>
  <c r="BS346" i="29"/>
  <c r="BP346" i="29"/>
  <c r="BN346" i="29"/>
  <c r="CO346" i="29"/>
  <c r="CL346" i="29"/>
  <c r="BC346" i="29"/>
  <c r="AZ346" i="29"/>
  <c r="AN346" i="29"/>
  <c r="AK346" i="29"/>
  <c r="AI346" i="29"/>
  <c r="AF346" i="29"/>
  <c r="AC346" i="29"/>
  <c r="Y346" i="29"/>
  <c r="V346" i="29"/>
  <c r="K346" i="29"/>
  <c r="H346" i="29"/>
  <c r="DB345" i="29"/>
  <c r="CY345" i="29"/>
  <c r="AV345" i="29"/>
  <c r="AQ345" i="29"/>
  <c r="CW345" i="29"/>
  <c r="CT345" i="29"/>
  <c r="BV345" i="29"/>
  <c r="BS345" i="29"/>
  <c r="BP345" i="29"/>
  <c r="BN345" i="29"/>
  <c r="CO345" i="29"/>
  <c r="CL345" i="29"/>
  <c r="BC345" i="29"/>
  <c r="AZ345" i="29"/>
  <c r="AN345" i="29"/>
  <c r="AK345" i="29"/>
  <c r="AI345" i="29"/>
  <c r="AF345" i="29"/>
  <c r="AC345" i="29"/>
  <c r="Y345" i="29"/>
  <c r="V345" i="29"/>
  <c r="K345" i="29"/>
  <c r="H345" i="29"/>
  <c r="DB344" i="29"/>
  <c r="CY344" i="29"/>
  <c r="AV344" i="29"/>
  <c r="AQ344" i="29"/>
  <c r="CW344" i="29"/>
  <c r="CT344" i="29"/>
  <c r="BV344" i="29"/>
  <c r="BS344" i="29"/>
  <c r="BP344" i="29"/>
  <c r="BN344" i="29"/>
  <c r="CO344" i="29"/>
  <c r="CL344" i="29"/>
  <c r="BC344" i="29"/>
  <c r="AY344" i="29"/>
  <c r="AZ344" i="29" s="1"/>
  <c r="AN344" i="29"/>
  <c r="AK344" i="29"/>
  <c r="AI344" i="29"/>
  <c r="AF344" i="29"/>
  <c r="AC344" i="29"/>
  <c r="Y344" i="29"/>
  <c r="V344" i="29"/>
  <c r="DB343" i="29"/>
  <c r="CY343" i="29"/>
  <c r="AV343" i="29"/>
  <c r="AQ343" i="29"/>
  <c r="AS343" i="29" s="1"/>
  <c r="CW343" i="29"/>
  <c r="CT343" i="29"/>
  <c r="DL343" i="29" s="1"/>
  <c r="BP343" i="29"/>
  <c r="BX343" i="29" s="1"/>
  <c r="CO343" i="29"/>
  <c r="DB342" i="29"/>
  <c r="CY342" i="29"/>
  <c r="AV342" i="29"/>
  <c r="AQ342" i="29"/>
  <c r="CW342" i="29"/>
  <c r="CT342" i="29"/>
  <c r="BV342" i="29"/>
  <c r="BS342" i="29"/>
  <c r="BP342" i="29"/>
  <c r="BN342" i="29"/>
  <c r="CO342" i="29"/>
  <c r="CL342" i="29"/>
  <c r="BC342" i="29"/>
  <c r="AZ342" i="29"/>
  <c r="AN342" i="29"/>
  <c r="AK342" i="29"/>
  <c r="AI342" i="29"/>
  <c r="AF342" i="29"/>
  <c r="AC342" i="29"/>
  <c r="Y342" i="29"/>
  <c r="V342" i="29"/>
  <c r="K342" i="29"/>
  <c r="H342" i="29"/>
  <c r="DB341" i="29"/>
  <c r="CY341" i="29"/>
  <c r="AV341" i="29"/>
  <c r="AQ341" i="29"/>
  <c r="CW341" i="29"/>
  <c r="CT341" i="29"/>
  <c r="BV341" i="29"/>
  <c r="BS341" i="29"/>
  <c r="BP341" i="29"/>
  <c r="BN341" i="29"/>
  <c r="CO341" i="29"/>
  <c r="CL341" i="29"/>
  <c r="BC341" i="29"/>
  <c r="AZ341" i="29"/>
  <c r="AN341" i="29"/>
  <c r="AK341" i="29"/>
  <c r="AI341" i="29"/>
  <c r="AF341" i="29"/>
  <c r="AC341" i="29"/>
  <c r="Y341" i="29"/>
  <c r="V341" i="29"/>
  <c r="K341" i="29"/>
  <c r="H341" i="29"/>
  <c r="DB340" i="29"/>
  <c r="CY340" i="29"/>
  <c r="AV340" i="29"/>
  <c r="AQ340" i="29"/>
  <c r="CW340" i="29"/>
  <c r="CT340" i="29"/>
  <c r="BV340" i="29"/>
  <c r="BS340" i="29"/>
  <c r="BP340" i="29"/>
  <c r="CO340" i="29"/>
  <c r="CL340" i="29"/>
  <c r="BC340" i="29"/>
  <c r="AZ340" i="29"/>
  <c r="AN340" i="29"/>
  <c r="AK340" i="29"/>
  <c r="AI340" i="29"/>
  <c r="AF340" i="29"/>
  <c r="AC340" i="29"/>
  <c r="Y340" i="29"/>
  <c r="V340" i="29"/>
  <c r="DB339" i="29"/>
  <c r="CY339" i="29"/>
  <c r="AV339" i="29"/>
  <c r="AQ339" i="29"/>
  <c r="CW339" i="29"/>
  <c r="CT339" i="29"/>
  <c r="BV339" i="29"/>
  <c r="BS339" i="29"/>
  <c r="BP339" i="29"/>
  <c r="CO339" i="29"/>
  <c r="CL339" i="29"/>
  <c r="BC339" i="29"/>
  <c r="AZ339" i="29"/>
  <c r="AN339" i="29"/>
  <c r="AK339" i="29"/>
  <c r="AF339" i="29"/>
  <c r="AC339" i="29"/>
  <c r="DB338" i="29"/>
  <c r="CY338" i="29"/>
  <c r="AV338" i="29"/>
  <c r="AQ338" i="29"/>
  <c r="CW338" i="29"/>
  <c r="CT338" i="29"/>
  <c r="BV338" i="29"/>
  <c r="BS338" i="29"/>
  <c r="BP338" i="29"/>
  <c r="BN338" i="29"/>
  <c r="CO338" i="29"/>
  <c r="CL338" i="29"/>
  <c r="BC338" i="29"/>
  <c r="AZ338" i="29"/>
  <c r="AN338" i="29"/>
  <c r="AK338" i="29"/>
  <c r="AI338" i="29"/>
  <c r="AF338" i="29"/>
  <c r="AC338" i="29"/>
  <c r="Y338" i="29"/>
  <c r="V338" i="29"/>
  <c r="K338" i="29"/>
  <c r="H338" i="29"/>
  <c r="DB337" i="29"/>
  <c r="CY337" i="29"/>
  <c r="AV337" i="29"/>
  <c r="AQ337" i="29"/>
  <c r="CW337" i="29"/>
  <c r="CT337" i="29"/>
  <c r="BV337" i="29"/>
  <c r="BS337" i="29"/>
  <c r="BP337" i="29"/>
  <c r="BN337" i="29"/>
  <c r="CO337" i="29"/>
  <c r="CL337" i="29"/>
  <c r="BC337" i="29"/>
  <c r="AZ337" i="29"/>
  <c r="AN337" i="29"/>
  <c r="AK337" i="29"/>
  <c r="AI337" i="29"/>
  <c r="AF337" i="29"/>
  <c r="AC337" i="29"/>
  <c r="Y337" i="29"/>
  <c r="K337" i="29"/>
  <c r="H337" i="29"/>
  <c r="DB336" i="29"/>
  <c r="CY336" i="29"/>
  <c r="AV336" i="29"/>
  <c r="AQ336" i="29"/>
  <c r="CW336" i="29"/>
  <c r="CT336" i="29"/>
  <c r="BV336" i="29"/>
  <c r="BS336" i="29"/>
  <c r="BP336" i="29"/>
  <c r="CO336" i="29"/>
  <c r="CL336" i="29"/>
  <c r="BC336" i="29"/>
  <c r="AZ336" i="29"/>
  <c r="AN336" i="29"/>
  <c r="AK336" i="29"/>
  <c r="AF336" i="29"/>
  <c r="AC336" i="29"/>
  <c r="DB335" i="29"/>
  <c r="CY335" i="29"/>
  <c r="AV335" i="29"/>
  <c r="AQ335" i="29"/>
  <c r="CW335" i="29"/>
  <c r="CT335" i="29"/>
  <c r="BV335" i="29"/>
  <c r="BS335" i="29"/>
  <c r="BP335" i="29"/>
  <c r="CO335" i="29"/>
  <c r="CL335" i="29"/>
  <c r="BC335" i="29"/>
  <c r="AZ335" i="29"/>
  <c r="AN335" i="29"/>
  <c r="AK335" i="29"/>
  <c r="AF335" i="29"/>
  <c r="AC335" i="29"/>
  <c r="Y335" i="29"/>
  <c r="V335" i="29"/>
  <c r="DB334" i="29"/>
  <c r="CY334" i="29"/>
  <c r="AV334" i="29"/>
  <c r="AQ334" i="29"/>
  <c r="CW334" i="29"/>
  <c r="CT334" i="29"/>
  <c r="BV334" i="29"/>
  <c r="BS334" i="29"/>
  <c r="BP334" i="29"/>
  <c r="BN334" i="29"/>
  <c r="CO334" i="29"/>
  <c r="CL334" i="29"/>
  <c r="BC334" i="29"/>
  <c r="AZ334" i="29"/>
  <c r="AN334" i="29"/>
  <c r="AK334" i="29"/>
  <c r="AI334" i="29"/>
  <c r="AF334" i="29"/>
  <c r="AC334" i="29"/>
  <c r="Y334" i="29"/>
  <c r="V334" i="29"/>
  <c r="K334" i="29"/>
  <c r="H334" i="29"/>
  <c r="DB333" i="29"/>
  <c r="CY333" i="29"/>
  <c r="AV333" i="29"/>
  <c r="AQ333" i="29"/>
  <c r="CW333" i="29"/>
  <c r="CT333" i="29"/>
  <c r="BV333" i="29"/>
  <c r="BS333" i="29"/>
  <c r="BP333" i="29"/>
  <c r="CO333" i="29"/>
  <c r="CL333" i="29"/>
  <c r="BC333" i="29"/>
  <c r="AZ333" i="29"/>
  <c r="AN333" i="29"/>
  <c r="AK333" i="29"/>
  <c r="AF333" i="29"/>
  <c r="AC333" i="29"/>
  <c r="DB332" i="29"/>
  <c r="CY332" i="29"/>
  <c r="AV332" i="29"/>
  <c r="AQ332" i="29"/>
  <c r="CW332" i="29"/>
  <c r="CT332" i="29"/>
  <c r="BV332" i="29"/>
  <c r="BS332" i="29"/>
  <c r="BP332" i="29"/>
  <c r="BN332" i="29"/>
  <c r="CO332" i="29"/>
  <c r="CL332" i="29"/>
  <c r="BC332" i="29"/>
  <c r="AZ332" i="29"/>
  <c r="AN332" i="29"/>
  <c r="AK332" i="29"/>
  <c r="AI332" i="29"/>
  <c r="AF332" i="29"/>
  <c r="AC332" i="29"/>
  <c r="Y332" i="29"/>
  <c r="V332" i="29"/>
  <c r="K332" i="29"/>
  <c r="H332" i="29"/>
  <c r="DB331" i="29"/>
  <c r="CY331" i="29"/>
  <c r="AV331" i="29"/>
  <c r="AQ331" i="29"/>
  <c r="CW331" i="29"/>
  <c r="CT331" i="29"/>
  <c r="BV331" i="29"/>
  <c r="BS331" i="29"/>
  <c r="BP331" i="29"/>
  <c r="CO331" i="29"/>
  <c r="CL331" i="29"/>
  <c r="BC331" i="29"/>
  <c r="AZ331" i="29"/>
  <c r="AN331" i="29"/>
  <c r="AK331" i="29"/>
  <c r="AF331" i="29"/>
  <c r="AC331" i="29"/>
  <c r="DB329" i="29"/>
  <c r="CY329" i="29"/>
  <c r="AV329" i="29"/>
  <c r="AQ329" i="29"/>
  <c r="CW329" i="29"/>
  <c r="CT329" i="29"/>
  <c r="BV329" i="29"/>
  <c r="BS329" i="29"/>
  <c r="BP329" i="29"/>
  <c r="BN329" i="29"/>
  <c r="CO329" i="29"/>
  <c r="CL329" i="29"/>
  <c r="BC329" i="29"/>
  <c r="AN329" i="29"/>
  <c r="AK329" i="29"/>
  <c r="BE329" i="29" s="1"/>
  <c r="AI329" i="29"/>
  <c r="AF329" i="29"/>
  <c r="AC329" i="29"/>
  <c r="DB328" i="29"/>
  <c r="CY328" i="29"/>
  <c r="AV328" i="29"/>
  <c r="AQ328" i="29"/>
  <c r="CW328" i="29"/>
  <c r="CT328" i="29"/>
  <c r="BV328" i="29"/>
  <c r="BS328" i="29"/>
  <c r="BP328" i="29"/>
  <c r="BN328" i="29"/>
  <c r="CO328" i="29"/>
  <c r="CL328" i="29"/>
  <c r="BC328" i="29"/>
  <c r="AZ328" i="29"/>
  <c r="AN328" i="29"/>
  <c r="AK328" i="29"/>
  <c r="AI328" i="29"/>
  <c r="AF328" i="29"/>
  <c r="AC328" i="29"/>
  <c r="DB327" i="29"/>
  <c r="CY327" i="29"/>
  <c r="AV327" i="29"/>
  <c r="AQ327" i="29"/>
  <c r="CW327" i="29"/>
  <c r="CT327" i="29"/>
  <c r="BV327" i="29"/>
  <c r="BS327" i="29"/>
  <c r="BP327" i="29"/>
  <c r="BN327" i="29"/>
  <c r="CO327" i="29"/>
  <c r="CL327" i="29"/>
  <c r="BC327" i="29"/>
  <c r="AZ327" i="29"/>
  <c r="AN327" i="29"/>
  <c r="AK327" i="29"/>
  <c r="AI327" i="29"/>
  <c r="AF327" i="29"/>
  <c r="AC327" i="29"/>
  <c r="V327" i="29"/>
  <c r="DB326" i="29"/>
  <c r="CY326" i="29"/>
  <c r="AV326" i="29"/>
  <c r="AQ326" i="29"/>
  <c r="AS326" i="29" s="1"/>
  <c r="CW326" i="29"/>
  <c r="CT326" i="29"/>
  <c r="BV326" i="29"/>
  <c r="BS326" i="29"/>
  <c r="BP326" i="29"/>
  <c r="BN326" i="29"/>
  <c r="CO326" i="29"/>
  <c r="AZ326" i="29"/>
  <c r="AI326" i="29"/>
  <c r="AF326" i="29"/>
  <c r="AC326" i="29"/>
  <c r="DB325" i="29"/>
  <c r="CY325" i="29"/>
  <c r="AV325" i="29"/>
  <c r="AQ325" i="29"/>
  <c r="CW325" i="29"/>
  <c r="CT325" i="29"/>
  <c r="BV325" i="29"/>
  <c r="BS325" i="29"/>
  <c r="BP325" i="29"/>
  <c r="BN325" i="29"/>
  <c r="CO325" i="29"/>
  <c r="CL325" i="29"/>
  <c r="BC325" i="29"/>
  <c r="AZ325" i="29"/>
  <c r="AN325" i="29"/>
  <c r="AK325" i="29"/>
  <c r="AI325" i="29"/>
  <c r="AF325" i="29"/>
  <c r="AC325" i="29"/>
  <c r="DB324" i="29"/>
  <c r="CY324" i="29"/>
  <c r="AV324" i="29"/>
  <c r="AQ324" i="29"/>
  <c r="CW324" i="29"/>
  <c r="CT324" i="29"/>
  <c r="BV324" i="29"/>
  <c r="BS324" i="29"/>
  <c r="BP324" i="29"/>
  <c r="BN324" i="29"/>
  <c r="CO324" i="29"/>
  <c r="CL324" i="29"/>
  <c r="BC324" i="29"/>
  <c r="AZ324" i="29"/>
  <c r="AN324" i="29"/>
  <c r="AK324" i="29"/>
  <c r="AI324" i="29"/>
  <c r="AF324" i="29"/>
  <c r="AC324" i="29"/>
  <c r="Y324" i="29"/>
  <c r="V324" i="29"/>
  <c r="K324" i="29"/>
  <c r="H324" i="29"/>
  <c r="DB323" i="29"/>
  <c r="CY323" i="29"/>
  <c r="AV323" i="29"/>
  <c r="AQ323" i="29"/>
  <c r="CW323" i="29"/>
  <c r="CT323" i="29"/>
  <c r="BV323" i="29"/>
  <c r="BS323" i="29"/>
  <c r="BP323" i="29"/>
  <c r="BN323" i="29"/>
  <c r="CO323" i="29"/>
  <c r="CL323" i="29"/>
  <c r="BC323" i="29"/>
  <c r="AZ323" i="29"/>
  <c r="AN323" i="29"/>
  <c r="AK323" i="29"/>
  <c r="AI323" i="29"/>
  <c r="AC323" i="29"/>
  <c r="Y323" i="29"/>
  <c r="V323" i="29"/>
  <c r="DB322" i="29"/>
  <c r="CY322" i="29"/>
  <c r="AV322" i="29"/>
  <c r="AQ322" i="29"/>
  <c r="CW322" i="29"/>
  <c r="CT322" i="29"/>
  <c r="BV322" i="29"/>
  <c r="BS322" i="29"/>
  <c r="BP322" i="29"/>
  <c r="BN322" i="29"/>
  <c r="CO322" i="29"/>
  <c r="CL322" i="29"/>
  <c r="BC322" i="29"/>
  <c r="AZ322" i="29"/>
  <c r="AN322" i="29"/>
  <c r="AK322" i="29"/>
  <c r="AI322" i="29"/>
  <c r="AF322" i="29"/>
  <c r="AC322" i="29"/>
  <c r="Y322" i="29"/>
  <c r="V322" i="29"/>
  <c r="K322" i="29"/>
  <c r="H322" i="29"/>
  <c r="DB321" i="29"/>
  <c r="CY321" i="29"/>
  <c r="AV321" i="29"/>
  <c r="AQ321" i="29"/>
  <c r="CW321" i="29"/>
  <c r="CT321" i="29"/>
  <c r="BV321" i="29"/>
  <c r="BS321" i="29"/>
  <c r="BP321" i="29"/>
  <c r="BN321" i="29"/>
  <c r="CO321" i="29"/>
  <c r="CL321" i="29"/>
  <c r="BC321" i="29"/>
  <c r="AZ321" i="29"/>
  <c r="AN321" i="29"/>
  <c r="AK321" i="29"/>
  <c r="AI321" i="29"/>
  <c r="AF321" i="29"/>
  <c r="AC321" i="29"/>
  <c r="Y321" i="29"/>
  <c r="V321" i="29"/>
  <c r="K321" i="29"/>
  <c r="H321" i="29"/>
  <c r="DB320" i="29"/>
  <c r="CY320" i="29"/>
  <c r="AV320" i="29"/>
  <c r="AQ320" i="29"/>
  <c r="CW320" i="29"/>
  <c r="CT320" i="29"/>
  <c r="BV320" i="29"/>
  <c r="BS320" i="29"/>
  <c r="BP320" i="29"/>
  <c r="BN320" i="29"/>
  <c r="CO320" i="29"/>
  <c r="CL320" i="29"/>
  <c r="BC320" i="29"/>
  <c r="AZ320" i="29"/>
  <c r="AN320" i="29"/>
  <c r="AK320" i="29"/>
  <c r="AI320" i="29"/>
  <c r="AF320" i="29"/>
  <c r="AC320" i="29"/>
  <c r="DB319" i="29"/>
  <c r="CY319" i="29"/>
  <c r="AV319" i="29"/>
  <c r="AQ319" i="29"/>
  <c r="CW319" i="29"/>
  <c r="CT319" i="29"/>
  <c r="BV319" i="29"/>
  <c r="BS319" i="29"/>
  <c r="BP319" i="29"/>
  <c r="BN319" i="29"/>
  <c r="CO319" i="29"/>
  <c r="CL319" i="29"/>
  <c r="BC319" i="29"/>
  <c r="AZ319" i="29"/>
  <c r="AN319" i="29"/>
  <c r="AK319" i="29"/>
  <c r="AI319" i="29"/>
  <c r="AF319" i="29"/>
  <c r="AC319" i="29"/>
  <c r="DB318" i="29"/>
  <c r="CY318" i="29"/>
  <c r="AV318" i="29"/>
  <c r="AQ318" i="29"/>
  <c r="AS318" i="29" s="1"/>
  <c r="CW318" i="29"/>
  <c r="CT318" i="29"/>
  <c r="BV318" i="29"/>
  <c r="BS318" i="29"/>
  <c r="BP318" i="29"/>
  <c r="BN318" i="29"/>
  <c r="CO318" i="29"/>
  <c r="AZ318" i="29"/>
  <c r="AI318" i="29"/>
  <c r="AF318" i="29"/>
  <c r="AC318" i="29"/>
  <c r="DB317" i="29"/>
  <c r="CY317" i="29"/>
  <c r="AV317" i="29"/>
  <c r="AQ317" i="29"/>
  <c r="CW317" i="29"/>
  <c r="CT317" i="29"/>
  <c r="BV317" i="29"/>
  <c r="BS317" i="29"/>
  <c r="BP317" i="29"/>
  <c r="BN317" i="29"/>
  <c r="CO317" i="29"/>
  <c r="CL317" i="29"/>
  <c r="BC317" i="29"/>
  <c r="AZ317" i="29"/>
  <c r="AN317" i="29"/>
  <c r="AK317" i="29"/>
  <c r="AI317" i="29"/>
  <c r="AF317" i="29"/>
  <c r="AC317" i="29"/>
  <c r="DB316" i="29"/>
  <c r="CY316" i="29"/>
  <c r="AV316" i="29"/>
  <c r="AQ316" i="29"/>
  <c r="CW316" i="29"/>
  <c r="CT316" i="29"/>
  <c r="BV316" i="29"/>
  <c r="BS316" i="29"/>
  <c r="BP316" i="29"/>
  <c r="BN316" i="29"/>
  <c r="CO316" i="29"/>
  <c r="CL316" i="29"/>
  <c r="BC316" i="29"/>
  <c r="AZ316" i="29"/>
  <c r="AN316" i="29"/>
  <c r="AK316" i="29"/>
  <c r="AI316" i="29"/>
  <c r="AF316" i="29"/>
  <c r="AC316" i="29"/>
  <c r="Y316" i="29"/>
  <c r="V316" i="29"/>
  <c r="K316" i="29"/>
  <c r="H316" i="29"/>
  <c r="DB315" i="29"/>
  <c r="CY315" i="29"/>
  <c r="AV315" i="29"/>
  <c r="AQ315" i="29"/>
  <c r="CW315" i="29"/>
  <c r="CT315" i="29"/>
  <c r="BV315" i="29"/>
  <c r="BS315" i="29"/>
  <c r="BP315" i="29"/>
  <c r="BN315" i="29"/>
  <c r="CO315" i="29"/>
  <c r="CL315" i="29"/>
  <c r="BC315" i="29"/>
  <c r="AZ315" i="29"/>
  <c r="AN315" i="29"/>
  <c r="AK315" i="29"/>
  <c r="AI315" i="29"/>
  <c r="AF315" i="29"/>
  <c r="AC315" i="29"/>
  <c r="Y315" i="29"/>
  <c r="V315" i="29"/>
  <c r="K315" i="29"/>
  <c r="H315" i="29"/>
  <c r="DB314" i="29"/>
  <c r="CY314" i="29"/>
  <c r="AV314" i="29"/>
  <c r="AQ314" i="29"/>
  <c r="CW314" i="29"/>
  <c r="CT314" i="29"/>
  <c r="BV314" i="29"/>
  <c r="BS314" i="29"/>
  <c r="BP314" i="29"/>
  <c r="BN314" i="29"/>
  <c r="CO314" i="29"/>
  <c r="CL314" i="29"/>
  <c r="BC314" i="29"/>
  <c r="AZ314" i="29"/>
  <c r="AN314" i="29"/>
  <c r="AK314" i="29"/>
  <c r="AI314" i="29"/>
  <c r="AF314" i="29"/>
  <c r="AC314" i="29"/>
  <c r="Y314" i="29"/>
  <c r="V314" i="29"/>
  <c r="K314" i="29"/>
  <c r="H314" i="29"/>
  <c r="DB313" i="29"/>
  <c r="CY313" i="29"/>
  <c r="AV313" i="29"/>
  <c r="AQ313" i="29"/>
  <c r="CW313" i="29"/>
  <c r="CT313" i="29"/>
  <c r="BV313" i="29"/>
  <c r="BS313" i="29"/>
  <c r="BP313" i="29"/>
  <c r="BN313" i="29"/>
  <c r="CO313" i="29"/>
  <c r="CL313" i="29"/>
  <c r="BC313" i="29"/>
  <c r="AZ313" i="29"/>
  <c r="AN313" i="29"/>
  <c r="AK313" i="29"/>
  <c r="AI313" i="29"/>
  <c r="Y313" i="29"/>
  <c r="V313" i="29"/>
  <c r="K313" i="29"/>
  <c r="H313" i="29"/>
  <c r="DB312" i="29"/>
  <c r="CY312" i="29"/>
  <c r="AV312" i="29"/>
  <c r="AQ312" i="29"/>
  <c r="CW312" i="29"/>
  <c r="CT312" i="29"/>
  <c r="BV312" i="29"/>
  <c r="BS312" i="29"/>
  <c r="BP312" i="29"/>
  <c r="BN312" i="29"/>
  <c r="CO312" i="29"/>
  <c r="CL312" i="29"/>
  <c r="BC312" i="29"/>
  <c r="AN312" i="29"/>
  <c r="AK312" i="29"/>
  <c r="BE312" i="29" s="1"/>
  <c r="AF312" i="29"/>
  <c r="AC312" i="29"/>
  <c r="DB311" i="29"/>
  <c r="CY311" i="29"/>
  <c r="AV311" i="29"/>
  <c r="AQ311" i="29"/>
  <c r="CW311" i="29"/>
  <c r="CT311" i="29"/>
  <c r="BV311" i="29"/>
  <c r="BS311" i="29"/>
  <c r="BP311" i="29"/>
  <c r="BN311" i="29"/>
  <c r="CO311" i="29"/>
  <c r="CL311" i="29"/>
  <c r="BC311" i="29"/>
  <c r="AZ311" i="29"/>
  <c r="AN311" i="29"/>
  <c r="AK311" i="29"/>
  <c r="AI311" i="29"/>
  <c r="AF311" i="29"/>
  <c r="AC311" i="29"/>
  <c r="Y311" i="29"/>
  <c r="V311" i="29"/>
  <c r="K311" i="29"/>
  <c r="H311" i="29"/>
  <c r="DB310" i="29"/>
  <c r="CY310" i="29"/>
  <c r="AV310" i="29"/>
  <c r="AQ310" i="29"/>
  <c r="CW310" i="29"/>
  <c r="CT310" i="29"/>
  <c r="BV310" i="29"/>
  <c r="BS310" i="29"/>
  <c r="BP310" i="29"/>
  <c r="BN310" i="29"/>
  <c r="CO310" i="29"/>
  <c r="CL310" i="29"/>
  <c r="BC310" i="29"/>
  <c r="AZ310" i="29"/>
  <c r="AN310" i="29"/>
  <c r="AK310" i="29"/>
  <c r="AI310" i="29"/>
  <c r="AF310" i="29"/>
  <c r="AC310" i="29"/>
  <c r="Y310" i="29"/>
  <c r="V310" i="29"/>
  <c r="K310" i="29"/>
  <c r="H310" i="29"/>
  <c r="DB309" i="29"/>
  <c r="CY309" i="29"/>
  <c r="AV309" i="29"/>
  <c r="AQ309" i="29"/>
  <c r="CW309" i="29"/>
  <c r="CT309" i="29"/>
  <c r="BV309" i="29"/>
  <c r="BS309" i="29"/>
  <c r="BP309" i="29"/>
  <c r="BN309" i="29"/>
  <c r="CO309" i="29"/>
  <c r="CL309" i="29"/>
  <c r="BC309" i="29"/>
  <c r="AZ309" i="29"/>
  <c r="AN309" i="29"/>
  <c r="AK309" i="29"/>
  <c r="AI309" i="29"/>
  <c r="AF309" i="29"/>
  <c r="Y309" i="29"/>
  <c r="V309" i="29"/>
  <c r="K309" i="29"/>
  <c r="H309" i="29"/>
  <c r="DB308" i="29"/>
  <c r="CY308" i="29"/>
  <c r="AV308" i="29"/>
  <c r="AQ308" i="29"/>
  <c r="CW308" i="29"/>
  <c r="CT308" i="29"/>
  <c r="BV308" i="29"/>
  <c r="BS308" i="29"/>
  <c r="BP308" i="29"/>
  <c r="BN308" i="29"/>
  <c r="CO308" i="29"/>
  <c r="CL308" i="29"/>
  <c r="BC308" i="29"/>
  <c r="AZ308" i="29"/>
  <c r="AN308" i="29"/>
  <c r="AK308" i="29"/>
  <c r="AI308" i="29"/>
  <c r="AF308" i="29"/>
  <c r="AC308" i="29"/>
  <c r="Y308" i="29"/>
  <c r="V308" i="29"/>
  <c r="K308" i="29"/>
  <c r="H308" i="29"/>
  <c r="DB307" i="29"/>
  <c r="CY307" i="29"/>
  <c r="AV307" i="29"/>
  <c r="AQ307" i="29"/>
  <c r="CW307" i="29"/>
  <c r="CT307" i="29"/>
  <c r="BV307" i="29"/>
  <c r="BS307" i="29"/>
  <c r="BP307" i="29"/>
  <c r="BN307" i="29"/>
  <c r="CO307" i="29"/>
  <c r="CL307" i="29"/>
  <c r="BC307" i="29"/>
  <c r="AZ307" i="29"/>
  <c r="AN307" i="29"/>
  <c r="AK307" i="29"/>
  <c r="AI307" i="29"/>
  <c r="AF307" i="29"/>
  <c r="AC307" i="29"/>
  <c r="Y307" i="29"/>
  <c r="V307" i="29"/>
  <c r="K307" i="29"/>
  <c r="H307" i="29"/>
  <c r="DB306" i="29"/>
  <c r="CY306" i="29"/>
  <c r="AV306" i="29"/>
  <c r="AQ306" i="29"/>
  <c r="CW306" i="29"/>
  <c r="CT306" i="29"/>
  <c r="BV306" i="29"/>
  <c r="BS306" i="29"/>
  <c r="BP306" i="29"/>
  <c r="CO306" i="29"/>
  <c r="CL306" i="29"/>
  <c r="BC306" i="29"/>
  <c r="AZ306" i="29"/>
  <c r="AN306" i="29"/>
  <c r="AK306" i="29"/>
  <c r="AF306" i="29"/>
  <c r="AC306" i="29"/>
  <c r="DB305" i="29"/>
  <c r="CY305" i="29"/>
  <c r="AV305" i="29"/>
  <c r="AQ305" i="29"/>
  <c r="BG305" i="29" s="1"/>
  <c r="CW305" i="29"/>
  <c r="CT305" i="29"/>
  <c r="DL305" i="29" s="1"/>
  <c r="BP305" i="29"/>
  <c r="BX305" i="29" s="1"/>
  <c r="CO305" i="29"/>
  <c r="DB304" i="29"/>
  <c r="CY304" i="29"/>
  <c r="AV304" i="29"/>
  <c r="AQ304" i="29"/>
  <c r="CW304" i="29"/>
  <c r="CT304" i="29"/>
  <c r="BU304" i="29"/>
  <c r="BS304" i="29"/>
  <c r="BP304" i="29"/>
  <c r="BN304" i="29"/>
  <c r="CO304" i="29"/>
  <c r="CL304" i="29"/>
  <c r="BC304" i="29"/>
  <c r="AZ304" i="29"/>
  <c r="AN304" i="29"/>
  <c r="AK304" i="29"/>
  <c r="AI304" i="29"/>
  <c r="AF304" i="29"/>
  <c r="Y304" i="29"/>
  <c r="V304" i="29"/>
  <c r="K304" i="29"/>
  <c r="H304" i="29"/>
  <c r="DB303" i="29"/>
  <c r="CY303" i="29"/>
  <c r="AV303" i="29"/>
  <c r="AQ303" i="29"/>
  <c r="CW303" i="29"/>
  <c r="CT303" i="29"/>
  <c r="BV303" i="29"/>
  <c r="BS303" i="29"/>
  <c r="BP303" i="29"/>
  <c r="BN303" i="29"/>
  <c r="CO303" i="29"/>
  <c r="CL303" i="29"/>
  <c r="BC303" i="29"/>
  <c r="AZ303" i="29"/>
  <c r="AN303" i="29"/>
  <c r="AK303" i="29"/>
  <c r="AI303" i="29"/>
  <c r="AF303" i="29"/>
  <c r="AC303" i="29"/>
  <c r="Y303" i="29"/>
  <c r="V303" i="29"/>
  <c r="K303" i="29"/>
  <c r="H303" i="29"/>
  <c r="DB302" i="29"/>
  <c r="CY302" i="29"/>
  <c r="AV302" i="29"/>
  <c r="AQ302" i="29"/>
  <c r="CW302" i="29"/>
  <c r="CT302" i="29"/>
  <c r="BS302" i="29"/>
  <c r="BP302" i="29"/>
  <c r="BN302" i="29"/>
  <c r="CO302" i="29"/>
  <c r="CL302" i="29"/>
  <c r="BC302" i="29"/>
  <c r="AZ302" i="29"/>
  <c r="AN302" i="29"/>
  <c r="AK302" i="29"/>
  <c r="AI302" i="29"/>
  <c r="AF302" i="29"/>
  <c r="AC302" i="29"/>
  <c r="Y302" i="29"/>
  <c r="V302" i="29"/>
  <c r="K302" i="29"/>
  <c r="H302" i="29"/>
  <c r="DB301" i="29"/>
  <c r="CY301" i="29"/>
  <c r="AV301" i="29"/>
  <c r="AQ301" i="29"/>
  <c r="CW301" i="29"/>
  <c r="CT301" i="29"/>
  <c r="BV301" i="29"/>
  <c r="BS301" i="29"/>
  <c r="BP301" i="29"/>
  <c r="CO301" i="29"/>
  <c r="CL301" i="29"/>
  <c r="BC301" i="29"/>
  <c r="AZ301" i="29"/>
  <c r="AN301" i="29"/>
  <c r="AK301" i="29"/>
  <c r="AI301" i="29"/>
  <c r="AF301" i="29"/>
  <c r="AC301" i="29"/>
  <c r="DB300" i="29"/>
  <c r="CY300" i="29"/>
  <c r="AV300" i="29"/>
  <c r="AQ300" i="29"/>
  <c r="CW300" i="29"/>
  <c r="CT300" i="29"/>
  <c r="BV300" i="29"/>
  <c r="BS300" i="29"/>
  <c r="BP300" i="29"/>
  <c r="BN300" i="29"/>
  <c r="CO300" i="29"/>
  <c r="CL300" i="29"/>
  <c r="BC300" i="29"/>
  <c r="AZ300" i="29"/>
  <c r="AN300" i="29"/>
  <c r="AK300" i="29"/>
  <c r="AI300" i="29"/>
  <c r="AF300" i="29"/>
  <c r="AC300" i="29"/>
  <c r="Y300" i="29"/>
  <c r="V300" i="29"/>
  <c r="K300" i="29"/>
  <c r="H300" i="29"/>
  <c r="DB299" i="29"/>
  <c r="CY299" i="29"/>
  <c r="AV299" i="29"/>
  <c r="AQ299" i="29"/>
  <c r="CW299" i="29"/>
  <c r="CT299" i="29"/>
  <c r="BV299" i="29"/>
  <c r="BS299" i="29"/>
  <c r="BP299" i="29"/>
  <c r="BN299" i="29"/>
  <c r="CO299" i="29"/>
  <c r="CL299" i="29"/>
  <c r="BC299" i="29"/>
  <c r="AZ299" i="29"/>
  <c r="AN299" i="29"/>
  <c r="AK299" i="29"/>
  <c r="AI299" i="29"/>
  <c r="AF299" i="29"/>
  <c r="AC299" i="29"/>
  <c r="Y299" i="29"/>
  <c r="V299" i="29"/>
  <c r="K299" i="29"/>
  <c r="H299" i="29"/>
  <c r="DB298" i="29"/>
  <c r="CY298" i="29"/>
  <c r="AV298" i="29"/>
  <c r="AQ298" i="29"/>
  <c r="CW298" i="29"/>
  <c r="CT298" i="29"/>
  <c r="BS298" i="29"/>
  <c r="BP298" i="29"/>
  <c r="BN298" i="29"/>
  <c r="CO298" i="29"/>
  <c r="CL298" i="29"/>
  <c r="BC298" i="29"/>
  <c r="AZ298" i="29"/>
  <c r="AN298" i="29"/>
  <c r="AK298" i="29"/>
  <c r="AI298" i="29"/>
  <c r="AF298" i="29"/>
  <c r="AC298" i="29"/>
  <c r="Y298" i="29"/>
  <c r="V298" i="29"/>
  <c r="K298" i="29"/>
  <c r="H298" i="29"/>
  <c r="DB297" i="29"/>
  <c r="CY297" i="29"/>
  <c r="AV297" i="29"/>
  <c r="AQ297" i="29"/>
  <c r="CW297" i="29"/>
  <c r="CT297" i="29"/>
  <c r="BV297" i="29"/>
  <c r="BS297" i="29"/>
  <c r="BP297" i="29"/>
  <c r="BN297" i="29"/>
  <c r="CO297" i="29"/>
  <c r="CL297" i="29"/>
  <c r="BC297" i="29"/>
  <c r="AZ297" i="29"/>
  <c r="AN297" i="29"/>
  <c r="AK297" i="29"/>
  <c r="AI297" i="29"/>
  <c r="AF297" i="29"/>
  <c r="AC297" i="29"/>
  <c r="Y297" i="29"/>
  <c r="V297" i="29"/>
  <c r="K297" i="29"/>
  <c r="H297" i="29"/>
  <c r="DB296" i="29"/>
  <c r="CY296" i="29"/>
  <c r="AV296" i="29"/>
  <c r="AQ296" i="29"/>
  <c r="CW296" i="29"/>
  <c r="CT296" i="29"/>
  <c r="BV296" i="29"/>
  <c r="BS296" i="29"/>
  <c r="BP296" i="29"/>
  <c r="BN296" i="29"/>
  <c r="CO296" i="29"/>
  <c r="CL296" i="29"/>
  <c r="BC296" i="29"/>
  <c r="AZ296" i="29"/>
  <c r="AN296" i="29"/>
  <c r="AK296" i="29"/>
  <c r="AI296" i="29"/>
  <c r="AF296" i="29"/>
  <c r="AC296" i="29"/>
  <c r="Y296" i="29"/>
  <c r="V296" i="29"/>
  <c r="K296" i="29"/>
  <c r="H296" i="29"/>
  <c r="DB295" i="29"/>
  <c r="CY295" i="29"/>
  <c r="AV295" i="29"/>
  <c r="AQ295" i="29"/>
  <c r="CW295" i="29"/>
  <c r="CT295" i="29"/>
  <c r="BV295" i="29"/>
  <c r="BS295" i="29"/>
  <c r="BP295" i="29"/>
  <c r="BN295" i="29"/>
  <c r="CO295" i="29"/>
  <c r="CL295" i="29"/>
  <c r="BC295" i="29"/>
  <c r="AZ295" i="29"/>
  <c r="AN295" i="29"/>
  <c r="AK295" i="29"/>
  <c r="AI295" i="29"/>
  <c r="AF295" i="29"/>
  <c r="AC295" i="29"/>
  <c r="Y295" i="29"/>
  <c r="V295" i="29"/>
  <c r="K295" i="29"/>
  <c r="H295" i="29"/>
  <c r="DB294" i="29"/>
  <c r="CY294" i="29"/>
  <c r="AV294" i="29"/>
  <c r="AQ294" i="29"/>
  <c r="CW294" i="29"/>
  <c r="CT294" i="29"/>
  <c r="BV294" i="29"/>
  <c r="BS294" i="29"/>
  <c r="BP294" i="29"/>
  <c r="BN294" i="29"/>
  <c r="CO294" i="29"/>
  <c r="CL294" i="29"/>
  <c r="BC294" i="29"/>
  <c r="AZ294" i="29"/>
  <c r="AN294" i="29"/>
  <c r="AK294" i="29"/>
  <c r="AI294" i="29"/>
  <c r="AF294" i="29"/>
  <c r="AC294" i="29"/>
  <c r="Y294" i="29"/>
  <c r="V294" i="29"/>
  <c r="K294" i="29"/>
  <c r="H294" i="29"/>
  <c r="DB293" i="29"/>
  <c r="CY293" i="29"/>
  <c r="AV293" i="29"/>
  <c r="AQ293" i="29"/>
  <c r="CW293" i="29"/>
  <c r="CT293" i="29"/>
  <c r="BV293" i="29"/>
  <c r="BS293" i="29"/>
  <c r="BP293" i="29"/>
  <c r="BN293" i="29"/>
  <c r="CO293" i="29"/>
  <c r="CL293" i="29"/>
  <c r="BC293" i="29"/>
  <c r="AZ293" i="29"/>
  <c r="AN293" i="29"/>
  <c r="AK293" i="29"/>
  <c r="AI293" i="29"/>
  <c r="AF293" i="29"/>
  <c r="AC293" i="29"/>
  <c r="Y293" i="29"/>
  <c r="V293" i="29"/>
  <c r="K293" i="29"/>
  <c r="H293" i="29"/>
  <c r="DB292" i="29"/>
  <c r="CY292" i="29"/>
  <c r="AV292" i="29"/>
  <c r="AQ292" i="29"/>
  <c r="CW292" i="29"/>
  <c r="CT292" i="29"/>
  <c r="BV292" i="29"/>
  <c r="BS292" i="29"/>
  <c r="BP292" i="29"/>
  <c r="BN292" i="29"/>
  <c r="CO292" i="29"/>
  <c r="CL292" i="29"/>
  <c r="BC292" i="29"/>
  <c r="AZ292" i="29"/>
  <c r="AN292" i="29"/>
  <c r="AK292" i="29"/>
  <c r="AI292" i="29"/>
  <c r="AF292" i="29"/>
  <c r="AC292" i="29"/>
  <c r="Y292" i="29"/>
  <c r="V292" i="29"/>
  <c r="K292" i="29"/>
  <c r="H292" i="29"/>
  <c r="DB291" i="29"/>
  <c r="CY291" i="29"/>
  <c r="AV291" i="29"/>
  <c r="AQ291" i="29"/>
  <c r="CW291" i="29"/>
  <c r="CT291" i="29"/>
  <c r="BV291" i="29"/>
  <c r="BS291" i="29"/>
  <c r="BP291" i="29"/>
  <c r="BN291" i="29"/>
  <c r="CO291" i="29"/>
  <c r="CL291" i="29"/>
  <c r="BC291" i="29"/>
  <c r="AZ291" i="29"/>
  <c r="AN291" i="29"/>
  <c r="AK291" i="29"/>
  <c r="AI291" i="29"/>
  <c r="AF291" i="29"/>
  <c r="AC291" i="29"/>
  <c r="Y291" i="29"/>
  <c r="V291" i="29"/>
  <c r="K291" i="29"/>
  <c r="H291" i="29"/>
  <c r="DB290" i="29"/>
  <c r="CY290" i="29"/>
  <c r="AV290" i="29"/>
  <c r="AQ290" i="29"/>
  <c r="CW290" i="29"/>
  <c r="CT290" i="29"/>
  <c r="BV290" i="29"/>
  <c r="BR290" i="29"/>
  <c r="BP290" i="29"/>
  <c r="BN290" i="29"/>
  <c r="CO290" i="29"/>
  <c r="CL290" i="29"/>
  <c r="BC290" i="29"/>
  <c r="AZ290" i="29"/>
  <c r="AN290" i="29"/>
  <c r="AK290" i="29"/>
  <c r="AI290" i="29"/>
  <c r="AF290" i="29"/>
  <c r="Y290" i="29"/>
  <c r="V290" i="29"/>
  <c r="K290" i="29"/>
  <c r="H290" i="29"/>
  <c r="DB289" i="29"/>
  <c r="CY289" i="29"/>
  <c r="AV289" i="29"/>
  <c r="AQ289" i="29"/>
  <c r="CW289" i="29"/>
  <c r="CT289" i="29"/>
  <c r="BV289" i="29"/>
  <c r="BS289" i="29"/>
  <c r="BP289" i="29"/>
  <c r="BN289" i="29"/>
  <c r="CO289" i="29"/>
  <c r="CL289" i="29"/>
  <c r="BC289" i="29"/>
  <c r="AZ289" i="29"/>
  <c r="AN289" i="29"/>
  <c r="AK289" i="29"/>
  <c r="AI289" i="29"/>
  <c r="AF289" i="29"/>
  <c r="AC289" i="29"/>
  <c r="Y289" i="29"/>
  <c r="V289" i="29"/>
  <c r="K289" i="29"/>
  <c r="H289" i="29"/>
  <c r="DB288" i="29"/>
  <c r="CY288" i="29"/>
  <c r="AV288" i="29"/>
  <c r="AQ288" i="29"/>
  <c r="CW288" i="29"/>
  <c r="CT288" i="29"/>
  <c r="BV288" i="29"/>
  <c r="BS288" i="29"/>
  <c r="BP288" i="29"/>
  <c r="BN288" i="29"/>
  <c r="CO288" i="29"/>
  <c r="CL288" i="29"/>
  <c r="BC288" i="29"/>
  <c r="AZ288" i="29"/>
  <c r="AN288" i="29"/>
  <c r="AK288" i="29"/>
  <c r="AI288" i="29"/>
  <c r="AF288" i="29"/>
  <c r="AC288" i="29"/>
  <c r="Y288" i="29"/>
  <c r="V288" i="29"/>
  <c r="K288" i="29"/>
  <c r="H288" i="29"/>
  <c r="DB287" i="29"/>
  <c r="CY287" i="29"/>
  <c r="AV287" i="29"/>
  <c r="AQ287" i="29"/>
  <c r="CW287" i="29"/>
  <c r="CT287" i="29"/>
  <c r="BV287" i="29"/>
  <c r="BS287" i="29"/>
  <c r="BP287" i="29"/>
  <c r="BN287" i="29"/>
  <c r="CO287" i="29"/>
  <c r="CL287" i="29"/>
  <c r="BC287" i="29"/>
  <c r="AZ287" i="29"/>
  <c r="AN287" i="29"/>
  <c r="AK287" i="29"/>
  <c r="AI287" i="29"/>
  <c r="AF287" i="29"/>
  <c r="AC287" i="29"/>
  <c r="Y287" i="29"/>
  <c r="V287" i="29"/>
  <c r="DB286" i="29"/>
  <c r="CY286" i="29"/>
  <c r="AV286" i="29"/>
  <c r="AQ286" i="29"/>
  <c r="CW286" i="29"/>
  <c r="CT286" i="29"/>
  <c r="BV286" i="29"/>
  <c r="BS286" i="29"/>
  <c r="BP286" i="29"/>
  <c r="BN286" i="29"/>
  <c r="CO286" i="29"/>
  <c r="CL286" i="29"/>
  <c r="BC286" i="29"/>
  <c r="AZ286" i="29"/>
  <c r="AN286" i="29"/>
  <c r="AK286" i="29"/>
  <c r="AI286" i="29"/>
  <c r="AF286" i="29"/>
  <c r="AC286" i="29"/>
  <c r="Y286" i="29"/>
  <c r="V286" i="29"/>
  <c r="K286" i="29"/>
  <c r="H286" i="29"/>
  <c r="DB285" i="29"/>
  <c r="CY285" i="29"/>
  <c r="AV285" i="29"/>
  <c r="AQ285" i="29"/>
  <c r="CW285" i="29"/>
  <c r="CT285" i="29"/>
  <c r="BV285" i="29"/>
  <c r="BS285" i="29"/>
  <c r="BP285" i="29"/>
  <c r="BN285" i="29"/>
  <c r="CO285" i="29"/>
  <c r="CL285" i="29"/>
  <c r="BC285" i="29"/>
  <c r="AZ285" i="29"/>
  <c r="AN285" i="29"/>
  <c r="AK285" i="29"/>
  <c r="AI285" i="29"/>
  <c r="AF285" i="29"/>
  <c r="AC285" i="29"/>
  <c r="Y285" i="29"/>
  <c r="V285" i="29"/>
  <c r="K285" i="29"/>
  <c r="H285" i="29"/>
  <c r="DB284" i="29"/>
  <c r="CY284" i="29"/>
  <c r="AV284" i="29"/>
  <c r="AQ284" i="29"/>
  <c r="CW284" i="29"/>
  <c r="CT284" i="29"/>
  <c r="BV284" i="29"/>
  <c r="BS284" i="29"/>
  <c r="BP284" i="29"/>
  <c r="BN284" i="29"/>
  <c r="CO284" i="29"/>
  <c r="CL284" i="29"/>
  <c r="BC284" i="29"/>
  <c r="AZ284" i="29"/>
  <c r="AN284" i="29"/>
  <c r="AK284" i="29"/>
  <c r="AI284" i="29"/>
  <c r="AF284" i="29"/>
  <c r="AC284" i="29"/>
  <c r="Y284" i="29"/>
  <c r="V284" i="29"/>
  <c r="K284" i="29"/>
  <c r="H284" i="29"/>
  <c r="DB283" i="29"/>
  <c r="CY283" i="29"/>
  <c r="AV283" i="29"/>
  <c r="AQ283" i="29"/>
  <c r="AS283" i="29" s="1"/>
  <c r="CW283" i="29"/>
  <c r="CT283" i="29"/>
  <c r="DL283" i="29" s="1"/>
  <c r="BP283" i="29"/>
  <c r="BX283" i="29" s="1"/>
  <c r="CO283" i="29"/>
  <c r="DB282" i="29"/>
  <c r="CY282" i="29"/>
  <c r="AV282" i="29"/>
  <c r="AQ282" i="29"/>
  <c r="CW282" i="29"/>
  <c r="CT282" i="29"/>
  <c r="BV282" i="29"/>
  <c r="BS282" i="29"/>
  <c r="BP282" i="29"/>
  <c r="BN282" i="29"/>
  <c r="CO282" i="29"/>
  <c r="CL282" i="29"/>
  <c r="BC282" i="29"/>
  <c r="AZ282" i="29"/>
  <c r="AN282" i="29"/>
  <c r="AK282" i="29"/>
  <c r="AI282" i="29"/>
  <c r="AF282" i="29"/>
  <c r="AC282" i="29"/>
  <c r="Y282" i="29"/>
  <c r="V282" i="29"/>
  <c r="K282" i="29"/>
  <c r="H282" i="29"/>
  <c r="DB281" i="29"/>
  <c r="CY281" i="29"/>
  <c r="AV281" i="29"/>
  <c r="AQ281" i="29"/>
  <c r="CW281" i="29"/>
  <c r="CT281" i="29"/>
  <c r="BV281" i="29"/>
  <c r="BS281" i="29"/>
  <c r="BP281" i="29"/>
  <c r="BM281" i="29"/>
  <c r="BN281" i="29" s="1"/>
  <c r="CO281" i="29"/>
  <c r="CL281" i="29"/>
  <c r="BC281" i="29"/>
  <c r="AY281" i="29"/>
  <c r="AZ281" i="29" s="1"/>
  <c r="AN281" i="29"/>
  <c r="AK281" i="29"/>
  <c r="AH281" i="29"/>
  <c r="AI281" i="29" s="1"/>
  <c r="AF281" i="29"/>
  <c r="Y281" i="29"/>
  <c r="K281" i="29"/>
  <c r="H281" i="29"/>
  <c r="DB280" i="29"/>
  <c r="CY280" i="29"/>
  <c r="AV280" i="29"/>
  <c r="AQ280" i="29"/>
  <c r="CW280" i="29"/>
  <c r="CT280" i="29"/>
  <c r="BV280" i="29"/>
  <c r="BS280" i="29"/>
  <c r="BP280" i="29"/>
  <c r="BM280" i="29"/>
  <c r="BN280" i="29" s="1"/>
  <c r="CO280" i="29"/>
  <c r="CL280" i="29"/>
  <c r="BC280" i="29"/>
  <c r="AZ280" i="29"/>
  <c r="AN280" i="29"/>
  <c r="AK280" i="29"/>
  <c r="AI280" i="29"/>
  <c r="AF280" i="29"/>
  <c r="Y280" i="29"/>
  <c r="K280" i="29"/>
  <c r="H280" i="29"/>
  <c r="DB279" i="29"/>
  <c r="CY279" i="29"/>
  <c r="AV279" i="29"/>
  <c r="AQ279" i="29"/>
  <c r="CW279" i="29"/>
  <c r="CT279" i="29"/>
  <c r="BV279" i="29"/>
  <c r="BS279" i="29"/>
  <c r="BP279" i="29"/>
  <c r="BN279" i="29"/>
  <c r="CO279" i="29"/>
  <c r="CL279" i="29"/>
  <c r="BC279" i="29"/>
  <c r="AZ279" i="29"/>
  <c r="AN279" i="29"/>
  <c r="AK279" i="29"/>
  <c r="AF279" i="29"/>
  <c r="AC279" i="29"/>
  <c r="Y279" i="29"/>
  <c r="V279" i="29"/>
  <c r="DB278" i="29"/>
  <c r="CY278" i="29"/>
  <c r="AV278" i="29"/>
  <c r="AQ278" i="29"/>
  <c r="CW278" i="29"/>
  <c r="CT278" i="29"/>
  <c r="BV278" i="29"/>
  <c r="BS278" i="29"/>
  <c r="BP278" i="29"/>
  <c r="BN278" i="29"/>
  <c r="CO278" i="29"/>
  <c r="CL278" i="29"/>
  <c r="BC278" i="29"/>
  <c r="AZ278" i="29"/>
  <c r="AN278" i="29"/>
  <c r="AK278" i="29"/>
  <c r="AI278" i="29"/>
  <c r="AF278" i="29"/>
  <c r="AC278" i="29"/>
  <c r="Y278" i="29"/>
  <c r="V278" i="29"/>
  <c r="K278" i="29"/>
  <c r="H278" i="29"/>
  <c r="DA277" i="29"/>
  <c r="CY277" i="29"/>
  <c r="AV277" i="29"/>
  <c r="BI277" i="29" s="1"/>
  <c r="AQ277" i="29"/>
  <c r="CW277" i="29"/>
  <c r="CT277" i="29"/>
  <c r="BV277" i="29"/>
  <c r="BS277" i="29"/>
  <c r="BP277" i="29"/>
  <c r="BN277" i="29"/>
  <c r="CO277" i="29"/>
  <c r="CL277" i="29"/>
  <c r="BC277" i="29"/>
  <c r="AZ277" i="29"/>
  <c r="AN277" i="29"/>
  <c r="AK277" i="29"/>
  <c r="AI277" i="29"/>
  <c r="AF277" i="29"/>
  <c r="AC277" i="29"/>
  <c r="Y277" i="29"/>
  <c r="V277" i="29"/>
  <c r="K277" i="29"/>
  <c r="H277" i="29"/>
  <c r="DB276" i="29"/>
  <c r="CY276" i="29"/>
  <c r="AV276" i="29"/>
  <c r="BI276" i="29" s="1"/>
  <c r="AQ276" i="29"/>
  <c r="CW276" i="29"/>
  <c r="CT276" i="29"/>
  <c r="BV276" i="29"/>
  <c r="BS276" i="29"/>
  <c r="BP276" i="29"/>
  <c r="BN276" i="29"/>
  <c r="CO276" i="29"/>
  <c r="CL276" i="29"/>
  <c r="BC276" i="29"/>
  <c r="AZ276" i="29"/>
  <c r="AN276" i="29"/>
  <c r="AK276" i="29"/>
  <c r="AF276" i="29"/>
  <c r="AC276" i="29"/>
  <c r="Y276" i="29"/>
  <c r="V276" i="29"/>
  <c r="DB275" i="29"/>
  <c r="CY275" i="29"/>
  <c r="AV275" i="29"/>
  <c r="BI275" i="29" s="1"/>
  <c r="AQ275" i="29"/>
  <c r="CW275" i="29"/>
  <c r="CT275" i="29"/>
  <c r="BV275" i="29"/>
  <c r="BS275" i="29"/>
  <c r="BP275" i="29"/>
  <c r="BM275" i="29"/>
  <c r="BN275" i="29" s="1"/>
  <c r="CO275" i="29"/>
  <c r="CL275" i="29"/>
  <c r="BC275" i="29"/>
  <c r="AY275" i="29"/>
  <c r="AN275" i="29"/>
  <c r="AJ275" i="29"/>
  <c r="AH275" i="29"/>
  <c r="AI275" i="29" s="1"/>
  <c r="AF275" i="29"/>
  <c r="Y275" i="29"/>
  <c r="K275" i="29"/>
  <c r="H275" i="29"/>
  <c r="DB274" i="29"/>
  <c r="CY274" i="29"/>
  <c r="AV274" i="29"/>
  <c r="BI274" i="29" s="1"/>
  <c r="AQ274" i="29"/>
  <c r="CW274" i="29"/>
  <c r="CT274" i="29"/>
  <c r="BV274" i="29"/>
  <c r="BS274" i="29"/>
  <c r="BP274" i="29"/>
  <c r="BN274" i="29"/>
  <c r="CO274" i="29"/>
  <c r="CL274" i="29"/>
  <c r="BC274" i="29"/>
  <c r="AZ274" i="29"/>
  <c r="AN274" i="29"/>
  <c r="AK274" i="29"/>
  <c r="AI274" i="29"/>
  <c r="AF274" i="29"/>
  <c r="AC274" i="29"/>
  <c r="Y274" i="29"/>
  <c r="V274" i="29"/>
  <c r="DB273" i="29"/>
  <c r="CY273" i="29"/>
  <c r="AV273" i="29"/>
  <c r="BI273" i="29" s="1"/>
  <c r="AQ273" i="29"/>
  <c r="CW273" i="29"/>
  <c r="CT273" i="29"/>
  <c r="BV273" i="29"/>
  <c r="BS273" i="29"/>
  <c r="BP273" i="29"/>
  <c r="CO273" i="29"/>
  <c r="CL273" i="29"/>
  <c r="BC273" i="29"/>
  <c r="AZ273" i="29"/>
  <c r="AN273" i="29"/>
  <c r="AK273" i="29"/>
  <c r="AI273" i="29"/>
  <c r="AF273" i="29"/>
  <c r="AC273" i="29"/>
  <c r="Y273" i="29"/>
  <c r="V273" i="29"/>
  <c r="K273" i="29"/>
  <c r="H273" i="29"/>
  <c r="DB272" i="29"/>
  <c r="CY272" i="29"/>
  <c r="AV272" i="29"/>
  <c r="BI272" i="29" s="1"/>
  <c r="AQ272" i="29"/>
  <c r="CW272" i="29"/>
  <c r="CT272" i="29"/>
  <c r="BV272" i="29"/>
  <c r="BS272" i="29"/>
  <c r="BP272" i="29"/>
  <c r="BN272" i="29"/>
  <c r="CO272" i="29"/>
  <c r="CL272" i="29"/>
  <c r="BC272" i="29"/>
  <c r="AZ272" i="29"/>
  <c r="AN272" i="29"/>
  <c r="AK272" i="29"/>
  <c r="AI272" i="29"/>
  <c r="AF272" i="29"/>
  <c r="Y272" i="29"/>
  <c r="K272" i="29"/>
  <c r="H272" i="29"/>
  <c r="DB271" i="29"/>
  <c r="CY271" i="29"/>
  <c r="AV271" i="29"/>
  <c r="BI271" i="29" s="1"/>
  <c r="AQ271" i="29"/>
  <c r="CW271" i="29"/>
  <c r="CT271" i="29"/>
  <c r="BV271" i="29"/>
  <c r="BS271" i="29"/>
  <c r="BP271" i="29"/>
  <c r="BN271" i="29"/>
  <c r="CO271" i="29"/>
  <c r="CL271" i="29"/>
  <c r="BC271" i="29"/>
  <c r="AZ271" i="29"/>
  <c r="AN271" i="29"/>
  <c r="AK271" i="29"/>
  <c r="AF271" i="29"/>
  <c r="AC271" i="29"/>
  <c r="Y271" i="29"/>
  <c r="V271" i="29"/>
  <c r="DB270" i="29"/>
  <c r="CY270" i="29"/>
  <c r="AV270" i="29"/>
  <c r="BI270" i="29" s="1"/>
  <c r="AQ270" i="29"/>
  <c r="CW270" i="29"/>
  <c r="CT270" i="29"/>
  <c r="BV270" i="29"/>
  <c r="BS270" i="29"/>
  <c r="BP270" i="29"/>
  <c r="BN270" i="29"/>
  <c r="CO270" i="29"/>
  <c r="CL270" i="29"/>
  <c r="BC270" i="29"/>
  <c r="AZ270" i="29"/>
  <c r="AN270" i="29"/>
  <c r="AK270" i="29"/>
  <c r="AF270" i="29"/>
  <c r="AC270" i="29"/>
  <c r="Y270" i="29"/>
  <c r="V270" i="29"/>
  <c r="DB269" i="29"/>
  <c r="CY269" i="29"/>
  <c r="AV269" i="29"/>
  <c r="BI269" i="29" s="1"/>
  <c r="AQ269" i="29"/>
  <c r="CW269" i="29"/>
  <c r="CT269" i="29"/>
  <c r="BV269" i="29"/>
  <c r="BS269" i="29"/>
  <c r="BP269" i="29"/>
  <c r="BN269" i="29"/>
  <c r="CO269" i="29"/>
  <c r="CL269" i="29"/>
  <c r="BC269" i="29"/>
  <c r="AZ269" i="29"/>
  <c r="AN269" i="29"/>
  <c r="AK269" i="29"/>
  <c r="AF269" i="29"/>
  <c r="AC269" i="29"/>
  <c r="Y269" i="29"/>
  <c r="V269" i="29"/>
  <c r="DB268" i="29"/>
  <c r="CY268" i="29"/>
  <c r="AV268" i="29"/>
  <c r="BI268" i="29" s="1"/>
  <c r="AQ268" i="29"/>
  <c r="CW268" i="29"/>
  <c r="CT268" i="29"/>
  <c r="BV268" i="29"/>
  <c r="BS268" i="29"/>
  <c r="BP268" i="29"/>
  <c r="BN268" i="29"/>
  <c r="CO268" i="29"/>
  <c r="CL268" i="29"/>
  <c r="BC268" i="29"/>
  <c r="AZ268" i="29"/>
  <c r="AN268" i="29"/>
  <c r="AK268" i="29"/>
  <c r="AI268" i="29"/>
  <c r="AF268" i="29"/>
  <c r="AC268" i="29"/>
  <c r="Y268" i="29"/>
  <c r="V268" i="29"/>
  <c r="K268" i="29"/>
  <c r="H268" i="29"/>
  <c r="DB267" i="29"/>
  <c r="CY267" i="29"/>
  <c r="AV267" i="29"/>
  <c r="BI267" i="29" s="1"/>
  <c r="AQ267" i="29"/>
  <c r="CW267" i="29"/>
  <c r="CT267" i="29"/>
  <c r="BV267" i="29"/>
  <c r="BS267" i="29"/>
  <c r="BP267" i="29"/>
  <c r="BM267" i="29"/>
  <c r="CO267" i="29"/>
  <c r="CL267" i="29"/>
  <c r="BC267" i="29"/>
  <c r="AZ267" i="29"/>
  <c r="AN267" i="29"/>
  <c r="AK267" i="29"/>
  <c r="AI267" i="29"/>
  <c r="X225" i="29"/>
  <c r="K267" i="29"/>
  <c r="H267" i="29"/>
  <c r="DB266" i="29"/>
  <c r="CY266" i="29"/>
  <c r="AV266" i="29"/>
  <c r="BI266" i="29" s="1"/>
  <c r="AQ266" i="29"/>
  <c r="CW266" i="29"/>
  <c r="CT266" i="29"/>
  <c r="BV266" i="29"/>
  <c r="BS266" i="29"/>
  <c r="BP266" i="29"/>
  <c r="BN266" i="29"/>
  <c r="CO266" i="29"/>
  <c r="CL266" i="29"/>
  <c r="BC266" i="29"/>
  <c r="AZ266" i="29"/>
  <c r="AN266" i="29"/>
  <c r="AK266" i="29"/>
  <c r="AF266" i="29"/>
  <c r="AC266" i="29"/>
  <c r="Y266" i="29"/>
  <c r="V266" i="29"/>
  <c r="DB265" i="29"/>
  <c r="CY265" i="29"/>
  <c r="AV265" i="29"/>
  <c r="BI265" i="29" s="1"/>
  <c r="AQ265" i="29"/>
  <c r="CW265" i="29"/>
  <c r="CT265" i="29"/>
  <c r="BV265" i="29"/>
  <c r="BS265" i="29"/>
  <c r="BP265" i="29"/>
  <c r="BN265" i="29"/>
  <c r="CO265" i="29"/>
  <c r="CL265" i="29"/>
  <c r="BC265" i="29"/>
  <c r="AZ265" i="29"/>
  <c r="AN265" i="29"/>
  <c r="AK265" i="29"/>
  <c r="AI265" i="29"/>
  <c r="AF265" i="29"/>
  <c r="AC265" i="29"/>
  <c r="Y265" i="29"/>
  <c r="V265" i="29"/>
  <c r="K265" i="29"/>
  <c r="H265" i="29"/>
  <c r="DB264" i="29"/>
  <c r="CY264" i="29"/>
  <c r="AV264" i="29"/>
  <c r="BI264" i="29" s="1"/>
  <c r="AQ264" i="29"/>
  <c r="CW264" i="29"/>
  <c r="CT264" i="29"/>
  <c r="BV264" i="29"/>
  <c r="BS264" i="29"/>
  <c r="BP264" i="29"/>
  <c r="BN264" i="29"/>
  <c r="CO264" i="29"/>
  <c r="CL264" i="29"/>
  <c r="BC264" i="29"/>
  <c r="AZ264" i="29"/>
  <c r="AN264" i="29"/>
  <c r="AK264" i="29"/>
  <c r="AI264" i="29"/>
  <c r="AF264" i="29"/>
  <c r="AC264" i="29"/>
  <c r="Y264" i="29"/>
  <c r="V264" i="29"/>
  <c r="K264" i="29"/>
  <c r="H264" i="29"/>
  <c r="DB263" i="29"/>
  <c r="CY263" i="29"/>
  <c r="AV263" i="29"/>
  <c r="BI263" i="29" s="1"/>
  <c r="AQ263" i="29"/>
  <c r="CW263" i="29"/>
  <c r="CT263" i="29"/>
  <c r="BV263" i="29"/>
  <c r="BS263" i="29"/>
  <c r="BP263" i="29"/>
  <c r="BN263" i="29"/>
  <c r="CO263" i="29"/>
  <c r="CL263" i="29"/>
  <c r="BC263" i="29"/>
  <c r="AZ263" i="29"/>
  <c r="AN263" i="29"/>
  <c r="AK263" i="29"/>
  <c r="AI263" i="29"/>
  <c r="Y263" i="29"/>
  <c r="V263" i="29"/>
  <c r="K263" i="29"/>
  <c r="H263" i="29"/>
  <c r="DB262" i="29"/>
  <c r="CY262" i="29"/>
  <c r="AV262" i="29"/>
  <c r="BI262" i="29" s="1"/>
  <c r="AQ262" i="29"/>
  <c r="CW262" i="29"/>
  <c r="CT262" i="29"/>
  <c r="BV262" i="29"/>
  <c r="BS262" i="29"/>
  <c r="BP262" i="29"/>
  <c r="BN262" i="29"/>
  <c r="CO262" i="29"/>
  <c r="CL262" i="29"/>
  <c r="BC262" i="29"/>
  <c r="AZ262" i="29"/>
  <c r="AN262" i="29"/>
  <c r="AK262" i="29"/>
  <c r="AH262" i="29"/>
  <c r="AF262" i="29"/>
  <c r="AC262" i="29"/>
  <c r="Y262" i="29"/>
  <c r="DB261" i="29"/>
  <c r="CY261" i="29"/>
  <c r="AV261" i="29"/>
  <c r="BI261" i="29" s="1"/>
  <c r="AQ261" i="29"/>
  <c r="CW261" i="29"/>
  <c r="CT261" i="29"/>
  <c r="BV261" i="29"/>
  <c r="BS261" i="29"/>
  <c r="BP261" i="29"/>
  <c r="BN261" i="29"/>
  <c r="CO261" i="29"/>
  <c r="CL261" i="29"/>
  <c r="BC261" i="29"/>
  <c r="AZ261" i="29"/>
  <c r="AN261" i="29"/>
  <c r="AK261" i="29"/>
  <c r="AI261" i="29"/>
  <c r="AF261" i="29"/>
  <c r="AC261" i="29"/>
  <c r="Y261" i="29"/>
  <c r="V261" i="29"/>
  <c r="K261" i="29"/>
  <c r="H261" i="29"/>
  <c r="DB260" i="29"/>
  <c r="CY260" i="29"/>
  <c r="AV260" i="29"/>
  <c r="BI260" i="29" s="1"/>
  <c r="AQ260" i="29"/>
  <c r="CW260" i="29"/>
  <c r="CT260" i="29"/>
  <c r="BV260" i="29"/>
  <c r="BS260" i="29"/>
  <c r="BP260" i="29"/>
  <c r="BN260" i="29"/>
  <c r="CO260" i="29"/>
  <c r="CL260" i="29"/>
  <c r="BC260" i="29"/>
  <c r="AZ260" i="29"/>
  <c r="AN260" i="29"/>
  <c r="AK260" i="29"/>
  <c r="AI260" i="29"/>
  <c r="AF260" i="29"/>
  <c r="AC260" i="29"/>
  <c r="Y260" i="29"/>
  <c r="V260" i="29"/>
  <c r="K260" i="29"/>
  <c r="H260" i="29"/>
  <c r="DB259" i="29"/>
  <c r="CY259" i="29"/>
  <c r="AV259" i="29"/>
  <c r="BI259" i="29" s="1"/>
  <c r="AQ259" i="29"/>
  <c r="AS259" i="29" s="1"/>
  <c r="CW259" i="29"/>
  <c r="CT259" i="29"/>
  <c r="DL259" i="29" s="1"/>
  <c r="BP259" i="29"/>
  <c r="BX259" i="29" s="1"/>
  <c r="CO259" i="29"/>
  <c r="DH259" i="29" s="1"/>
  <c r="DB258" i="29"/>
  <c r="CY258" i="29"/>
  <c r="AV258" i="29"/>
  <c r="BI258" i="29" s="1"/>
  <c r="AQ258" i="29"/>
  <c r="CW258" i="29"/>
  <c r="CT258" i="29"/>
  <c r="BV258" i="29"/>
  <c r="BS258" i="29"/>
  <c r="BP258" i="29"/>
  <c r="CO258" i="29"/>
  <c r="CL258" i="29"/>
  <c r="BC258" i="29"/>
  <c r="AZ258" i="29"/>
  <c r="AN258" i="29"/>
  <c r="AK258" i="29"/>
  <c r="AF258" i="29"/>
  <c r="AC258" i="29"/>
  <c r="DB257" i="29"/>
  <c r="CY257" i="29"/>
  <c r="AV257" i="29"/>
  <c r="BI257" i="29" s="1"/>
  <c r="AQ257" i="29"/>
  <c r="CW257" i="29"/>
  <c r="CT257" i="29"/>
  <c r="BV257" i="29"/>
  <c r="BS257" i="29"/>
  <c r="BP257" i="29"/>
  <c r="CO257" i="29"/>
  <c r="CL257" i="29"/>
  <c r="BC257" i="29"/>
  <c r="AZ257" i="29"/>
  <c r="AN257" i="29"/>
  <c r="AK257" i="29"/>
  <c r="AF257" i="29"/>
  <c r="AC257" i="29"/>
  <c r="DB256" i="29"/>
  <c r="CY256" i="29"/>
  <c r="AV256" i="29"/>
  <c r="BI256" i="29" s="1"/>
  <c r="AQ256" i="29"/>
  <c r="CW256" i="29"/>
  <c r="CT256" i="29"/>
  <c r="BV256" i="29"/>
  <c r="BS256" i="29"/>
  <c r="BP256" i="29"/>
  <c r="BN256" i="29"/>
  <c r="CO256" i="29"/>
  <c r="CL256" i="29"/>
  <c r="BC256" i="29"/>
  <c r="AZ256" i="29"/>
  <c r="AN256" i="29"/>
  <c r="AK256" i="29"/>
  <c r="AI256" i="29"/>
  <c r="AF256" i="29"/>
  <c r="AC256" i="29"/>
  <c r="Y256" i="29"/>
  <c r="V256" i="29"/>
  <c r="K256" i="29"/>
  <c r="H256" i="29"/>
  <c r="DB255" i="29"/>
  <c r="CY255" i="29"/>
  <c r="AV255" i="29"/>
  <c r="BI255" i="29" s="1"/>
  <c r="AQ255" i="29"/>
  <c r="CW255" i="29"/>
  <c r="CT255" i="29"/>
  <c r="BV255" i="29"/>
  <c r="BS255" i="29"/>
  <c r="BP255" i="29"/>
  <c r="BN255" i="29"/>
  <c r="CO255" i="29"/>
  <c r="CL255" i="29"/>
  <c r="BC255" i="29"/>
  <c r="AZ255" i="29"/>
  <c r="AN255" i="29"/>
  <c r="AK255" i="29"/>
  <c r="AI255" i="29"/>
  <c r="AF255" i="29"/>
  <c r="AC255" i="29"/>
  <c r="Y255" i="29"/>
  <c r="V255" i="29"/>
  <c r="K255" i="29"/>
  <c r="H255" i="29"/>
  <c r="DB254" i="29"/>
  <c r="CY254" i="29"/>
  <c r="AV254" i="29"/>
  <c r="BI254" i="29" s="1"/>
  <c r="AQ254" i="29"/>
  <c r="CW254" i="29"/>
  <c r="CT254" i="29"/>
  <c r="BV254" i="29"/>
  <c r="BS254" i="29"/>
  <c r="BP254" i="29"/>
  <c r="BN254" i="29"/>
  <c r="CO254" i="29"/>
  <c r="CL254" i="29"/>
  <c r="BC254" i="29"/>
  <c r="AZ254" i="29"/>
  <c r="AN254" i="29"/>
  <c r="AK254" i="29"/>
  <c r="AI254" i="29"/>
  <c r="AF254" i="29"/>
  <c r="AC254" i="29"/>
  <c r="Y254" i="29"/>
  <c r="V254" i="29"/>
  <c r="K254" i="29"/>
  <c r="H254" i="29"/>
  <c r="DB253" i="29"/>
  <c r="CY253" i="29"/>
  <c r="AV253" i="29"/>
  <c r="BI253" i="29" s="1"/>
  <c r="AQ253" i="29"/>
  <c r="CW253" i="29"/>
  <c r="CT253" i="29"/>
  <c r="BV253" i="29"/>
  <c r="BS253" i="29"/>
  <c r="BP253" i="29"/>
  <c r="BN253" i="29"/>
  <c r="CO253" i="29"/>
  <c r="CL253" i="29"/>
  <c r="BC253" i="29"/>
  <c r="AZ253" i="29"/>
  <c r="AN253" i="29"/>
  <c r="AK253" i="29"/>
  <c r="AI253" i="29"/>
  <c r="AF253" i="29"/>
  <c r="AC253" i="29"/>
  <c r="Y253" i="29"/>
  <c r="V253" i="29"/>
  <c r="K253" i="29"/>
  <c r="H253" i="29"/>
  <c r="DB252" i="29"/>
  <c r="CY252" i="29"/>
  <c r="AV252" i="29"/>
  <c r="BI252" i="29" s="1"/>
  <c r="AQ252" i="29"/>
  <c r="CW252" i="29"/>
  <c r="CT252" i="29"/>
  <c r="BV252" i="29"/>
  <c r="BS252" i="29"/>
  <c r="BP252" i="29"/>
  <c r="BN252" i="29"/>
  <c r="CO252" i="29"/>
  <c r="CL252" i="29"/>
  <c r="BC252" i="29"/>
  <c r="AZ252" i="29"/>
  <c r="AN252" i="29"/>
  <c r="AK252" i="29"/>
  <c r="AI252" i="29"/>
  <c r="AF252" i="29"/>
  <c r="AC252" i="29"/>
  <c r="Y252" i="29"/>
  <c r="V252" i="29"/>
  <c r="K252" i="29"/>
  <c r="H252" i="29"/>
  <c r="DB251" i="29"/>
  <c r="CY251" i="29"/>
  <c r="AV251" i="29"/>
  <c r="BI251" i="29" s="1"/>
  <c r="AQ251" i="29"/>
  <c r="CW251" i="29"/>
  <c r="CT251" i="29"/>
  <c r="BV251" i="29"/>
  <c r="BS251" i="29"/>
  <c r="BP251" i="29"/>
  <c r="BN251" i="29"/>
  <c r="CO251" i="29"/>
  <c r="CL251" i="29"/>
  <c r="BC251" i="29"/>
  <c r="AZ251" i="29"/>
  <c r="AN251" i="29"/>
  <c r="AK251" i="29"/>
  <c r="AI251" i="29"/>
  <c r="AF251" i="29"/>
  <c r="AC251" i="29"/>
  <c r="Y251" i="29"/>
  <c r="V251" i="29"/>
  <c r="K251" i="29"/>
  <c r="H251" i="29"/>
  <c r="DT250" i="29"/>
  <c r="DB250" i="29"/>
  <c r="CY250" i="29"/>
  <c r="AV250" i="29"/>
  <c r="BI250" i="29" s="1"/>
  <c r="AQ250" i="29"/>
  <c r="CW250" i="29"/>
  <c r="CT250" i="29"/>
  <c r="BV250" i="29"/>
  <c r="BS250" i="29"/>
  <c r="BP250" i="29"/>
  <c r="BN250" i="29"/>
  <c r="CO250" i="29"/>
  <c r="CL250" i="29"/>
  <c r="BC250" i="29"/>
  <c r="AZ250" i="29"/>
  <c r="AN250" i="29"/>
  <c r="AK250" i="29"/>
  <c r="AI250" i="29"/>
  <c r="AF250" i="29"/>
  <c r="AC250" i="29"/>
  <c r="Y250" i="29"/>
  <c r="V250" i="29"/>
  <c r="K250" i="29"/>
  <c r="H250" i="29"/>
  <c r="CY249" i="29"/>
  <c r="DG249" i="29" s="1"/>
  <c r="CO249" i="29"/>
  <c r="DH249" i="29" s="1"/>
  <c r="CY248" i="29"/>
  <c r="DG248" i="29" s="1"/>
  <c r="CO248" i="29"/>
  <c r="CP248" i="29" s="1"/>
  <c r="CL248" i="29"/>
  <c r="CY247" i="29"/>
  <c r="DG247" i="29" s="1"/>
  <c r="CO247" i="29"/>
  <c r="DH247" i="29" s="1"/>
  <c r="DB246" i="29"/>
  <c r="CY246" i="29"/>
  <c r="AV246" i="29"/>
  <c r="BV246" i="29"/>
  <c r="BS246" i="29"/>
  <c r="BP246" i="29"/>
  <c r="BN246" i="29"/>
  <c r="CO246" i="29"/>
  <c r="CL246" i="29"/>
  <c r="BC246" i="29"/>
  <c r="AZ246" i="29"/>
  <c r="AN246" i="29"/>
  <c r="AK246" i="29"/>
  <c r="AI246" i="29"/>
  <c r="AF246" i="29"/>
  <c r="AC246" i="29"/>
  <c r="DL246" i="29" s="1"/>
  <c r="DM246" i="29" s="1"/>
  <c r="Y246" i="29"/>
  <c r="V246" i="29"/>
  <c r="DB245" i="29"/>
  <c r="CY245" i="29"/>
  <c r="AV245" i="29"/>
  <c r="BI245" i="29" s="1"/>
  <c r="AQ245" i="29"/>
  <c r="CW245" i="29"/>
  <c r="CT245" i="29"/>
  <c r="BV245" i="29"/>
  <c r="BS245" i="29"/>
  <c r="BP245" i="29"/>
  <c r="BN245" i="29"/>
  <c r="CO245" i="29"/>
  <c r="CL245" i="29"/>
  <c r="BC245" i="29"/>
  <c r="AZ245" i="29"/>
  <c r="AN245" i="29"/>
  <c r="AK245" i="29"/>
  <c r="AI245" i="29"/>
  <c r="AF245" i="29"/>
  <c r="AC245" i="29"/>
  <c r="Y245" i="29"/>
  <c r="V245" i="29"/>
  <c r="DB244" i="29"/>
  <c r="CY244" i="29"/>
  <c r="AV244" i="29"/>
  <c r="BI244" i="29" s="1"/>
  <c r="AQ244" i="29"/>
  <c r="CW244" i="29"/>
  <c r="CT244" i="29"/>
  <c r="BV244" i="29"/>
  <c r="BS244" i="29"/>
  <c r="BP244" i="29"/>
  <c r="BN244" i="29"/>
  <c r="CO244" i="29"/>
  <c r="CL244" i="29"/>
  <c r="BC244" i="29"/>
  <c r="AZ244" i="29"/>
  <c r="AN244" i="29"/>
  <c r="AK244" i="29"/>
  <c r="AI244" i="29"/>
  <c r="AF244" i="29"/>
  <c r="AC244" i="29"/>
  <c r="Y244" i="29"/>
  <c r="V244" i="29"/>
  <c r="K244" i="29"/>
  <c r="H244" i="29"/>
  <c r="DB243" i="29"/>
  <c r="CY243" i="29"/>
  <c r="AV243" i="29"/>
  <c r="BI243" i="29" s="1"/>
  <c r="AQ243" i="29"/>
  <c r="CW243" i="29"/>
  <c r="CT243" i="29"/>
  <c r="BV243" i="29"/>
  <c r="BS243" i="29"/>
  <c r="BP243" i="29"/>
  <c r="CO243" i="29"/>
  <c r="CL243" i="29"/>
  <c r="BC243" i="29"/>
  <c r="AZ243" i="29"/>
  <c r="AN243" i="29"/>
  <c r="AK243" i="29"/>
  <c r="AI243" i="29"/>
  <c r="AF243" i="29"/>
  <c r="AC243" i="29"/>
  <c r="Y243" i="29"/>
  <c r="V243" i="29"/>
  <c r="DB242" i="29"/>
  <c r="CY242" i="29"/>
  <c r="AV242" i="29"/>
  <c r="BI242" i="29" s="1"/>
  <c r="AQ242" i="29"/>
  <c r="CW242" i="29"/>
  <c r="CT242" i="29"/>
  <c r="BV242" i="29"/>
  <c r="BS242" i="29"/>
  <c r="BP242" i="29"/>
  <c r="CO242" i="29"/>
  <c r="CL242" i="29"/>
  <c r="BC242" i="29"/>
  <c r="AZ242" i="29"/>
  <c r="AN242" i="29"/>
  <c r="AK242" i="29"/>
  <c r="AF242" i="29"/>
  <c r="AC242" i="29"/>
  <c r="DB241" i="29"/>
  <c r="CY241" i="29"/>
  <c r="AV241" i="29"/>
  <c r="BI241" i="29" s="1"/>
  <c r="AQ241" i="29"/>
  <c r="CW241" i="29"/>
  <c r="CT241" i="29"/>
  <c r="BV241" i="29"/>
  <c r="BS241" i="29"/>
  <c r="BP241" i="29"/>
  <c r="CO241" i="29"/>
  <c r="CL241" i="29"/>
  <c r="BC241" i="29"/>
  <c r="AZ241" i="29"/>
  <c r="AN241" i="29"/>
  <c r="AK241" i="29"/>
  <c r="AC241" i="29"/>
  <c r="DB240" i="29"/>
  <c r="CY240" i="29"/>
  <c r="AV240" i="29"/>
  <c r="BI240" i="29" s="1"/>
  <c r="AQ240" i="29"/>
  <c r="CW240" i="29"/>
  <c r="CT240" i="29"/>
  <c r="BV240" i="29"/>
  <c r="BS240" i="29"/>
  <c r="BP240" i="29"/>
  <c r="BN240" i="29"/>
  <c r="CO240" i="29"/>
  <c r="CL240" i="29"/>
  <c r="BC240" i="29"/>
  <c r="AZ240" i="29"/>
  <c r="AN240" i="29"/>
  <c r="AK240" i="29"/>
  <c r="AI240" i="29"/>
  <c r="AF240" i="29"/>
  <c r="AC240" i="29"/>
  <c r="Y240" i="29"/>
  <c r="V240" i="29"/>
  <c r="DB239" i="29"/>
  <c r="CY239" i="29"/>
  <c r="AV239" i="29"/>
  <c r="BI239" i="29" s="1"/>
  <c r="AQ239" i="29"/>
  <c r="CW239" i="29"/>
  <c r="CT239" i="29"/>
  <c r="BV239" i="29"/>
  <c r="BS239" i="29"/>
  <c r="BP239" i="29"/>
  <c r="CO239" i="29"/>
  <c r="CL239" i="29"/>
  <c r="BC239" i="29"/>
  <c r="AN239" i="29"/>
  <c r="AK239" i="29"/>
  <c r="BE239" i="29" s="1"/>
  <c r="AF239" i="29"/>
  <c r="AC239" i="29"/>
  <c r="DB238" i="29"/>
  <c r="CY238" i="29"/>
  <c r="AV238" i="29"/>
  <c r="BI238" i="29" s="1"/>
  <c r="AQ238" i="29"/>
  <c r="CW238" i="29"/>
  <c r="CT238" i="29"/>
  <c r="BV238" i="29"/>
  <c r="BS238" i="29"/>
  <c r="BP238" i="29"/>
  <c r="BN238" i="29"/>
  <c r="CO238" i="29"/>
  <c r="CL238" i="29"/>
  <c r="BC238" i="29"/>
  <c r="AZ238" i="29"/>
  <c r="AN238" i="29"/>
  <c r="AK238" i="29"/>
  <c r="AI238" i="29"/>
  <c r="AF238" i="29"/>
  <c r="AC238" i="29"/>
  <c r="Y238" i="29"/>
  <c r="V238" i="29"/>
  <c r="DB237" i="29"/>
  <c r="CY237" i="29"/>
  <c r="AV237" i="29"/>
  <c r="BI237" i="29" s="1"/>
  <c r="AQ237" i="29"/>
  <c r="CW237" i="29"/>
  <c r="CT237" i="29"/>
  <c r="BV237" i="29"/>
  <c r="BS237" i="29"/>
  <c r="BP237" i="29"/>
  <c r="BN237" i="29"/>
  <c r="CO237" i="29"/>
  <c r="CL237" i="29"/>
  <c r="BC237" i="29"/>
  <c r="AZ237" i="29"/>
  <c r="AN237" i="29"/>
  <c r="AK237" i="29"/>
  <c r="AI237" i="29"/>
  <c r="AF237" i="29"/>
  <c r="AC237" i="29"/>
  <c r="Y237" i="29"/>
  <c r="V237" i="29"/>
  <c r="DB236" i="29"/>
  <c r="CY236" i="29"/>
  <c r="AV236" i="29"/>
  <c r="BI236" i="29" s="1"/>
  <c r="AQ236" i="29"/>
  <c r="CW236" i="29"/>
  <c r="CT236" i="29"/>
  <c r="BV236" i="29"/>
  <c r="BS236" i="29"/>
  <c r="BP236" i="29"/>
  <c r="BN236" i="29"/>
  <c r="CO236" i="29"/>
  <c r="CL236" i="29"/>
  <c r="BC236" i="29"/>
  <c r="AZ236" i="29"/>
  <c r="AN236" i="29"/>
  <c r="AK236" i="29"/>
  <c r="AI236" i="29"/>
  <c r="AF236" i="29"/>
  <c r="AC236" i="29"/>
  <c r="Y236" i="29"/>
  <c r="V236" i="29"/>
  <c r="K236" i="29"/>
  <c r="H236" i="29"/>
  <c r="DB235" i="29"/>
  <c r="CY235" i="29"/>
  <c r="AV235" i="29"/>
  <c r="BI235" i="29" s="1"/>
  <c r="AQ235" i="29"/>
  <c r="CW235" i="29"/>
  <c r="CT235" i="29"/>
  <c r="BV235" i="29"/>
  <c r="BS235" i="29"/>
  <c r="BP235" i="29"/>
  <c r="BN235" i="29"/>
  <c r="CO235" i="29"/>
  <c r="CL235" i="29"/>
  <c r="BC235" i="29"/>
  <c r="AZ235" i="29"/>
  <c r="AN235" i="29"/>
  <c r="AK235" i="29"/>
  <c r="AI235" i="29"/>
  <c r="AF235" i="29"/>
  <c r="AC235" i="29"/>
  <c r="Y235" i="29"/>
  <c r="V235" i="29"/>
  <c r="DB234" i="29"/>
  <c r="CY234" i="29"/>
  <c r="AV234" i="29"/>
  <c r="BI234" i="29" s="1"/>
  <c r="AQ234" i="29"/>
  <c r="CW234" i="29"/>
  <c r="CT234" i="29"/>
  <c r="BV234" i="29"/>
  <c r="BS234" i="29"/>
  <c r="BP234" i="29"/>
  <c r="BN234" i="29"/>
  <c r="CO234" i="29"/>
  <c r="CL234" i="29"/>
  <c r="BC234" i="29"/>
  <c r="AZ234" i="29"/>
  <c r="AN234" i="29"/>
  <c r="AK234" i="29"/>
  <c r="AI234" i="29"/>
  <c r="AF234" i="29"/>
  <c r="AC234" i="29"/>
  <c r="Y234" i="29"/>
  <c r="V234" i="29"/>
  <c r="DB233" i="29"/>
  <c r="CY233" i="29"/>
  <c r="AV233" i="29"/>
  <c r="BI233" i="29" s="1"/>
  <c r="AQ233" i="29"/>
  <c r="CW233" i="29"/>
  <c r="CT233" i="29"/>
  <c r="BV233" i="29"/>
  <c r="BS233" i="29"/>
  <c r="BP233" i="29"/>
  <c r="BN233" i="29"/>
  <c r="CO233" i="29"/>
  <c r="CL233" i="29"/>
  <c r="BC233" i="29"/>
  <c r="AZ233" i="29"/>
  <c r="AN233" i="29"/>
  <c r="AK233" i="29"/>
  <c r="AI233" i="29"/>
  <c r="AF233" i="29"/>
  <c r="AC233" i="29"/>
  <c r="Y233" i="29"/>
  <c r="V233" i="29"/>
  <c r="DB232" i="29"/>
  <c r="CY232" i="29"/>
  <c r="AV232" i="29"/>
  <c r="BI232" i="29" s="1"/>
  <c r="AQ232" i="29"/>
  <c r="CW232" i="29"/>
  <c r="CT232" i="29"/>
  <c r="BV232" i="29"/>
  <c r="BS232" i="29"/>
  <c r="BP232" i="29"/>
  <c r="BN232" i="29"/>
  <c r="CO232" i="29"/>
  <c r="CL232" i="29"/>
  <c r="BC232" i="29"/>
  <c r="AZ232" i="29"/>
  <c r="AN232" i="29"/>
  <c r="AK232" i="29"/>
  <c r="AI232" i="29"/>
  <c r="AF232" i="29"/>
  <c r="AC232" i="29"/>
  <c r="Y232" i="29"/>
  <c r="V232" i="29"/>
  <c r="DB231" i="29"/>
  <c r="CY231" i="29"/>
  <c r="AV231" i="29"/>
  <c r="BI231" i="29" s="1"/>
  <c r="AQ231" i="29"/>
  <c r="CW231" i="29"/>
  <c r="CT231" i="29"/>
  <c r="BV231" i="29"/>
  <c r="BS231" i="29"/>
  <c r="BP231" i="29"/>
  <c r="BN231" i="29"/>
  <c r="CO231" i="29"/>
  <c r="CL231" i="29"/>
  <c r="BC231" i="29"/>
  <c r="AZ231" i="29"/>
  <c r="AN231" i="29"/>
  <c r="AK231" i="29"/>
  <c r="AI231" i="29"/>
  <c r="AF231" i="29"/>
  <c r="AC231" i="29"/>
  <c r="Y231" i="29"/>
  <c r="V231" i="29"/>
  <c r="DB230" i="29"/>
  <c r="CY230" i="29"/>
  <c r="AV230" i="29"/>
  <c r="BI230" i="29" s="1"/>
  <c r="AQ230" i="29"/>
  <c r="CW230" i="29"/>
  <c r="CT230" i="29"/>
  <c r="BV230" i="29"/>
  <c r="BS230" i="29"/>
  <c r="BP230" i="29"/>
  <c r="BN230" i="29"/>
  <c r="CO230" i="29"/>
  <c r="CL230" i="29"/>
  <c r="BC230" i="29"/>
  <c r="AZ230" i="29"/>
  <c r="AN230" i="29"/>
  <c r="AK230" i="29"/>
  <c r="AI230" i="29"/>
  <c r="AF230" i="29"/>
  <c r="AC230" i="29"/>
  <c r="Y230" i="29"/>
  <c r="V230" i="29"/>
  <c r="DB228" i="29"/>
  <c r="CY228" i="29"/>
  <c r="AV228" i="29"/>
  <c r="BI228" i="29" s="1"/>
  <c r="AQ228" i="29"/>
  <c r="CW228" i="29"/>
  <c r="CT228" i="29"/>
  <c r="BV228" i="29"/>
  <c r="BS228" i="29"/>
  <c r="BP228" i="29"/>
  <c r="BN228" i="29"/>
  <c r="CO228" i="29"/>
  <c r="CL228" i="29"/>
  <c r="BC228" i="29"/>
  <c r="AZ228" i="29"/>
  <c r="AN228" i="29"/>
  <c r="AK228" i="29"/>
  <c r="AI228" i="29"/>
  <c r="AF228" i="29"/>
  <c r="AC228" i="29"/>
  <c r="Y228" i="29"/>
  <c r="V228" i="29"/>
  <c r="DB227" i="29"/>
  <c r="CY227" i="29"/>
  <c r="AV227" i="29"/>
  <c r="AQ227" i="29"/>
  <c r="CW227" i="29"/>
  <c r="CT227" i="29"/>
  <c r="BV227" i="29"/>
  <c r="BS227" i="29"/>
  <c r="BP227" i="29"/>
  <c r="BN227" i="29"/>
  <c r="CO227" i="29"/>
  <c r="CL227" i="29"/>
  <c r="BC227" i="29"/>
  <c r="AZ227" i="29"/>
  <c r="AN227" i="29"/>
  <c r="AK227" i="29"/>
  <c r="AI227" i="29"/>
  <c r="AF227" i="29"/>
  <c r="AC227" i="29"/>
  <c r="Y227" i="29"/>
  <c r="V227" i="29"/>
  <c r="K227" i="29"/>
  <c r="H227" i="29"/>
  <c r="DB226" i="29"/>
  <c r="DG226" i="29" s="1"/>
  <c r="AQ226" i="29"/>
  <c r="BG226" i="29" s="1"/>
  <c r="BK226" i="29" s="1"/>
  <c r="CW226" i="29"/>
  <c r="CT226" i="29"/>
  <c r="DL226" i="29" s="1"/>
  <c r="Z225" i="29"/>
  <c r="S225" i="29"/>
  <c r="R225" i="29"/>
  <c r="Q225" i="29"/>
  <c r="P225" i="29"/>
  <c r="O225" i="29"/>
  <c r="N225" i="29"/>
  <c r="M225" i="29"/>
  <c r="L225" i="29"/>
  <c r="J225" i="29"/>
  <c r="I225" i="29"/>
  <c r="G225" i="29"/>
  <c r="F225" i="29"/>
  <c r="DB223" i="29"/>
  <c r="CY223" i="29"/>
  <c r="AV223" i="29"/>
  <c r="BI223" i="29" s="1"/>
  <c r="AQ223" i="29"/>
  <c r="CW223" i="29"/>
  <c r="CT223" i="29"/>
  <c r="BV223" i="29"/>
  <c r="BS223" i="29"/>
  <c r="BP223" i="29"/>
  <c r="BN223" i="29"/>
  <c r="CO223" i="29"/>
  <c r="CL223" i="29"/>
  <c r="BC223" i="29"/>
  <c r="AZ223" i="29"/>
  <c r="AN223" i="29"/>
  <c r="AK223" i="29"/>
  <c r="AI223" i="29"/>
  <c r="AF223" i="29"/>
  <c r="AC223" i="29"/>
  <c r="Y223" i="29"/>
  <c r="V223" i="29"/>
  <c r="DB222" i="29"/>
  <c r="CY222" i="29"/>
  <c r="AV222" i="29"/>
  <c r="BI222" i="29" s="1"/>
  <c r="AQ222" i="29"/>
  <c r="CW222" i="29"/>
  <c r="CT222" i="29"/>
  <c r="BV222" i="29"/>
  <c r="BS222" i="29"/>
  <c r="BP222" i="29"/>
  <c r="BN222" i="29"/>
  <c r="CO222" i="29"/>
  <c r="CL222" i="29"/>
  <c r="BC222" i="29"/>
  <c r="AZ222" i="29"/>
  <c r="AN222" i="29"/>
  <c r="AK222" i="29"/>
  <c r="AI222" i="29"/>
  <c r="AF222" i="29"/>
  <c r="AC222" i="29"/>
  <c r="Y222" i="29"/>
  <c r="V222" i="29"/>
  <c r="DB221" i="29"/>
  <c r="CY221" i="29"/>
  <c r="AV221" i="29"/>
  <c r="BI221" i="29" s="1"/>
  <c r="AQ221" i="29"/>
  <c r="CW221" i="29"/>
  <c r="CT221" i="29"/>
  <c r="BV221" i="29"/>
  <c r="BS221" i="29"/>
  <c r="BP221" i="29"/>
  <c r="BN221" i="29"/>
  <c r="CO221" i="29"/>
  <c r="CL221" i="29"/>
  <c r="BC221" i="29"/>
  <c r="AZ221" i="29"/>
  <c r="AN221" i="29"/>
  <c r="AK221" i="29"/>
  <c r="AI221" i="29"/>
  <c r="AF221" i="29"/>
  <c r="AC221" i="29"/>
  <c r="Y221" i="29"/>
  <c r="V221" i="29"/>
  <c r="K221" i="29"/>
  <c r="H221" i="29"/>
  <c r="DB220" i="29"/>
  <c r="CY220" i="29"/>
  <c r="AV220" i="29"/>
  <c r="BI220" i="29" s="1"/>
  <c r="AQ220" i="29"/>
  <c r="CW220" i="29"/>
  <c r="CT220" i="29"/>
  <c r="BV220" i="29"/>
  <c r="BS220" i="29"/>
  <c r="BP220" i="29"/>
  <c r="BN220" i="29"/>
  <c r="CO220" i="29"/>
  <c r="CL220" i="29"/>
  <c r="BC220" i="29"/>
  <c r="AZ220" i="29"/>
  <c r="AN220" i="29"/>
  <c r="AK220" i="29"/>
  <c r="AI220" i="29"/>
  <c r="AF220" i="29"/>
  <c r="AC220" i="29"/>
  <c r="Y220" i="29"/>
  <c r="V220" i="29"/>
  <c r="K220" i="29"/>
  <c r="H220" i="29"/>
  <c r="DB219" i="29"/>
  <c r="CY219" i="29"/>
  <c r="AV219" i="29"/>
  <c r="BI219" i="29" s="1"/>
  <c r="AQ219" i="29"/>
  <c r="CW219" i="29"/>
  <c r="CT219" i="29"/>
  <c r="BV219" i="29"/>
  <c r="BS219" i="29"/>
  <c r="BP219" i="29"/>
  <c r="CO219" i="29"/>
  <c r="DH219" i="29" s="1"/>
  <c r="AZ219" i="29"/>
  <c r="AN219" i="29"/>
  <c r="AF219" i="29"/>
  <c r="AC219" i="29"/>
  <c r="DB218" i="29"/>
  <c r="CY218" i="29"/>
  <c r="AV218" i="29"/>
  <c r="BI218" i="29" s="1"/>
  <c r="AQ218" i="29"/>
  <c r="CW218" i="29"/>
  <c r="CT218" i="29"/>
  <c r="BV218" i="29"/>
  <c r="BS218" i="29"/>
  <c r="BP218" i="29"/>
  <c r="BN218" i="29"/>
  <c r="CO218" i="29"/>
  <c r="CL218" i="29"/>
  <c r="BC218" i="29"/>
  <c r="AZ218" i="29"/>
  <c r="AN218" i="29"/>
  <c r="AK218" i="29"/>
  <c r="AI218" i="29"/>
  <c r="AF218" i="29"/>
  <c r="AC218" i="29"/>
  <c r="Y218" i="29"/>
  <c r="V218" i="29"/>
  <c r="K218" i="29"/>
  <c r="H218" i="29"/>
  <c r="DB217" i="29"/>
  <c r="CY217" i="29"/>
  <c r="AV217" i="29"/>
  <c r="BI217" i="29" s="1"/>
  <c r="AQ217" i="29"/>
  <c r="CW217" i="29"/>
  <c r="CT217" i="29"/>
  <c r="BV217" i="29"/>
  <c r="BS217" i="29"/>
  <c r="BP217" i="29"/>
  <c r="CO217" i="29"/>
  <c r="CL217" i="29"/>
  <c r="BC217" i="29"/>
  <c r="AZ217" i="29"/>
  <c r="AN217" i="29"/>
  <c r="AK217" i="29"/>
  <c r="AF217" i="29"/>
  <c r="DB216" i="29"/>
  <c r="CY216" i="29"/>
  <c r="AV216" i="29"/>
  <c r="BI216" i="29" s="1"/>
  <c r="AQ216" i="29"/>
  <c r="CW216" i="29"/>
  <c r="CT216" i="29"/>
  <c r="BV216" i="29"/>
  <c r="BS216" i="29"/>
  <c r="BP216" i="29"/>
  <c r="BN216" i="29"/>
  <c r="CO216" i="29"/>
  <c r="CL216" i="29"/>
  <c r="BC216" i="29"/>
  <c r="AZ216" i="29"/>
  <c r="AN216" i="29"/>
  <c r="AK216" i="29"/>
  <c r="AI216" i="29"/>
  <c r="AF216" i="29"/>
  <c r="AC216" i="29"/>
  <c r="Y216" i="29"/>
  <c r="V216" i="29"/>
  <c r="K216" i="29"/>
  <c r="H216" i="29"/>
  <c r="DB215" i="29"/>
  <c r="CY215" i="29"/>
  <c r="AV215" i="29"/>
  <c r="BI215" i="29" s="1"/>
  <c r="AQ215" i="29"/>
  <c r="CW215" i="29"/>
  <c r="CT215" i="29"/>
  <c r="BV215" i="29"/>
  <c r="BS215" i="29"/>
  <c r="BP215" i="29"/>
  <c r="BN215" i="29"/>
  <c r="CO215" i="29"/>
  <c r="CL215" i="29"/>
  <c r="BC215" i="29"/>
  <c r="AZ215" i="29"/>
  <c r="AN215" i="29"/>
  <c r="AK215" i="29"/>
  <c r="AI215" i="29"/>
  <c r="AF215" i="29"/>
  <c r="AC215" i="29"/>
  <c r="Y215" i="29"/>
  <c r="V215" i="29"/>
  <c r="K215" i="29"/>
  <c r="H215" i="29"/>
  <c r="DB214" i="29"/>
  <c r="CY214" i="29"/>
  <c r="AV214" i="29"/>
  <c r="BI214" i="29" s="1"/>
  <c r="AQ214" i="29"/>
  <c r="CW214" i="29"/>
  <c r="CT214" i="29"/>
  <c r="BV214" i="29"/>
  <c r="BS214" i="29"/>
  <c r="BP214" i="29"/>
  <c r="BN214" i="29"/>
  <c r="CO214" i="29"/>
  <c r="CL214" i="29"/>
  <c r="BC214" i="29"/>
  <c r="AZ214" i="29"/>
  <c r="AN214" i="29"/>
  <c r="AK214" i="29"/>
  <c r="AI214" i="29"/>
  <c r="AF214" i="29"/>
  <c r="AC214" i="29"/>
  <c r="Y214" i="29"/>
  <c r="V214" i="29"/>
  <c r="K214" i="29"/>
  <c r="H214" i="29"/>
  <c r="DB213" i="29"/>
  <c r="CY213" i="29"/>
  <c r="AV213" i="29"/>
  <c r="BI213" i="29" s="1"/>
  <c r="AQ213" i="29"/>
  <c r="CW213" i="29"/>
  <c r="CT213" i="29"/>
  <c r="BV213" i="29"/>
  <c r="BS213" i="29"/>
  <c r="BP213" i="29"/>
  <c r="BN213" i="29"/>
  <c r="CO213" i="29"/>
  <c r="CL213" i="29"/>
  <c r="BC213" i="29"/>
  <c r="AZ213" i="29"/>
  <c r="AN213" i="29"/>
  <c r="AK213" i="29"/>
  <c r="AI213" i="29"/>
  <c r="AF213" i="29"/>
  <c r="AC213" i="29"/>
  <c r="Y213" i="29"/>
  <c r="V213" i="29"/>
  <c r="K213" i="29"/>
  <c r="H213" i="29"/>
  <c r="DB212" i="29"/>
  <c r="CY212" i="29"/>
  <c r="AV212" i="29"/>
  <c r="BI212" i="29" s="1"/>
  <c r="AQ212" i="29"/>
  <c r="CW212" i="29"/>
  <c r="CT212" i="29"/>
  <c r="BV212" i="29"/>
  <c r="BS212" i="29"/>
  <c r="BP212" i="29"/>
  <c r="BN212" i="29"/>
  <c r="CO212" i="29"/>
  <c r="CL212" i="29"/>
  <c r="BC212" i="29"/>
  <c r="AZ212" i="29"/>
  <c r="AN212" i="29"/>
  <c r="AK212" i="29"/>
  <c r="AH212" i="29"/>
  <c r="AF212" i="29"/>
  <c r="AC212" i="29"/>
  <c r="Y212" i="29"/>
  <c r="V212" i="29"/>
  <c r="K212" i="29"/>
  <c r="H212" i="29"/>
  <c r="DB211" i="29"/>
  <c r="CY211" i="29"/>
  <c r="AV211" i="29"/>
  <c r="BI211" i="29" s="1"/>
  <c r="AQ211" i="29"/>
  <c r="CW211" i="29"/>
  <c r="CT211" i="29"/>
  <c r="BV211" i="29"/>
  <c r="BS211" i="29"/>
  <c r="BP211" i="29"/>
  <c r="BN211" i="29"/>
  <c r="CO211" i="29"/>
  <c r="CL211" i="29"/>
  <c r="BC211" i="29"/>
  <c r="AZ211" i="29"/>
  <c r="AN211" i="29"/>
  <c r="AK211" i="29"/>
  <c r="AH211" i="29"/>
  <c r="AF211" i="29"/>
  <c r="AC211" i="29"/>
  <c r="Y211" i="29"/>
  <c r="V211" i="29"/>
  <c r="DB210" i="29"/>
  <c r="CY210" i="29"/>
  <c r="AV210" i="29"/>
  <c r="BI210" i="29" s="1"/>
  <c r="AQ210" i="29"/>
  <c r="CW210" i="29"/>
  <c r="CT210" i="29"/>
  <c r="BV210" i="29"/>
  <c r="BS210" i="29"/>
  <c r="BP210" i="29"/>
  <c r="BN210" i="29"/>
  <c r="CO210" i="29"/>
  <c r="CL210" i="29"/>
  <c r="BC210" i="29"/>
  <c r="AZ210" i="29"/>
  <c r="AN210" i="29"/>
  <c r="AK210" i="29"/>
  <c r="AI210" i="29"/>
  <c r="AF210" i="29"/>
  <c r="AC210" i="29"/>
  <c r="Y210" i="29"/>
  <c r="V210" i="29"/>
  <c r="K210" i="29"/>
  <c r="H210" i="29"/>
  <c r="DB209" i="29"/>
  <c r="CY209" i="29"/>
  <c r="AV209" i="29"/>
  <c r="BI209" i="29" s="1"/>
  <c r="AQ209" i="29"/>
  <c r="CW209" i="29"/>
  <c r="CT209" i="29"/>
  <c r="BV209" i="29"/>
  <c r="BS209" i="29"/>
  <c r="BP209" i="29"/>
  <c r="BN209" i="29"/>
  <c r="CO209" i="29"/>
  <c r="CL209" i="29"/>
  <c r="BC209" i="29"/>
  <c r="AZ209" i="29"/>
  <c r="AN209" i="29"/>
  <c r="AK209" i="29"/>
  <c r="AI209" i="29"/>
  <c r="AF209" i="29"/>
  <c r="AC209" i="29"/>
  <c r="Y209" i="29"/>
  <c r="V209" i="29"/>
  <c r="K209" i="29"/>
  <c r="H209" i="29"/>
  <c r="DB208" i="29"/>
  <c r="CY208" i="29"/>
  <c r="AV208" i="29"/>
  <c r="BI208" i="29" s="1"/>
  <c r="AQ208" i="29"/>
  <c r="CW208" i="29"/>
  <c r="CT208" i="29"/>
  <c r="BV208" i="29"/>
  <c r="BS208" i="29"/>
  <c r="BP208" i="29"/>
  <c r="CO208" i="29"/>
  <c r="CL208" i="29"/>
  <c r="BC208" i="29"/>
  <c r="AZ208" i="29"/>
  <c r="AN208" i="29"/>
  <c r="AK208" i="29"/>
  <c r="AF208" i="29"/>
  <c r="DB207" i="29"/>
  <c r="CY207" i="29"/>
  <c r="AV207" i="29"/>
  <c r="BI207" i="29" s="1"/>
  <c r="AQ207" i="29"/>
  <c r="CW207" i="29"/>
  <c r="CT207" i="29"/>
  <c r="BV207" i="29"/>
  <c r="BS207" i="29"/>
  <c r="BP207" i="29"/>
  <c r="BN207" i="29"/>
  <c r="CO207" i="29"/>
  <c r="CL207" i="29"/>
  <c r="BC207" i="29"/>
  <c r="AZ207" i="29"/>
  <c r="AN207" i="29"/>
  <c r="AK207" i="29"/>
  <c r="AI207" i="29"/>
  <c r="AF207" i="29"/>
  <c r="AC207" i="29"/>
  <c r="Y207" i="29"/>
  <c r="V207" i="29"/>
  <c r="K207" i="29"/>
  <c r="H207" i="29"/>
  <c r="DB206" i="29"/>
  <c r="CY206" i="29"/>
  <c r="AV206" i="29"/>
  <c r="BI206" i="29" s="1"/>
  <c r="AQ206" i="29"/>
  <c r="CW206" i="29"/>
  <c r="CT206" i="29"/>
  <c r="BV206" i="29"/>
  <c r="BS206" i="29"/>
  <c r="BP206" i="29"/>
  <c r="BN206" i="29"/>
  <c r="CO206" i="29"/>
  <c r="CL206" i="29"/>
  <c r="BC206" i="29"/>
  <c r="AZ206" i="29"/>
  <c r="AN206" i="29"/>
  <c r="AK206" i="29"/>
  <c r="AI206" i="29"/>
  <c r="AF206" i="29"/>
  <c r="AC206" i="29"/>
  <c r="Y206" i="29"/>
  <c r="V206" i="29"/>
  <c r="DB205" i="29"/>
  <c r="CY205" i="29"/>
  <c r="AV205" i="29"/>
  <c r="BI205" i="29" s="1"/>
  <c r="AQ205" i="29"/>
  <c r="CW205" i="29"/>
  <c r="CT205" i="29"/>
  <c r="BV205" i="29"/>
  <c r="BS205" i="29"/>
  <c r="BP205" i="29"/>
  <c r="CO205" i="29"/>
  <c r="CL205" i="29"/>
  <c r="BC205" i="29"/>
  <c r="AZ205" i="29"/>
  <c r="AN205" i="29"/>
  <c r="AK205" i="29"/>
  <c r="AF205" i="29"/>
  <c r="DB204" i="29"/>
  <c r="CY204" i="29"/>
  <c r="AV204" i="29"/>
  <c r="BI204" i="29" s="1"/>
  <c r="AQ204" i="29"/>
  <c r="CW204" i="29"/>
  <c r="CT204" i="29"/>
  <c r="BV204" i="29"/>
  <c r="BS204" i="29"/>
  <c r="BP204" i="29"/>
  <c r="BN204" i="29"/>
  <c r="CO204" i="29"/>
  <c r="CL204" i="29"/>
  <c r="BC204" i="29"/>
  <c r="AZ204" i="29"/>
  <c r="AN204" i="29"/>
  <c r="AK204" i="29"/>
  <c r="AH204" i="29"/>
  <c r="AF204" i="29"/>
  <c r="AC204" i="29"/>
  <c r="Y204" i="29"/>
  <c r="DB203" i="29"/>
  <c r="CY203" i="29"/>
  <c r="AV203" i="29"/>
  <c r="BI203" i="29" s="1"/>
  <c r="AQ203" i="29"/>
  <c r="BS203" i="29"/>
  <c r="BP203" i="29"/>
  <c r="CO203" i="29"/>
  <c r="BC203" i="29"/>
  <c r="AN203" i="29"/>
  <c r="DB202" i="29"/>
  <c r="CY202" i="29"/>
  <c r="AV202" i="29"/>
  <c r="BI202" i="29" s="1"/>
  <c r="AQ202" i="29"/>
  <c r="CW202" i="29"/>
  <c r="CT202" i="29"/>
  <c r="BV202" i="29"/>
  <c r="BS202" i="29"/>
  <c r="BP202" i="29"/>
  <c r="BN202" i="29"/>
  <c r="CO202" i="29"/>
  <c r="CL202" i="29"/>
  <c r="BC202" i="29"/>
  <c r="AZ202" i="29"/>
  <c r="AN202" i="29"/>
  <c r="AK202" i="29"/>
  <c r="AI202" i="29"/>
  <c r="AF202" i="29"/>
  <c r="AC202" i="29"/>
  <c r="Y202" i="29"/>
  <c r="V202" i="29"/>
  <c r="K202" i="29"/>
  <c r="H202" i="29"/>
  <c r="DB201" i="29"/>
  <c r="CY201" i="29"/>
  <c r="AV201" i="29"/>
  <c r="BI201" i="29" s="1"/>
  <c r="AQ201" i="29"/>
  <c r="CW201" i="29"/>
  <c r="CT201" i="29"/>
  <c r="BV201" i="29"/>
  <c r="BS201" i="29"/>
  <c r="BP201" i="29"/>
  <c r="BN201" i="29"/>
  <c r="CO201" i="29"/>
  <c r="CL201" i="29"/>
  <c r="BC201" i="29"/>
  <c r="AZ201" i="29"/>
  <c r="AN201" i="29"/>
  <c r="AK201" i="29"/>
  <c r="AI201" i="29"/>
  <c r="AF201" i="29"/>
  <c r="AC201" i="29"/>
  <c r="Y201" i="29"/>
  <c r="V201" i="29"/>
  <c r="K201" i="29"/>
  <c r="H201" i="29"/>
  <c r="DB200" i="29"/>
  <c r="CY200" i="29"/>
  <c r="AV200" i="29"/>
  <c r="BI200" i="29" s="1"/>
  <c r="AQ200" i="29"/>
  <c r="CW200" i="29"/>
  <c r="CT200" i="29"/>
  <c r="BV200" i="29"/>
  <c r="BS200" i="29"/>
  <c r="BP200" i="29"/>
  <c r="BN200" i="29"/>
  <c r="CO200" i="29"/>
  <c r="CL200" i="29"/>
  <c r="BC200" i="29"/>
  <c r="AN200" i="29"/>
  <c r="AK200" i="29"/>
  <c r="BE200" i="29" s="1"/>
  <c r="AI200" i="29"/>
  <c r="AF200" i="29"/>
  <c r="AC200" i="29"/>
  <c r="Y200" i="29"/>
  <c r="V200" i="29"/>
  <c r="DB199" i="29"/>
  <c r="CY199" i="29"/>
  <c r="AV199" i="29"/>
  <c r="BI199" i="29" s="1"/>
  <c r="AQ199" i="29"/>
  <c r="CW199" i="29"/>
  <c r="CT199" i="29"/>
  <c r="BV199" i="29"/>
  <c r="BS199" i="29"/>
  <c r="BP199" i="29"/>
  <c r="BN199" i="29"/>
  <c r="CO199" i="29"/>
  <c r="CL199" i="29"/>
  <c r="BC199" i="29"/>
  <c r="AZ199" i="29"/>
  <c r="AN199" i="29"/>
  <c r="AK199" i="29"/>
  <c r="AI199" i="29"/>
  <c r="AF199" i="29"/>
  <c r="AC199" i="29"/>
  <c r="Y199" i="29"/>
  <c r="V199" i="29"/>
  <c r="K199" i="29"/>
  <c r="H199" i="29"/>
  <c r="DB198" i="29"/>
  <c r="CY198" i="29"/>
  <c r="AV198" i="29"/>
  <c r="BI198" i="29" s="1"/>
  <c r="AQ198" i="29"/>
  <c r="CW198" i="29"/>
  <c r="CT198" i="29"/>
  <c r="BV198" i="29"/>
  <c r="BS198" i="29"/>
  <c r="BP198" i="29"/>
  <c r="BN198" i="29"/>
  <c r="CO198" i="29"/>
  <c r="CL198" i="29"/>
  <c r="BC198" i="29"/>
  <c r="AZ198" i="29"/>
  <c r="AN198" i="29"/>
  <c r="AK198" i="29"/>
  <c r="AI198" i="29"/>
  <c r="AF198" i="29"/>
  <c r="AC198" i="29"/>
  <c r="Y198" i="29"/>
  <c r="V198" i="29"/>
  <c r="K198" i="29"/>
  <c r="H198" i="29"/>
  <c r="DB197" i="29"/>
  <c r="CY197" i="29"/>
  <c r="AV197" i="29"/>
  <c r="BI197" i="29" s="1"/>
  <c r="AQ197" i="29"/>
  <c r="CW197" i="29"/>
  <c r="CT197" i="29"/>
  <c r="BV197" i="29"/>
  <c r="BS197" i="29"/>
  <c r="BP197" i="29"/>
  <c r="BN197" i="29"/>
  <c r="CO197" i="29"/>
  <c r="CL197" i="29"/>
  <c r="BC197" i="29"/>
  <c r="AZ197" i="29"/>
  <c r="AN197" i="29"/>
  <c r="AK197" i="29"/>
  <c r="AI197" i="29"/>
  <c r="AF197" i="29"/>
  <c r="AC197" i="29"/>
  <c r="Y197" i="29"/>
  <c r="V197" i="29"/>
  <c r="K197" i="29"/>
  <c r="H197" i="29"/>
  <c r="DB196" i="29"/>
  <c r="CY196" i="29"/>
  <c r="AV196" i="29"/>
  <c r="BI196" i="29" s="1"/>
  <c r="AQ196" i="29"/>
  <c r="CW196" i="29"/>
  <c r="CT196" i="29"/>
  <c r="BV196" i="29"/>
  <c r="BS196" i="29"/>
  <c r="BP196" i="29"/>
  <c r="BN196" i="29"/>
  <c r="CO196" i="29"/>
  <c r="CL196" i="29"/>
  <c r="BC196" i="29"/>
  <c r="AZ196" i="29"/>
  <c r="AN196" i="29"/>
  <c r="AK196" i="29"/>
  <c r="AI196" i="29"/>
  <c r="AF196" i="29"/>
  <c r="AC196" i="29"/>
  <c r="Y196" i="29"/>
  <c r="V196" i="29"/>
  <c r="K196" i="29"/>
  <c r="H196" i="29"/>
  <c r="DB195" i="29"/>
  <c r="CY195" i="29"/>
  <c r="AV195" i="29"/>
  <c r="BI195" i="29" s="1"/>
  <c r="AQ195" i="29"/>
  <c r="CW195" i="29"/>
  <c r="CT195" i="29"/>
  <c r="BV195" i="29"/>
  <c r="BS195" i="29"/>
  <c r="BP195" i="29"/>
  <c r="BN195" i="29"/>
  <c r="CO195" i="29"/>
  <c r="CL195" i="29"/>
  <c r="BC195" i="29"/>
  <c r="AZ195" i="29"/>
  <c r="AN195" i="29"/>
  <c r="AK195" i="29"/>
  <c r="AI195" i="29"/>
  <c r="AF195" i="29"/>
  <c r="AC195" i="29"/>
  <c r="Y195" i="29"/>
  <c r="V195" i="29"/>
  <c r="K195" i="29"/>
  <c r="H195" i="29"/>
  <c r="DB194" i="29"/>
  <c r="CY194" i="29"/>
  <c r="AV194" i="29"/>
  <c r="BI194" i="29" s="1"/>
  <c r="AQ194" i="29"/>
  <c r="CW194" i="29"/>
  <c r="CT194" i="29"/>
  <c r="BV194" i="29"/>
  <c r="BS194" i="29"/>
  <c r="BP194" i="29"/>
  <c r="BN194" i="29"/>
  <c r="CO194" i="29"/>
  <c r="CL194" i="29"/>
  <c r="BC194" i="29"/>
  <c r="AZ194" i="29"/>
  <c r="AN194" i="29"/>
  <c r="AK194" i="29"/>
  <c r="AI194" i="29"/>
  <c r="AF194" i="29"/>
  <c r="AC194" i="29"/>
  <c r="Y194" i="29"/>
  <c r="V194" i="29"/>
  <c r="K194" i="29"/>
  <c r="H194" i="29"/>
  <c r="DB193" i="29"/>
  <c r="CY193" i="29"/>
  <c r="AV193" i="29"/>
  <c r="BI193" i="29" s="1"/>
  <c r="AQ193" i="29"/>
  <c r="CW193" i="29"/>
  <c r="CT193" i="29"/>
  <c r="BV193" i="29"/>
  <c r="BS193" i="29"/>
  <c r="BP193" i="29"/>
  <c r="BN193" i="29"/>
  <c r="CO193" i="29"/>
  <c r="CL193" i="29"/>
  <c r="BC193" i="29"/>
  <c r="AZ193" i="29"/>
  <c r="AN193" i="29"/>
  <c r="AK193" i="29"/>
  <c r="AI193" i="29"/>
  <c r="AF193" i="29"/>
  <c r="AC193" i="29"/>
  <c r="Y193" i="29"/>
  <c r="V193" i="29"/>
  <c r="K193" i="29"/>
  <c r="H193" i="29"/>
  <c r="DB192" i="29"/>
  <c r="CY192" i="29"/>
  <c r="AV192" i="29"/>
  <c r="BI192" i="29" s="1"/>
  <c r="AQ192" i="29"/>
  <c r="CW192" i="29"/>
  <c r="CT192" i="29"/>
  <c r="BV192" i="29"/>
  <c r="BS192" i="29"/>
  <c r="BP192" i="29"/>
  <c r="BN192" i="29"/>
  <c r="CO192" i="29"/>
  <c r="CL192" i="29"/>
  <c r="BC192" i="29"/>
  <c r="AZ192" i="29"/>
  <c r="AN192" i="29"/>
  <c r="AK192" i="29"/>
  <c r="AH192" i="29"/>
  <c r="AF192" i="29"/>
  <c r="AC192" i="29"/>
  <c r="Y192" i="29"/>
  <c r="V192" i="29"/>
  <c r="K192" i="29"/>
  <c r="H192" i="29"/>
  <c r="DB191" i="29"/>
  <c r="CY191" i="29"/>
  <c r="AV191" i="29"/>
  <c r="BI191" i="29" s="1"/>
  <c r="AQ191" i="29"/>
  <c r="CW191" i="29"/>
  <c r="CT191" i="29"/>
  <c r="BV191" i="29"/>
  <c r="BS191" i="29"/>
  <c r="BP191" i="29"/>
  <c r="BN191" i="29"/>
  <c r="CO191" i="29"/>
  <c r="CL191" i="29"/>
  <c r="BC191" i="29"/>
  <c r="AZ191" i="29"/>
  <c r="AN191" i="29"/>
  <c r="AK191" i="29"/>
  <c r="AI191" i="29"/>
  <c r="AF191" i="29"/>
  <c r="AC191" i="29"/>
  <c r="Y191" i="29"/>
  <c r="V191" i="29"/>
  <c r="K191" i="29"/>
  <c r="H191" i="29"/>
  <c r="DB190" i="29"/>
  <c r="CY190" i="29"/>
  <c r="AV190" i="29"/>
  <c r="BI190" i="29" s="1"/>
  <c r="AQ190" i="29"/>
  <c r="CW190" i="29"/>
  <c r="CT190" i="29"/>
  <c r="BV190" i="29"/>
  <c r="BS190" i="29"/>
  <c r="BP190" i="29"/>
  <c r="BN190" i="29"/>
  <c r="CO190" i="29"/>
  <c r="CL190" i="29"/>
  <c r="BC190" i="29"/>
  <c r="AZ190" i="29"/>
  <c r="AN190" i="29"/>
  <c r="AK190" i="29"/>
  <c r="AI190" i="29"/>
  <c r="AF190" i="29"/>
  <c r="AC190" i="29"/>
  <c r="Y190" i="29"/>
  <c r="V190" i="29"/>
  <c r="K190" i="29"/>
  <c r="H190" i="29"/>
  <c r="DB189" i="29"/>
  <c r="CY189" i="29"/>
  <c r="AV189" i="29"/>
  <c r="BI189" i="29" s="1"/>
  <c r="AQ189" i="29"/>
  <c r="CW189" i="29"/>
  <c r="CT189" i="29"/>
  <c r="BV189" i="29"/>
  <c r="BS189" i="29"/>
  <c r="BP189" i="29"/>
  <c r="BN189" i="29"/>
  <c r="CO189" i="29"/>
  <c r="CL189" i="29"/>
  <c r="BC189" i="29"/>
  <c r="AZ189" i="29"/>
  <c r="AN189" i="29"/>
  <c r="AK189" i="29"/>
  <c r="AF189" i="29"/>
  <c r="DB188" i="29"/>
  <c r="CY188" i="29"/>
  <c r="AV188" i="29"/>
  <c r="BI188" i="29" s="1"/>
  <c r="AQ188" i="29"/>
  <c r="CW188" i="29"/>
  <c r="CT188" i="29"/>
  <c r="BV188" i="29"/>
  <c r="BS188" i="29"/>
  <c r="BP188" i="29"/>
  <c r="BN188" i="29"/>
  <c r="CO188" i="29"/>
  <c r="CL188" i="29"/>
  <c r="BC188" i="29"/>
  <c r="AZ188" i="29"/>
  <c r="AN188" i="29"/>
  <c r="AK188" i="29"/>
  <c r="AF188" i="29"/>
  <c r="DB187" i="29"/>
  <c r="CY187" i="29"/>
  <c r="AV187" i="29"/>
  <c r="BI187" i="29" s="1"/>
  <c r="AQ187" i="29"/>
  <c r="CW187" i="29"/>
  <c r="CT187" i="29"/>
  <c r="BR187" i="29"/>
  <c r="BS187" i="29" s="1"/>
  <c r="BP187" i="29"/>
  <c r="BE187" i="29"/>
  <c r="CO187" i="29"/>
  <c r="CL187" i="29"/>
  <c r="BC187" i="29"/>
  <c r="AN187" i="29"/>
  <c r="AF187" i="29"/>
  <c r="AC187" i="29"/>
  <c r="DB186" i="29"/>
  <c r="CY186" i="29"/>
  <c r="AV186" i="29"/>
  <c r="AQ186" i="29"/>
  <c r="CW186" i="29"/>
  <c r="CT186" i="29"/>
  <c r="BV186" i="29"/>
  <c r="BR186" i="29"/>
  <c r="BS186" i="29" s="1"/>
  <c r="BP186" i="29"/>
  <c r="BN186" i="29"/>
  <c r="CO186" i="29"/>
  <c r="CL186" i="29"/>
  <c r="BC186" i="29"/>
  <c r="AZ186" i="29"/>
  <c r="AN186" i="29"/>
  <c r="AK186" i="29"/>
  <c r="AF186" i="29"/>
  <c r="DB185" i="29"/>
  <c r="CY185" i="29"/>
  <c r="AV185" i="29"/>
  <c r="AQ185" i="29"/>
  <c r="CW185" i="29"/>
  <c r="CT185" i="29"/>
  <c r="BV185" i="29"/>
  <c r="BS185" i="29"/>
  <c r="BP185" i="29"/>
  <c r="BN185" i="29"/>
  <c r="CO185" i="29"/>
  <c r="CL185" i="29"/>
  <c r="BC185" i="29"/>
  <c r="AZ185" i="29"/>
  <c r="AN185" i="29"/>
  <c r="AK185" i="29"/>
  <c r="AI185" i="29"/>
  <c r="AF185" i="29"/>
  <c r="AC185" i="29"/>
  <c r="Y185" i="29"/>
  <c r="V185" i="29"/>
  <c r="K185" i="29"/>
  <c r="H185" i="29"/>
  <c r="DB184" i="29"/>
  <c r="CY184" i="29"/>
  <c r="AV184" i="29"/>
  <c r="AQ184" i="29"/>
  <c r="BG184" i="29" s="1"/>
  <c r="CW184" i="29"/>
  <c r="CT184" i="29"/>
  <c r="DL184" i="29" s="1"/>
  <c r="BP184" i="29"/>
  <c r="BX184" i="29" s="1"/>
  <c r="CO184" i="29"/>
  <c r="DB182" i="29"/>
  <c r="CY182" i="29"/>
  <c r="AV182" i="29"/>
  <c r="AQ182" i="29"/>
  <c r="CW182" i="29"/>
  <c r="CT182" i="29"/>
  <c r="BV182" i="29"/>
  <c r="BS182" i="29"/>
  <c r="BP182" i="29"/>
  <c r="BN182" i="29"/>
  <c r="CO182" i="29"/>
  <c r="CL182" i="29"/>
  <c r="BC182" i="29"/>
  <c r="AZ182" i="29"/>
  <c r="AN182" i="29"/>
  <c r="AK182" i="29"/>
  <c r="AI182" i="29"/>
  <c r="AF182" i="29"/>
  <c r="AC182" i="29"/>
  <c r="Y182" i="29"/>
  <c r="V182" i="29"/>
  <c r="K182" i="29"/>
  <c r="H182" i="29"/>
  <c r="DB183" i="29"/>
  <c r="CY183" i="29"/>
  <c r="AV183" i="29"/>
  <c r="AQ183" i="29"/>
  <c r="CW183" i="29"/>
  <c r="CT183" i="29"/>
  <c r="BV183" i="29"/>
  <c r="BS183" i="29"/>
  <c r="BP183" i="29"/>
  <c r="BN183" i="29"/>
  <c r="CO183" i="29"/>
  <c r="CL183" i="29"/>
  <c r="BC183" i="29"/>
  <c r="AZ183" i="29"/>
  <c r="AM183" i="29"/>
  <c r="AN183" i="29" s="1"/>
  <c r="AK183" i="29"/>
  <c r="AI183" i="29"/>
  <c r="AF183" i="29"/>
  <c r="AC183" i="29"/>
  <c r="Y183" i="29"/>
  <c r="V183" i="29"/>
  <c r="K183" i="29"/>
  <c r="H183" i="29"/>
  <c r="DB180" i="29"/>
  <c r="CY180" i="29"/>
  <c r="AV180" i="29"/>
  <c r="AQ180" i="29"/>
  <c r="CW180" i="29"/>
  <c r="CT180" i="29"/>
  <c r="BV180" i="29"/>
  <c r="BS180" i="29"/>
  <c r="BP180" i="29"/>
  <c r="BN180" i="29"/>
  <c r="CO180" i="29"/>
  <c r="CL180" i="29"/>
  <c r="BC180" i="29"/>
  <c r="AZ180" i="29"/>
  <c r="AN180" i="29"/>
  <c r="AK180" i="29"/>
  <c r="AI180" i="29"/>
  <c r="AF180" i="29"/>
  <c r="AC180" i="29"/>
  <c r="Y180" i="29"/>
  <c r="V180" i="29"/>
  <c r="K180" i="29"/>
  <c r="H180" i="29"/>
  <c r="DB179" i="29"/>
  <c r="CY179" i="29"/>
  <c r="AV179" i="29"/>
  <c r="AQ179" i="29"/>
  <c r="CW179" i="29"/>
  <c r="CT179" i="29"/>
  <c r="BV179" i="29"/>
  <c r="BS179" i="29"/>
  <c r="BP179" i="29"/>
  <c r="BN179" i="29"/>
  <c r="CO179" i="29"/>
  <c r="CL179" i="29"/>
  <c r="BC179" i="29"/>
  <c r="AZ179" i="29"/>
  <c r="AN179" i="29"/>
  <c r="AK179" i="29"/>
  <c r="AI179" i="29"/>
  <c r="AF179" i="29"/>
  <c r="AC179" i="29"/>
  <c r="Y179" i="29"/>
  <c r="V179" i="29"/>
  <c r="K179" i="29"/>
  <c r="H179" i="29"/>
  <c r="DB177" i="29"/>
  <c r="CY177" i="29"/>
  <c r="AV177" i="29"/>
  <c r="AQ177" i="29"/>
  <c r="CW177" i="29"/>
  <c r="CT177" i="29"/>
  <c r="DL177" i="29" s="1"/>
  <c r="BP177" i="29"/>
  <c r="BX177" i="29" s="1"/>
  <c r="CO177" i="29"/>
  <c r="DB176" i="29"/>
  <c r="CY176" i="29"/>
  <c r="AV176" i="29"/>
  <c r="AQ176" i="29"/>
  <c r="CW176" i="29"/>
  <c r="CT176" i="29"/>
  <c r="BV176" i="29"/>
  <c r="BS176" i="29"/>
  <c r="BP176" i="29"/>
  <c r="BN176" i="29"/>
  <c r="CO176" i="29"/>
  <c r="CL176" i="29"/>
  <c r="BC176" i="29"/>
  <c r="AZ176" i="29"/>
  <c r="AN176" i="29"/>
  <c r="AK176" i="29"/>
  <c r="AI176" i="29"/>
  <c r="AF176" i="29"/>
  <c r="AC176" i="29"/>
  <c r="Y176" i="29"/>
  <c r="V176" i="29"/>
  <c r="K176" i="29"/>
  <c r="H176" i="29"/>
  <c r="DB175" i="29"/>
  <c r="CY175" i="29"/>
  <c r="AV175" i="29"/>
  <c r="AQ175" i="29"/>
  <c r="CW175" i="29"/>
  <c r="CT175" i="29"/>
  <c r="BV175" i="29"/>
  <c r="BS175" i="29"/>
  <c r="BP175" i="29"/>
  <c r="BN175" i="29"/>
  <c r="CO175" i="29"/>
  <c r="CL175" i="29"/>
  <c r="BC175" i="29"/>
  <c r="AZ175" i="29"/>
  <c r="AN175" i="29"/>
  <c r="AK175" i="29"/>
  <c r="AH175" i="29"/>
  <c r="AI175" i="29" s="1"/>
  <c r="AF175" i="29"/>
  <c r="Y175" i="29"/>
  <c r="K175" i="29"/>
  <c r="H175" i="29"/>
  <c r="DB174" i="29"/>
  <c r="CY174" i="29"/>
  <c r="AV174" i="29"/>
  <c r="AQ174" i="29"/>
  <c r="CW174" i="29"/>
  <c r="CT174" i="29"/>
  <c r="BV174" i="29"/>
  <c r="BS174" i="29"/>
  <c r="BP174" i="29"/>
  <c r="BN174" i="29"/>
  <c r="CO174" i="29"/>
  <c r="CL174" i="29"/>
  <c r="BC174" i="29"/>
  <c r="AZ174" i="29"/>
  <c r="AN174" i="29"/>
  <c r="AK174" i="29"/>
  <c r="AI174" i="29"/>
  <c r="AF174" i="29"/>
  <c r="AC174" i="29"/>
  <c r="Y174" i="29"/>
  <c r="V174" i="29"/>
  <c r="K174" i="29"/>
  <c r="H174" i="29"/>
  <c r="DB173" i="29"/>
  <c r="CY173" i="29"/>
  <c r="AV173" i="29"/>
  <c r="AQ173" i="29"/>
  <c r="CW173" i="29"/>
  <c r="CT173" i="29"/>
  <c r="BV173" i="29"/>
  <c r="BS173" i="29"/>
  <c r="BP173" i="29"/>
  <c r="BN173" i="29"/>
  <c r="CO173" i="29"/>
  <c r="CL173" i="29"/>
  <c r="BC173" i="29"/>
  <c r="AZ173" i="29"/>
  <c r="AN173" i="29"/>
  <c r="AK173" i="29"/>
  <c r="AI173" i="29"/>
  <c r="AF173" i="29"/>
  <c r="AC173" i="29"/>
  <c r="Y173" i="29"/>
  <c r="V173" i="29"/>
  <c r="K173" i="29"/>
  <c r="H173" i="29"/>
  <c r="DB171" i="29"/>
  <c r="CY171" i="29"/>
  <c r="AV171" i="29"/>
  <c r="AQ171" i="29"/>
  <c r="CW171" i="29"/>
  <c r="CT171" i="29"/>
  <c r="BV171" i="29"/>
  <c r="BS171" i="29"/>
  <c r="BP171" i="29"/>
  <c r="BN171" i="29"/>
  <c r="CO171" i="29"/>
  <c r="CL171" i="29"/>
  <c r="BC171" i="29"/>
  <c r="AZ171" i="29"/>
  <c r="AN171" i="29"/>
  <c r="AK171" i="29"/>
  <c r="AI171" i="29"/>
  <c r="AF171" i="29"/>
  <c r="AC171" i="29"/>
  <c r="Y171" i="29"/>
  <c r="V171" i="29"/>
  <c r="K171" i="29"/>
  <c r="H171" i="29"/>
  <c r="DB170" i="29"/>
  <c r="CY170" i="29"/>
  <c r="AV170" i="29"/>
  <c r="AQ170" i="29"/>
  <c r="CW170" i="29"/>
  <c r="CT170" i="29"/>
  <c r="BV170" i="29"/>
  <c r="BS170" i="29"/>
  <c r="BP170" i="29"/>
  <c r="BN170" i="29"/>
  <c r="CO170" i="29"/>
  <c r="CL170" i="29"/>
  <c r="BC170" i="29"/>
  <c r="AZ170" i="29"/>
  <c r="AN170" i="29"/>
  <c r="AK170" i="29"/>
  <c r="AI170" i="29"/>
  <c r="AF170" i="29"/>
  <c r="AC170" i="29"/>
  <c r="DB169" i="29"/>
  <c r="CY169" i="29"/>
  <c r="AV169" i="29"/>
  <c r="AQ169" i="29"/>
  <c r="CW169" i="29"/>
  <c r="CT169" i="29"/>
  <c r="BV169" i="29"/>
  <c r="BS169" i="29"/>
  <c r="BP169" i="29"/>
  <c r="BN169" i="29"/>
  <c r="CO169" i="29"/>
  <c r="CL169" i="29"/>
  <c r="BC169" i="29"/>
  <c r="AZ169" i="29"/>
  <c r="AN169" i="29"/>
  <c r="AK169" i="29"/>
  <c r="AI169" i="29"/>
  <c r="AF169" i="29"/>
  <c r="AC169" i="29"/>
  <c r="Y169" i="29"/>
  <c r="V169" i="29"/>
  <c r="DB168" i="29"/>
  <c r="CY168" i="29"/>
  <c r="AV168" i="29"/>
  <c r="AQ168" i="29"/>
  <c r="CW168" i="29"/>
  <c r="CT168" i="29"/>
  <c r="BV168" i="29"/>
  <c r="BS168" i="29"/>
  <c r="BP168" i="29"/>
  <c r="BN168" i="29"/>
  <c r="CO168" i="29"/>
  <c r="CL168" i="29"/>
  <c r="BC168" i="29"/>
  <c r="AZ168" i="29"/>
  <c r="AN168" i="29"/>
  <c r="AK168" i="29"/>
  <c r="AH168" i="29"/>
  <c r="AI168" i="29" s="1"/>
  <c r="AF168" i="29"/>
  <c r="Y168" i="29"/>
  <c r="DB167" i="29"/>
  <c r="CY167" i="29"/>
  <c r="AV167" i="29"/>
  <c r="AQ167" i="29"/>
  <c r="CW167" i="29"/>
  <c r="CT167" i="29"/>
  <c r="BV167" i="29"/>
  <c r="BS167" i="29"/>
  <c r="BP167" i="29"/>
  <c r="BN167" i="29"/>
  <c r="CO167" i="29"/>
  <c r="CL167" i="29"/>
  <c r="BC167" i="29"/>
  <c r="AZ167" i="29"/>
  <c r="AN167" i="29"/>
  <c r="AK167" i="29"/>
  <c r="AI167" i="29"/>
  <c r="AF167" i="29"/>
  <c r="AC167" i="29"/>
  <c r="Y167" i="29"/>
  <c r="K167" i="29"/>
  <c r="H167" i="29"/>
  <c r="DB166" i="29"/>
  <c r="CY166" i="29"/>
  <c r="AV166" i="29"/>
  <c r="AQ166" i="29"/>
  <c r="CW166" i="29"/>
  <c r="CT166" i="29"/>
  <c r="BV166" i="29"/>
  <c r="BS166" i="29"/>
  <c r="BP166" i="29"/>
  <c r="BN166" i="29"/>
  <c r="CO166" i="29"/>
  <c r="CL166" i="29"/>
  <c r="BC166" i="29"/>
  <c r="AZ166" i="29"/>
  <c r="AN166" i="29"/>
  <c r="AK166" i="29"/>
  <c r="AH166" i="29"/>
  <c r="AI166" i="29" s="1"/>
  <c r="AF166" i="29"/>
  <c r="Y166" i="29"/>
  <c r="DB165" i="29"/>
  <c r="CY165" i="29"/>
  <c r="AV165" i="29"/>
  <c r="AQ165" i="29"/>
  <c r="CW165" i="29"/>
  <c r="CT165" i="29"/>
  <c r="BV165" i="29"/>
  <c r="BS165" i="29"/>
  <c r="BP165" i="29"/>
  <c r="BN165" i="29"/>
  <c r="CO165" i="29"/>
  <c r="CL165" i="29"/>
  <c r="BC165" i="29"/>
  <c r="AZ165" i="29"/>
  <c r="AN165" i="29"/>
  <c r="AK165" i="29"/>
  <c r="AH165" i="29"/>
  <c r="AI165" i="29" s="1"/>
  <c r="AF165" i="29"/>
  <c r="Y165" i="29"/>
  <c r="K165" i="29"/>
  <c r="H165" i="29"/>
  <c r="DB164" i="29"/>
  <c r="CY164" i="29"/>
  <c r="AV164" i="29"/>
  <c r="AQ164" i="29"/>
  <c r="CW164" i="29"/>
  <c r="CT164" i="29"/>
  <c r="BV164" i="29"/>
  <c r="BS164" i="29"/>
  <c r="BP164" i="29"/>
  <c r="BN164" i="29"/>
  <c r="CO164" i="29"/>
  <c r="CL164" i="29"/>
  <c r="BC164" i="29"/>
  <c r="AZ164" i="29"/>
  <c r="AN164" i="29"/>
  <c r="AK164" i="29"/>
  <c r="AI164" i="29"/>
  <c r="AF164" i="29"/>
  <c r="AC164" i="29"/>
  <c r="Y164" i="29"/>
  <c r="V164" i="29"/>
  <c r="K164" i="29"/>
  <c r="H164" i="29"/>
  <c r="DB163" i="29"/>
  <c r="CY163" i="29"/>
  <c r="AV163" i="29"/>
  <c r="AQ163" i="29"/>
  <c r="CW163" i="29"/>
  <c r="CT163" i="29"/>
  <c r="DL163" i="29" s="1"/>
  <c r="BP163" i="29"/>
  <c r="BX163" i="29" s="1"/>
  <c r="CO163" i="29"/>
  <c r="DB162" i="29"/>
  <c r="CY162" i="29"/>
  <c r="AV162" i="29"/>
  <c r="AQ162" i="29"/>
  <c r="CW162" i="29"/>
  <c r="CT162" i="29"/>
  <c r="BV162" i="29"/>
  <c r="BS162" i="29"/>
  <c r="BP162" i="29"/>
  <c r="BN162" i="29"/>
  <c r="CO162" i="29"/>
  <c r="CL162" i="29"/>
  <c r="BC162" i="29"/>
  <c r="AZ162" i="29"/>
  <c r="AN162" i="29"/>
  <c r="AK162" i="29"/>
  <c r="AI162" i="29"/>
  <c r="AF162" i="29"/>
  <c r="AC162" i="29"/>
  <c r="Y162" i="29"/>
  <c r="V162" i="29"/>
  <c r="K162" i="29"/>
  <c r="H162" i="29"/>
  <c r="DB161" i="29"/>
  <c r="CY161" i="29"/>
  <c r="AV161" i="29"/>
  <c r="AQ161" i="29"/>
  <c r="CW161" i="29"/>
  <c r="CT161" i="29"/>
  <c r="BV161" i="29"/>
  <c r="BS161" i="29"/>
  <c r="BP161" i="29"/>
  <c r="BN161" i="29"/>
  <c r="CO161" i="29"/>
  <c r="CL161" i="29"/>
  <c r="BC161" i="29"/>
  <c r="AZ161" i="29"/>
  <c r="AM161" i="29"/>
  <c r="AN161" i="29" s="1"/>
  <c r="AK161" i="29"/>
  <c r="AH161" i="29"/>
  <c r="AF161" i="29"/>
  <c r="AC161" i="29"/>
  <c r="V161" i="29"/>
  <c r="DB160" i="29"/>
  <c r="CY160" i="29"/>
  <c r="AV160" i="29"/>
  <c r="AQ160" i="29"/>
  <c r="CW160" i="29"/>
  <c r="CT160" i="29"/>
  <c r="BV160" i="29"/>
  <c r="BS160" i="29"/>
  <c r="BP160" i="29"/>
  <c r="CO160" i="29"/>
  <c r="CL160" i="29"/>
  <c r="BC160" i="29"/>
  <c r="AZ160" i="29"/>
  <c r="AN160" i="29"/>
  <c r="AK160" i="29"/>
  <c r="AF160" i="29"/>
  <c r="AC160" i="29"/>
  <c r="DB159" i="29"/>
  <c r="CY159" i="29"/>
  <c r="AV159" i="29"/>
  <c r="AQ159" i="29"/>
  <c r="CW159" i="29"/>
  <c r="CT159" i="29"/>
  <c r="BV159" i="29"/>
  <c r="BS159" i="29"/>
  <c r="BP159" i="29"/>
  <c r="BN159" i="29"/>
  <c r="CO159" i="29"/>
  <c r="CL159" i="29"/>
  <c r="BC159" i="29"/>
  <c r="AZ159" i="29"/>
  <c r="AN159" i="29"/>
  <c r="AK159" i="29"/>
  <c r="AI159" i="29"/>
  <c r="AF159" i="29"/>
  <c r="Y159" i="29"/>
  <c r="V159" i="29"/>
  <c r="K159" i="29"/>
  <c r="H159" i="29"/>
  <c r="DB158" i="29"/>
  <c r="CY158" i="29"/>
  <c r="AV158" i="29"/>
  <c r="AQ158" i="29"/>
  <c r="CW158" i="29"/>
  <c r="CT158" i="29"/>
  <c r="BV158" i="29"/>
  <c r="BS158" i="29"/>
  <c r="BP158" i="29"/>
  <c r="BN158" i="29"/>
  <c r="CO158" i="29"/>
  <c r="CL158" i="29"/>
  <c r="BC158" i="29"/>
  <c r="AZ158" i="29"/>
  <c r="AN158" i="29"/>
  <c r="AK158" i="29"/>
  <c r="AI158" i="29"/>
  <c r="AF158" i="29"/>
  <c r="AC158" i="29"/>
  <c r="Y158" i="29"/>
  <c r="V158" i="29"/>
  <c r="K158" i="29"/>
  <c r="H158" i="29"/>
  <c r="DB157" i="29"/>
  <c r="CY157" i="29"/>
  <c r="AV157" i="29"/>
  <c r="AQ157" i="29"/>
  <c r="CW157" i="29"/>
  <c r="CT157" i="29"/>
  <c r="BV157" i="29"/>
  <c r="BS157" i="29"/>
  <c r="BP157" i="29"/>
  <c r="BN157" i="29"/>
  <c r="CO157" i="29"/>
  <c r="CL157" i="29"/>
  <c r="BC157" i="29"/>
  <c r="AZ157" i="29"/>
  <c r="AN157" i="29"/>
  <c r="AK157" i="29"/>
  <c r="AH157" i="29"/>
  <c r="AF157" i="29"/>
  <c r="AC157" i="29"/>
  <c r="Y157" i="29"/>
  <c r="V157" i="29"/>
  <c r="K157" i="29"/>
  <c r="H157" i="29"/>
  <c r="DB156" i="29"/>
  <c r="CY156" i="29"/>
  <c r="AV156" i="29"/>
  <c r="AQ156" i="29"/>
  <c r="AS156" i="29" s="1"/>
  <c r="BS156" i="29"/>
  <c r="BP156" i="29"/>
  <c r="CO156" i="29"/>
  <c r="BC156" i="29"/>
  <c r="DB155" i="29"/>
  <c r="CY155" i="29"/>
  <c r="AV155" i="29"/>
  <c r="AQ155" i="29"/>
  <c r="CW155" i="29"/>
  <c r="CT155" i="29"/>
  <c r="BV155" i="29"/>
  <c r="BP155" i="29"/>
  <c r="BN155" i="29"/>
  <c r="CO155" i="29"/>
  <c r="CL155" i="29"/>
  <c r="BC155" i="29"/>
  <c r="AZ155" i="29"/>
  <c r="AM155" i="29"/>
  <c r="AN155" i="29" s="1"/>
  <c r="AJ155" i="29"/>
  <c r="AK155" i="29" s="1"/>
  <c r="AH155" i="29"/>
  <c r="AF155" i="29"/>
  <c r="Y155" i="29"/>
  <c r="V155" i="29"/>
  <c r="K155" i="29"/>
  <c r="H155" i="29"/>
  <c r="DA153" i="29"/>
  <c r="DB153" i="29" s="1"/>
  <c r="CY153" i="29"/>
  <c r="AV153" i="29"/>
  <c r="AQ153" i="29"/>
  <c r="CW153" i="29"/>
  <c r="CT153" i="29"/>
  <c r="BV153" i="29"/>
  <c r="BS153" i="29"/>
  <c r="BP153" i="29"/>
  <c r="CO153" i="29"/>
  <c r="CL153" i="29"/>
  <c r="BC153" i="29"/>
  <c r="AZ153" i="29"/>
  <c r="AN153" i="29"/>
  <c r="AK153" i="29"/>
  <c r="AF153" i="29"/>
  <c r="DB152" i="29"/>
  <c r="CY152" i="29"/>
  <c r="AV152" i="29"/>
  <c r="AQ152" i="29"/>
  <c r="CW152" i="29"/>
  <c r="CT152" i="29"/>
  <c r="BV152" i="29"/>
  <c r="BS152" i="29"/>
  <c r="BP152" i="29"/>
  <c r="BN152" i="29"/>
  <c r="CO152" i="29"/>
  <c r="CL152" i="29"/>
  <c r="BC152" i="29"/>
  <c r="AZ152" i="29"/>
  <c r="AN152" i="29"/>
  <c r="AK152" i="29"/>
  <c r="AH152" i="29"/>
  <c r="AF152" i="29"/>
  <c r="AC152" i="29"/>
  <c r="V152" i="29"/>
  <c r="DB151" i="29"/>
  <c r="CY151" i="29"/>
  <c r="AV151" i="29"/>
  <c r="AQ151" i="29"/>
  <c r="CW151" i="29"/>
  <c r="CT151" i="29"/>
  <c r="BV151" i="29"/>
  <c r="BS151" i="29"/>
  <c r="BP151" i="29"/>
  <c r="BN151" i="29"/>
  <c r="CO151" i="29"/>
  <c r="CL151" i="29"/>
  <c r="BC151" i="29"/>
  <c r="AZ151" i="29"/>
  <c r="AN151" i="29"/>
  <c r="AK151" i="29"/>
  <c r="AI151" i="29"/>
  <c r="AF151" i="29"/>
  <c r="AC151" i="29"/>
  <c r="Y151" i="29"/>
  <c r="V151" i="29"/>
  <c r="K151" i="29"/>
  <c r="H151" i="29"/>
  <c r="DB150" i="29"/>
  <c r="CY150" i="29"/>
  <c r="AV150" i="29"/>
  <c r="AQ150" i="29"/>
  <c r="CW150" i="29"/>
  <c r="CT150" i="29"/>
  <c r="BV150" i="29"/>
  <c r="BS150" i="29"/>
  <c r="BP150" i="29"/>
  <c r="BN150" i="29"/>
  <c r="CO150" i="29"/>
  <c r="CL150" i="29"/>
  <c r="BC150" i="29"/>
  <c r="AZ150" i="29"/>
  <c r="AN150" i="29"/>
  <c r="AK150" i="29"/>
  <c r="AI150" i="29"/>
  <c r="AF150" i="29"/>
  <c r="Y150" i="29"/>
  <c r="V150" i="29"/>
  <c r="K150" i="29"/>
  <c r="H150" i="29"/>
  <c r="DB149" i="29"/>
  <c r="CY149" i="29"/>
  <c r="AV149" i="29"/>
  <c r="AQ149" i="29"/>
  <c r="CW149" i="29"/>
  <c r="CT149" i="29"/>
  <c r="DL149" i="29" s="1"/>
  <c r="BP149" i="29"/>
  <c r="BX149" i="29" s="1"/>
  <c r="CO149" i="29"/>
  <c r="DB148" i="29"/>
  <c r="CY148" i="29"/>
  <c r="AV148" i="29"/>
  <c r="AQ148" i="29"/>
  <c r="CW148" i="29"/>
  <c r="CT148" i="29"/>
  <c r="BV148" i="29"/>
  <c r="BS148" i="29"/>
  <c r="BP148" i="29"/>
  <c r="BN148" i="29"/>
  <c r="CO148" i="29"/>
  <c r="CL148" i="29"/>
  <c r="BC148" i="29"/>
  <c r="AZ148" i="29"/>
  <c r="AN148" i="29"/>
  <c r="AK148" i="29"/>
  <c r="AI148" i="29"/>
  <c r="AF148" i="29"/>
  <c r="AC148" i="29"/>
  <c r="Y148" i="29"/>
  <c r="V148" i="29"/>
  <c r="DB147" i="29"/>
  <c r="CY147" i="29"/>
  <c r="AV147" i="29"/>
  <c r="AQ147" i="29"/>
  <c r="CW147" i="29"/>
  <c r="CT147" i="29"/>
  <c r="BV147" i="29"/>
  <c r="BS147" i="29"/>
  <c r="BP147" i="29"/>
  <c r="BN147" i="29"/>
  <c r="CO147" i="29"/>
  <c r="CL147" i="29"/>
  <c r="BC147" i="29"/>
  <c r="BE147" i="29"/>
  <c r="AN147" i="29"/>
  <c r="AF147" i="29"/>
  <c r="AC147" i="29"/>
  <c r="Y147" i="29"/>
  <c r="V147" i="29"/>
  <c r="DB146" i="29"/>
  <c r="CY146" i="29"/>
  <c r="AV146" i="29"/>
  <c r="AQ146" i="29"/>
  <c r="CW146" i="29"/>
  <c r="CT146" i="29"/>
  <c r="BV146" i="29"/>
  <c r="BS146" i="29"/>
  <c r="BP146" i="29"/>
  <c r="BN146" i="29"/>
  <c r="BE146" i="29"/>
  <c r="CO146" i="29"/>
  <c r="CL146" i="29"/>
  <c r="BC146" i="29"/>
  <c r="AN146" i="29"/>
  <c r="AF146" i="29"/>
  <c r="AC146" i="29"/>
  <c r="Y146" i="29"/>
  <c r="V146" i="29"/>
  <c r="DB143" i="29"/>
  <c r="CY143" i="29"/>
  <c r="AV143" i="29"/>
  <c r="AQ143" i="29"/>
  <c r="CW143" i="29"/>
  <c r="CT143" i="29"/>
  <c r="BV143" i="29"/>
  <c r="BS143" i="29"/>
  <c r="BP143" i="29"/>
  <c r="BN143" i="29"/>
  <c r="CO143" i="29"/>
  <c r="CL143" i="29"/>
  <c r="BC143" i="29"/>
  <c r="AZ143" i="29"/>
  <c r="AN143" i="29"/>
  <c r="AK143" i="29"/>
  <c r="AI143" i="29"/>
  <c r="AF143" i="29"/>
  <c r="AC143" i="29"/>
  <c r="Y143" i="29"/>
  <c r="V143" i="29"/>
  <c r="DB142" i="29"/>
  <c r="CY142" i="29"/>
  <c r="AV142" i="29"/>
  <c r="AQ142" i="29"/>
  <c r="CW142" i="29"/>
  <c r="CT142" i="29"/>
  <c r="DL142" i="29" s="1"/>
  <c r="BP142" i="29"/>
  <c r="BX142" i="29" s="1"/>
  <c r="CO142" i="29"/>
  <c r="DB141" i="29"/>
  <c r="CY141" i="29"/>
  <c r="AV141" i="29"/>
  <c r="AQ141" i="29"/>
  <c r="CW141" i="29"/>
  <c r="CT141" i="29"/>
  <c r="BS141" i="29"/>
  <c r="BP141" i="29"/>
  <c r="BN141" i="29"/>
  <c r="CO141" i="29"/>
  <c r="CL141" i="29"/>
  <c r="BC141" i="29"/>
  <c r="AZ141" i="29"/>
  <c r="AN141" i="29"/>
  <c r="AK141" i="29"/>
  <c r="AI141" i="29"/>
  <c r="AF141" i="29"/>
  <c r="AC141" i="29"/>
  <c r="Y141" i="29"/>
  <c r="V141" i="29"/>
  <c r="K141" i="29"/>
  <c r="H141" i="29"/>
  <c r="DB140" i="29"/>
  <c r="CY140" i="29"/>
  <c r="AV140" i="29"/>
  <c r="AQ140" i="29"/>
  <c r="CW140" i="29"/>
  <c r="CT140" i="29"/>
  <c r="BS140" i="29"/>
  <c r="BP140" i="29"/>
  <c r="BN140" i="29"/>
  <c r="CO140" i="29"/>
  <c r="CL140" i="29"/>
  <c r="BC140" i="29"/>
  <c r="AN140" i="29"/>
  <c r="AK140" i="29"/>
  <c r="BE140" i="29" s="1"/>
  <c r="AI140" i="29"/>
  <c r="AF140" i="29"/>
  <c r="AC140" i="29"/>
  <c r="Y140" i="29"/>
  <c r="V140" i="29"/>
  <c r="DB139" i="29"/>
  <c r="CY139" i="29"/>
  <c r="AV139" i="29"/>
  <c r="AQ139" i="29"/>
  <c r="CW139" i="29"/>
  <c r="CT139" i="29"/>
  <c r="BS139" i="29"/>
  <c r="BP139" i="29"/>
  <c r="BN139" i="29"/>
  <c r="CO139" i="29"/>
  <c r="CL139" i="29"/>
  <c r="BC139" i="29"/>
  <c r="AZ139" i="29"/>
  <c r="AN139" i="29"/>
  <c r="AK139" i="29"/>
  <c r="AI139" i="29"/>
  <c r="AF139" i="29"/>
  <c r="AC139" i="29"/>
  <c r="Y139" i="29"/>
  <c r="V139" i="29"/>
  <c r="K139" i="29"/>
  <c r="H139" i="29"/>
  <c r="DB138" i="29"/>
  <c r="CY138" i="29"/>
  <c r="AV138" i="29"/>
  <c r="AQ138" i="29"/>
  <c r="CW138" i="29"/>
  <c r="CT138" i="29"/>
  <c r="BV138" i="29"/>
  <c r="BS138" i="29"/>
  <c r="BP138" i="29"/>
  <c r="BN138" i="29"/>
  <c r="CO138" i="29"/>
  <c r="CL138" i="29"/>
  <c r="BC138" i="29"/>
  <c r="AZ138" i="29"/>
  <c r="AN138" i="29"/>
  <c r="AK138" i="29"/>
  <c r="AI138" i="29"/>
  <c r="AF138" i="29"/>
  <c r="AC138" i="29"/>
  <c r="Y138" i="29"/>
  <c r="V138" i="29"/>
  <c r="K138" i="29"/>
  <c r="H138" i="29"/>
  <c r="DB137" i="29"/>
  <c r="CY137" i="29"/>
  <c r="AV137" i="29"/>
  <c r="AQ137" i="29"/>
  <c r="CW137" i="29"/>
  <c r="CT137" i="29"/>
  <c r="BV137" i="29"/>
  <c r="BS137" i="29"/>
  <c r="BP137" i="29"/>
  <c r="BN137" i="29"/>
  <c r="CO137" i="29"/>
  <c r="CL137" i="29"/>
  <c r="BC137" i="29"/>
  <c r="AZ137" i="29"/>
  <c r="AN137" i="29"/>
  <c r="AK137" i="29"/>
  <c r="AI137" i="29"/>
  <c r="AF137" i="29"/>
  <c r="AC137" i="29"/>
  <c r="Y137" i="29"/>
  <c r="V137" i="29"/>
  <c r="K137" i="29"/>
  <c r="H137" i="29"/>
  <c r="DB136" i="29"/>
  <c r="CY136" i="29"/>
  <c r="AV136" i="29"/>
  <c r="AQ136" i="29"/>
  <c r="CW136" i="29"/>
  <c r="CT136" i="29"/>
  <c r="BV136" i="29"/>
  <c r="BS136" i="29"/>
  <c r="BP136" i="29"/>
  <c r="BN136" i="29"/>
  <c r="CO136" i="29"/>
  <c r="CL136" i="29"/>
  <c r="BC136" i="29"/>
  <c r="AZ136" i="29"/>
  <c r="AN136" i="29"/>
  <c r="AK136" i="29"/>
  <c r="AI136" i="29"/>
  <c r="AF136" i="29"/>
  <c r="AC136" i="29"/>
  <c r="Y136" i="29"/>
  <c r="V136" i="29"/>
  <c r="K136" i="29"/>
  <c r="H136" i="29"/>
  <c r="DB135" i="29"/>
  <c r="CY135" i="29"/>
  <c r="AV135" i="29"/>
  <c r="AQ135" i="29"/>
  <c r="CW135" i="29"/>
  <c r="CT135" i="29"/>
  <c r="DL135" i="29" s="1"/>
  <c r="BP135" i="29"/>
  <c r="BX135" i="29" s="1"/>
  <c r="CO135" i="29"/>
  <c r="DB134" i="29"/>
  <c r="CY134" i="29"/>
  <c r="AV134" i="29"/>
  <c r="AQ134" i="29"/>
  <c r="CW134" i="29"/>
  <c r="CT134" i="29"/>
  <c r="BV134" i="29"/>
  <c r="BS134" i="29"/>
  <c r="BP134" i="29"/>
  <c r="BN134" i="29"/>
  <c r="CO134" i="29"/>
  <c r="CL134" i="29"/>
  <c r="BC134" i="29"/>
  <c r="AZ134" i="29"/>
  <c r="AN134" i="29"/>
  <c r="AK134" i="29"/>
  <c r="AI134" i="29"/>
  <c r="AF134" i="29"/>
  <c r="AC134" i="29"/>
  <c r="Y134" i="29"/>
  <c r="V134" i="29"/>
  <c r="K134" i="29"/>
  <c r="DB133" i="29"/>
  <c r="CY133" i="29"/>
  <c r="AV133" i="29"/>
  <c r="AQ133" i="29"/>
  <c r="CW133" i="29"/>
  <c r="CT133" i="29"/>
  <c r="BV133" i="29"/>
  <c r="BS133" i="29"/>
  <c r="BP133" i="29"/>
  <c r="CO133" i="29"/>
  <c r="CL133" i="29"/>
  <c r="BC133" i="29"/>
  <c r="AZ133" i="29"/>
  <c r="AN133" i="29"/>
  <c r="AK133" i="29"/>
  <c r="AI133" i="29"/>
  <c r="AF133" i="29"/>
  <c r="Y133" i="29"/>
  <c r="V133" i="29"/>
  <c r="DB132" i="29"/>
  <c r="CY132" i="29"/>
  <c r="AV132" i="29"/>
  <c r="AQ132" i="29"/>
  <c r="CW132" i="29"/>
  <c r="CT132" i="29"/>
  <c r="BV132" i="29"/>
  <c r="BS132" i="29"/>
  <c r="BP132" i="29"/>
  <c r="BN132" i="29"/>
  <c r="CO132" i="29"/>
  <c r="CL132" i="29"/>
  <c r="BC132" i="29"/>
  <c r="AZ132" i="29"/>
  <c r="AN132" i="29"/>
  <c r="AK132" i="29"/>
  <c r="AI132" i="29"/>
  <c r="AF132" i="29"/>
  <c r="Y132" i="29"/>
  <c r="K132" i="29"/>
  <c r="DB131" i="29"/>
  <c r="CY131" i="29"/>
  <c r="AV131" i="29"/>
  <c r="AQ131" i="29"/>
  <c r="CW131" i="29"/>
  <c r="CT131" i="29"/>
  <c r="BV131" i="29"/>
  <c r="BR131" i="29"/>
  <c r="BS131" i="29" s="1"/>
  <c r="BP131" i="29"/>
  <c r="BN131" i="29"/>
  <c r="CO131" i="29"/>
  <c r="CL131" i="29"/>
  <c r="BB131" i="29"/>
  <c r="AZ131" i="29"/>
  <c r="AN131" i="29"/>
  <c r="AK131" i="29"/>
  <c r="AI131" i="29"/>
  <c r="AF131" i="29"/>
  <c r="Y131" i="29"/>
  <c r="V131" i="29"/>
  <c r="K131" i="29"/>
  <c r="DB130" i="29"/>
  <c r="CY130" i="29"/>
  <c r="AV130" i="29"/>
  <c r="AQ130" i="29"/>
  <c r="CW130" i="29"/>
  <c r="CT130" i="29"/>
  <c r="DL130" i="29" s="1"/>
  <c r="BP130" i="29"/>
  <c r="BX130" i="29" s="1"/>
  <c r="CO130" i="29"/>
  <c r="DB129" i="29"/>
  <c r="CY129" i="29"/>
  <c r="AV129" i="29"/>
  <c r="AQ129" i="29"/>
  <c r="CW129" i="29"/>
  <c r="CT129" i="29"/>
  <c r="BV129" i="29"/>
  <c r="BS129" i="29"/>
  <c r="BP129" i="29"/>
  <c r="BN129" i="29"/>
  <c r="CO129" i="29"/>
  <c r="CL129" i="29"/>
  <c r="BC129" i="29"/>
  <c r="AZ129" i="29"/>
  <c r="AN129" i="29"/>
  <c r="AK129" i="29"/>
  <c r="AI129" i="29"/>
  <c r="AF129" i="29"/>
  <c r="AC129" i="29"/>
  <c r="Y129" i="29"/>
  <c r="V129" i="29"/>
  <c r="K129" i="29"/>
  <c r="H129" i="29"/>
  <c r="DB128" i="29"/>
  <c r="CY128" i="29"/>
  <c r="AV128" i="29"/>
  <c r="AQ128" i="29"/>
  <c r="CW128" i="29"/>
  <c r="CT128" i="29"/>
  <c r="BV128" i="29"/>
  <c r="BS128" i="29"/>
  <c r="BP128" i="29"/>
  <c r="BN128" i="29"/>
  <c r="CO128" i="29"/>
  <c r="CL128" i="29"/>
  <c r="BC128" i="29"/>
  <c r="AZ128" i="29"/>
  <c r="AN128" i="29"/>
  <c r="AK128" i="29"/>
  <c r="AI128" i="29"/>
  <c r="AF128" i="29"/>
  <c r="AC128" i="29"/>
  <c r="Y128" i="29"/>
  <c r="V128" i="29"/>
  <c r="K128" i="29"/>
  <c r="H128" i="29"/>
  <c r="DB127" i="29"/>
  <c r="CY127" i="29"/>
  <c r="AV127" i="29"/>
  <c r="AQ127" i="29"/>
  <c r="CW127" i="29"/>
  <c r="CT127" i="29"/>
  <c r="BV127" i="29"/>
  <c r="BS127" i="29"/>
  <c r="BP127" i="29"/>
  <c r="BN127" i="29"/>
  <c r="CO127" i="29"/>
  <c r="CL127" i="29"/>
  <c r="BC127" i="29"/>
  <c r="AZ127" i="29"/>
  <c r="AN127" i="29"/>
  <c r="AK127" i="29"/>
  <c r="AI127" i="29"/>
  <c r="AF127" i="29"/>
  <c r="AC127" i="29"/>
  <c r="Y127" i="29"/>
  <c r="V127" i="29"/>
  <c r="K127" i="29"/>
  <c r="H127" i="29"/>
  <c r="DB126" i="29"/>
  <c r="CY126" i="29"/>
  <c r="AV126" i="29"/>
  <c r="AQ126" i="29"/>
  <c r="CW126" i="29"/>
  <c r="CT126" i="29"/>
  <c r="BV126" i="29"/>
  <c r="BS126" i="29"/>
  <c r="BP126" i="29"/>
  <c r="BN126" i="29"/>
  <c r="CO126" i="29"/>
  <c r="CL126" i="29"/>
  <c r="BC126" i="29"/>
  <c r="AZ126" i="29"/>
  <c r="AN126" i="29"/>
  <c r="AK126" i="29"/>
  <c r="AI126" i="29"/>
  <c r="AF126" i="29"/>
  <c r="AC126" i="29"/>
  <c r="Y126" i="29"/>
  <c r="V126" i="29"/>
  <c r="K126" i="29"/>
  <c r="H126" i="29"/>
  <c r="DB125" i="29"/>
  <c r="CY125" i="29"/>
  <c r="AV125" i="29"/>
  <c r="AQ125" i="29"/>
  <c r="CW125" i="29"/>
  <c r="CT125" i="29"/>
  <c r="BV125" i="29"/>
  <c r="BS125" i="29"/>
  <c r="BP125" i="29"/>
  <c r="BN125" i="29"/>
  <c r="CO125" i="29"/>
  <c r="CL125" i="29"/>
  <c r="BC125" i="29"/>
  <c r="AZ125" i="29"/>
  <c r="AN125" i="29"/>
  <c r="AK125" i="29"/>
  <c r="AI125" i="29"/>
  <c r="AF125" i="29"/>
  <c r="AC125" i="29"/>
  <c r="Y125" i="29"/>
  <c r="V125" i="29"/>
  <c r="K125" i="29"/>
  <c r="H125" i="29"/>
  <c r="DB124" i="29"/>
  <c r="CY124" i="29"/>
  <c r="AV124" i="29"/>
  <c r="AQ124" i="29"/>
  <c r="CW124" i="29"/>
  <c r="CT124" i="29"/>
  <c r="BV124" i="29"/>
  <c r="BS124" i="29"/>
  <c r="BP124" i="29"/>
  <c r="BN124" i="29"/>
  <c r="CO124" i="29"/>
  <c r="CL124" i="29"/>
  <c r="BC124" i="29"/>
  <c r="AZ124" i="29"/>
  <c r="AN124" i="29"/>
  <c r="AK124" i="29"/>
  <c r="AI124" i="29"/>
  <c r="AF124" i="29"/>
  <c r="AC124" i="29"/>
  <c r="Y124" i="29"/>
  <c r="V124" i="29"/>
  <c r="K124" i="29"/>
  <c r="H124" i="29"/>
  <c r="DB123" i="29"/>
  <c r="CY123" i="29"/>
  <c r="AV123" i="29"/>
  <c r="AQ123" i="29"/>
  <c r="CW123" i="29"/>
  <c r="CT123" i="29"/>
  <c r="BV123" i="29"/>
  <c r="BS123" i="29"/>
  <c r="BP123" i="29"/>
  <c r="BN123" i="29"/>
  <c r="CO123" i="29"/>
  <c r="CL123" i="29"/>
  <c r="BC123" i="29"/>
  <c r="AZ123" i="29"/>
  <c r="AN123" i="29"/>
  <c r="AK123" i="29"/>
  <c r="AI123" i="29"/>
  <c r="AF123" i="29"/>
  <c r="AC123" i="29"/>
  <c r="Y123" i="29"/>
  <c r="V123" i="29"/>
  <c r="K123" i="29"/>
  <c r="H123" i="29"/>
  <c r="DB122" i="29"/>
  <c r="CY122" i="29"/>
  <c r="AV122" i="29"/>
  <c r="AQ122" i="29"/>
  <c r="CW122" i="29"/>
  <c r="CT122" i="29"/>
  <c r="BV122" i="29"/>
  <c r="BS122" i="29"/>
  <c r="BP122" i="29"/>
  <c r="BN122" i="29"/>
  <c r="CO122" i="29"/>
  <c r="CL122" i="29"/>
  <c r="BC122" i="29"/>
  <c r="AZ122" i="29"/>
  <c r="AN122" i="29"/>
  <c r="AK122" i="29"/>
  <c r="AI122" i="29"/>
  <c r="AF122" i="29"/>
  <c r="AC122" i="29"/>
  <c r="Y122" i="29"/>
  <c r="V122" i="29"/>
  <c r="K122" i="29"/>
  <c r="H122" i="29"/>
  <c r="DB121" i="29"/>
  <c r="CY121" i="29"/>
  <c r="AV121" i="29"/>
  <c r="AQ121" i="29"/>
  <c r="CW121" i="29"/>
  <c r="CT121" i="29"/>
  <c r="BV121" i="29"/>
  <c r="BS121" i="29"/>
  <c r="BP121" i="29"/>
  <c r="BN121" i="29"/>
  <c r="CO121" i="29"/>
  <c r="CL121" i="29"/>
  <c r="BC121" i="29"/>
  <c r="AZ121" i="29"/>
  <c r="AN121" i="29"/>
  <c r="AK121" i="29"/>
  <c r="AI121" i="29"/>
  <c r="AF121" i="29"/>
  <c r="AC121" i="29"/>
  <c r="Y121" i="29"/>
  <c r="V121" i="29"/>
  <c r="K121" i="29"/>
  <c r="H121" i="29"/>
  <c r="DB120" i="29"/>
  <c r="CY120" i="29"/>
  <c r="AV120" i="29"/>
  <c r="AQ120" i="29"/>
  <c r="CW120" i="29"/>
  <c r="CT120" i="29"/>
  <c r="DL120" i="29" s="1"/>
  <c r="BP120" i="29"/>
  <c r="BX120" i="29" s="1"/>
  <c r="CO120" i="29"/>
  <c r="DB119" i="29"/>
  <c r="CY119" i="29"/>
  <c r="AV119" i="29"/>
  <c r="AQ119" i="29"/>
  <c r="CW119" i="29"/>
  <c r="CT119" i="29"/>
  <c r="BV119" i="29"/>
  <c r="BS119" i="29"/>
  <c r="BP119" i="29"/>
  <c r="BN119" i="29"/>
  <c r="CO119" i="29"/>
  <c r="CL119" i="29"/>
  <c r="BC119" i="29"/>
  <c r="AZ119" i="29"/>
  <c r="AN119" i="29"/>
  <c r="AK119" i="29"/>
  <c r="AI119" i="29"/>
  <c r="AF119" i="29"/>
  <c r="AC119" i="29"/>
  <c r="Y119" i="29"/>
  <c r="V119" i="29"/>
  <c r="K119" i="29"/>
  <c r="H119" i="29"/>
  <c r="DB118" i="29"/>
  <c r="CY118" i="29"/>
  <c r="AV118" i="29"/>
  <c r="AQ118" i="29"/>
  <c r="CW118" i="29"/>
  <c r="CT118" i="29"/>
  <c r="BV118" i="29"/>
  <c r="BS118" i="29"/>
  <c r="BP118" i="29"/>
  <c r="BN118" i="29"/>
  <c r="CO118" i="29"/>
  <c r="CL118" i="29"/>
  <c r="BC118" i="29"/>
  <c r="AZ118" i="29"/>
  <c r="AN118" i="29"/>
  <c r="AK118" i="29"/>
  <c r="AI118" i="29"/>
  <c r="AF118" i="29"/>
  <c r="AC118" i="29"/>
  <c r="Y118" i="29"/>
  <c r="V118" i="29"/>
  <c r="K118" i="29"/>
  <c r="H118" i="29"/>
  <c r="DB117" i="29"/>
  <c r="CY117" i="29"/>
  <c r="AV117" i="29"/>
  <c r="AQ117" i="29"/>
  <c r="CW117" i="29"/>
  <c r="CT117" i="29"/>
  <c r="BV117" i="29"/>
  <c r="BS117" i="29"/>
  <c r="BP117" i="29"/>
  <c r="BN117" i="29"/>
  <c r="CO117" i="29"/>
  <c r="CL117" i="29"/>
  <c r="BC117" i="29"/>
  <c r="AZ117" i="29"/>
  <c r="AN117" i="29"/>
  <c r="AK117" i="29"/>
  <c r="AI117" i="29"/>
  <c r="AF117" i="29"/>
  <c r="AC117" i="29"/>
  <c r="Y117" i="29"/>
  <c r="V117" i="29"/>
  <c r="K117" i="29"/>
  <c r="DB116" i="29"/>
  <c r="CY116" i="29"/>
  <c r="AV116" i="29"/>
  <c r="AQ116" i="29"/>
  <c r="CW116" i="29"/>
  <c r="CT116" i="29"/>
  <c r="BV116" i="29"/>
  <c r="BS116" i="29"/>
  <c r="BP116" i="29"/>
  <c r="BN116" i="29"/>
  <c r="CO116" i="29"/>
  <c r="CL116" i="29"/>
  <c r="BC116" i="29"/>
  <c r="AZ116" i="29"/>
  <c r="AN116" i="29"/>
  <c r="AK116" i="29"/>
  <c r="AI116" i="29"/>
  <c r="AF116" i="29"/>
  <c r="AC116" i="29"/>
  <c r="Y116" i="29"/>
  <c r="V116" i="29"/>
  <c r="K116" i="29"/>
  <c r="H116" i="29"/>
  <c r="DB115" i="29"/>
  <c r="CY115" i="29"/>
  <c r="AV115" i="29"/>
  <c r="AQ115" i="29"/>
  <c r="CW115" i="29"/>
  <c r="CT115" i="29"/>
  <c r="BV115" i="29"/>
  <c r="BS115" i="29"/>
  <c r="BP115" i="29"/>
  <c r="BN115" i="29"/>
  <c r="CO115" i="29"/>
  <c r="CL115" i="29"/>
  <c r="BC115" i="29"/>
  <c r="AZ115" i="29"/>
  <c r="AN115" i="29"/>
  <c r="AK115" i="29"/>
  <c r="AI115" i="29"/>
  <c r="AF115" i="29"/>
  <c r="AC115" i="29"/>
  <c r="Y115" i="29"/>
  <c r="V115" i="29"/>
  <c r="DB114" i="29"/>
  <c r="CY114" i="29"/>
  <c r="AV114" i="29"/>
  <c r="AQ114" i="29"/>
  <c r="CT114" i="29"/>
  <c r="BV114" i="29"/>
  <c r="BS114" i="29"/>
  <c r="BP114" i="29"/>
  <c r="BN114" i="29"/>
  <c r="CO114" i="29"/>
  <c r="CL114" i="29"/>
  <c r="BC114" i="29"/>
  <c r="AZ114" i="29"/>
  <c r="AN114" i="29"/>
  <c r="AK114" i="29"/>
  <c r="AI114" i="29"/>
  <c r="AF114" i="29"/>
  <c r="AC114" i="29"/>
  <c r="Y114" i="29"/>
  <c r="V114" i="29"/>
  <c r="DB113" i="29"/>
  <c r="CY113" i="29"/>
  <c r="AV113" i="29"/>
  <c r="AQ113" i="29"/>
  <c r="CW113" i="29"/>
  <c r="CT113" i="29"/>
  <c r="BV113" i="29"/>
  <c r="BS113" i="29"/>
  <c r="BP113" i="29"/>
  <c r="BN113" i="29"/>
  <c r="CO113" i="29"/>
  <c r="CL113" i="29"/>
  <c r="BC113" i="29"/>
  <c r="AZ113" i="29"/>
  <c r="AN113" i="29"/>
  <c r="AK113" i="29"/>
  <c r="AI113" i="29"/>
  <c r="AF113" i="29"/>
  <c r="AC113" i="29"/>
  <c r="Y113" i="29"/>
  <c r="V113" i="29"/>
  <c r="K113" i="29"/>
  <c r="H113" i="29"/>
  <c r="DB112" i="29"/>
  <c r="CY112" i="29"/>
  <c r="AV112" i="29"/>
  <c r="AQ112" i="29"/>
  <c r="CW112" i="29"/>
  <c r="CT112" i="29"/>
  <c r="BV112" i="29"/>
  <c r="BS112" i="29"/>
  <c r="BP112" i="29"/>
  <c r="BN112" i="29"/>
  <c r="CO112" i="29"/>
  <c r="CL112" i="29"/>
  <c r="BC112" i="29"/>
  <c r="AZ112" i="29"/>
  <c r="AN112" i="29"/>
  <c r="AK112" i="29"/>
  <c r="AI112" i="29"/>
  <c r="AF112" i="29"/>
  <c r="AC112" i="29"/>
  <c r="Y112" i="29"/>
  <c r="V112" i="29"/>
  <c r="K112" i="29"/>
  <c r="H112" i="29"/>
  <c r="DB111" i="29"/>
  <c r="CY111" i="29"/>
  <c r="AV111" i="29"/>
  <c r="AQ111" i="29"/>
  <c r="CW111" i="29"/>
  <c r="CT111" i="29"/>
  <c r="BV111" i="29"/>
  <c r="BS111" i="29"/>
  <c r="BP111" i="29"/>
  <c r="BN111" i="29"/>
  <c r="CO111" i="29"/>
  <c r="CL111" i="29"/>
  <c r="BC111" i="29"/>
  <c r="AZ111" i="29"/>
  <c r="AN111" i="29"/>
  <c r="AK111" i="29"/>
  <c r="AI111" i="29"/>
  <c r="AF111" i="29"/>
  <c r="AC111" i="29"/>
  <c r="Y111" i="29"/>
  <c r="V111" i="29"/>
  <c r="K111" i="29"/>
  <c r="H111" i="29"/>
  <c r="DB110" i="29"/>
  <c r="CY110" i="29"/>
  <c r="AV110" i="29"/>
  <c r="AQ110" i="29"/>
  <c r="CW110" i="29"/>
  <c r="CT110" i="29"/>
  <c r="BV110" i="29"/>
  <c r="BS110" i="29"/>
  <c r="BP110" i="29"/>
  <c r="BN110" i="29"/>
  <c r="CO110" i="29"/>
  <c r="CL110" i="29"/>
  <c r="BC110" i="29"/>
  <c r="AZ110" i="29"/>
  <c r="AN110" i="29"/>
  <c r="AK110" i="29"/>
  <c r="AI110" i="29"/>
  <c r="AF110" i="29"/>
  <c r="AC110" i="29"/>
  <c r="Y110" i="29"/>
  <c r="V110" i="29"/>
  <c r="K110" i="29"/>
  <c r="H110" i="29"/>
  <c r="DB109" i="29"/>
  <c r="CY109" i="29"/>
  <c r="AV109" i="29"/>
  <c r="AQ109" i="29"/>
  <c r="CW109" i="29"/>
  <c r="CT109" i="29"/>
  <c r="BV109" i="29"/>
  <c r="BS109" i="29"/>
  <c r="BP109" i="29"/>
  <c r="BN109" i="29"/>
  <c r="CO109" i="29"/>
  <c r="CL109" i="29"/>
  <c r="BC109" i="29"/>
  <c r="AZ109" i="29"/>
  <c r="AN109" i="29"/>
  <c r="AK109" i="29"/>
  <c r="AI109" i="29"/>
  <c r="AF109" i="29"/>
  <c r="AC109" i="29"/>
  <c r="Y109" i="29"/>
  <c r="V109" i="29"/>
  <c r="K109" i="29"/>
  <c r="H109" i="29"/>
  <c r="DB108" i="29"/>
  <c r="CY108" i="29"/>
  <c r="AV108" i="29"/>
  <c r="AQ108" i="29"/>
  <c r="CW108" i="29"/>
  <c r="CT108" i="29"/>
  <c r="BV108" i="29"/>
  <c r="BS108" i="29"/>
  <c r="BP108" i="29"/>
  <c r="BN108" i="29"/>
  <c r="CO108" i="29"/>
  <c r="CL108" i="29"/>
  <c r="BC108" i="29"/>
  <c r="AZ108" i="29"/>
  <c r="AN108" i="29"/>
  <c r="AK108" i="29"/>
  <c r="AI108" i="29"/>
  <c r="AF108" i="29"/>
  <c r="AC108" i="29"/>
  <c r="Y108" i="29"/>
  <c r="V108" i="29"/>
  <c r="DB107" i="29"/>
  <c r="CY107" i="29"/>
  <c r="AV107" i="29"/>
  <c r="AQ107" i="29"/>
  <c r="CW107" i="29"/>
  <c r="CT107" i="29"/>
  <c r="DL107" i="29" s="1"/>
  <c r="BP107" i="29"/>
  <c r="BX107" i="29" s="1"/>
  <c r="CO107" i="29"/>
  <c r="DB106" i="29"/>
  <c r="CY106" i="29"/>
  <c r="AV106" i="29"/>
  <c r="AQ106" i="29"/>
  <c r="CW106" i="29"/>
  <c r="CT106" i="29"/>
  <c r="BV106" i="29"/>
  <c r="BS106" i="29"/>
  <c r="BP106" i="29"/>
  <c r="BN106" i="29"/>
  <c r="CO106" i="29"/>
  <c r="CL106" i="29"/>
  <c r="BC106" i="29"/>
  <c r="AZ106" i="29"/>
  <c r="AN106" i="29"/>
  <c r="AK106" i="29"/>
  <c r="AI106" i="29"/>
  <c r="AF106" i="29"/>
  <c r="AC106" i="29"/>
  <c r="Y106" i="29"/>
  <c r="V106" i="29"/>
  <c r="DB105" i="29"/>
  <c r="CY105" i="29"/>
  <c r="AV105" i="29"/>
  <c r="AQ105" i="29"/>
  <c r="CW105" i="29"/>
  <c r="CT105" i="29"/>
  <c r="BV105" i="29"/>
  <c r="BR105" i="29"/>
  <c r="BS105" i="29" s="1"/>
  <c r="BP105" i="29"/>
  <c r="BN105" i="29"/>
  <c r="CO105" i="29"/>
  <c r="CL105" i="29"/>
  <c r="BC105" i="29"/>
  <c r="AZ105" i="29"/>
  <c r="AN105" i="29"/>
  <c r="AK105" i="29"/>
  <c r="AI105" i="29"/>
  <c r="AF105" i="29"/>
  <c r="Y105" i="29"/>
  <c r="V105" i="29"/>
  <c r="K105" i="29"/>
  <c r="DB104" i="29"/>
  <c r="CY104" i="29"/>
  <c r="AV104" i="29"/>
  <c r="AQ104" i="29"/>
  <c r="CW104" i="29"/>
  <c r="CT104" i="29"/>
  <c r="BV104" i="29"/>
  <c r="BR104" i="29"/>
  <c r="BS104" i="29" s="1"/>
  <c r="BP104" i="29"/>
  <c r="BN104" i="29"/>
  <c r="CO104" i="29"/>
  <c r="CL104" i="29"/>
  <c r="BC104" i="29"/>
  <c r="AZ104" i="29"/>
  <c r="AN104" i="29"/>
  <c r="AK104" i="29"/>
  <c r="AI104" i="29"/>
  <c r="AF104" i="29"/>
  <c r="Y104" i="29"/>
  <c r="V104" i="29"/>
  <c r="DB103" i="29"/>
  <c r="CY103" i="29"/>
  <c r="AV103" i="29"/>
  <c r="AQ103" i="29"/>
  <c r="CW103" i="29"/>
  <c r="CT103" i="29"/>
  <c r="BV103" i="29"/>
  <c r="BS103" i="29"/>
  <c r="BP103" i="29"/>
  <c r="BN103" i="29"/>
  <c r="CO103" i="29"/>
  <c r="CL103" i="29"/>
  <c r="BC103" i="29"/>
  <c r="AZ103" i="29"/>
  <c r="AN103" i="29"/>
  <c r="AK103" i="29"/>
  <c r="AI103" i="29"/>
  <c r="AF103" i="29"/>
  <c r="AC103" i="29"/>
  <c r="Y103" i="29"/>
  <c r="V103" i="29"/>
  <c r="DB102" i="29"/>
  <c r="CY102" i="29"/>
  <c r="AV102" i="29"/>
  <c r="AQ102" i="29"/>
  <c r="CW102" i="29"/>
  <c r="CT102" i="29"/>
  <c r="BV102" i="29"/>
  <c r="BS102" i="29"/>
  <c r="BP102" i="29"/>
  <c r="BN102" i="29"/>
  <c r="CO102" i="29"/>
  <c r="CL102" i="29"/>
  <c r="BC102" i="29"/>
  <c r="AZ102" i="29"/>
  <c r="AN102" i="29"/>
  <c r="AK102" i="29"/>
  <c r="AI102" i="29"/>
  <c r="AF102" i="29"/>
  <c r="AC102" i="29"/>
  <c r="Y102" i="29"/>
  <c r="V102" i="29"/>
  <c r="K102" i="29"/>
  <c r="H102" i="29"/>
  <c r="DB101" i="29"/>
  <c r="CY101" i="29"/>
  <c r="AV101" i="29"/>
  <c r="AQ101" i="29"/>
  <c r="CW101" i="29"/>
  <c r="CT101" i="29"/>
  <c r="BV101" i="29"/>
  <c r="BR101" i="29"/>
  <c r="BS101" i="29" s="1"/>
  <c r="BP101" i="29"/>
  <c r="BN101" i="29"/>
  <c r="CO101" i="29"/>
  <c r="CL101" i="29"/>
  <c r="BC101" i="29"/>
  <c r="AZ101" i="29"/>
  <c r="AN101" i="29"/>
  <c r="AK101" i="29"/>
  <c r="AI101" i="29"/>
  <c r="AF101" i="29"/>
  <c r="Y101" i="29"/>
  <c r="V101" i="29"/>
  <c r="DB100" i="29"/>
  <c r="CY100" i="29"/>
  <c r="AV100" i="29"/>
  <c r="AQ100" i="29"/>
  <c r="CW100" i="29"/>
  <c r="CT100" i="29"/>
  <c r="BV100" i="29"/>
  <c r="BR100" i="29"/>
  <c r="BS100" i="29" s="1"/>
  <c r="BP100" i="29"/>
  <c r="BN100" i="29"/>
  <c r="CO100" i="29"/>
  <c r="CL100" i="29"/>
  <c r="BC100" i="29"/>
  <c r="AZ100" i="29"/>
  <c r="AN100" i="29"/>
  <c r="AK100" i="29"/>
  <c r="AI100" i="29"/>
  <c r="AF100" i="29"/>
  <c r="Y100" i="29"/>
  <c r="V100" i="29"/>
  <c r="DB99" i="29"/>
  <c r="CY99" i="29"/>
  <c r="AV99" i="29"/>
  <c r="AQ99" i="29"/>
  <c r="CW99" i="29"/>
  <c r="CT99" i="29"/>
  <c r="BV99" i="29"/>
  <c r="BS99" i="29"/>
  <c r="BP99" i="29"/>
  <c r="BN99" i="29"/>
  <c r="CO99" i="29"/>
  <c r="CL99" i="29"/>
  <c r="BC99" i="29"/>
  <c r="AZ99" i="29"/>
  <c r="AN99" i="29"/>
  <c r="AK99" i="29"/>
  <c r="AI99" i="29"/>
  <c r="AF99" i="29"/>
  <c r="AC99" i="29"/>
  <c r="Y99" i="29"/>
  <c r="V99" i="29"/>
  <c r="DB98" i="29"/>
  <c r="CY98" i="29"/>
  <c r="AV98" i="29"/>
  <c r="BV98" i="29"/>
  <c r="BR98" i="29"/>
  <c r="BS98" i="29" s="1"/>
  <c r="BP98" i="29"/>
  <c r="BN98" i="29"/>
  <c r="CO98" i="29"/>
  <c r="CL98" i="29"/>
  <c r="BC98" i="29"/>
  <c r="AZ98" i="29"/>
  <c r="AN98" i="29"/>
  <c r="AK98" i="29"/>
  <c r="AI98" i="29"/>
  <c r="AF98" i="29"/>
  <c r="AC98" i="29"/>
  <c r="DL98" i="29" s="1"/>
  <c r="DM98" i="29" s="1"/>
  <c r="Y98" i="29"/>
  <c r="V98" i="29"/>
  <c r="K98" i="29"/>
  <c r="DB97" i="29"/>
  <c r="CY97" i="29"/>
  <c r="AV97" i="29"/>
  <c r="AQ97" i="29"/>
  <c r="CW97" i="29"/>
  <c r="CT97" i="29"/>
  <c r="BV97" i="29"/>
  <c r="BS97" i="29"/>
  <c r="BP97" i="29"/>
  <c r="BN97" i="29"/>
  <c r="CO97" i="29"/>
  <c r="CL97" i="29"/>
  <c r="BC97" i="29"/>
  <c r="AZ97" i="29"/>
  <c r="AN97" i="29"/>
  <c r="AK97" i="29"/>
  <c r="AI97" i="29"/>
  <c r="AF97" i="29"/>
  <c r="AC97" i="29"/>
  <c r="Y97" i="29"/>
  <c r="V97" i="29"/>
  <c r="K97" i="29"/>
  <c r="H97" i="29"/>
  <c r="DB96" i="29"/>
  <c r="CY96" i="29"/>
  <c r="AV96" i="29"/>
  <c r="AQ96" i="29"/>
  <c r="CW96" i="29"/>
  <c r="CT96" i="29"/>
  <c r="BV96" i="29"/>
  <c r="BS96" i="29"/>
  <c r="BP96" i="29"/>
  <c r="BM96" i="29"/>
  <c r="BN96" i="29" s="1"/>
  <c r="CO96" i="29"/>
  <c r="CL96" i="29"/>
  <c r="BC96" i="29"/>
  <c r="AZ96" i="29"/>
  <c r="AN96" i="29"/>
  <c r="AK96" i="29"/>
  <c r="AI96" i="29"/>
  <c r="AF96" i="29"/>
  <c r="AC96" i="29"/>
  <c r="Y96" i="29"/>
  <c r="K96" i="29"/>
  <c r="H96" i="29"/>
  <c r="DB95" i="29"/>
  <c r="CY95" i="29"/>
  <c r="AV95" i="29"/>
  <c r="AQ95" i="29"/>
  <c r="CW95" i="29"/>
  <c r="CT95" i="29"/>
  <c r="BV95" i="29"/>
  <c r="BS95" i="29"/>
  <c r="BP95" i="29"/>
  <c r="BM95" i="29"/>
  <c r="BN95" i="29" s="1"/>
  <c r="CO95" i="29"/>
  <c r="CL95" i="29"/>
  <c r="BC95" i="29"/>
  <c r="AZ95" i="29"/>
  <c r="AN95" i="29"/>
  <c r="AK95" i="29"/>
  <c r="AI95" i="29"/>
  <c r="AF95" i="29"/>
  <c r="AC95" i="29"/>
  <c r="Y95" i="29"/>
  <c r="K95" i="29"/>
  <c r="H95" i="29"/>
  <c r="DB94" i="29"/>
  <c r="CY94" i="29"/>
  <c r="AV94" i="29"/>
  <c r="AQ94" i="29"/>
  <c r="CW94" i="29"/>
  <c r="CT94" i="29"/>
  <c r="BV94" i="29"/>
  <c r="BS94" i="29"/>
  <c r="BP94" i="29"/>
  <c r="BN94" i="29"/>
  <c r="CO94" i="29"/>
  <c r="CL94" i="29"/>
  <c r="BC94" i="29"/>
  <c r="AZ94" i="29"/>
  <c r="AN94" i="29"/>
  <c r="AK94" i="29"/>
  <c r="AI94" i="29"/>
  <c r="AF94" i="29"/>
  <c r="AC94" i="29"/>
  <c r="Y94" i="29"/>
  <c r="V94" i="29"/>
  <c r="K94" i="29"/>
  <c r="H94" i="29"/>
  <c r="DB93" i="29"/>
  <c r="CY93" i="29"/>
  <c r="AV93" i="29"/>
  <c r="AQ93" i="29"/>
  <c r="CW93" i="29"/>
  <c r="CT93" i="29"/>
  <c r="BV93" i="29"/>
  <c r="BS93" i="29"/>
  <c r="BP93" i="29"/>
  <c r="BN93" i="29"/>
  <c r="CO93" i="29"/>
  <c r="CL93" i="29"/>
  <c r="BC93" i="29"/>
  <c r="AZ93" i="29"/>
  <c r="AN93" i="29"/>
  <c r="AK93" i="29"/>
  <c r="AI93" i="29"/>
  <c r="AF93" i="29"/>
  <c r="AC93" i="29"/>
  <c r="DB92" i="29"/>
  <c r="CY92" i="29"/>
  <c r="AV92" i="29"/>
  <c r="AQ92" i="29"/>
  <c r="CW92" i="29"/>
  <c r="CT92" i="29"/>
  <c r="BV92" i="29"/>
  <c r="BR92" i="29"/>
  <c r="BS92" i="29" s="1"/>
  <c r="BP92" i="29"/>
  <c r="BM92" i="29"/>
  <c r="BN92" i="29" s="1"/>
  <c r="CO92" i="29"/>
  <c r="CL92" i="29"/>
  <c r="BC92" i="29"/>
  <c r="AZ92" i="29"/>
  <c r="AN92" i="29"/>
  <c r="AK92" i="29"/>
  <c r="AH92" i="29"/>
  <c r="AI92" i="29" s="1"/>
  <c r="AF92" i="29"/>
  <c r="Y92" i="29"/>
  <c r="V92" i="29"/>
  <c r="DB91" i="29"/>
  <c r="CY91" i="29"/>
  <c r="AV91" i="29"/>
  <c r="AQ91" i="29"/>
  <c r="CW91" i="29"/>
  <c r="CT91" i="29"/>
  <c r="BV91" i="29"/>
  <c r="BS91" i="29"/>
  <c r="BP91" i="29"/>
  <c r="BM91" i="29"/>
  <c r="BN91" i="29" s="1"/>
  <c r="CO91" i="29"/>
  <c r="CL91" i="29"/>
  <c r="BC91" i="29"/>
  <c r="AZ91" i="29"/>
  <c r="AN91" i="29"/>
  <c r="AK91" i="29"/>
  <c r="AI91" i="29"/>
  <c r="AF91" i="29"/>
  <c r="AC91" i="29"/>
  <c r="Y91" i="29"/>
  <c r="V91" i="29"/>
  <c r="DB90" i="29"/>
  <c r="CY90" i="29"/>
  <c r="AV90" i="29"/>
  <c r="AQ90" i="29"/>
  <c r="CW90" i="29"/>
  <c r="CT90" i="29"/>
  <c r="BV90" i="29"/>
  <c r="BS90" i="29"/>
  <c r="BP90" i="29"/>
  <c r="BN90" i="29"/>
  <c r="CO90" i="29"/>
  <c r="CL90" i="29"/>
  <c r="BC90" i="29"/>
  <c r="AZ90" i="29"/>
  <c r="AN90" i="29"/>
  <c r="AK90" i="29"/>
  <c r="AI90" i="29"/>
  <c r="AF90" i="29"/>
  <c r="AC90" i="29"/>
  <c r="Y90" i="29"/>
  <c r="V90" i="29"/>
  <c r="K90" i="29"/>
  <c r="DB89" i="29"/>
  <c r="CY89" i="29"/>
  <c r="AV89" i="29"/>
  <c r="AQ89" i="29"/>
  <c r="CW89" i="29"/>
  <c r="CT89" i="29"/>
  <c r="DL89" i="29" s="1"/>
  <c r="BP89" i="29"/>
  <c r="BX89" i="29" s="1"/>
  <c r="CO89" i="29"/>
  <c r="DB88" i="29"/>
  <c r="CY88" i="29"/>
  <c r="AV88" i="29"/>
  <c r="AQ88" i="29"/>
  <c r="CW88" i="29"/>
  <c r="CT88" i="29"/>
  <c r="BV88" i="29"/>
  <c r="BS88" i="29"/>
  <c r="BP88" i="29"/>
  <c r="BN88" i="29"/>
  <c r="CO88" i="29"/>
  <c r="CL88" i="29"/>
  <c r="BC88" i="29"/>
  <c r="AZ88" i="29"/>
  <c r="AN88" i="29"/>
  <c r="AK88" i="29"/>
  <c r="AI88" i="29"/>
  <c r="AF88" i="29"/>
  <c r="AC88" i="29"/>
  <c r="K88" i="29"/>
  <c r="H88" i="29"/>
  <c r="DB87" i="29"/>
  <c r="CY87" i="29"/>
  <c r="AV87" i="29"/>
  <c r="AQ87" i="29"/>
  <c r="CW87" i="29"/>
  <c r="CT87" i="29"/>
  <c r="BV87" i="29"/>
  <c r="BS87" i="29"/>
  <c r="BP87" i="29"/>
  <c r="BN87" i="29"/>
  <c r="CO87" i="29"/>
  <c r="CL87" i="29"/>
  <c r="BC87" i="29"/>
  <c r="AZ87" i="29"/>
  <c r="AN87" i="29"/>
  <c r="AK87" i="29"/>
  <c r="AI87" i="29"/>
  <c r="AF87" i="29"/>
  <c r="AC87" i="29"/>
  <c r="K87" i="29"/>
  <c r="H87" i="29"/>
  <c r="DB86" i="29"/>
  <c r="CY86" i="29"/>
  <c r="AV86" i="29"/>
  <c r="AQ86" i="29"/>
  <c r="CW86" i="29"/>
  <c r="CT86" i="29"/>
  <c r="BV86" i="29"/>
  <c r="BS86" i="29"/>
  <c r="BP86" i="29"/>
  <c r="BN86" i="29"/>
  <c r="CO86" i="29"/>
  <c r="CL86" i="29"/>
  <c r="BC86" i="29"/>
  <c r="AZ86" i="29"/>
  <c r="AN86" i="29"/>
  <c r="AK86" i="29"/>
  <c r="AI86" i="29"/>
  <c r="AF86" i="29"/>
  <c r="AC86" i="29"/>
  <c r="K86" i="29"/>
  <c r="H86" i="29"/>
  <c r="DB85" i="29"/>
  <c r="CY85" i="29"/>
  <c r="AV85" i="29"/>
  <c r="AQ85" i="29"/>
  <c r="CW85" i="29"/>
  <c r="CT85" i="29"/>
  <c r="BV85" i="29"/>
  <c r="BS85" i="29"/>
  <c r="BP85" i="29"/>
  <c r="BN85" i="29"/>
  <c r="CO85" i="29"/>
  <c r="CL85" i="29"/>
  <c r="BC85" i="29"/>
  <c r="AZ85" i="29"/>
  <c r="AN85" i="29"/>
  <c r="AK85" i="29"/>
  <c r="AI85" i="29"/>
  <c r="AF85" i="29"/>
  <c r="AC85" i="29"/>
  <c r="K85" i="29"/>
  <c r="H85" i="29"/>
  <c r="DB84" i="29"/>
  <c r="CY84" i="29"/>
  <c r="AV84" i="29"/>
  <c r="AQ84" i="29"/>
  <c r="CW84" i="29"/>
  <c r="CT84" i="29"/>
  <c r="BV84" i="29"/>
  <c r="BS84" i="29"/>
  <c r="BP84" i="29"/>
  <c r="BN84" i="29"/>
  <c r="CO84" i="29"/>
  <c r="CL84" i="29"/>
  <c r="BC84" i="29"/>
  <c r="AZ84" i="29"/>
  <c r="AN84" i="29"/>
  <c r="AK84" i="29"/>
  <c r="AI84" i="29"/>
  <c r="AF84" i="29"/>
  <c r="AC84" i="29"/>
  <c r="K84" i="29"/>
  <c r="H84" i="29"/>
  <c r="DB83" i="29"/>
  <c r="CY83" i="29"/>
  <c r="AV83" i="29"/>
  <c r="AQ83" i="29"/>
  <c r="BV83" i="29"/>
  <c r="BR83" i="29"/>
  <c r="BS83" i="29" s="1"/>
  <c r="BP83" i="29"/>
  <c r="CO83" i="29"/>
  <c r="CL83" i="29"/>
  <c r="BC83" i="29"/>
  <c r="AZ83" i="29"/>
  <c r="AN83" i="29"/>
  <c r="AK83" i="29"/>
  <c r="AF83" i="29"/>
  <c r="AC83" i="29"/>
  <c r="DL83" i="29" s="1"/>
  <c r="DB81" i="29"/>
  <c r="CY81" i="29"/>
  <c r="AV81" i="29"/>
  <c r="AQ81" i="29"/>
  <c r="CW81" i="29"/>
  <c r="CT81" i="29"/>
  <c r="BV81" i="29"/>
  <c r="BS81" i="29"/>
  <c r="BP81" i="29"/>
  <c r="BN81" i="29"/>
  <c r="CO81" i="29"/>
  <c r="CL81" i="29"/>
  <c r="BC81" i="29"/>
  <c r="AZ81" i="29"/>
  <c r="AN81" i="29"/>
  <c r="AK81" i="29"/>
  <c r="AI81" i="29"/>
  <c r="AF81" i="29"/>
  <c r="AC81" i="29"/>
  <c r="K81" i="29"/>
  <c r="H81" i="29"/>
  <c r="DB80" i="29"/>
  <c r="CY80" i="29"/>
  <c r="AV80" i="29"/>
  <c r="AQ80" i="29"/>
  <c r="CW80" i="29"/>
  <c r="CT80" i="29"/>
  <c r="BV80" i="29"/>
  <c r="BS80" i="29"/>
  <c r="BP80" i="29"/>
  <c r="BM80" i="29"/>
  <c r="BN80" i="29" s="1"/>
  <c r="CO80" i="29"/>
  <c r="CL80" i="29"/>
  <c r="BC80" i="29"/>
  <c r="AZ80" i="29"/>
  <c r="AN80" i="29"/>
  <c r="AK80" i="29"/>
  <c r="AI80" i="29"/>
  <c r="AF80" i="29"/>
  <c r="AC80" i="29"/>
  <c r="K80" i="29"/>
  <c r="H80" i="29"/>
  <c r="DB79" i="29"/>
  <c r="CY79" i="29"/>
  <c r="AV79" i="29"/>
  <c r="AQ79" i="29"/>
  <c r="CW79" i="29"/>
  <c r="CT79" i="29"/>
  <c r="BV79" i="29"/>
  <c r="BS79" i="29"/>
  <c r="BP79" i="29"/>
  <c r="BM79" i="29"/>
  <c r="BN79" i="29" s="1"/>
  <c r="CO79" i="29"/>
  <c r="CL79" i="29"/>
  <c r="BC79" i="29"/>
  <c r="AZ79" i="29"/>
  <c r="AN79" i="29"/>
  <c r="AK79" i="29"/>
  <c r="AI79" i="29"/>
  <c r="AF79" i="29"/>
  <c r="AC79" i="29"/>
  <c r="K79" i="29"/>
  <c r="H79" i="29"/>
  <c r="DB78" i="29"/>
  <c r="CY78" i="29"/>
  <c r="AV78" i="29"/>
  <c r="AQ78" i="29"/>
  <c r="CW78" i="29"/>
  <c r="CT78" i="29"/>
  <c r="BV78" i="29"/>
  <c r="BS78" i="29"/>
  <c r="BP78" i="29"/>
  <c r="BN78" i="29"/>
  <c r="CO78" i="29"/>
  <c r="CL78" i="29"/>
  <c r="BC78" i="29"/>
  <c r="AZ78" i="29"/>
  <c r="AN78" i="29"/>
  <c r="AK78" i="29"/>
  <c r="AI78" i="29"/>
  <c r="AF78" i="29"/>
  <c r="AC78" i="29"/>
  <c r="K78" i="29"/>
  <c r="H78" i="29"/>
  <c r="DB76" i="29"/>
  <c r="CY76" i="29"/>
  <c r="AV76" i="29"/>
  <c r="AQ76" i="29"/>
  <c r="CW76" i="29"/>
  <c r="CT76" i="29"/>
  <c r="BV76" i="29"/>
  <c r="BS76" i="29"/>
  <c r="BP76" i="29"/>
  <c r="BM76" i="29"/>
  <c r="BN76" i="29" s="1"/>
  <c r="CO76" i="29"/>
  <c r="CL76" i="29"/>
  <c r="BC76" i="29"/>
  <c r="AZ76" i="29"/>
  <c r="AN76" i="29"/>
  <c r="AK76" i="29"/>
  <c r="AI76" i="29"/>
  <c r="AF76" i="29"/>
  <c r="AC76" i="29"/>
  <c r="K76" i="29"/>
  <c r="H76" i="29"/>
  <c r="DB75" i="29"/>
  <c r="CY75" i="29"/>
  <c r="AV75" i="29"/>
  <c r="AQ75" i="29"/>
  <c r="CW75" i="29"/>
  <c r="CT75" i="29"/>
  <c r="BV75" i="29"/>
  <c r="BS75" i="29"/>
  <c r="BP75" i="29"/>
  <c r="BM75" i="29"/>
  <c r="BN75" i="29" s="1"/>
  <c r="CO75" i="29"/>
  <c r="CL75" i="29"/>
  <c r="BC75" i="29"/>
  <c r="AZ75" i="29"/>
  <c r="AN75" i="29"/>
  <c r="AK75" i="29"/>
  <c r="AI75" i="29"/>
  <c r="AF75" i="29"/>
  <c r="AC75" i="29"/>
  <c r="DB74" i="29"/>
  <c r="CY74" i="29"/>
  <c r="AV74" i="29"/>
  <c r="AQ74" i="29"/>
  <c r="CW74" i="29"/>
  <c r="CT74" i="29"/>
  <c r="DL74" i="29" s="1"/>
  <c r="BP74" i="29"/>
  <c r="BX74" i="29" s="1"/>
  <c r="CO74" i="29"/>
  <c r="DB73" i="29"/>
  <c r="CY73" i="29"/>
  <c r="AV73" i="29"/>
  <c r="AQ73" i="29"/>
  <c r="CW73" i="29"/>
  <c r="CT73" i="29"/>
  <c r="BV73" i="29"/>
  <c r="BS73" i="29"/>
  <c r="BP73" i="29"/>
  <c r="BN73" i="29"/>
  <c r="CO73" i="29"/>
  <c r="CL73" i="29"/>
  <c r="BC73" i="29"/>
  <c r="AZ73" i="29"/>
  <c r="AN73" i="29"/>
  <c r="AK73" i="29"/>
  <c r="AI73" i="29"/>
  <c r="AF73" i="29"/>
  <c r="AC73" i="29"/>
  <c r="K73" i="29"/>
  <c r="DB72" i="29"/>
  <c r="CY72" i="29"/>
  <c r="AV72" i="29"/>
  <c r="AQ72" i="29"/>
  <c r="CW72" i="29"/>
  <c r="CT72" i="29"/>
  <c r="DL72" i="29" s="1"/>
  <c r="BV72" i="29"/>
  <c r="BS72" i="29"/>
  <c r="BP72" i="29"/>
  <c r="BN72" i="29"/>
  <c r="CO72" i="29"/>
  <c r="CL72" i="29"/>
  <c r="AZ72" i="29"/>
  <c r="DB71" i="29"/>
  <c r="CY71" i="29"/>
  <c r="AV71" i="29"/>
  <c r="AQ71" i="29"/>
  <c r="CW71" i="29"/>
  <c r="CT71" i="29"/>
  <c r="BS71" i="29"/>
  <c r="BP71" i="29"/>
  <c r="BN71" i="29"/>
  <c r="CO71" i="29"/>
  <c r="CL71" i="29"/>
  <c r="BC71" i="29"/>
  <c r="AZ71" i="29"/>
  <c r="AN71" i="29"/>
  <c r="AK71" i="29"/>
  <c r="AI71" i="29"/>
  <c r="AF71" i="29"/>
  <c r="AC71" i="29"/>
  <c r="K71" i="29"/>
  <c r="DB70" i="29"/>
  <c r="CY70" i="29"/>
  <c r="AV70" i="29"/>
  <c r="AQ70" i="29"/>
  <c r="CW70" i="29"/>
  <c r="CT70" i="29"/>
  <c r="BV70" i="29"/>
  <c r="BS70" i="29"/>
  <c r="BP70" i="29"/>
  <c r="BN70" i="29"/>
  <c r="CO70" i="29"/>
  <c r="CL70" i="29"/>
  <c r="BC70" i="29"/>
  <c r="AZ70" i="29"/>
  <c r="AN70" i="29"/>
  <c r="AK70" i="29"/>
  <c r="AI70" i="29"/>
  <c r="AF70" i="29"/>
  <c r="AC70" i="29"/>
  <c r="K70" i="29"/>
  <c r="DB69" i="29"/>
  <c r="CY69" i="29"/>
  <c r="AV69" i="29"/>
  <c r="AQ69" i="29"/>
  <c r="CW69" i="29"/>
  <c r="CT69" i="29"/>
  <c r="BV69" i="29"/>
  <c r="BS69" i="29"/>
  <c r="BP69" i="29"/>
  <c r="BN69" i="29"/>
  <c r="CO69" i="29"/>
  <c r="CL69" i="29"/>
  <c r="BC69" i="29"/>
  <c r="AZ69" i="29"/>
  <c r="AN69" i="29"/>
  <c r="AK69" i="29"/>
  <c r="AI69" i="29"/>
  <c r="AF69" i="29"/>
  <c r="AC69" i="29"/>
  <c r="K69" i="29"/>
  <c r="DB68" i="29"/>
  <c r="CY68" i="29"/>
  <c r="AV68" i="29"/>
  <c r="AQ68" i="29"/>
  <c r="CW68" i="29"/>
  <c r="CT68" i="29"/>
  <c r="BV68" i="29"/>
  <c r="BS68" i="29"/>
  <c r="BP68" i="29"/>
  <c r="BN68" i="29"/>
  <c r="CO68" i="29"/>
  <c r="CL68" i="29"/>
  <c r="BC68" i="29"/>
  <c r="AZ68" i="29"/>
  <c r="AN68" i="29"/>
  <c r="AK68" i="29"/>
  <c r="AI68" i="29"/>
  <c r="AF68" i="29"/>
  <c r="AC68" i="29"/>
  <c r="K68" i="29"/>
  <c r="DB67" i="29"/>
  <c r="CY67" i="29"/>
  <c r="AV67" i="29"/>
  <c r="AQ67" i="29"/>
  <c r="CW67" i="29"/>
  <c r="CT67" i="29"/>
  <c r="BV67" i="29"/>
  <c r="BP67" i="29"/>
  <c r="BN67" i="29"/>
  <c r="CO67" i="29"/>
  <c r="CL67" i="29"/>
  <c r="BC67" i="29"/>
  <c r="AZ67" i="29"/>
  <c r="AN67" i="29"/>
  <c r="AK67" i="29"/>
  <c r="AI67" i="29"/>
  <c r="AF67" i="29"/>
  <c r="AC67" i="29"/>
  <c r="K67" i="29"/>
  <c r="DB66" i="29"/>
  <c r="CY66" i="29"/>
  <c r="AV66" i="29"/>
  <c r="AQ66" i="29"/>
  <c r="CW66" i="29"/>
  <c r="CT66" i="29"/>
  <c r="BV66" i="29"/>
  <c r="BS66" i="29"/>
  <c r="BP66" i="29"/>
  <c r="BN66" i="29"/>
  <c r="CO66" i="29"/>
  <c r="CL66" i="29"/>
  <c r="BC66" i="29"/>
  <c r="AZ66" i="29"/>
  <c r="AN66" i="29"/>
  <c r="AK66" i="29"/>
  <c r="AI66" i="29"/>
  <c r="AF66" i="29"/>
  <c r="AC66" i="29"/>
  <c r="K66" i="29"/>
  <c r="DB65" i="29"/>
  <c r="CY65" i="29"/>
  <c r="AV65" i="29"/>
  <c r="AQ65" i="29"/>
  <c r="CW65" i="29"/>
  <c r="CT65" i="29"/>
  <c r="BV65" i="29"/>
  <c r="BS65" i="29"/>
  <c r="BP65" i="29"/>
  <c r="BN65" i="29"/>
  <c r="CO65" i="29"/>
  <c r="CL65" i="29"/>
  <c r="BC65" i="29"/>
  <c r="AZ65" i="29"/>
  <c r="AN65" i="29"/>
  <c r="AK65" i="29"/>
  <c r="AI65" i="29"/>
  <c r="AF65" i="29"/>
  <c r="AC65" i="29"/>
  <c r="K65" i="29"/>
  <c r="DB64" i="29"/>
  <c r="CY64" i="29"/>
  <c r="AV64" i="29"/>
  <c r="AQ64" i="29"/>
  <c r="BG64" i="29" s="1"/>
  <c r="BV64" i="29"/>
  <c r="BP64" i="29"/>
  <c r="CO64" i="29"/>
  <c r="DB63" i="29"/>
  <c r="CY63" i="29"/>
  <c r="BI63" i="29"/>
  <c r="AQ63" i="29"/>
  <c r="CW63" i="29"/>
  <c r="CT63" i="29"/>
  <c r="BV63" i="29"/>
  <c r="BS63" i="29"/>
  <c r="BP63" i="29"/>
  <c r="BN63" i="29"/>
  <c r="CO63" i="29"/>
  <c r="CL63" i="29"/>
  <c r="BC63" i="29"/>
  <c r="AZ63" i="29"/>
  <c r="AN63" i="29"/>
  <c r="AK63" i="29"/>
  <c r="AI63" i="29"/>
  <c r="AF63" i="29"/>
  <c r="AC63" i="29"/>
  <c r="K63" i="29"/>
  <c r="DB62" i="29"/>
  <c r="CY62" i="29"/>
  <c r="AV62" i="29"/>
  <c r="AQ62" i="29"/>
  <c r="CW62" i="29"/>
  <c r="CT62" i="29"/>
  <c r="BV62" i="29"/>
  <c r="BS62" i="29"/>
  <c r="BP62" i="29"/>
  <c r="BN62" i="29"/>
  <c r="CO62" i="29"/>
  <c r="CL62" i="29"/>
  <c r="BC62" i="29"/>
  <c r="AZ62" i="29"/>
  <c r="AN62" i="29"/>
  <c r="AK62" i="29"/>
  <c r="AI62" i="29"/>
  <c r="AF62" i="29"/>
  <c r="AC62" i="29"/>
  <c r="K62" i="29"/>
  <c r="DB61" i="29"/>
  <c r="CY61" i="29"/>
  <c r="AV61" i="29"/>
  <c r="AQ61" i="29"/>
  <c r="CW61" i="29"/>
  <c r="CT61" i="29"/>
  <c r="BV61" i="29"/>
  <c r="BS61" i="29"/>
  <c r="BP61" i="29"/>
  <c r="BN61" i="29"/>
  <c r="CO61" i="29"/>
  <c r="CL61" i="29"/>
  <c r="BC61" i="29"/>
  <c r="AZ61" i="29"/>
  <c r="AN61" i="29"/>
  <c r="AK61" i="29"/>
  <c r="AI61" i="29"/>
  <c r="K61" i="29"/>
  <c r="DB60" i="29"/>
  <c r="CY60" i="29"/>
  <c r="AV60" i="29"/>
  <c r="AQ60" i="29"/>
  <c r="CW60" i="29"/>
  <c r="CT60" i="29"/>
  <c r="DL60" i="29" s="1"/>
  <c r="BP60" i="29"/>
  <c r="BX60" i="29" s="1"/>
  <c r="CO60" i="29"/>
  <c r="DB59" i="29"/>
  <c r="CY59" i="29"/>
  <c r="AV59" i="29"/>
  <c r="AQ59" i="29"/>
  <c r="CW59" i="29"/>
  <c r="CT59" i="29"/>
  <c r="BV59" i="29"/>
  <c r="BS59" i="29"/>
  <c r="BP59" i="29"/>
  <c r="CO59" i="29"/>
  <c r="CL59" i="29"/>
  <c r="BC59" i="29"/>
  <c r="AZ59" i="29"/>
  <c r="AN59" i="29"/>
  <c r="AK59" i="29"/>
  <c r="AI59" i="29"/>
  <c r="AF59" i="29"/>
  <c r="AC59" i="29"/>
  <c r="DB58" i="29"/>
  <c r="CY58" i="29"/>
  <c r="AV58" i="29"/>
  <c r="AQ58" i="29"/>
  <c r="CW58" i="29"/>
  <c r="CT58" i="29"/>
  <c r="BV58" i="29"/>
  <c r="BS58" i="29"/>
  <c r="BP58" i="29"/>
  <c r="CO58" i="29"/>
  <c r="CL58" i="29"/>
  <c r="BC58" i="29"/>
  <c r="AZ58" i="29"/>
  <c r="AN58" i="29"/>
  <c r="AK58" i="29"/>
  <c r="AI58" i="29"/>
  <c r="AF58" i="29"/>
  <c r="AC58" i="29"/>
  <c r="DB57" i="29"/>
  <c r="CY57" i="29"/>
  <c r="AV57" i="29"/>
  <c r="AQ57" i="29"/>
  <c r="CW57" i="29"/>
  <c r="CT57" i="29"/>
  <c r="BV57" i="29"/>
  <c r="BS57" i="29"/>
  <c r="BP57" i="29"/>
  <c r="BN57" i="29"/>
  <c r="CO57" i="29"/>
  <c r="CL57" i="29"/>
  <c r="BC57" i="29"/>
  <c r="AZ57" i="29"/>
  <c r="AN57" i="29"/>
  <c r="AK57" i="29"/>
  <c r="AI57" i="29"/>
  <c r="AF57" i="29"/>
  <c r="AC57" i="29"/>
  <c r="DB56" i="29"/>
  <c r="CY56" i="29"/>
  <c r="AV56" i="29"/>
  <c r="AQ56" i="29"/>
  <c r="CW56" i="29"/>
  <c r="CT56" i="29"/>
  <c r="BV56" i="29"/>
  <c r="BS56" i="29"/>
  <c r="BP56" i="29"/>
  <c r="BN56" i="29"/>
  <c r="CO56" i="29"/>
  <c r="CL56" i="29"/>
  <c r="BC56" i="29"/>
  <c r="AZ56" i="29"/>
  <c r="AN56" i="29"/>
  <c r="AK56" i="29"/>
  <c r="AI56" i="29"/>
  <c r="AF56" i="29"/>
  <c r="AC56" i="29"/>
  <c r="DB55" i="29"/>
  <c r="CY55" i="29"/>
  <c r="AV55" i="29"/>
  <c r="AQ55" i="29"/>
  <c r="CW55" i="29"/>
  <c r="CT55" i="29"/>
  <c r="BV55" i="29"/>
  <c r="BS55" i="29"/>
  <c r="BP55" i="29"/>
  <c r="BN55" i="29"/>
  <c r="CO55" i="29"/>
  <c r="CL55" i="29"/>
  <c r="BC55" i="29"/>
  <c r="AZ55" i="29"/>
  <c r="AN55" i="29"/>
  <c r="AK55" i="29"/>
  <c r="AI55" i="29"/>
  <c r="AF55" i="29"/>
  <c r="AC55" i="29"/>
  <c r="DB54" i="29"/>
  <c r="CY54" i="29"/>
  <c r="AV54" i="29"/>
  <c r="AQ54" i="29"/>
  <c r="CW54" i="29"/>
  <c r="CT54" i="29"/>
  <c r="BV54" i="29"/>
  <c r="BS54" i="29"/>
  <c r="BP54" i="29"/>
  <c r="BN54" i="29"/>
  <c r="CO54" i="29"/>
  <c r="CL54" i="29"/>
  <c r="BC54" i="29"/>
  <c r="AZ54" i="29"/>
  <c r="AN54" i="29"/>
  <c r="AK54" i="29"/>
  <c r="AI54" i="29"/>
  <c r="AF54" i="29"/>
  <c r="AC54" i="29"/>
  <c r="DB53" i="29"/>
  <c r="CY53" i="29"/>
  <c r="AV53" i="29"/>
  <c r="AQ53" i="29"/>
  <c r="CW53" i="29"/>
  <c r="CT53" i="29"/>
  <c r="BV53" i="29"/>
  <c r="BS53" i="29"/>
  <c r="BP53" i="29"/>
  <c r="BN53" i="29"/>
  <c r="CO53" i="29"/>
  <c r="CL53" i="29"/>
  <c r="BC53" i="29"/>
  <c r="AN53" i="29"/>
  <c r="AK53" i="29"/>
  <c r="BE53" i="29" s="1"/>
  <c r="AI53" i="29"/>
  <c r="AF53" i="29"/>
  <c r="AC53" i="29"/>
  <c r="DB52" i="29"/>
  <c r="CY52" i="29"/>
  <c r="AV52" i="29"/>
  <c r="AQ52" i="29"/>
  <c r="CW52" i="29"/>
  <c r="CT52" i="29"/>
  <c r="BV52" i="29"/>
  <c r="BS52" i="29"/>
  <c r="BP52" i="29"/>
  <c r="CO52" i="29"/>
  <c r="CL52" i="29"/>
  <c r="BC52" i="29"/>
  <c r="AZ52" i="29"/>
  <c r="AN52" i="29"/>
  <c r="AK52" i="29"/>
  <c r="AI52" i="29"/>
  <c r="AF52" i="29"/>
  <c r="AC52" i="29"/>
  <c r="DB51" i="29"/>
  <c r="CY51" i="29"/>
  <c r="AV51" i="29"/>
  <c r="AQ51" i="29"/>
  <c r="CW51" i="29"/>
  <c r="CT51" i="29"/>
  <c r="BV51" i="29"/>
  <c r="BS51" i="29"/>
  <c r="BP51" i="29"/>
  <c r="BN51" i="29"/>
  <c r="CO51" i="29"/>
  <c r="CL51" i="29"/>
  <c r="BC51" i="29"/>
  <c r="AZ51" i="29"/>
  <c r="AN51" i="29"/>
  <c r="AK51" i="29"/>
  <c r="AI51" i="29"/>
  <c r="AF51" i="29"/>
  <c r="AC51" i="29"/>
  <c r="K51" i="29"/>
  <c r="H51" i="29"/>
  <c r="DB50" i="29"/>
  <c r="DG50" i="29" s="1"/>
  <c r="AQ50" i="29"/>
  <c r="BG50" i="29" s="1"/>
  <c r="BK50" i="29" s="1"/>
  <c r="BZ50" i="29" s="1"/>
  <c r="CW50" i="29"/>
  <c r="CT50" i="29"/>
  <c r="DL50" i="29" s="1"/>
  <c r="CX49" i="29"/>
  <c r="AU49" i="29"/>
  <c r="AP49" i="29"/>
  <c r="CW49" i="29"/>
  <c r="CS49" i="29"/>
  <c r="CR49" i="29"/>
  <c r="BO49" i="29"/>
  <c r="CN49" i="29"/>
  <c r="CK49" i="29"/>
  <c r="AY49" i="29"/>
  <c r="AG49" i="29"/>
  <c r="S49" i="29"/>
  <c r="R49" i="29"/>
  <c r="Q49" i="29"/>
  <c r="P49" i="29"/>
  <c r="O49" i="29"/>
  <c r="N49" i="29"/>
  <c r="M49" i="29"/>
  <c r="L49" i="29"/>
  <c r="J49" i="29"/>
  <c r="I49" i="29"/>
  <c r="G49" i="29"/>
  <c r="F49" i="29"/>
  <c r="DB48" i="29"/>
  <c r="CY48" i="29"/>
  <c r="AV48" i="29"/>
  <c r="AQ48" i="29"/>
  <c r="CW48" i="29"/>
  <c r="CT48" i="29"/>
  <c r="BV48" i="29"/>
  <c r="BS48" i="29"/>
  <c r="BP48" i="29"/>
  <c r="BN48" i="29"/>
  <c r="CO48" i="29"/>
  <c r="CL48" i="29"/>
  <c r="BC48" i="29"/>
  <c r="AZ48" i="29"/>
  <c r="AN48" i="29"/>
  <c r="AK48" i="29"/>
  <c r="AI48" i="29"/>
  <c r="AF48" i="29"/>
  <c r="AC48" i="29"/>
  <c r="H48" i="29"/>
  <c r="DB47" i="29"/>
  <c r="CY47" i="29"/>
  <c r="AV47" i="29"/>
  <c r="CT47" i="29"/>
  <c r="DL47" i="29" s="1"/>
  <c r="BV47" i="29"/>
  <c r="BP47" i="29"/>
  <c r="BE47" i="29"/>
  <c r="CO47" i="29"/>
  <c r="CL47" i="29"/>
  <c r="BC47" i="29"/>
  <c r="DB46" i="29"/>
  <c r="CY46" i="29"/>
  <c r="AV46" i="29"/>
  <c r="AQ46" i="29"/>
  <c r="CW46" i="29"/>
  <c r="CT46" i="29"/>
  <c r="BV46" i="29"/>
  <c r="BS46" i="29"/>
  <c r="BP46" i="29"/>
  <c r="BN46" i="29"/>
  <c r="CO46" i="29"/>
  <c r="CL46" i="29"/>
  <c r="BC46" i="29"/>
  <c r="AZ46" i="29"/>
  <c r="AN46" i="29"/>
  <c r="AK46" i="29"/>
  <c r="AF46" i="29"/>
  <c r="AC46" i="29"/>
  <c r="DB45" i="29"/>
  <c r="CY45" i="29"/>
  <c r="AV45" i="29"/>
  <c r="AQ45" i="29"/>
  <c r="CW45" i="29"/>
  <c r="CT45" i="29"/>
  <c r="BV45" i="29"/>
  <c r="BS45" i="29"/>
  <c r="BP45" i="29"/>
  <c r="BN45" i="29"/>
  <c r="CO45" i="29"/>
  <c r="CL45" i="29"/>
  <c r="BC45" i="29"/>
  <c r="AZ45" i="29"/>
  <c r="AN45" i="29"/>
  <c r="AK45" i="29"/>
  <c r="AF45" i="29"/>
  <c r="AC45" i="29"/>
  <c r="DB43" i="29"/>
  <c r="CY43" i="29"/>
  <c r="AV43" i="29"/>
  <c r="AQ43" i="29"/>
  <c r="CW43" i="29"/>
  <c r="CT43" i="29"/>
  <c r="DL43" i="29" s="1"/>
  <c r="BP43" i="29"/>
  <c r="BX43" i="29" s="1"/>
  <c r="CO43" i="29"/>
  <c r="DB42" i="29"/>
  <c r="CY42" i="29"/>
  <c r="AV42" i="29"/>
  <c r="AQ42" i="29"/>
  <c r="CW42" i="29"/>
  <c r="CT42" i="29"/>
  <c r="BV42" i="29"/>
  <c r="BS42" i="29"/>
  <c r="BP42" i="29"/>
  <c r="BN42" i="29"/>
  <c r="CO42" i="29"/>
  <c r="CL42" i="29"/>
  <c r="BC42" i="29"/>
  <c r="AZ42" i="29"/>
  <c r="AN42" i="29"/>
  <c r="AK42" i="29"/>
  <c r="AI42" i="29"/>
  <c r="AF42" i="29"/>
  <c r="AC42" i="29"/>
  <c r="K42" i="29"/>
  <c r="H42" i="29"/>
  <c r="DB41" i="29"/>
  <c r="CY41" i="29"/>
  <c r="AV41" i="29"/>
  <c r="AQ41" i="29"/>
  <c r="CW41" i="29"/>
  <c r="CT41" i="29"/>
  <c r="BV41" i="29"/>
  <c r="BS41" i="29"/>
  <c r="BP41" i="29"/>
  <c r="BN41" i="29"/>
  <c r="CO41" i="29"/>
  <c r="CL41" i="29"/>
  <c r="BC41" i="29"/>
  <c r="AZ41" i="29"/>
  <c r="AN41" i="29"/>
  <c r="AK41" i="29"/>
  <c r="AI41" i="29"/>
  <c r="AF41" i="29"/>
  <c r="AC41" i="29"/>
  <c r="K41" i="29"/>
  <c r="H41" i="29"/>
  <c r="DB40" i="29"/>
  <c r="CY40" i="29"/>
  <c r="AV40" i="29"/>
  <c r="AQ40" i="29"/>
  <c r="CW40" i="29"/>
  <c r="CT40" i="29"/>
  <c r="DL40" i="29" s="1"/>
  <c r="BP40" i="29"/>
  <c r="BX40" i="29" s="1"/>
  <c r="CO40" i="29"/>
  <c r="DB39" i="29"/>
  <c r="CY39" i="29"/>
  <c r="AV39" i="29"/>
  <c r="AQ39" i="29"/>
  <c r="CW39" i="29"/>
  <c r="CT39" i="29"/>
  <c r="BV39" i="29"/>
  <c r="BS39" i="29"/>
  <c r="BP39" i="29"/>
  <c r="BM39" i="29"/>
  <c r="CO39" i="29"/>
  <c r="CL39" i="29"/>
  <c r="BC39" i="29"/>
  <c r="AZ39" i="29"/>
  <c r="AN39" i="29"/>
  <c r="AK39" i="29"/>
  <c r="AI39" i="29"/>
  <c r="AF39" i="29"/>
  <c r="AC39" i="29"/>
  <c r="DB38" i="29"/>
  <c r="CY38" i="29"/>
  <c r="AV38" i="29"/>
  <c r="AQ38" i="29"/>
  <c r="CW38" i="29"/>
  <c r="CT38" i="29"/>
  <c r="BV38" i="29"/>
  <c r="BS38" i="29"/>
  <c r="BP38" i="29"/>
  <c r="CO38" i="29"/>
  <c r="CL38" i="29"/>
  <c r="BC38" i="29"/>
  <c r="AZ38" i="29"/>
  <c r="AN38" i="29"/>
  <c r="AK38" i="29"/>
  <c r="AF38" i="29"/>
  <c r="AC38" i="29"/>
  <c r="DB37" i="29"/>
  <c r="CY37" i="29"/>
  <c r="AV37" i="29"/>
  <c r="AQ37" i="29"/>
  <c r="CW37" i="29"/>
  <c r="CT37" i="29"/>
  <c r="BV37" i="29"/>
  <c r="BS37" i="29"/>
  <c r="BP37" i="29"/>
  <c r="CO37" i="29"/>
  <c r="CL37" i="29"/>
  <c r="BC37" i="29"/>
  <c r="AZ37" i="29"/>
  <c r="AN37" i="29"/>
  <c r="AK37" i="29"/>
  <c r="AI37" i="29"/>
  <c r="AF37" i="29"/>
  <c r="AC37" i="29"/>
  <c r="DB36" i="29"/>
  <c r="CY36" i="29"/>
  <c r="AV36" i="29"/>
  <c r="AQ36" i="29"/>
  <c r="CW36" i="29"/>
  <c r="CT36" i="29"/>
  <c r="BV36" i="29"/>
  <c r="BS36" i="29"/>
  <c r="BP36" i="29"/>
  <c r="BM36" i="29"/>
  <c r="CO36" i="29"/>
  <c r="CL36" i="29"/>
  <c r="BC36" i="29"/>
  <c r="AZ36" i="29"/>
  <c r="AN36" i="29"/>
  <c r="AK36" i="29"/>
  <c r="AI36" i="29"/>
  <c r="AF36" i="29"/>
  <c r="AC36" i="29"/>
  <c r="DB35" i="29"/>
  <c r="CY35" i="29"/>
  <c r="AV35" i="29"/>
  <c r="AQ35" i="29"/>
  <c r="CW35" i="29"/>
  <c r="CT35" i="29"/>
  <c r="BV35" i="29"/>
  <c r="BS35" i="29"/>
  <c r="BP35" i="29"/>
  <c r="BM35" i="29"/>
  <c r="CO35" i="29"/>
  <c r="CL35" i="29"/>
  <c r="BC35" i="29"/>
  <c r="AZ35" i="29"/>
  <c r="AN35" i="29"/>
  <c r="AK35" i="29"/>
  <c r="AI35" i="29"/>
  <c r="AF35" i="29"/>
  <c r="AC35" i="29"/>
  <c r="DB34" i="29"/>
  <c r="CY34" i="29"/>
  <c r="AV34" i="29"/>
  <c r="AQ34" i="29"/>
  <c r="CW34" i="29"/>
  <c r="CT34" i="29"/>
  <c r="BV34" i="29"/>
  <c r="BS34" i="29"/>
  <c r="BP34" i="29"/>
  <c r="BM34" i="29"/>
  <c r="CO34" i="29"/>
  <c r="CL34" i="29"/>
  <c r="BC34" i="29"/>
  <c r="AZ34" i="29"/>
  <c r="AN34" i="29"/>
  <c r="AK34" i="29"/>
  <c r="AI34" i="29"/>
  <c r="AF34" i="29"/>
  <c r="AC34" i="29"/>
  <c r="DB33" i="29"/>
  <c r="CY33" i="29"/>
  <c r="AV33" i="29"/>
  <c r="AQ33" i="29"/>
  <c r="CW33" i="29"/>
  <c r="CT33" i="29"/>
  <c r="BV33" i="29"/>
  <c r="BS33" i="29"/>
  <c r="BP33" i="29"/>
  <c r="CO33" i="29"/>
  <c r="CL33" i="29"/>
  <c r="BC33" i="29"/>
  <c r="AZ33" i="29"/>
  <c r="AN33" i="29"/>
  <c r="AK33" i="29"/>
  <c r="AI33" i="29"/>
  <c r="AF33" i="29"/>
  <c r="AC33" i="29"/>
  <c r="DB32" i="29"/>
  <c r="CY32" i="29"/>
  <c r="AV32" i="29"/>
  <c r="AQ32" i="29"/>
  <c r="CW32" i="29"/>
  <c r="CT32" i="29"/>
  <c r="BV32" i="29"/>
  <c r="BS32" i="29"/>
  <c r="BP32" i="29"/>
  <c r="BN32" i="29"/>
  <c r="CO32" i="29"/>
  <c r="CL32" i="29"/>
  <c r="BC32" i="29"/>
  <c r="AZ32" i="29"/>
  <c r="AN32" i="29"/>
  <c r="AK32" i="29"/>
  <c r="AI32" i="29"/>
  <c r="AF32" i="29"/>
  <c r="AC32" i="29"/>
  <c r="DB31" i="29"/>
  <c r="CY31" i="29"/>
  <c r="AV31" i="29"/>
  <c r="AQ31" i="29"/>
  <c r="CW31" i="29"/>
  <c r="CT31" i="29"/>
  <c r="BV31" i="29"/>
  <c r="BS31" i="29"/>
  <c r="BP31" i="29"/>
  <c r="BN31" i="29"/>
  <c r="CO31" i="29"/>
  <c r="CL31" i="29"/>
  <c r="BC31" i="29"/>
  <c r="AZ31" i="29"/>
  <c r="AN31" i="29"/>
  <c r="AK31" i="29"/>
  <c r="AI31" i="29"/>
  <c r="AF31" i="29"/>
  <c r="DB30" i="29"/>
  <c r="CY30" i="29"/>
  <c r="AV30" i="29"/>
  <c r="AQ30" i="29"/>
  <c r="CW30" i="29"/>
  <c r="CT30" i="29"/>
  <c r="DL30" i="29" s="1"/>
  <c r="BP30" i="29"/>
  <c r="BX30" i="29" s="1"/>
  <c r="CO30" i="29"/>
  <c r="DB29" i="29"/>
  <c r="CY29" i="29"/>
  <c r="AV29" i="29"/>
  <c r="AQ29" i="29"/>
  <c r="CW29" i="29"/>
  <c r="CT29" i="29"/>
  <c r="BV29" i="29"/>
  <c r="BS29" i="29"/>
  <c r="BP29" i="29"/>
  <c r="BN29" i="29"/>
  <c r="CO29" i="29"/>
  <c r="CL29" i="29"/>
  <c r="BC29" i="29"/>
  <c r="AZ29" i="29"/>
  <c r="AN29" i="29"/>
  <c r="AK29" i="29"/>
  <c r="AI29" i="29"/>
  <c r="AF29" i="29"/>
  <c r="AC29" i="29"/>
  <c r="K29" i="29"/>
  <c r="H29" i="29"/>
  <c r="DB28" i="29"/>
  <c r="CY28" i="29"/>
  <c r="AV28" i="29"/>
  <c r="AQ28" i="29"/>
  <c r="CW28" i="29"/>
  <c r="CT28" i="29"/>
  <c r="BV28" i="29"/>
  <c r="BS28" i="29"/>
  <c r="BP28" i="29"/>
  <c r="BN28" i="29"/>
  <c r="CO28" i="29"/>
  <c r="CL28" i="29"/>
  <c r="BC28" i="29"/>
  <c r="AZ28" i="29"/>
  <c r="AN28" i="29"/>
  <c r="AK28" i="29"/>
  <c r="AI28" i="29"/>
  <c r="AF28" i="29"/>
  <c r="AC28" i="29"/>
  <c r="K28" i="29"/>
  <c r="H28" i="29"/>
  <c r="DB27" i="29"/>
  <c r="CY27" i="29"/>
  <c r="AV27" i="29"/>
  <c r="AQ27" i="29"/>
  <c r="CW27" i="29"/>
  <c r="CT27" i="29"/>
  <c r="BV27" i="29"/>
  <c r="BS27" i="29"/>
  <c r="BP27" i="29"/>
  <c r="BN27" i="29"/>
  <c r="CO27" i="29"/>
  <c r="CL27" i="29"/>
  <c r="BC27" i="29"/>
  <c r="AZ27" i="29"/>
  <c r="AN27" i="29"/>
  <c r="AK27" i="29"/>
  <c r="AI27" i="29"/>
  <c r="AF27" i="29"/>
  <c r="AC27" i="29"/>
  <c r="K27" i="29"/>
  <c r="H27" i="29"/>
  <c r="DB26" i="29"/>
  <c r="CY26" i="29"/>
  <c r="AV26" i="29"/>
  <c r="AQ26" i="29"/>
  <c r="CW26" i="29"/>
  <c r="CT26" i="29"/>
  <c r="BV26" i="29"/>
  <c r="BS26" i="29"/>
  <c r="BP26" i="29"/>
  <c r="BN26" i="29"/>
  <c r="CO26" i="29"/>
  <c r="CL26" i="29"/>
  <c r="BC26" i="29"/>
  <c r="AZ26" i="29"/>
  <c r="AN26" i="29"/>
  <c r="AK26" i="29"/>
  <c r="AI26" i="29"/>
  <c r="AF26" i="29"/>
  <c r="AC26" i="29"/>
  <c r="K26" i="29"/>
  <c r="H26" i="29"/>
  <c r="DB25" i="29"/>
  <c r="CY25" i="29"/>
  <c r="AV25" i="29"/>
  <c r="AQ25" i="29"/>
  <c r="CW25" i="29"/>
  <c r="CT25" i="29"/>
  <c r="BV25" i="29"/>
  <c r="BS25" i="29"/>
  <c r="BP25" i="29"/>
  <c r="BN25" i="29"/>
  <c r="CO25" i="29"/>
  <c r="CL25" i="29"/>
  <c r="BC25" i="29"/>
  <c r="AZ25" i="29"/>
  <c r="AN25" i="29"/>
  <c r="AK25" i="29"/>
  <c r="AI25" i="29"/>
  <c r="AF25" i="29"/>
  <c r="AC25" i="29"/>
  <c r="K25" i="29"/>
  <c r="H25" i="29"/>
  <c r="DB24" i="29"/>
  <c r="CY24" i="29"/>
  <c r="AV24" i="29"/>
  <c r="AQ24" i="29"/>
  <c r="CW24" i="29"/>
  <c r="CT24" i="29"/>
  <c r="DL24" i="29" s="1"/>
  <c r="BP24" i="29"/>
  <c r="BX24" i="29" s="1"/>
  <c r="CO24" i="29"/>
  <c r="DB23" i="29"/>
  <c r="CY23" i="29"/>
  <c r="AV23" i="29"/>
  <c r="AQ23" i="29"/>
  <c r="CW23" i="29"/>
  <c r="CT23" i="29"/>
  <c r="DL23" i="29" s="1"/>
  <c r="BV23" i="29"/>
  <c r="BS23" i="29"/>
  <c r="BP23" i="29"/>
  <c r="BN23" i="29"/>
  <c r="CO23" i="29"/>
  <c r="CL23" i="29"/>
  <c r="BC23" i="29"/>
  <c r="AZ23" i="29"/>
  <c r="AN23" i="29"/>
  <c r="AK23" i="29"/>
  <c r="AI23" i="29"/>
  <c r="AF23" i="29"/>
  <c r="DB22" i="29"/>
  <c r="CY22" i="29"/>
  <c r="AV22" i="29"/>
  <c r="AQ22" i="29"/>
  <c r="CW22" i="29"/>
  <c r="CT22" i="29"/>
  <c r="DL22" i="29" s="1"/>
  <c r="BV22" i="29"/>
  <c r="BS22" i="29"/>
  <c r="BP22" i="29"/>
  <c r="BN22" i="29"/>
  <c r="CO22" i="29"/>
  <c r="CL22" i="29"/>
  <c r="BC22" i="29"/>
  <c r="AZ22" i="29"/>
  <c r="AN22" i="29"/>
  <c r="AK22" i="29"/>
  <c r="AI22" i="29"/>
  <c r="AF22" i="29"/>
  <c r="DB21" i="29"/>
  <c r="CY21" i="29"/>
  <c r="AV21" i="29"/>
  <c r="AQ21" i="29"/>
  <c r="CW21" i="29"/>
  <c r="CT21" i="29"/>
  <c r="BV21" i="29"/>
  <c r="BS21" i="29"/>
  <c r="BP21" i="29"/>
  <c r="BN21" i="29"/>
  <c r="CO21" i="29"/>
  <c r="CL21" i="29"/>
  <c r="BC21" i="29"/>
  <c r="AZ21" i="29"/>
  <c r="AN21" i="29"/>
  <c r="AK21" i="29"/>
  <c r="AI21" i="29"/>
  <c r="AF21" i="29"/>
  <c r="AC21" i="29"/>
  <c r="K21" i="29"/>
  <c r="H21" i="29"/>
  <c r="DB20" i="29"/>
  <c r="CY20" i="29"/>
  <c r="AV20" i="29"/>
  <c r="AQ20" i="29"/>
  <c r="CW20" i="29"/>
  <c r="CT20" i="29"/>
  <c r="DL20" i="29" s="1"/>
  <c r="BP20" i="29"/>
  <c r="BX20" i="29" s="1"/>
  <c r="CO20" i="29"/>
  <c r="DB19" i="29"/>
  <c r="DC19" i="29" s="1"/>
  <c r="CY19" i="29"/>
  <c r="CZ19" i="29" s="1"/>
  <c r="AV19" i="29"/>
  <c r="AQ19" i="29"/>
  <c r="CW19" i="29"/>
  <c r="CT19" i="29"/>
  <c r="BV19" i="29"/>
  <c r="BW19" i="29" s="1"/>
  <c r="BS19" i="29"/>
  <c r="BT19" i="29" s="1"/>
  <c r="BP19" i="29"/>
  <c r="BE19" i="29"/>
  <c r="BF19" i="29" s="1"/>
  <c r="CO19" i="29"/>
  <c r="CL19" i="29"/>
  <c r="AN19" i="29"/>
  <c r="AF19" i="29"/>
  <c r="AC19" i="29"/>
  <c r="DB18" i="29"/>
  <c r="CY18" i="29"/>
  <c r="AV18" i="29"/>
  <c r="AQ18" i="29"/>
  <c r="CW18" i="29"/>
  <c r="CT18" i="29"/>
  <c r="DL18" i="29" s="1"/>
  <c r="BP18" i="29"/>
  <c r="BX18" i="29" s="1"/>
  <c r="CO18" i="29"/>
  <c r="DB17" i="29"/>
  <c r="CY17" i="29"/>
  <c r="AV17" i="29"/>
  <c r="AQ17" i="29"/>
  <c r="CW17" i="29"/>
  <c r="CT17" i="29"/>
  <c r="BV17" i="29"/>
  <c r="BS17" i="29"/>
  <c r="BP17" i="29"/>
  <c r="CO17" i="29"/>
  <c r="CL17" i="29"/>
  <c r="BC17" i="29"/>
  <c r="AZ17" i="29"/>
  <c r="AN17" i="29"/>
  <c r="AK17" i="29"/>
  <c r="AI17" i="29"/>
  <c r="AF17" i="29"/>
  <c r="DB16" i="29"/>
  <c r="CY16" i="29"/>
  <c r="AV16" i="29"/>
  <c r="AQ16" i="29"/>
  <c r="CW16" i="29"/>
  <c r="CT16" i="29"/>
  <c r="BV16" i="29"/>
  <c r="BS16" i="29"/>
  <c r="BP16" i="29"/>
  <c r="BM16" i="29"/>
  <c r="BN16" i="29" s="1"/>
  <c r="CO16" i="29"/>
  <c r="CP16" i="29" s="1"/>
  <c r="CL16" i="29"/>
  <c r="BC16" i="29"/>
  <c r="AZ16" i="29"/>
  <c r="AN16" i="29"/>
  <c r="AK16" i="29"/>
  <c r="AI16" i="29"/>
  <c r="AF16" i="29"/>
  <c r="AC16" i="29"/>
  <c r="K16" i="29"/>
  <c r="H16" i="29"/>
  <c r="K14" i="29"/>
  <c r="H14" i="29"/>
  <c r="DT11" i="29"/>
  <c r="DA11" i="29"/>
  <c r="CX11" i="29"/>
  <c r="AU11" i="29"/>
  <c r="AP11" i="29"/>
  <c r="CV11" i="29"/>
  <c r="CV10" i="29" s="1"/>
  <c r="CU11" i="29"/>
  <c r="CU10" i="29" s="1"/>
  <c r="CS11" i="29"/>
  <c r="CR11" i="29"/>
  <c r="BU11" i="29"/>
  <c r="BO11" i="29"/>
  <c r="CN11" i="29"/>
  <c r="CK11" i="29"/>
  <c r="BB11" i="29"/>
  <c r="AY11" i="29"/>
  <c r="AM11" i="29"/>
  <c r="AJ11" i="29"/>
  <c r="AH11" i="29"/>
  <c r="AD11" i="29"/>
  <c r="W11" i="29"/>
  <c r="J11" i="29"/>
  <c r="I11" i="29"/>
  <c r="G11" i="29"/>
  <c r="F11" i="29"/>
  <c r="E10" i="29"/>
  <c r="CM7" i="29"/>
  <c r="DW445" i="29"/>
  <c r="DZ3" i="29"/>
  <c r="DL227" i="29" l="1"/>
  <c r="DL232" i="29"/>
  <c r="BG252" i="29"/>
  <c r="DL220" i="29"/>
  <c r="BA143" i="29"/>
  <c r="BX228" i="29"/>
  <c r="BX243" i="29"/>
  <c r="BW227" i="29"/>
  <c r="BD143" i="29"/>
  <c r="BX407" i="29"/>
  <c r="DH511" i="29"/>
  <c r="DH510" i="29"/>
  <c r="DC412" i="29"/>
  <c r="DC51" i="29"/>
  <c r="DL342" i="29"/>
  <c r="DH108" i="29"/>
  <c r="AO178" i="29"/>
  <c r="CP178" i="29"/>
  <c r="BW178" i="29"/>
  <c r="AW178" i="29"/>
  <c r="DL180" i="29"/>
  <c r="DL286" i="29"/>
  <c r="DL385" i="29"/>
  <c r="DL390" i="29"/>
  <c r="DL451" i="29"/>
  <c r="DL183" i="29"/>
  <c r="DL355" i="29"/>
  <c r="DL499" i="29"/>
  <c r="DL46" i="29"/>
  <c r="DH443" i="29"/>
  <c r="BX443" i="29"/>
  <c r="DL96" i="29"/>
  <c r="DL240" i="29"/>
  <c r="DL241" i="29"/>
  <c r="DL261" i="29"/>
  <c r="DL265" i="29"/>
  <c r="DL285" i="29"/>
  <c r="DL389" i="29"/>
  <c r="DL393" i="29"/>
  <c r="DH398" i="29"/>
  <c r="BX398" i="29"/>
  <c r="BT41" i="29"/>
  <c r="DL242" i="29"/>
  <c r="DL356" i="29"/>
  <c r="DH397" i="29"/>
  <c r="DL408" i="29"/>
  <c r="DL418" i="29"/>
  <c r="DL427" i="29"/>
  <c r="DL461" i="29"/>
  <c r="DL466" i="29"/>
  <c r="DH484" i="29"/>
  <c r="BX484" i="29"/>
  <c r="DH399" i="29"/>
  <c r="BX399" i="29"/>
  <c r="BX400" i="29"/>
  <c r="BX489" i="29"/>
  <c r="DH418" i="29"/>
  <c r="AL178" i="29"/>
  <c r="CM178" i="29"/>
  <c r="BT178" i="29"/>
  <c r="AR178" i="29"/>
  <c r="DL302" i="29"/>
  <c r="DL357" i="29"/>
  <c r="DH414" i="29"/>
  <c r="BX414" i="29"/>
  <c r="DH420" i="29"/>
  <c r="BX420" i="29"/>
  <c r="DH431" i="29"/>
  <c r="BX431" i="29"/>
  <c r="DH448" i="29"/>
  <c r="DH458" i="29"/>
  <c r="BX490" i="29"/>
  <c r="DL510" i="29"/>
  <c r="DL19" i="29"/>
  <c r="DL139" i="29"/>
  <c r="DL412" i="29"/>
  <c r="AS413" i="29"/>
  <c r="DL472" i="29"/>
  <c r="DL476" i="29"/>
  <c r="DL482" i="29"/>
  <c r="DL486" i="29"/>
  <c r="DL504" i="29"/>
  <c r="DL84" i="29"/>
  <c r="BA178" i="29"/>
  <c r="DL179" i="29"/>
  <c r="CZ178" i="29"/>
  <c r="DL207" i="29"/>
  <c r="DL230" i="29"/>
  <c r="DM230" i="29" s="1"/>
  <c r="DL234" i="29"/>
  <c r="DM234" i="29" s="1"/>
  <c r="DL245" i="29"/>
  <c r="DM245" i="29" s="1"/>
  <c r="BG254" i="29"/>
  <c r="DL260" i="29"/>
  <c r="DL264" i="29"/>
  <c r="DL270" i="29"/>
  <c r="DL271" i="29"/>
  <c r="DL274" i="29"/>
  <c r="DL279" i="29"/>
  <c r="DL284" i="29"/>
  <c r="DL301" i="29"/>
  <c r="DL334" i="29"/>
  <c r="DL341" i="29"/>
  <c r="DL386" i="29"/>
  <c r="DL392" i="29"/>
  <c r="DL401" i="29"/>
  <c r="DL410" i="29"/>
  <c r="BX418" i="29"/>
  <c r="DL423" i="29"/>
  <c r="DL425" i="29"/>
  <c r="DL450" i="29"/>
  <c r="DH455" i="29"/>
  <c r="DH482" i="29"/>
  <c r="BX482" i="29"/>
  <c r="DH486" i="29"/>
  <c r="BX486" i="29"/>
  <c r="DH487" i="29"/>
  <c r="BX487" i="29"/>
  <c r="DL494" i="29"/>
  <c r="DL502" i="29"/>
  <c r="DL509" i="29"/>
  <c r="DL143" i="29"/>
  <c r="AC166" i="29"/>
  <c r="DL166" i="29" s="1"/>
  <c r="DM166" i="29" s="1"/>
  <c r="DL167" i="29"/>
  <c r="DM167" i="29" s="1"/>
  <c r="DL176" i="29"/>
  <c r="DM176" i="29" s="1"/>
  <c r="BD178" i="29"/>
  <c r="BQ178" i="29"/>
  <c r="DC178" i="29"/>
  <c r="DJ178" i="29" s="1"/>
  <c r="DL182" i="29"/>
  <c r="DL206" i="29"/>
  <c r="DM206" i="29" s="1"/>
  <c r="DL237" i="29"/>
  <c r="DM237" i="29" s="1"/>
  <c r="BE252" i="29"/>
  <c r="DL258" i="29"/>
  <c r="DL262" i="29"/>
  <c r="DL282" i="29"/>
  <c r="DL303" i="29"/>
  <c r="DL336" i="29"/>
  <c r="DL340" i="29"/>
  <c r="DL384" i="29"/>
  <c r="DL391" i="29"/>
  <c r="DL380" i="29"/>
  <c r="DL399" i="29"/>
  <c r="DH401" i="29"/>
  <c r="BX401" i="29"/>
  <c r="DL409" i="29"/>
  <c r="DL414" i="29"/>
  <c r="DL420" i="29"/>
  <c r="DH437" i="29"/>
  <c r="BX437" i="29"/>
  <c r="DL445" i="29"/>
  <c r="DL468" i="29"/>
  <c r="CP470" i="29"/>
  <c r="DL474" i="29"/>
  <c r="DL478" i="29"/>
  <c r="DL484" i="29"/>
  <c r="DL489" i="29"/>
  <c r="BX458" i="29"/>
  <c r="AL437" i="29"/>
  <c r="BW437" i="29"/>
  <c r="BX455" i="29"/>
  <c r="BX448" i="29"/>
  <c r="BW504" i="29"/>
  <c r="BX140" i="29"/>
  <c r="BX510" i="29"/>
  <c r="DL21" i="29"/>
  <c r="DL91" i="29"/>
  <c r="DL97" i="29"/>
  <c r="DL204" i="29"/>
  <c r="DL211" i="29"/>
  <c r="BE164" i="29"/>
  <c r="DL185" i="29"/>
  <c r="DM185" i="29" s="1"/>
  <c r="DL218" i="29"/>
  <c r="DL222" i="29"/>
  <c r="DL35" i="29"/>
  <c r="DL55" i="29"/>
  <c r="DL57" i="29"/>
  <c r="DL63" i="29"/>
  <c r="DL70" i="29"/>
  <c r="DL85" i="29"/>
  <c r="DL86" i="29"/>
  <c r="DL102" i="29"/>
  <c r="DM102" i="29" s="1"/>
  <c r="DL115" i="29"/>
  <c r="DL116" i="29"/>
  <c r="DL146" i="29"/>
  <c r="DL152" i="29"/>
  <c r="DL32" i="29"/>
  <c r="DL67" i="29"/>
  <c r="DL87" i="29"/>
  <c r="DL88" i="29"/>
  <c r="DL95" i="29"/>
  <c r="DM95" i="29" s="1"/>
  <c r="DL106" i="29"/>
  <c r="DM106" i="29" s="1"/>
  <c r="DL114" i="29"/>
  <c r="DL117" i="29"/>
  <c r="DL118" i="29"/>
  <c r="DL119" i="29"/>
  <c r="DL121" i="29"/>
  <c r="DL122" i="29"/>
  <c r="DL123" i="29"/>
  <c r="DL124" i="29"/>
  <c r="DL126" i="29"/>
  <c r="DL127" i="29"/>
  <c r="DL128" i="29"/>
  <c r="DL129" i="29"/>
  <c r="DL151" i="29"/>
  <c r="DL158" i="29"/>
  <c r="DL59" i="29"/>
  <c r="DL312" i="29"/>
  <c r="DL34" i="29"/>
  <c r="DL37" i="29"/>
  <c r="DL39" i="29"/>
  <c r="DL41" i="29"/>
  <c r="DL42" i="29"/>
  <c r="DL48" i="29"/>
  <c r="DL51" i="29"/>
  <c r="DL52" i="29"/>
  <c r="DL53" i="29"/>
  <c r="DL62" i="29"/>
  <c r="DL66" i="29"/>
  <c r="DL69" i="29"/>
  <c r="DL73" i="29"/>
  <c r="DL75" i="29"/>
  <c r="DL76" i="29"/>
  <c r="DL78" i="29"/>
  <c r="DL79" i="29"/>
  <c r="DL80" i="29"/>
  <c r="DL81" i="29"/>
  <c r="DL108" i="29"/>
  <c r="DL109" i="29"/>
  <c r="DL110" i="29"/>
  <c r="DL111" i="29"/>
  <c r="DL112" i="29"/>
  <c r="DL113" i="29"/>
  <c r="AP10" i="29"/>
  <c r="DL14" i="29"/>
  <c r="DL16" i="29"/>
  <c r="DL25" i="29"/>
  <c r="DL26" i="29"/>
  <c r="DL27" i="29"/>
  <c r="DL28" i="29"/>
  <c r="DL29" i="29"/>
  <c r="DL33" i="29"/>
  <c r="DL36" i="29"/>
  <c r="DL38" i="29"/>
  <c r="DL45" i="29"/>
  <c r="BX47" i="29"/>
  <c r="DH51" i="29"/>
  <c r="DL54" i="29"/>
  <c r="DL56" i="29"/>
  <c r="DL65" i="29"/>
  <c r="DL68" i="29"/>
  <c r="DL71" i="29"/>
  <c r="DL90" i="29"/>
  <c r="DL93" i="29"/>
  <c r="DM93" i="29" s="1"/>
  <c r="DL94" i="29"/>
  <c r="DM94" i="29" s="1"/>
  <c r="DL99" i="29"/>
  <c r="DM99" i="29" s="1"/>
  <c r="DL103" i="29"/>
  <c r="DM103" i="29" s="1"/>
  <c r="DL58" i="29"/>
  <c r="DL147" i="29"/>
  <c r="DL363" i="29"/>
  <c r="DL140" i="29"/>
  <c r="DL257" i="29"/>
  <c r="DL333" i="29"/>
  <c r="DL335" i="29"/>
  <c r="DL487" i="29"/>
  <c r="DL490" i="29"/>
  <c r="DL508" i="29"/>
  <c r="DL125" i="29"/>
  <c r="DL134" i="29"/>
  <c r="DL136" i="29"/>
  <c r="DL137" i="29"/>
  <c r="DL138" i="29"/>
  <c r="DL157" i="29"/>
  <c r="DM157" i="29" s="1"/>
  <c r="DL160" i="29"/>
  <c r="DM160" i="29" s="1"/>
  <c r="DL169" i="29"/>
  <c r="DM169" i="29" s="1"/>
  <c r="DL170" i="29"/>
  <c r="DL171" i="29"/>
  <c r="DL173" i="29"/>
  <c r="DM173" i="29" s="1"/>
  <c r="DL174" i="29"/>
  <c r="DM174" i="29" s="1"/>
  <c r="DH203" i="29"/>
  <c r="DL212" i="29"/>
  <c r="DL213" i="29"/>
  <c r="DL214" i="29"/>
  <c r="DL215" i="29"/>
  <c r="DL216" i="29"/>
  <c r="DL219" i="29"/>
  <c r="DM219" i="29" s="1"/>
  <c r="DL221" i="29"/>
  <c r="DL223" i="29"/>
  <c r="DL228" i="29"/>
  <c r="DM228" i="29" s="1"/>
  <c r="DL231" i="29"/>
  <c r="DM231" i="29" s="1"/>
  <c r="DL233" i="29"/>
  <c r="DL235" i="29"/>
  <c r="DM235" i="29" s="1"/>
  <c r="DL236" i="29"/>
  <c r="DM236" i="29" s="1"/>
  <c r="DL238" i="29"/>
  <c r="DL239" i="29"/>
  <c r="DM239" i="29" s="1"/>
  <c r="DL243" i="29"/>
  <c r="DM243" i="29" s="1"/>
  <c r="DL244" i="29"/>
  <c r="DL250" i="29"/>
  <c r="DL266" i="29"/>
  <c r="DL268" i="29"/>
  <c r="DL273" i="29"/>
  <c r="DL287" i="29"/>
  <c r="DL288" i="29"/>
  <c r="DL289" i="29"/>
  <c r="DL298" i="29"/>
  <c r="DL299" i="29"/>
  <c r="DL300" i="29"/>
  <c r="BX302" i="29"/>
  <c r="DL306" i="29"/>
  <c r="DL307" i="29"/>
  <c r="DL308" i="29"/>
  <c r="DL323" i="29"/>
  <c r="DL324" i="29"/>
  <c r="DL325" i="29"/>
  <c r="DL326" i="29"/>
  <c r="DL329" i="29"/>
  <c r="DL337" i="29"/>
  <c r="DL338" i="29"/>
  <c r="DL344" i="29"/>
  <c r="DL345" i="29"/>
  <c r="DL346" i="29"/>
  <c r="DL347" i="29"/>
  <c r="DL348" i="29"/>
  <c r="DL349" i="29"/>
  <c r="DL350" i="29"/>
  <c r="DL351" i="29"/>
  <c r="DL352" i="29"/>
  <c r="DL353" i="29"/>
  <c r="DL354" i="29"/>
  <c r="DL388" i="29"/>
  <c r="DL403" i="29"/>
  <c r="DL405" i="29"/>
  <c r="DL416" i="29"/>
  <c r="DL419" i="29"/>
  <c r="DL421" i="29"/>
  <c r="DL441" i="29"/>
  <c r="DM441" i="29" s="1"/>
  <c r="DL470" i="29"/>
  <c r="DL481" i="29"/>
  <c r="DL483" i="29"/>
  <c r="DL485" i="29"/>
  <c r="DL488" i="29"/>
  <c r="DL492" i="29"/>
  <c r="DL495" i="29"/>
  <c r="DL506" i="29"/>
  <c r="DL507" i="29"/>
  <c r="DL141" i="29"/>
  <c r="DL148" i="29"/>
  <c r="DL161" i="29"/>
  <c r="DL162" i="29"/>
  <c r="DL164" i="29"/>
  <c r="DM164" i="29" s="1"/>
  <c r="DL187" i="29"/>
  <c r="DL190" i="29"/>
  <c r="DL191" i="29"/>
  <c r="DL192" i="29"/>
  <c r="DL193" i="29"/>
  <c r="DL194" i="29"/>
  <c r="DL195" i="29"/>
  <c r="DL196" i="29"/>
  <c r="DL197" i="29"/>
  <c r="DL198" i="29"/>
  <c r="DL199" i="29"/>
  <c r="DL200" i="29"/>
  <c r="DL201" i="29"/>
  <c r="DL202" i="29"/>
  <c r="DL209" i="29"/>
  <c r="DL210" i="29"/>
  <c r="DL251" i="29"/>
  <c r="DL252" i="29"/>
  <c r="DL253" i="29"/>
  <c r="DL254" i="29"/>
  <c r="DL255" i="29"/>
  <c r="DL256" i="29"/>
  <c r="DL269" i="29"/>
  <c r="DL276" i="29"/>
  <c r="DL277" i="29"/>
  <c r="DL278" i="29"/>
  <c r="DL291" i="29"/>
  <c r="DL292" i="29"/>
  <c r="DL293" i="29"/>
  <c r="DL294" i="29"/>
  <c r="DL295" i="29"/>
  <c r="DL296" i="29"/>
  <c r="DL297" i="29"/>
  <c r="DL310" i="29"/>
  <c r="DL311" i="29"/>
  <c r="DL314" i="29"/>
  <c r="DL315" i="29"/>
  <c r="DL316" i="29"/>
  <c r="DL317" i="29"/>
  <c r="DL318" i="29"/>
  <c r="DL319" i="29"/>
  <c r="DL320" i="29"/>
  <c r="DL321" i="29"/>
  <c r="DL322" i="29"/>
  <c r="DL327" i="29"/>
  <c r="DL328" i="29"/>
  <c r="DL331" i="29"/>
  <c r="DL332" i="29"/>
  <c r="DL339" i="29"/>
  <c r="DL358" i="29"/>
  <c r="DL359" i="29"/>
  <c r="DL360" i="29"/>
  <c r="DL362" i="29"/>
  <c r="DL364" i="29"/>
  <c r="DL365" i="29"/>
  <c r="DL367" i="29"/>
  <c r="DL368" i="29"/>
  <c r="DL369" i="29"/>
  <c r="DL370" i="29"/>
  <c r="DL372" i="29"/>
  <c r="DL373" i="29"/>
  <c r="DL374" i="29"/>
  <c r="DL375" i="29"/>
  <c r="DL377" i="29"/>
  <c r="DL378" i="29"/>
  <c r="DL381" i="29"/>
  <c r="DL382" i="29"/>
  <c r="DL383" i="29"/>
  <c r="DL394" i="29"/>
  <c r="DL379" i="29"/>
  <c r="DL396" i="29"/>
  <c r="DL407" i="29"/>
  <c r="BX409" i="29"/>
  <c r="DL413" i="29"/>
  <c r="DL422" i="29"/>
  <c r="DL424" i="29"/>
  <c r="DL426" i="29"/>
  <c r="DL428" i="29"/>
  <c r="DL435" i="29"/>
  <c r="DL440" i="29"/>
  <c r="DM440" i="29" s="1"/>
  <c r="DL447" i="29"/>
  <c r="DL464" i="29"/>
  <c r="DL467" i="29"/>
  <c r="DL471" i="29"/>
  <c r="DL473" i="29"/>
  <c r="DL475" i="29"/>
  <c r="DL477" i="29"/>
  <c r="DL493" i="29"/>
  <c r="DL496" i="29"/>
  <c r="DL498" i="29"/>
  <c r="DL501" i="29"/>
  <c r="BX63" i="29"/>
  <c r="DH188" i="29"/>
  <c r="DG188" i="29"/>
  <c r="DH189" i="29"/>
  <c r="DG189" i="29"/>
  <c r="DH190" i="29"/>
  <c r="DG190" i="29"/>
  <c r="DH191" i="29"/>
  <c r="DG191" i="29"/>
  <c r="DG192" i="29"/>
  <c r="DH193" i="29"/>
  <c r="DG193" i="29"/>
  <c r="DH194" i="29"/>
  <c r="DG194" i="29"/>
  <c r="DH195" i="29"/>
  <c r="DG195" i="29"/>
  <c r="DH196" i="29"/>
  <c r="DG196" i="29"/>
  <c r="DH197" i="29"/>
  <c r="DG197" i="29"/>
  <c r="DH198" i="29"/>
  <c r="DG198" i="29"/>
  <c r="DH199" i="29"/>
  <c r="DG199" i="29"/>
  <c r="DH200" i="29"/>
  <c r="DG200" i="29"/>
  <c r="DH201" i="29"/>
  <c r="DG201" i="29"/>
  <c r="DH202" i="29"/>
  <c r="DG202" i="29"/>
  <c r="DG205" i="29"/>
  <c r="DG208" i="29"/>
  <c r="DH209" i="29"/>
  <c r="DG209" i="29"/>
  <c r="DH210" i="29"/>
  <c r="DG210" i="29"/>
  <c r="BX231" i="29"/>
  <c r="BX233" i="29"/>
  <c r="BX235" i="29"/>
  <c r="BX236" i="29"/>
  <c r="BX238" i="29"/>
  <c r="DH239" i="29"/>
  <c r="BX239" i="29"/>
  <c r="DH243" i="29"/>
  <c r="BX244" i="29"/>
  <c r="BX246" i="29"/>
  <c r="DG246" i="29"/>
  <c r="BX250" i="29"/>
  <c r="DH251" i="29"/>
  <c r="DG251" i="29"/>
  <c r="DH252" i="29"/>
  <c r="DG252" i="29"/>
  <c r="DH253" i="29"/>
  <c r="DG253" i="29"/>
  <c r="DH254" i="29"/>
  <c r="DG254" i="29"/>
  <c r="DH255" i="29"/>
  <c r="DG255" i="29"/>
  <c r="DH256" i="29"/>
  <c r="DG256" i="29"/>
  <c r="BX266" i="29"/>
  <c r="BX267" i="29"/>
  <c r="BX268" i="29"/>
  <c r="DH269" i="29"/>
  <c r="DG269" i="29"/>
  <c r="DH272" i="29"/>
  <c r="BX272" i="29"/>
  <c r="DG272" i="29"/>
  <c r="DH273" i="29"/>
  <c r="DH276" i="29"/>
  <c r="BX276" i="29"/>
  <c r="DG276" i="29"/>
  <c r="DH277" i="29"/>
  <c r="BX277" i="29"/>
  <c r="DH278" i="29"/>
  <c r="DH425" i="29"/>
  <c r="BX278" i="29"/>
  <c r="DH290" i="29"/>
  <c r="DH291" i="29"/>
  <c r="BX291" i="29"/>
  <c r="DH292" i="29"/>
  <c r="BX292" i="29"/>
  <c r="DH293" i="29"/>
  <c r="BX293" i="29"/>
  <c r="DH294" i="29"/>
  <c r="BX294" i="29"/>
  <c r="DH295" i="29"/>
  <c r="BX295" i="29"/>
  <c r="DH296" i="29"/>
  <c r="BX296" i="29"/>
  <c r="DH297" i="29"/>
  <c r="BX297" i="29"/>
  <c r="DH298" i="29"/>
  <c r="BX298" i="29"/>
  <c r="DH306" i="29"/>
  <c r="DH309" i="29"/>
  <c r="DH310" i="29"/>
  <c r="DH311" i="29"/>
  <c r="BX311" i="29"/>
  <c r="DH313" i="29"/>
  <c r="BX313" i="29"/>
  <c r="DH314" i="29"/>
  <c r="BX314" i="29"/>
  <c r="DH315" i="29"/>
  <c r="DH316" i="29"/>
  <c r="BX316" i="29"/>
  <c r="DH317" i="29"/>
  <c r="BX317" i="29"/>
  <c r="BX318" i="29"/>
  <c r="DH319" i="29"/>
  <c r="BX319" i="29"/>
  <c r="DH320" i="29"/>
  <c r="BX320" i="29"/>
  <c r="DH321" i="29"/>
  <c r="BX321" i="29"/>
  <c r="DH322" i="29"/>
  <c r="BX322" i="29"/>
  <c r="DH327" i="29"/>
  <c r="BX327" i="29"/>
  <c r="DH328" i="29"/>
  <c r="BX328" i="29"/>
  <c r="BX331" i="29"/>
  <c r="DH332" i="29"/>
  <c r="BX332" i="29"/>
  <c r="BX339" i="29"/>
  <c r="DH358" i="29"/>
  <c r="BX358" i="29"/>
  <c r="DH359" i="29"/>
  <c r="BX359" i="29"/>
  <c r="DH360" i="29"/>
  <c r="BX360" i="29"/>
  <c r="DH362" i="29"/>
  <c r="DH364" i="29"/>
  <c r="DH365" i="29"/>
  <c r="BX365" i="29"/>
  <c r="DH367" i="29"/>
  <c r="BX367" i="29"/>
  <c r="DH368" i="29"/>
  <c r="BX368" i="29"/>
  <c r="DH369" i="29"/>
  <c r="BX369" i="29"/>
  <c r="DH370" i="29"/>
  <c r="BX370" i="29"/>
  <c r="DH372" i="29"/>
  <c r="BX372" i="29"/>
  <c r="DH373" i="29"/>
  <c r="BX373" i="29"/>
  <c r="DH374" i="29"/>
  <c r="BX374" i="29"/>
  <c r="DH375" i="29"/>
  <c r="BX375" i="29"/>
  <c r="DH377" i="29"/>
  <c r="BX377" i="29"/>
  <c r="DH378" i="29"/>
  <c r="BX378" i="29"/>
  <c r="DH381" i="29"/>
  <c r="BX381" i="29"/>
  <c r="DH382" i="29"/>
  <c r="BX382" i="29"/>
  <c r="DH383" i="29"/>
  <c r="BX383" i="29"/>
  <c r="DH128" i="29"/>
  <c r="DH133" i="29"/>
  <c r="DH141" i="29"/>
  <c r="DH146" i="29"/>
  <c r="DH150" i="29"/>
  <c r="DH151" i="29"/>
  <c r="BX227" i="29"/>
  <c r="BX230" i="29"/>
  <c r="BX232" i="29"/>
  <c r="BX234" i="29"/>
  <c r="BX237" i="29"/>
  <c r="BX240" i="29"/>
  <c r="BX241" i="29"/>
  <c r="BX245" i="29"/>
  <c r="BX257" i="29"/>
  <c r="BX262" i="29"/>
  <c r="BX270" i="29"/>
  <c r="AO504" i="29"/>
  <c r="AR504" i="29"/>
  <c r="AJ49" i="29"/>
  <c r="BI511" i="29"/>
  <c r="DG511" i="29"/>
  <c r="DJ248" i="29"/>
  <c r="DK248" i="29" s="1"/>
  <c r="CY225" i="29"/>
  <c r="BI301" i="29"/>
  <c r="DG301" i="29"/>
  <c r="BI312" i="29"/>
  <c r="DG312" i="29"/>
  <c r="BI336" i="29"/>
  <c r="DG336" i="29"/>
  <c r="DH152" i="29"/>
  <c r="DH157" i="29"/>
  <c r="BX157" i="29"/>
  <c r="DH158" i="29"/>
  <c r="BX158" i="29"/>
  <c r="DH163" i="29"/>
  <c r="DH179" i="29"/>
  <c r="DG203" i="29"/>
  <c r="DH204" i="29"/>
  <c r="DH205" i="29"/>
  <c r="DH208" i="29"/>
  <c r="DG217" i="29"/>
  <c r="DH218" i="29"/>
  <c r="DG218" i="29"/>
  <c r="DH222" i="29"/>
  <c r="DG222" i="29"/>
  <c r="BC225" i="29"/>
  <c r="DH227" i="29"/>
  <c r="DH230" i="29"/>
  <c r="DG230" i="29"/>
  <c r="DH232" i="29"/>
  <c r="DG232" i="29"/>
  <c r="DH234" i="29"/>
  <c r="DG234" i="29"/>
  <c r="DH237" i="29"/>
  <c r="DG237" i="29"/>
  <c r="DH240" i="29"/>
  <c r="DG240" i="29"/>
  <c r="DG241" i="29"/>
  <c r="DH245" i="29"/>
  <c r="DG245" i="29"/>
  <c r="BX251" i="29"/>
  <c r="BX252" i="29"/>
  <c r="BX253" i="29"/>
  <c r="BX254" i="29"/>
  <c r="BX255" i="29"/>
  <c r="BX256" i="29"/>
  <c r="DG257" i="29"/>
  <c r="DH262" i="29"/>
  <c r="DG262" i="29"/>
  <c r="AE225" i="29"/>
  <c r="BX269" i="29"/>
  <c r="DH270" i="29"/>
  <c r="DG270" i="29"/>
  <c r="DH274" i="29"/>
  <c r="BX274" i="29"/>
  <c r="DG274" i="29"/>
  <c r="DH279" i="29"/>
  <c r="BX279" i="29"/>
  <c r="BI280" i="29"/>
  <c r="DG280" i="29"/>
  <c r="DH281" i="29"/>
  <c r="BX281" i="29"/>
  <c r="DH282" i="29"/>
  <c r="BX282" i="29"/>
  <c r="DH284" i="29"/>
  <c r="BX284" i="29"/>
  <c r="DH285" i="29"/>
  <c r="BX285" i="29"/>
  <c r="DH286" i="29"/>
  <c r="BX286" i="29"/>
  <c r="BI287" i="29"/>
  <c r="DG287" i="29"/>
  <c r="BI288" i="29"/>
  <c r="DG288" i="29"/>
  <c r="BI289" i="29"/>
  <c r="DG289" i="29"/>
  <c r="BS290" i="29"/>
  <c r="BX290" i="29" s="1"/>
  <c r="BR225" i="29"/>
  <c r="BI298" i="29"/>
  <c r="DG298" i="29"/>
  <c r="BI299" i="29"/>
  <c r="DG299" i="29"/>
  <c r="BI300" i="29"/>
  <c r="DG300" i="29"/>
  <c r="DH303" i="29"/>
  <c r="BX303" i="29"/>
  <c r="BW306" i="29"/>
  <c r="BI306" i="29"/>
  <c r="DG306" i="29"/>
  <c r="BI307" i="29"/>
  <c r="DG307" i="29"/>
  <c r="BI308" i="29"/>
  <c r="DG308" i="29"/>
  <c r="BI323" i="29"/>
  <c r="DG323" i="29"/>
  <c r="BI324" i="29"/>
  <c r="DG324" i="29"/>
  <c r="BI325" i="29"/>
  <c r="DG325" i="29"/>
  <c r="DJ326" i="29"/>
  <c r="DH326" i="29"/>
  <c r="BI326" i="29"/>
  <c r="DG326" i="29"/>
  <c r="BI329" i="29"/>
  <c r="DG329" i="29"/>
  <c r="DH331" i="29"/>
  <c r="BP225" i="29"/>
  <c r="DH334" i="29"/>
  <c r="BX334" i="29"/>
  <c r="BI337" i="29"/>
  <c r="DG337" i="29"/>
  <c r="BI338" i="29"/>
  <c r="DG338" i="29"/>
  <c r="DH339" i="29"/>
  <c r="BX340" i="29"/>
  <c r="DH341" i="29"/>
  <c r="BX341" i="29"/>
  <c r="DH342" i="29"/>
  <c r="BX342" i="29"/>
  <c r="BI344" i="29"/>
  <c r="DG344" i="29"/>
  <c r="BI345" i="29"/>
  <c r="DG345" i="29"/>
  <c r="BI346" i="29"/>
  <c r="DG346" i="29"/>
  <c r="BI347" i="29"/>
  <c r="DG347" i="29"/>
  <c r="BI348" i="29"/>
  <c r="DG348" i="29"/>
  <c r="BI349" i="29"/>
  <c r="DG349" i="29"/>
  <c r="BI350" i="29"/>
  <c r="DG350" i="29"/>
  <c r="BI351" i="29"/>
  <c r="DG351" i="29"/>
  <c r="BI352" i="29"/>
  <c r="DG352" i="29"/>
  <c r="BI353" i="29"/>
  <c r="DG353" i="29"/>
  <c r="BI354" i="29"/>
  <c r="DG354" i="29"/>
  <c r="DH355" i="29"/>
  <c r="BX355" i="29"/>
  <c r="DH356" i="29"/>
  <c r="BX356" i="29"/>
  <c r="DH361" i="29"/>
  <c r="BX362" i="29"/>
  <c r="DH366" i="29"/>
  <c r="DJ376" i="29"/>
  <c r="DH376" i="29"/>
  <c r="DH385" i="29"/>
  <c r="BX385" i="29"/>
  <c r="DH384" i="29"/>
  <c r="BX384" i="29"/>
  <c r="DH386" i="29"/>
  <c r="BX386" i="29"/>
  <c r="DH389" i="29"/>
  <c r="BX389" i="29"/>
  <c r="DH390" i="29"/>
  <c r="BX390" i="29"/>
  <c r="DH391" i="29"/>
  <c r="BX391" i="29"/>
  <c r="DH392" i="29"/>
  <c r="BX392" i="29"/>
  <c r="DH393" i="29"/>
  <c r="BX393" i="29"/>
  <c r="BI394" i="29"/>
  <c r="DG394" i="29"/>
  <c r="DH379" i="29"/>
  <c r="BI379" i="29"/>
  <c r="DG379" i="29"/>
  <c r="BX380" i="29"/>
  <c r="BI396" i="29"/>
  <c r="DG396" i="29"/>
  <c r="DJ397" i="29"/>
  <c r="BG402" i="29"/>
  <c r="DH402" i="29"/>
  <c r="DH403" i="29"/>
  <c r="DG404" i="29"/>
  <c r="BI406" i="29"/>
  <c r="DG406" i="29"/>
  <c r="BI407" i="29"/>
  <c r="DG407" i="29"/>
  <c r="DH409" i="29"/>
  <c r="DH410" i="29"/>
  <c r="DH412" i="29"/>
  <c r="BX412" i="29"/>
  <c r="BI413" i="29"/>
  <c r="DG413" i="29"/>
  <c r="BI422" i="29"/>
  <c r="DG422" i="29"/>
  <c r="DH423" i="29"/>
  <c r="BX423" i="29"/>
  <c r="DJ424" i="29"/>
  <c r="DO424" i="29" s="1"/>
  <c r="BI424" i="29"/>
  <c r="DG424" i="29"/>
  <c r="DH20" i="29"/>
  <c r="BI363" i="29"/>
  <c r="DG363" i="29"/>
  <c r="BI387" i="29"/>
  <c r="DG387" i="29"/>
  <c r="BI388" i="29"/>
  <c r="DG388" i="29"/>
  <c r="BG400" i="29"/>
  <c r="DH400" i="29"/>
  <c r="BI403" i="29"/>
  <c r="DG403" i="29"/>
  <c r="BI405" i="29"/>
  <c r="DG405" i="29"/>
  <c r="DJ406" i="29"/>
  <c r="DH406" i="29"/>
  <c r="BI416" i="29"/>
  <c r="DG416" i="29"/>
  <c r="BI419" i="29"/>
  <c r="DG419" i="29"/>
  <c r="BI421" i="29"/>
  <c r="DG421" i="29"/>
  <c r="BI429" i="29"/>
  <c r="DG429" i="29"/>
  <c r="DJ436" i="29"/>
  <c r="DH436" i="29"/>
  <c r="BI462" i="29"/>
  <c r="DG462" i="29"/>
  <c r="DJ465" i="29"/>
  <c r="DH465" i="29"/>
  <c r="BI470" i="29"/>
  <c r="DG470" i="29"/>
  <c r="BI483" i="29"/>
  <c r="DG483" i="29"/>
  <c r="BI488" i="29"/>
  <c r="DG488" i="29"/>
  <c r="BI492" i="29"/>
  <c r="DG492" i="29"/>
  <c r="CZ504" i="29"/>
  <c r="BI506" i="29"/>
  <c r="DG506" i="29"/>
  <c r="BI507" i="29"/>
  <c r="DG507" i="29"/>
  <c r="DH177" i="29"/>
  <c r="DH206" i="29"/>
  <c r="DH207" i="29"/>
  <c r="DG207" i="29"/>
  <c r="BX211" i="29"/>
  <c r="DG211" i="29"/>
  <c r="DH212" i="29"/>
  <c r="AQ225" i="29"/>
  <c r="DH241" i="29"/>
  <c r="DG242" i="29"/>
  <c r="DH257" i="29"/>
  <c r="DG258" i="29"/>
  <c r="DG259" i="29"/>
  <c r="DH260" i="29"/>
  <c r="DG260" i="29"/>
  <c r="DH261" i="29"/>
  <c r="DG261" i="29"/>
  <c r="AA225" i="29"/>
  <c r="DH263" i="29"/>
  <c r="DG263" i="29"/>
  <c r="DH264" i="29"/>
  <c r="DG264" i="29"/>
  <c r="DH265" i="29"/>
  <c r="DG265" i="29"/>
  <c r="BN267" i="29"/>
  <c r="BN225" i="29" s="1"/>
  <c r="BM225" i="29"/>
  <c r="DH271" i="29"/>
  <c r="DG271" i="29"/>
  <c r="AZ275" i="29"/>
  <c r="AZ225" i="29" s="1"/>
  <c r="AY225" i="29"/>
  <c r="AY10" i="29" s="1"/>
  <c r="BI278" i="29"/>
  <c r="DG278" i="29"/>
  <c r="DJ283" i="29"/>
  <c r="DH283" i="29"/>
  <c r="BI290" i="29"/>
  <c r="DG290" i="29"/>
  <c r="BI291" i="29"/>
  <c r="DG291" i="29"/>
  <c r="BI294" i="29"/>
  <c r="DG294" i="29"/>
  <c r="BI296" i="29"/>
  <c r="DG296" i="29"/>
  <c r="BI297" i="29"/>
  <c r="DG297" i="29"/>
  <c r="BX301" i="29"/>
  <c r="DH302" i="29"/>
  <c r="DH304" i="29"/>
  <c r="BI309" i="29"/>
  <c r="DG309" i="29"/>
  <c r="BI310" i="29"/>
  <c r="DG310" i="29"/>
  <c r="BI311" i="29"/>
  <c r="DG311" i="29"/>
  <c r="DH312" i="29"/>
  <c r="BX312" i="29"/>
  <c r="BI313" i="29"/>
  <c r="DG313" i="29"/>
  <c r="BI317" i="29"/>
  <c r="DG317" i="29"/>
  <c r="DJ318" i="29"/>
  <c r="DH318" i="29"/>
  <c r="BI318" i="29"/>
  <c r="DG318" i="29"/>
  <c r="BI320" i="29"/>
  <c r="DG320" i="29"/>
  <c r="BI321" i="29"/>
  <c r="DG321" i="29"/>
  <c r="BI322" i="29"/>
  <c r="DG322" i="29"/>
  <c r="BI327" i="29"/>
  <c r="DG327" i="29"/>
  <c r="BI328" i="29"/>
  <c r="DG328" i="29"/>
  <c r="BI331" i="29"/>
  <c r="DG331" i="29"/>
  <c r="BI332" i="29"/>
  <c r="DG332" i="29"/>
  <c r="DH333" i="29"/>
  <c r="DH335" i="29"/>
  <c r="BX336" i="29"/>
  <c r="BI339" i="29"/>
  <c r="DG339" i="29"/>
  <c r="DH340" i="29"/>
  <c r="DJ343" i="29"/>
  <c r="DH343" i="29"/>
  <c r="DH357" i="29"/>
  <c r="BX357" i="29"/>
  <c r="BI358" i="29"/>
  <c r="DG358" i="29"/>
  <c r="BI359" i="29"/>
  <c r="DG359" i="29"/>
  <c r="BI360" i="29"/>
  <c r="DG360" i="29"/>
  <c r="BI361" i="29"/>
  <c r="DG361" i="29"/>
  <c r="BI362" i="29"/>
  <c r="DG362" i="29"/>
  <c r="DH363" i="29"/>
  <c r="BI364" i="29"/>
  <c r="DG364" i="29"/>
  <c r="BI365" i="29"/>
  <c r="DG365" i="29"/>
  <c r="BI366" i="29"/>
  <c r="BK366" i="29" s="1"/>
  <c r="BZ366" i="29" s="1"/>
  <c r="DG366" i="29"/>
  <c r="BI367" i="29"/>
  <c r="DG367" i="29"/>
  <c r="BI368" i="29"/>
  <c r="DG368" i="29"/>
  <c r="BI369" i="29"/>
  <c r="DG369" i="29"/>
  <c r="BI370" i="29"/>
  <c r="DG370" i="29"/>
  <c r="BI372" i="29"/>
  <c r="DG372" i="29"/>
  <c r="BI373" i="29"/>
  <c r="DG373" i="29"/>
  <c r="BI374" i="29"/>
  <c r="DG374" i="29"/>
  <c r="BI375" i="29"/>
  <c r="DG375" i="29"/>
  <c r="BI376" i="29"/>
  <c r="DG376" i="29"/>
  <c r="BI377" i="29"/>
  <c r="DG377" i="29"/>
  <c r="BI378" i="29"/>
  <c r="DG378" i="29"/>
  <c r="BI381" i="29"/>
  <c r="DG381" i="29"/>
  <c r="BI382" i="29"/>
  <c r="DG382" i="29"/>
  <c r="BI383" i="29"/>
  <c r="DG383" i="29"/>
  <c r="DH387" i="29"/>
  <c r="BX387" i="29"/>
  <c r="BX388" i="29"/>
  <c r="DH380" i="29"/>
  <c r="DJ395" i="29"/>
  <c r="DH395" i="29"/>
  <c r="BI399" i="29"/>
  <c r="DG399" i="29"/>
  <c r="DJ400" i="29"/>
  <c r="BI401" i="29"/>
  <c r="DG401" i="29"/>
  <c r="DJ402" i="29"/>
  <c r="DO402" i="29" s="1"/>
  <c r="BX403" i="29"/>
  <c r="DH405" i="29"/>
  <c r="BX405" i="29"/>
  <c r="DJ411" i="29"/>
  <c r="DH411" i="29"/>
  <c r="BI414" i="29"/>
  <c r="DG414" i="29"/>
  <c r="DH416" i="29"/>
  <c r="BX416" i="29"/>
  <c r="BI418" i="29"/>
  <c r="DG418" i="29"/>
  <c r="DH419" i="29"/>
  <c r="BX419" i="29"/>
  <c r="BI420" i="29"/>
  <c r="DG420" i="29"/>
  <c r="DH421" i="29"/>
  <c r="BX421" i="29"/>
  <c r="DH429" i="29"/>
  <c r="BX429" i="29"/>
  <c r="BI431" i="29"/>
  <c r="DG431" i="29"/>
  <c r="DH433" i="29"/>
  <c r="BX433" i="29"/>
  <c r="BI437" i="29"/>
  <c r="DG437" i="29"/>
  <c r="BX441" i="29"/>
  <c r="BI443" i="29"/>
  <c r="DG443" i="29"/>
  <c r="DH446" i="29"/>
  <c r="BX446" i="29"/>
  <c r="BI448" i="29"/>
  <c r="DG448" i="29"/>
  <c r="DH453" i="29"/>
  <c r="BI455" i="29"/>
  <c r="DG455" i="29"/>
  <c r="BI458" i="29"/>
  <c r="DG458" i="29"/>
  <c r="DH462" i="29"/>
  <c r="BX462" i="29"/>
  <c r="DJ469" i="29"/>
  <c r="DH469" i="29"/>
  <c r="DH470" i="29"/>
  <c r="BX470" i="29"/>
  <c r="DH481" i="29"/>
  <c r="BX481" i="29"/>
  <c r="BI482" i="29"/>
  <c r="DG482" i="29"/>
  <c r="DH483" i="29"/>
  <c r="BX483" i="29"/>
  <c r="BI484" i="29"/>
  <c r="DG484" i="29"/>
  <c r="DH485" i="29"/>
  <c r="BX485" i="29"/>
  <c r="BI486" i="29"/>
  <c r="DG486" i="29"/>
  <c r="BI487" i="29"/>
  <c r="DG487" i="29"/>
  <c r="DH488" i="29"/>
  <c r="BX488" i="29"/>
  <c r="BI489" i="29"/>
  <c r="DG489" i="29"/>
  <c r="BI490" i="29"/>
  <c r="DG490" i="29"/>
  <c r="DH492" i="29"/>
  <c r="BX492" i="29"/>
  <c r="DH495" i="29"/>
  <c r="BX495" i="29"/>
  <c r="DJ503" i="29"/>
  <c r="DH503" i="29"/>
  <c r="CM504" i="29"/>
  <c r="DJ505" i="29"/>
  <c r="DO505" i="29" s="1"/>
  <c r="DH505" i="29"/>
  <c r="DH506" i="29"/>
  <c r="BX506" i="29"/>
  <c r="DH507" i="29"/>
  <c r="DH508" i="29"/>
  <c r="BI508" i="29"/>
  <c r="BK508" i="29" s="1"/>
  <c r="DG508" i="29"/>
  <c r="BI510" i="29"/>
  <c r="DG510" i="29"/>
  <c r="DH135" i="29"/>
  <c r="CT225" i="29"/>
  <c r="AI262" i="29"/>
  <c r="AH225" i="29"/>
  <c r="AF263" i="29"/>
  <c r="AD225" i="29"/>
  <c r="DB277" i="29"/>
  <c r="DG277" i="29" s="1"/>
  <c r="DA225" i="29"/>
  <c r="BV304" i="29"/>
  <c r="BV225" i="29" s="1"/>
  <c r="BU225" i="29"/>
  <c r="BU10" i="29" s="1"/>
  <c r="BI304" i="29"/>
  <c r="DG304" i="29"/>
  <c r="BI305" i="29"/>
  <c r="BK305" i="29" s="1"/>
  <c r="BZ305" i="29" s="1"/>
  <c r="DG305" i="29"/>
  <c r="BI357" i="29"/>
  <c r="DG357" i="29"/>
  <c r="BI433" i="29"/>
  <c r="DG433" i="29"/>
  <c r="BI441" i="29"/>
  <c r="DG441" i="29"/>
  <c r="BI446" i="29"/>
  <c r="DG446" i="29"/>
  <c r="BI481" i="29"/>
  <c r="DG481" i="29"/>
  <c r="BI485" i="29"/>
  <c r="DG485" i="29"/>
  <c r="BG489" i="29"/>
  <c r="DH489" i="29"/>
  <c r="BI495" i="29"/>
  <c r="DG495" i="29"/>
  <c r="DH18" i="29"/>
  <c r="DH40" i="29"/>
  <c r="DH43" i="29"/>
  <c r="AL44" i="29"/>
  <c r="DJ47" i="29"/>
  <c r="DO47" i="29" s="1"/>
  <c r="DH60" i="29"/>
  <c r="DH64" i="29"/>
  <c r="DH89" i="29"/>
  <c r="DH107" i="29"/>
  <c r="DH142" i="29"/>
  <c r="DH149" i="29"/>
  <c r="DH24" i="29"/>
  <c r="DH30" i="29"/>
  <c r="DH78" i="29"/>
  <c r="DH79" i="29"/>
  <c r="DH104" i="29"/>
  <c r="DH105" i="29"/>
  <c r="DH109" i="29"/>
  <c r="DH110" i="29"/>
  <c r="DH111" i="29"/>
  <c r="DH120" i="29"/>
  <c r="DH130" i="29"/>
  <c r="DH140" i="29"/>
  <c r="DH143" i="29"/>
  <c r="BX143" i="29"/>
  <c r="BX146" i="29"/>
  <c r="DH147" i="29"/>
  <c r="BX147" i="29"/>
  <c r="BX152" i="29"/>
  <c r="DH184" i="29"/>
  <c r="BX204" i="29"/>
  <c r="DG204" i="29"/>
  <c r="BX206" i="29"/>
  <c r="DG206" i="29"/>
  <c r="BX207" i="29"/>
  <c r="DH211" i="29"/>
  <c r="DH217" i="29"/>
  <c r="CL225" i="29"/>
  <c r="BI292" i="29"/>
  <c r="DG292" i="29"/>
  <c r="BI293" i="29"/>
  <c r="DG293" i="29"/>
  <c r="BI295" i="29"/>
  <c r="DG295" i="29"/>
  <c r="BI314" i="29"/>
  <c r="DG314" i="29"/>
  <c r="BI315" i="29"/>
  <c r="DG315" i="29"/>
  <c r="BI316" i="29"/>
  <c r="DG316" i="29"/>
  <c r="BI319" i="29"/>
  <c r="DG319" i="29"/>
  <c r="DH74" i="29"/>
  <c r="DJ156" i="29"/>
  <c r="DN156" i="29" s="1"/>
  <c r="DH169" i="29"/>
  <c r="DH170" i="29"/>
  <c r="DH171" i="29"/>
  <c r="DH173" i="29"/>
  <c r="DH174" i="29"/>
  <c r="DH185" i="29"/>
  <c r="DH186" i="29"/>
  <c r="DH187" i="29"/>
  <c r="DH192" i="29"/>
  <c r="DG212" i="29"/>
  <c r="DH213" i="29"/>
  <c r="DG213" i="29"/>
  <c r="DH214" i="29"/>
  <c r="DG214" i="29"/>
  <c r="DH215" i="29"/>
  <c r="DG215" i="29"/>
  <c r="DH216" i="29"/>
  <c r="DG216" i="29"/>
  <c r="DG219" i="29"/>
  <c r="DH220" i="29"/>
  <c r="DG220" i="29"/>
  <c r="DH221" i="29"/>
  <c r="DG221" i="29"/>
  <c r="DH223" i="29"/>
  <c r="DG223" i="29"/>
  <c r="CO225" i="29"/>
  <c r="BI227" i="29"/>
  <c r="AV225" i="29"/>
  <c r="DH228" i="29"/>
  <c r="DG228" i="29"/>
  <c r="DH231" i="29"/>
  <c r="DG231" i="29"/>
  <c r="DH233" i="29"/>
  <c r="DG233" i="29"/>
  <c r="DH235" i="29"/>
  <c r="DG235" i="29"/>
  <c r="DH236" i="29"/>
  <c r="DG236" i="29"/>
  <c r="DH238" i="29"/>
  <c r="DG238" i="29"/>
  <c r="DG239" i="29"/>
  <c r="DH242" i="29"/>
  <c r="BX242" i="29"/>
  <c r="DG243" i="29"/>
  <c r="DH244" i="29"/>
  <c r="DG244" i="29"/>
  <c r="DH246" i="29"/>
  <c r="CM248" i="29"/>
  <c r="G38" i="27" s="1"/>
  <c r="DH248" i="29"/>
  <c r="DH250" i="29"/>
  <c r="DG250" i="29"/>
  <c r="DH258" i="29"/>
  <c r="BX258" i="29"/>
  <c r="DJ259" i="29"/>
  <c r="BX260" i="29"/>
  <c r="BX261" i="29"/>
  <c r="T225" i="29"/>
  <c r="AB225" i="29"/>
  <c r="BX263" i="29"/>
  <c r="BX264" i="29"/>
  <c r="BX265" i="29"/>
  <c r="DH266" i="29"/>
  <c r="DG266" i="29"/>
  <c r="DH267" i="29"/>
  <c r="DG267" i="29"/>
  <c r="DH268" i="29"/>
  <c r="DG268" i="29"/>
  <c r="BX271" i="29"/>
  <c r="BX273" i="29"/>
  <c r="DG273" i="29"/>
  <c r="AK275" i="29"/>
  <c r="AL260" i="29" s="1"/>
  <c r="AJ225" i="29"/>
  <c r="DH275" i="29"/>
  <c r="BX275" i="29"/>
  <c r="DG275" i="29"/>
  <c r="BI279" i="29"/>
  <c r="DG279" i="29"/>
  <c r="DH280" i="29"/>
  <c r="BX280" i="29"/>
  <c r="BI281" i="29"/>
  <c r="DG281" i="29"/>
  <c r="BI282" i="29"/>
  <c r="DG282" i="29"/>
  <c r="BI283" i="29"/>
  <c r="DG283" i="29"/>
  <c r="BI284" i="29"/>
  <c r="DG284" i="29"/>
  <c r="BI285" i="29"/>
  <c r="DG285" i="29"/>
  <c r="BI286" i="29"/>
  <c r="DG286" i="29"/>
  <c r="DH287" i="29"/>
  <c r="BX287" i="29"/>
  <c r="DH288" i="29"/>
  <c r="BX288" i="29"/>
  <c r="DH289" i="29"/>
  <c r="BX289" i="29"/>
  <c r="DH299" i="29"/>
  <c r="BX299" i="29"/>
  <c r="DH300" i="29"/>
  <c r="BX300" i="29"/>
  <c r="DH301" i="29"/>
  <c r="BI302" i="29"/>
  <c r="DG302" i="29"/>
  <c r="BI303" i="29"/>
  <c r="DG303" i="29"/>
  <c r="DH305" i="29"/>
  <c r="BX306" i="29"/>
  <c r="DH307" i="29"/>
  <c r="BX307" i="29"/>
  <c r="DH308" i="29"/>
  <c r="BX308" i="29"/>
  <c r="DH323" i="29"/>
  <c r="DH324" i="29"/>
  <c r="BX324" i="29"/>
  <c r="DH325" i="29"/>
  <c r="BX325" i="29"/>
  <c r="BX326" i="29"/>
  <c r="DH329" i="29"/>
  <c r="BX329" i="29"/>
  <c r="BI333" i="29"/>
  <c r="DG333" i="29"/>
  <c r="BI334" i="29"/>
  <c r="DG334" i="29"/>
  <c r="BI335" i="29"/>
  <c r="DG335" i="29"/>
  <c r="DH336" i="29"/>
  <c r="DH337" i="29"/>
  <c r="BX337" i="29"/>
  <c r="DH338" i="29"/>
  <c r="BI340" i="29"/>
  <c r="DG340" i="29"/>
  <c r="BI341" i="29"/>
  <c r="DG341" i="29"/>
  <c r="BI342" i="29"/>
  <c r="DG342" i="29"/>
  <c r="BI343" i="29"/>
  <c r="DG343" i="29"/>
  <c r="DH344" i="29"/>
  <c r="BX344" i="29"/>
  <c r="DH345" i="29"/>
  <c r="BX345" i="29"/>
  <c r="DH346" i="29"/>
  <c r="BX346" i="29"/>
  <c r="DH347" i="29"/>
  <c r="BX347" i="29"/>
  <c r="DH348" i="29"/>
  <c r="BX348" i="29"/>
  <c r="DH349" i="29"/>
  <c r="BX349" i="29"/>
  <c r="DH350" i="29"/>
  <c r="BX350" i="29"/>
  <c r="DH351" i="29"/>
  <c r="BX351" i="29"/>
  <c r="DH352" i="29"/>
  <c r="BX352" i="29"/>
  <c r="DH353" i="29"/>
  <c r="BX353" i="29"/>
  <c r="DH354" i="29"/>
  <c r="BX354" i="29"/>
  <c r="BI355" i="29"/>
  <c r="DG355" i="29"/>
  <c r="BI356" i="29"/>
  <c r="DG356" i="29"/>
  <c r="BI385" i="29"/>
  <c r="DG385" i="29"/>
  <c r="BI384" i="29"/>
  <c r="DG384" i="29"/>
  <c r="BI386" i="29"/>
  <c r="DG386" i="29"/>
  <c r="BI389" i="29"/>
  <c r="DG389" i="29"/>
  <c r="BI390" i="29"/>
  <c r="DG390" i="29"/>
  <c r="BI391" i="29"/>
  <c r="DG391" i="29"/>
  <c r="AN387" i="29"/>
  <c r="AN225" i="29" s="1"/>
  <c r="AM225" i="29"/>
  <c r="BI392" i="29"/>
  <c r="DG392" i="29"/>
  <c r="BI393" i="29"/>
  <c r="DG393" i="29"/>
  <c r="DH394" i="29"/>
  <c r="BX394" i="29"/>
  <c r="DH388" i="29"/>
  <c r="BX379" i="29"/>
  <c r="BI380" i="29"/>
  <c r="DG380" i="29"/>
  <c r="BI395" i="29"/>
  <c r="DG395" i="29"/>
  <c r="DH396" i="29"/>
  <c r="BX396" i="29"/>
  <c r="DG397" i="29"/>
  <c r="DG398" i="29"/>
  <c r="DG400" i="29"/>
  <c r="DJ404" i="29"/>
  <c r="DH404" i="29"/>
  <c r="DH407" i="29"/>
  <c r="DJ408" i="29"/>
  <c r="DH408" i="29"/>
  <c r="BI408" i="29"/>
  <c r="DG408" i="29"/>
  <c r="BI409" i="29"/>
  <c r="DG409" i="29"/>
  <c r="BI410" i="29"/>
  <c r="DG410" i="29"/>
  <c r="BI411" i="29"/>
  <c r="DG411" i="29"/>
  <c r="BI412" i="29"/>
  <c r="DG412" i="29"/>
  <c r="DH413" i="29"/>
  <c r="BX413" i="29"/>
  <c r="DH422" i="29"/>
  <c r="BX422" i="29"/>
  <c r="BI423" i="29"/>
  <c r="DG423" i="29"/>
  <c r="BX424" i="29"/>
  <c r="BX425" i="29"/>
  <c r="BI426" i="29"/>
  <c r="DG426" i="29"/>
  <c r="DH427" i="29"/>
  <c r="BX427" i="29"/>
  <c r="BI428" i="29"/>
  <c r="DG428" i="29"/>
  <c r="DH430" i="29"/>
  <c r="BX430" i="29"/>
  <c r="BI432" i="29"/>
  <c r="DG432" i="29"/>
  <c r="DH434" i="29"/>
  <c r="BX434" i="29"/>
  <c r="BI435" i="29"/>
  <c r="DG435" i="29"/>
  <c r="BI436" i="29"/>
  <c r="DG436" i="29"/>
  <c r="DH438" i="29"/>
  <c r="BX438" i="29"/>
  <c r="DH439" i="29"/>
  <c r="BX439" i="29"/>
  <c r="BI440" i="29"/>
  <c r="DG440" i="29"/>
  <c r="BI442" i="29"/>
  <c r="DG442" i="29"/>
  <c r="DH444" i="29"/>
  <c r="BX444" i="29"/>
  <c r="DH445" i="29"/>
  <c r="BX445" i="29"/>
  <c r="BI447" i="29"/>
  <c r="DG447" i="29"/>
  <c r="DH449" i="29"/>
  <c r="BX449" i="29"/>
  <c r="DH450" i="29"/>
  <c r="BX450" i="29"/>
  <c r="DH451" i="29"/>
  <c r="BX451" i="29"/>
  <c r="BI452" i="29"/>
  <c r="DG452" i="29"/>
  <c r="BX453" i="29"/>
  <c r="BI454" i="29"/>
  <c r="DG454" i="29"/>
  <c r="DH457" i="29"/>
  <c r="BX457" i="29"/>
  <c r="BI459" i="29"/>
  <c r="DG459" i="29"/>
  <c r="DH460" i="29"/>
  <c r="BX460" i="29"/>
  <c r="DH461" i="29"/>
  <c r="BX461" i="29"/>
  <c r="BI463" i="29"/>
  <c r="DG463" i="29"/>
  <c r="BI464" i="29"/>
  <c r="DG464" i="29"/>
  <c r="BI465" i="29"/>
  <c r="DG465" i="29"/>
  <c r="DH466" i="29"/>
  <c r="BI467" i="29"/>
  <c r="DG467" i="29"/>
  <c r="DH468" i="29"/>
  <c r="BI471" i="29"/>
  <c r="DG471" i="29"/>
  <c r="DH472" i="29"/>
  <c r="BX472" i="29"/>
  <c r="BI473" i="29"/>
  <c r="DG473" i="29"/>
  <c r="DH474" i="29"/>
  <c r="BX474" i="29"/>
  <c r="BI475" i="29"/>
  <c r="DG475" i="29"/>
  <c r="DH476" i="29"/>
  <c r="BX476" i="29"/>
  <c r="BI477" i="29"/>
  <c r="DG477" i="29"/>
  <c r="DH478" i="29"/>
  <c r="BX478" i="29"/>
  <c r="DH490" i="29"/>
  <c r="BI493" i="29"/>
  <c r="DG493" i="29"/>
  <c r="DH494" i="29"/>
  <c r="BX494" i="29"/>
  <c r="BI496" i="29"/>
  <c r="DG496" i="29"/>
  <c r="DH497" i="29"/>
  <c r="BX497" i="29"/>
  <c r="BI498" i="29"/>
  <c r="DG498" i="29"/>
  <c r="DH499" i="29"/>
  <c r="BX499" i="29"/>
  <c r="BI501" i="29"/>
  <c r="DG501" i="29"/>
  <c r="DH502" i="29"/>
  <c r="BX502" i="29"/>
  <c r="AL504" i="29"/>
  <c r="BD504" i="29"/>
  <c r="DH504" i="29"/>
  <c r="BQ504" i="29"/>
  <c r="DC504" i="29"/>
  <c r="BX508" i="29"/>
  <c r="DH509" i="29"/>
  <c r="BX509" i="29"/>
  <c r="DJ247" i="29"/>
  <c r="DJ425" i="29"/>
  <c r="DO425" i="29" s="1"/>
  <c r="BI425" i="29"/>
  <c r="DG425" i="29"/>
  <c r="DH426" i="29"/>
  <c r="BX426" i="29"/>
  <c r="BI427" i="29"/>
  <c r="DG427" i="29"/>
  <c r="DH428" i="29"/>
  <c r="BX428" i="29"/>
  <c r="BI430" i="29"/>
  <c r="DG430" i="29"/>
  <c r="DH432" i="29"/>
  <c r="BX432" i="29"/>
  <c r="BI434" i="29"/>
  <c r="DG434" i="29"/>
  <c r="DH435" i="29"/>
  <c r="BX435" i="29"/>
  <c r="BI438" i="29"/>
  <c r="DG438" i="29"/>
  <c r="BI439" i="29"/>
  <c r="DG439" i="29"/>
  <c r="DH440" i="29"/>
  <c r="BX440" i="29"/>
  <c r="DH441" i="29"/>
  <c r="DH442" i="29"/>
  <c r="BX442" i="29"/>
  <c r="BI444" i="29"/>
  <c r="DG444" i="29"/>
  <c r="BI445" i="29"/>
  <c r="DG445" i="29"/>
  <c r="DH447" i="29"/>
  <c r="BX447" i="29"/>
  <c r="BI449" i="29"/>
  <c r="DG449" i="29"/>
  <c r="BI450" i="29"/>
  <c r="DG450" i="29"/>
  <c r="BI451" i="29"/>
  <c r="DG451" i="29"/>
  <c r="DH452" i="29"/>
  <c r="BX452" i="29"/>
  <c r="BI453" i="29"/>
  <c r="DG453" i="29"/>
  <c r="DH454" i="29"/>
  <c r="BX454" i="29"/>
  <c r="BI457" i="29"/>
  <c r="DG457" i="29"/>
  <c r="DH459" i="29"/>
  <c r="BX459" i="29"/>
  <c r="BI460" i="29"/>
  <c r="DG460" i="29"/>
  <c r="BI461" i="29"/>
  <c r="DG461" i="29"/>
  <c r="DH463" i="29"/>
  <c r="BX463" i="29"/>
  <c r="DH464" i="29"/>
  <c r="BX464" i="29"/>
  <c r="BI466" i="29"/>
  <c r="DG466" i="29"/>
  <c r="DH467" i="29"/>
  <c r="BI468" i="29"/>
  <c r="DG468" i="29"/>
  <c r="BI469" i="29"/>
  <c r="DG469" i="29"/>
  <c r="DH471" i="29"/>
  <c r="BX471" i="29"/>
  <c r="BI472" i="29"/>
  <c r="DG472" i="29"/>
  <c r="DH473" i="29"/>
  <c r="BX473" i="29"/>
  <c r="BI474" i="29"/>
  <c r="DG474" i="29"/>
  <c r="DH475" i="29"/>
  <c r="BX475" i="29"/>
  <c r="BI476" i="29"/>
  <c r="DG476" i="29"/>
  <c r="DH477" i="29"/>
  <c r="BX477" i="29"/>
  <c r="BI478" i="29"/>
  <c r="DG478" i="29"/>
  <c r="DH493" i="29"/>
  <c r="BX493" i="29"/>
  <c r="BI494" i="29"/>
  <c r="DG494" i="29"/>
  <c r="DH496" i="29"/>
  <c r="BX496" i="29"/>
  <c r="BI497" i="29"/>
  <c r="DG497" i="29"/>
  <c r="DH498" i="29"/>
  <c r="BX498" i="29"/>
  <c r="BI499" i="29"/>
  <c r="DG499" i="29"/>
  <c r="DH501" i="29"/>
  <c r="BX501" i="29"/>
  <c r="BI502" i="29"/>
  <c r="DG502" i="29"/>
  <c r="BI503" i="29"/>
  <c r="DG503" i="29"/>
  <c r="CP504" i="29"/>
  <c r="BI504" i="29"/>
  <c r="AW504" i="29"/>
  <c r="DG504" i="29"/>
  <c r="BI505" i="29"/>
  <c r="DG505" i="29"/>
  <c r="BI509" i="29"/>
  <c r="DG509" i="29"/>
  <c r="BA504" i="29"/>
  <c r="DJ249" i="29"/>
  <c r="BZ226" i="29"/>
  <c r="DJ226" i="29"/>
  <c r="DG227" i="29"/>
  <c r="CW225" i="29"/>
  <c r="BX335" i="29"/>
  <c r="BX338" i="29"/>
  <c r="BX333" i="29"/>
  <c r="DH112" i="29"/>
  <c r="DH113" i="29"/>
  <c r="DH115" i="29"/>
  <c r="BX167" i="29"/>
  <c r="DH84" i="29"/>
  <c r="DH91" i="29"/>
  <c r="DH96" i="29"/>
  <c r="DH97" i="29"/>
  <c r="DH101" i="29"/>
  <c r="DH102" i="29"/>
  <c r="DH117" i="29"/>
  <c r="DH118" i="29"/>
  <c r="DH119" i="29"/>
  <c r="DH121" i="29"/>
  <c r="DH122" i="29"/>
  <c r="DH123" i="29"/>
  <c r="DH124" i="29"/>
  <c r="DH125" i="29"/>
  <c r="DH126" i="29"/>
  <c r="DH127" i="29"/>
  <c r="DH129" i="29"/>
  <c r="DH32" i="29"/>
  <c r="DH38" i="29"/>
  <c r="DH80" i="29"/>
  <c r="DH85" i="29"/>
  <c r="DH116" i="29"/>
  <c r="DH16" i="29"/>
  <c r="DG19" i="29"/>
  <c r="DH25" i="29"/>
  <c r="DH26" i="29"/>
  <c r="DH27" i="29"/>
  <c r="DH28" i="29"/>
  <c r="DH29" i="29"/>
  <c r="DH36" i="29"/>
  <c r="DH37" i="29"/>
  <c r="DH45" i="29"/>
  <c r="DH53" i="29"/>
  <c r="DH58" i="29"/>
  <c r="DH59" i="29"/>
  <c r="DH62" i="29"/>
  <c r="DH66" i="29"/>
  <c r="DH70" i="29"/>
  <c r="DH86" i="29"/>
  <c r="BX410" i="29"/>
  <c r="BX408" i="29"/>
  <c r="DH23" i="29"/>
  <c r="DH33" i="29"/>
  <c r="DH46" i="29"/>
  <c r="DH52" i="29"/>
  <c r="DH54" i="29"/>
  <c r="DH56" i="29"/>
  <c r="DH61" i="29"/>
  <c r="DH65" i="29"/>
  <c r="DH69" i="29"/>
  <c r="DH75" i="29"/>
  <c r="DH76" i="29"/>
  <c r="DH81" i="29"/>
  <c r="DH100" i="29"/>
  <c r="DH132" i="29"/>
  <c r="DH167" i="29"/>
  <c r="DH160" i="29"/>
  <c r="DH162" i="29"/>
  <c r="BX155" i="29"/>
  <c r="BX466" i="29"/>
  <c r="BX467" i="29"/>
  <c r="BX468" i="29"/>
  <c r="BT504" i="29"/>
  <c r="BX504" i="29"/>
  <c r="BX507" i="29"/>
  <c r="BX511" i="29"/>
  <c r="DH21" i="29"/>
  <c r="DH31" i="29"/>
  <c r="BI32" i="29"/>
  <c r="DG32" i="29"/>
  <c r="DH34" i="29"/>
  <c r="DH39" i="29"/>
  <c r="DH41" i="29"/>
  <c r="DH42" i="29"/>
  <c r="BI46" i="29"/>
  <c r="DG46" i="29"/>
  <c r="DH48" i="29"/>
  <c r="BI54" i="29"/>
  <c r="DG54" i="29"/>
  <c r="DH55" i="29"/>
  <c r="BI56" i="29"/>
  <c r="DG56" i="29"/>
  <c r="DH57" i="29"/>
  <c r="BI61" i="29"/>
  <c r="DG61" i="29"/>
  <c r="DH63" i="29"/>
  <c r="BI65" i="29"/>
  <c r="DG65" i="29"/>
  <c r="DH67" i="29"/>
  <c r="BI69" i="29"/>
  <c r="DG69" i="29"/>
  <c r="DH71" i="29"/>
  <c r="DH72" i="29"/>
  <c r="BI73" i="29"/>
  <c r="DG73" i="29"/>
  <c r="BI74" i="29"/>
  <c r="DG74" i="29"/>
  <c r="BI75" i="29"/>
  <c r="DG75" i="29"/>
  <c r="BI76" i="29"/>
  <c r="DG76" i="29"/>
  <c r="BI78" i="29"/>
  <c r="DG78" i="29"/>
  <c r="BI79" i="29"/>
  <c r="DG79" i="29"/>
  <c r="BI80" i="29"/>
  <c r="DG80" i="29"/>
  <c r="BI81" i="29"/>
  <c r="DG81" i="29"/>
  <c r="DH83" i="29"/>
  <c r="DH87" i="29"/>
  <c r="DH88" i="29"/>
  <c r="DH92" i="29"/>
  <c r="DH95" i="29"/>
  <c r="DH98" i="29"/>
  <c r="BI100" i="29"/>
  <c r="DG100" i="29"/>
  <c r="BI104" i="29"/>
  <c r="DG104" i="29"/>
  <c r="BI105" i="29"/>
  <c r="DG105" i="29"/>
  <c r="DH106" i="29"/>
  <c r="BI108" i="29"/>
  <c r="DG108" i="29"/>
  <c r="BI109" i="29"/>
  <c r="DG109" i="29"/>
  <c r="BI110" i="29"/>
  <c r="DG110" i="29"/>
  <c r="BI111" i="29"/>
  <c r="DG111" i="29"/>
  <c r="BI112" i="29"/>
  <c r="DG112" i="29"/>
  <c r="BI113" i="29"/>
  <c r="DG113" i="29"/>
  <c r="DH114" i="29"/>
  <c r="BI115" i="29"/>
  <c r="DG115" i="29"/>
  <c r="BI116" i="29"/>
  <c r="DG116" i="29"/>
  <c r="BI132" i="29"/>
  <c r="DG132" i="29"/>
  <c r="BI139" i="29"/>
  <c r="DG139" i="29"/>
  <c r="BI143" i="29"/>
  <c r="DG143" i="29"/>
  <c r="BI146" i="29"/>
  <c r="DG146" i="29"/>
  <c r="BI147" i="29"/>
  <c r="DG147" i="29"/>
  <c r="DH148" i="29"/>
  <c r="BI152" i="29"/>
  <c r="DG152" i="29"/>
  <c r="BI155" i="29"/>
  <c r="DG155" i="29"/>
  <c r="BI156" i="29"/>
  <c r="DG156" i="29"/>
  <c r="BI157" i="29"/>
  <c r="DG157" i="29"/>
  <c r="BI158" i="29"/>
  <c r="DG158" i="29"/>
  <c r="DH161" i="29"/>
  <c r="BI167" i="29"/>
  <c r="DG167" i="29"/>
  <c r="BI168" i="29"/>
  <c r="DG168" i="29"/>
  <c r="BI175" i="29"/>
  <c r="DG175" i="29"/>
  <c r="BI176" i="29"/>
  <c r="DG176" i="29"/>
  <c r="BI177" i="29"/>
  <c r="DG177" i="29"/>
  <c r="BI179" i="29"/>
  <c r="DG179" i="29"/>
  <c r="BI180" i="29"/>
  <c r="DG180" i="29"/>
  <c r="BI183" i="29"/>
  <c r="DG183" i="29"/>
  <c r="BI182" i="29"/>
  <c r="DG182" i="29"/>
  <c r="BI184" i="29"/>
  <c r="BK184" i="29" s="1"/>
  <c r="BZ184" i="29" s="1"/>
  <c r="DG184" i="29"/>
  <c r="BI185" i="29"/>
  <c r="DG185" i="29"/>
  <c r="BI186" i="29"/>
  <c r="DG186" i="29"/>
  <c r="DG187" i="29"/>
  <c r="DH17" i="29"/>
  <c r="CP19" i="29"/>
  <c r="DH19" i="29"/>
  <c r="BI20" i="29"/>
  <c r="DG20" i="29"/>
  <c r="BI21" i="29"/>
  <c r="DG21" i="29"/>
  <c r="DH22" i="29"/>
  <c r="BI35" i="29"/>
  <c r="DG35" i="29"/>
  <c r="BI64" i="29"/>
  <c r="BK64" i="29" s="1"/>
  <c r="DG64" i="29"/>
  <c r="BI68" i="29"/>
  <c r="DG68" i="29"/>
  <c r="BI71" i="29"/>
  <c r="DG71" i="29"/>
  <c r="BI72" i="29"/>
  <c r="DG72" i="29"/>
  <c r="BI90" i="29"/>
  <c r="DG90" i="29"/>
  <c r="BI93" i="29"/>
  <c r="DG93" i="29"/>
  <c r="BI94" i="29"/>
  <c r="DG94" i="29"/>
  <c r="BI99" i="29"/>
  <c r="DG99" i="29"/>
  <c r="BI103" i="29"/>
  <c r="DG103" i="29"/>
  <c r="BI131" i="29"/>
  <c r="DG131" i="29"/>
  <c r="BI134" i="29"/>
  <c r="DG134" i="29"/>
  <c r="BI135" i="29"/>
  <c r="DG135" i="29"/>
  <c r="BI136" i="29"/>
  <c r="DG136" i="29"/>
  <c r="BI137" i="29"/>
  <c r="DG137" i="29"/>
  <c r="BI138" i="29"/>
  <c r="DG138" i="29"/>
  <c r="DH153" i="29"/>
  <c r="DH155" i="29"/>
  <c r="BI159" i="29"/>
  <c r="DG159" i="29"/>
  <c r="DH164" i="29"/>
  <c r="BI165" i="29"/>
  <c r="DG165" i="29"/>
  <c r="BI166" i="29"/>
  <c r="DG166" i="29"/>
  <c r="BI17" i="29"/>
  <c r="DG17" i="29"/>
  <c r="BI18" i="29"/>
  <c r="DG18" i="29"/>
  <c r="BI22" i="29"/>
  <c r="DG22" i="29"/>
  <c r="BI31" i="29"/>
  <c r="DG31" i="29"/>
  <c r="BI34" i="29"/>
  <c r="DG34" i="29"/>
  <c r="BI37" i="29"/>
  <c r="DG37" i="29"/>
  <c r="BI39" i="29"/>
  <c r="DG39" i="29"/>
  <c r="BI40" i="29"/>
  <c r="DG40" i="29"/>
  <c r="BI41" i="29"/>
  <c r="DG41" i="29"/>
  <c r="BI42" i="29"/>
  <c r="DG42" i="29"/>
  <c r="BI43" i="29"/>
  <c r="DG43" i="29"/>
  <c r="BI48" i="29"/>
  <c r="DG48" i="29"/>
  <c r="BI55" i="29"/>
  <c r="DG55" i="29"/>
  <c r="BI57" i="29"/>
  <c r="DG57" i="29"/>
  <c r="BI58" i="29"/>
  <c r="DG58" i="29"/>
  <c r="BI59" i="29"/>
  <c r="DG59" i="29"/>
  <c r="BI60" i="29"/>
  <c r="DG60" i="29"/>
  <c r="BI67" i="29"/>
  <c r="DG67" i="29"/>
  <c r="BI87" i="29"/>
  <c r="DG87" i="29"/>
  <c r="BI88" i="29"/>
  <c r="DG88" i="29"/>
  <c r="BI89" i="29"/>
  <c r="DG89" i="29"/>
  <c r="BI92" i="29"/>
  <c r="DG92" i="29"/>
  <c r="BI95" i="29"/>
  <c r="DG95" i="29"/>
  <c r="BI106" i="29"/>
  <c r="DG106" i="29"/>
  <c r="BI107" i="29"/>
  <c r="DG107" i="29"/>
  <c r="BI114" i="29"/>
  <c r="DG114" i="29"/>
  <c r="BI133" i="29"/>
  <c r="DG133" i="29"/>
  <c r="BI141" i="29"/>
  <c r="DG141" i="29"/>
  <c r="BI142" i="29"/>
  <c r="DG142" i="29"/>
  <c r="BI148" i="29"/>
  <c r="DG148" i="29"/>
  <c r="BI149" i="29"/>
  <c r="DG149" i="29"/>
  <c r="BI153" i="29"/>
  <c r="DG153" i="29"/>
  <c r="BI160" i="29"/>
  <c r="DG160" i="29"/>
  <c r="DH168" i="29"/>
  <c r="BX168" i="29"/>
  <c r="BI169" i="29"/>
  <c r="DG169" i="29"/>
  <c r="BI170" i="29"/>
  <c r="DG170" i="29"/>
  <c r="BI171" i="29"/>
  <c r="DG171" i="29"/>
  <c r="BI173" i="29"/>
  <c r="DG173" i="29"/>
  <c r="BI174" i="29"/>
  <c r="DG174" i="29"/>
  <c r="DH175" i="29"/>
  <c r="DH176" i="29"/>
  <c r="DH180" i="29"/>
  <c r="DH183" i="29"/>
  <c r="DH182" i="29"/>
  <c r="DH14" i="29"/>
  <c r="DG14" i="29"/>
  <c r="BI16" i="29"/>
  <c r="DG16" i="29"/>
  <c r="BX19" i="29"/>
  <c r="BY19" i="29" s="1"/>
  <c r="L13" i="27" s="1"/>
  <c r="BI23" i="29"/>
  <c r="DG23" i="29"/>
  <c r="BI24" i="29"/>
  <c r="DG24" i="29"/>
  <c r="BI25" i="29"/>
  <c r="DG25" i="29"/>
  <c r="BI26" i="29"/>
  <c r="DG26" i="29"/>
  <c r="BI27" i="29"/>
  <c r="DG27" i="29"/>
  <c r="BI28" i="29"/>
  <c r="DG28" i="29"/>
  <c r="BI29" i="29"/>
  <c r="DG29" i="29"/>
  <c r="BI30" i="29"/>
  <c r="DG30" i="29"/>
  <c r="BI33" i="29"/>
  <c r="DG33" i="29"/>
  <c r="DH35" i="29"/>
  <c r="BI36" i="29"/>
  <c r="DG36" i="29"/>
  <c r="BI38" i="29"/>
  <c r="DG38" i="29"/>
  <c r="DG45" i="29"/>
  <c r="BG47" i="29"/>
  <c r="DH47" i="29"/>
  <c r="DG47" i="29"/>
  <c r="BI51" i="29"/>
  <c r="DG51" i="29"/>
  <c r="BI52" i="29"/>
  <c r="DG52" i="29"/>
  <c r="BI53" i="29"/>
  <c r="DG53" i="29"/>
  <c r="BI62" i="29"/>
  <c r="DG62" i="29"/>
  <c r="DG63" i="29"/>
  <c r="BI66" i="29"/>
  <c r="DG66" i="29"/>
  <c r="DH68" i="29"/>
  <c r="BI70" i="29"/>
  <c r="DG70" i="29"/>
  <c r="DH73" i="29"/>
  <c r="BI83" i="29"/>
  <c r="DG83" i="29"/>
  <c r="BI84" i="29"/>
  <c r="DG84" i="29"/>
  <c r="BI85" i="29"/>
  <c r="DG85" i="29"/>
  <c r="BI86" i="29"/>
  <c r="DG86" i="29"/>
  <c r="DH90" i="29"/>
  <c r="BI91" i="29"/>
  <c r="DG91" i="29"/>
  <c r="DH93" i="29"/>
  <c r="DH94" i="29"/>
  <c r="BI96" i="29"/>
  <c r="DG96" i="29"/>
  <c r="BI97" i="29"/>
  <c r="DG97" i="29"/>
  <c r="DG98" i="29"/>
  <c r="DH99" i="29"/>
  <c r="BI101" i="29"/>
  <c r="DG101" i="29"/>
  <c r="BI102" i="29"/>
  <c r="DG102" i="29"/>
  <c r="DH103" i="29"/>
  <c r="BI117" i="29"/>
  <c r="DG117" i="29"/>
  <c r="BI118" i="29"/>
  <c r="DG118" i="29"/>
  <c r="BI119" i="29"/>
  <c r="DG119" i="29"/>
  <c r="BI120" i="29"/>
  <c r="DG120" i="29"/>
  <c r="BI121" i="29"/>
  <c r="DG121" i="29"/>
  <c r="BI122" i="29"/>
  <c r="DG122" i="29"/>
  <c r="BI123" i="29"/>
  <c r="DG123" i="29"/>
  <c r="BI124" i="29"/>
  <c r="DG124" i="29"/>
  <c r="BI125" i="29"/>
  <c r="DG125" i="29"/>
  <c r="BI126" i="29"/>
  <c r="DG126" i="29"/>
  <c r="BI127" i="29"/>
  <c r="DG127" i="29"/>
  <c r="BI128" i="29"/>
  <c r="DG128" i="29"/>
  <c r="BI129" i="29"/>
  <c r="DG129" i="29"/>
  <c r="BI130" i="29"/>
  <c r="DG130" i="29"/>
  <c r="DH134" i="29"/>
  <c r="DH136" i="29"/>
  <c r="DH137" i="29"/>
  <c r="DH138" i="29"/>
  <c r="DH139" i="29"/>
  <c r="BX139" i="29"/>
  <c r="BI140" i="29"/>
  <c r="DG140" i="29"/>
  <c r="BI150" i="29"/>
  <c r="DG150" i="29"/>
  <c r="BI151" i="29"/>
  <c r="DG151" i="29"/>
  <c r="DH156" i="29"/>
  <c r="DH159" i="29"/>
  <c r="BX159" i="29"/>
  <c r="BI161" i="29"/>
  <c r="DG161" i="29"/>
  <c r="BI162" i="29"/>
  <c r="DG162" i="29"/>
  <c r="BI163" i="29"/>
  <c r="DG163" i="29"/>
  <c r="BI164" i="29"/>
  <c r="DG164" i="29"/>
  <c r="DH165" i="29"/>
  <c r="DH166" i="29"/>
  <c r="BX32" i="29"/>
  <c r="BX46" i="29"/>
  <c r="BX51" i="29"/>
  <c r="BX54" i="29"/>
  <c r="BX56" i="29"/>
  <c r="BX61" i="29"/>
  <c r="BX64" i="29"/>
  <c r="BX65" i="29"/>
  <c r="BX69" i="29"/>
  <c r="BX73" i="29"/>
  <c r="BX75" i="29"/>
  <c r="BX76" i="29"/>
  <c r="BX78" i="29"/>
  <c r="BX79" i="29"/>
  <c r="BX80" i="29"/>
  <c r="BX81" i="29"/>
  <c r="BX100" i="29"/>
  <c r="BX104" i="29"/>
  <c r="BX105" i="29"/>
  <c r="BX108" i="29"/>
  <c r="BX109" i="29"/>
  <c r="BX110" i="29"/>
  <c r="BX111" i="29"/>
  <c r="BX112" i="29"/>
  <c r="BX175" i="29"/>
  <c r="BX176" i="29"/>
  <c r="BX217" i="29"/>
  <c r="BX165" i="29"/>
  <c r="BX219" i="29"/>
  <c r="BD44" i="29"/>
  <c r="BX121" i="29"/>
  <c r="BX122" i="29"/>
  <c r="BX123" i="29"/>
  <c r="BX124" i="29"/>
  <c r="BX125" i="29"/>
  <c r="BX126" i="29"/>
  <c r="BX127" i="29"/>
  <c r="BX128" i="29"/>
  <c r="BX129" i="29"/>
  <c r="BX141" i="29"/>
  <c r="BX150" i="29"/>
  <c r="BX151" i="29"/>
  <c r="BX21" i="29"/>
  <c r="BX220" i="29"/>
  <c r="BX33" i="29"/>
  <c r="BX117" i="29"/>
  <c r="BX118" i="29"/>
  <c r="BX119" i="29"/>
  <c r="BX113" i="29"/>
  <c r="BX179" i="29"/>
  <c r="BX166" i="29"/>
  <c r="BX212" i="29"/>
  <c r="BX221" i="29"/>
  <c r="L10" i="27"/>
  <c r="BX16" i="29"/>
  <c r="BX23" i="29"/>
  <c r="BX25" i="29"/>
  <c r="BX26" i="29"/>
  <c r="BX27" i="29"/>
  <c r="BX28" i="29"/>
  <c r="BX29" i="29"/>
  <c r="BX36" i="29"/>
  <c r="BX38" i="29"/>
  <c r="BQ44" i="29"/>
  <c r="BX45" i="29"/>
  <c r="BX52" i="29"/>
  <c r="BX53" i="29"/>
  <c r="BX62" i="29"/>
  <c r="BX66" i="29"/>
  <c r="BX70" i="29"/>
  <c r="BX84" i="29"/>
  <c r="BX85" i="29"/>
  <c r="BX86" i="29"/>
  <c r="BX91" i="29"/>
  <c r="BX96" i="29"/>
  <c r="BX97" i="29"/>
  <c r="BX101" i="29"/>
  <c r="BX102" i="29"/>
  <c r="BX156" i="29"/>
  <c r="BX161" i="29"/>
  <c r="BX162" i="29"/>
  <c r="BX164" i="29"/>
  <c r="BX188" i="29"/>
  <c r="BX189" i="29"/>
  <c r="BX190" i="29"/>
  <c r="BX191" i="29"/>
  <c r="BX192" i="29"/>
  <c r="BX193" i="29"/>
  <c r="BX194" i="29"/>
  <c r="BX195" i="29"/>
  <c r="BX196" i="29"/>
  <c r="BX197" i="29"/>
  <c r="BX198" i="29"/>
  <c r="BX199" i="29"/>
  <c r="BX200" i="29"/>
  <c r="BX201" i="29"/>
  <c r="BX202" i="29"/>
  <c r="BX203" i="29"/>
  <c r="BX205" i="29"/>
  <c r="BX208" i="29"/>
  <c r="BX209" i="29"/>
  <c r="BX210" i="29"/>
  <c r="BX115" i="29"/>
  <c r="BX116" i="29"/>
  <c r="BX132" i="29"/>
  <c r="BX180" i="29"/>
  <c r="BX183" i="29"/>
  <c r="BX182" i="29"/>
  <c r="BX185" i="29"/>
  <c r="BX186" i="29"/>
  <c r="BX187" i="29"/>
  <c r="BX218" i="29"/>
  <c r="BX222" i="29"/>
  <c r="BX35" i="29"/>
  <c r="BX68" i="29"/>
  <c r="BX72" i="29"/>
  <c r="BX83" i="29"/>
  <c r="BX90" i="29"/>
  <c r="BX93" i="29"/>
  <c r="BX94" i="29"/>
  <c r="BX99" i="29"/>
  <c r="BX103" i="29"/>
  <c r="BX131" i="29"/>
  <c r="BX134" i="29"/>
  <c r="BX136" i="29"/>
  <c r="BX137" i="29"/>
  <c r="BX138" i="29"/>
  <c r="BX17" i="29"/>
  <c r="BX22" i="29"/>
  <c r="BX31" i="29"/>
  <c r="BX34" i="29"/>
  <c r="BX37" i="29"/>
  <c r="BX39" i="29"/>
  <c r="BX41" i="29"/>
  <c r="BX42" i="29"/>
  <c r="BX48" i="29"/>
  <c r="BX55" i="29"/>
  <c r="BX57" i="29"/>
  <c r="BX58" i="29"/>
  <c r="BX59" i="29"/>
  <c r="BX67" i="29"/>
  <c r="BX71" i="29"/>
  <c r="BX87" i="29"/>
  <c r="BX88" i="29"/>
  <c r="BX92" i="29"/>
  <c r="BX95" i="29"/>
  <c r="BX98" i="29"/>
  <c r="BX106" i="29"/>
  <c r="BX114" i="29"/>
  <c r="BX133" i="29"/>
  <c r="BX148" i="29"/>
  <c r="BX153" i="29"/>
  <c r="BX160" i="29"/>
  <c r="BX169" i="29"/>
  <c r="BX170" i="29"/>
  <c r="BX171" i="29"/>
  <c r="BX173" i="29"/>
  <c r="BX174" i="29"/>
  <c r="BX213" i="29"/>
  <c r="BX214" i="29"/>
  <c r="BX215" i="29"/>
  <c r="BX216" i="29"/>
  <c r="BX223" i="29"/>
  <c r="BX364" i="29"/>
  <c r="BX363" i="29"/>
  <c r="BX315" i="29"/>
  <c r="BX323" i="29"/>
  <c r="BX310" i="29"/>
  <c r="BX309" i="29"/>
  <c r="BT21" i="29"/>
  <c r="BA44" i="29"/>
  <c r="CZ44" i="29"/>
  <c r="DJ14" i="29"/>
  <c r="BT396" i="29"/>
  <c r="BV49" i="29"/>
  <c r="BG331" i="29"/>
  <c r="BG339" i="29"/>
  <c r="AO44" i="29"/>
  <c r="CM44" i="29"/>
  <c r="BT44" i="29"/>
  <c r="AR44" i="29"/>
  <c r="DC44" i="29"/>
  <c r="DJ44" i="29" s="1"/>
  <c r="BT466" i="29"/>
  <c r="CP44" i="29"/>
  <c r="BW44" i="29"/>
  <c r="BI45" i="29"/>
  <c r="AW44" i="29"/>
  <c r="BG223" i="29"/>
  <c r="BG279" i="29"/>
  <c r="BG303" i="29"/>
  <c r="BG355" i="29"/>
  <c r="BG386" i="29"/>
  <c r="BT61" i="29"/>
  <c r="BT470" i="29"/>
  <c r="BT75" i="29"/>
  <c r="BT51" i="29"/>
  <c r="BT227" i="29"/>
  <c r="BT90" i="29"/>
  <c r="BT250" i="29"/>
  <c r="BT25" i="29"/>
  <c r="BT31" i="29"/>
  <c r="AE49" i="29"/>
  <c r="DC250" i="29"/>
  <c r="BG298" i="29"/>
  <c r="BG416" i="29"/>
  <c r="BG421" i="29"/>
  <c r="BG429" i="29"/>
  <c r="BG433" i="29"/>
  <c r="BG453" i="29"/>
  <c r="BG462" i="29"/>
  <c r="BG470" i="29"/>
  <c r="BG497" i="29"/>
  <c r="BG68" i="29"/>
  <c r="AH49" i="29"/>
  <c r="BG196" i="29"/>
  <c r="BG237" i="29"/>
  <c r="BG245" i="29"/>
  <c r="BG246" i="29"/>
  <c r="BG260" i="29"/>
  <c r="BG264" i="29"/>
  <c r="BG273" i="29"/>
  <c r="BG304" i="29"/>
  <c r="BG312" i="29"/>
  <c r="BG340" i="29"/>
  <c r="BG410" i="29"/>
  <c r="BG444" i="29"/>
  <c r="BG457" i="29"/>
  <c r="BG461" i="29"/>
  <c r="BG57" i="29"/>
  <c r="BG98" i="29"/>
  <c r="BG243" i="29"/>
  <c r="BG289" i="29"/>
  <c r="BG301" i="29"/>
  <c r="BG325" i="29"/>
  <c r="BG329" i="29"/>
  <c r="BG337" i="29"/>
  <c r="BG345" i="29"/>
  <c r="BG349" i="29"/>
  <c r="BG353" i="29"/>
  <c r="BG422" i="29"/>
  <c r="BG426" i="29"/>
  <c r="BG442" i="29"/>
  <c r="BG454" i="29"/>
  <c r="BG459" i="29"/>
  <c r="BG463" i="29"/>
  <c r="BG467" i="29"/>
  <c r="BG490" i="29"/>
  <c r="BK249" i="29"/>
  <c r="BG498" i="29"/>
  <c r="BA227" i="29"/>
  <c r="J10" i="29"/>
  <c r="BG41" i="29"/>
  <c r="BG58" i="29"/>
  <c r="AO61" i="29"/>
  <c r="BG62" i="29"/>
  <c r="BG66" i="29"/>
  <c r="BG70" i="29"/>
  <c r="BG206" i="29"/>
  <c r="BG231" i="29"/>
  <c r="BG235" i="29"/>
  <c r="BG278" i="29"/>
  <c r="BG290" i="29"/>
  <c r="BG294" i="29"/>
  <c r="BG306" i="29"/>
  <c r="BG310" i="29"/>
  <c r="BG314" i="29"/>
  <c r="BG322" i="29"/>
  <c r="BG358" i="29"/>
  <c r="BG362" i="29"/>
  <c r="BG370" i="29"/>
  <c r="BG375" i="29"/>
  <c r="BG381" i="29"/>
  <c r="BG399" i="29"/>
  <c r="BG431" i="29"/>
  <c r="BG443" i="29"/>
  <c r="BG455" i="29"/>
  <c r="BG483" i="29"/>
  <c r="BG37" i="29"/>
  <c r="BG90" i="29"/>
  <c r="BG94" i="29"/>
  <c r="BG95" i="29"/>
  <c r="BG96" i="29"/>
  <c r="BG100" i="29"/>
  <c r="BG104" i="29"/>
  <c r="BG106" i="29"/>
  <c r="BG108" i="29"/>
  <c r="BG112" i="29"/>
  <c r="BG114" i="29"/>
  <c r="BG116" i="29"/>
  <c r="BG119" i="29"/>
  <c r="BG139" i="29"/>
  <c r="BG147" i="29"/>
  <c r="BG187" i="29"/>
  <c r="BK187" i="29" s="1"/>
  <c r="BG302" i="29"/>
  <c r="BG398" i="29"/>
  <c r="BK247" i="29"/>
  <c r="BG200" i="29"/>
  <c r="BK200" i="29" s="1"/>
  <c r="BG471" i="29"/>
  <c r="BG475" i="29"/>
  <c r="BG482" i="29"/>
  <c r="BG486" i="29"/>
  <c r="BG488" i="29"/>
  <c r="BG492" i="29"/>
  <c r="BG502" i="29"/>
  <c r="BG507" i="29"/>
  <c r="BG17" i="29"/>
  <c r="BG35" i="29"/>
  <c r="BG38" i="29"/>
  <c r="BG54" i="29"/>
  <c r="BG109" i="29"/>
  <c r="BG113" i="29"/>
  <c r="BG124" i="29"/>
  <c r="BG128" i="29"/>
  <c r="BG151" i="29"/>
  <c r="BG157" i="29"/>
  <c r="BG160" i="29"/>
  <c r="BG199" i="29"/>
  <c r="BG217" i="29"/>
  <c r="BG232" i="29"/>
  <c r="BG238" i="29"/>
  <c r="BG240" i="29"/>
  <c r="BG242" i="29"/>
  <c r="BG262" i="29"/>
  <c r="BG263" i="29"/>
  <c r="BG268" i="29"/>
  <c r="BG270" i="29"/>
  <c r="BG271" i="29"/>
  <c r="BG274" i="29"/>
  <c r="BG280" i="29"/>
  <c r="BG282" i="29"/>
  <c r="BG286" i="29"/>
  <c r="BG288" i="29"/>
  <c r="BG300" i="29"/>
  <c r="BG308" i="29"/>
  <c r="BG324" i="29"/>
  <c r="BG348" i="29"/>
  <c r="BG352" i="29"/>
  <c r="BG363" i="29"/>
  <c r="BG384" i="29"/>
  <c r="BG391" i="29"/>
  <c r="BG393" i="29"/>
  <c r="BG396" i="29"/>
  <c r="BK402" i="29"/>
  <c r="BG441" i="29"/>
  <c r="BG472" i="29"/>
  <c r="BG476" i="29"/>
  <c r="BG16" i="29"/>
  <c r="BG21" i="29"/>
  <c r="BG22" i="29"/>
  <c r="BG23" i="29"/>
  <c r="BG27" i="29"/>
  <c r="BG73" i="29"/>
  <c r="BG78" i="29"/>
  <c r="BG86" i="29"/>
  <c r="BG121" i="29"/>
  <c r="BG125" i="29"/>
  <c r="BG129" i="29"/>
  <c r="BG132" i="29"/>
  <c r="BG152" i="29"/>
  <c r="BG173" i="29"/>
  <c r="BG175" i="29"/>
  <c r="BG207" i="29"/>
  <c r="BG211" i="29"/>
  <c r="BG216" i="29"/>
  <c r="BG220" i="29"/>
  <c r="BG230" i="29"/>
  <c r="BG234" i="29"/>
  <c r="BG236" i="29"/>
  <c r="BG244" i="29"/>
  <c r="BG250" i="29"/>
  <c r="BG251" i="29"/>
  <c r="BG255" i="29"/>
  <c r="BG258" i="29"/>
  <c r="BG266" i="29"/>
  <c r="BG284" i="29"/>
  <c r="BG291" i="29"/>
  <c r="BG295" i="29"/>
  <c r="BG311" i="29"/>
  <c r="BG315" i="29"/>
  <c r="BG319" i="29"/>
  <c r="BG327" i="29"/>
  <c r="BG333" i="29"/>
  <c r="BG338" i="29"/>
  <c r="BG346" i="29"/>
  <c r="BG350" i="29"/>
  <c r="BG354" i="29"/>
  <c r="BG356" i="29"/>
  <c r="BG357" i="29"/>
  <c r="BG359" i="29"/>
  <c r="BG367" i="29"/>
  <c r="BG372" i="29"/>
  <c r="BG382" i="29"/>
  <c r="BG389" i="29"/>
  <c r="BG413" i="29"/>
  <c r="BG414" i="29"/>
  <c r="BG420" i="29"/>
  <c r="AS432" i="29"/>
  <c r="DJ432" i="29" s="1"/>
  <c r="BG435" i="29"/>
  <c r="BG445" i="29"/>
  <c r="BG446" i="29"/>
  <c r="BG447" i="29"/>
  <c r="BG448" i="29"/>
  <c r="BG449" i="29"/>
  <c r="BG466" i="29"/>
  <c r="BG474" i="29"/>
  <c r="BG478" i="29"/>
  <c r="BG481" i="29"/>
  <c r="BG485" i="29"/>
  <c r="BG487" i="29"/>
  <c r="BG494" i="29"/>
  <c r="BG496" i="29"/>
  <c r="BG501" i="29"/>
  <c r="BG505" i="29"/>
  <c r="BK248" i="29"/>
  <c r="BG493" i="29"/>
  <c r="BG510" i="29"/>
  <c r="BG511" i="29"/>
  <c r="BG191" i="29"/>
  <c r="BG204" i="29"/>
  <c r="BG239" i="29"/>
  <c r="BK239" i="29" s="1"/>
  <c r="BG334" i="29"/>
  <c r="BG335" i="29"/>
  <c r="BG336" i="29"/>
  <c r="BG342" i="29"/>
  <c r="BG344" i="29"/>
  <c r="BG388" i="29"/>
  <c r="BG403" i="29"/>
  <c r="BG407" i="29"/>
  <c r="BG418" i="29"/>
  <c r="BG506" i="29"/>
  <c r="BG509" i="29"/>
  <c r="BG28" i="29"/>
  <c r="BG31" i="29"/>
  <c r="BG33" i="29"/>
  <c r="BG36" i="29"/>
  <c r="BG39" i="29"/>
  <c r="BG79" i="29"/>
  <c r="BG91" i="29"/>
  <c r="BG93" i="29"/>
  <c r="BG102" i="29"/>
  <c r="BG134" i="29"/>
  <c r="BG138" i="29"/>
  <c r="BG183" i="29"/>
  <c r="BG190" i="29"/>
  <c r="BG194" i="29"/>
  <c r="BG198" i="29"/>
  <c r="BG202" i="29"/>
  <c r="BG210" i="29"/>
  <c r="BG212" i="29"/>
  <c r="BG213" i="29"/>
  <c r="BG219" i="29"/>
  <c r="BG221" i="29"/>
  <c r="BG256" i="29"/>
  <c r="BG267" i="29"/>
  <c r="BG272" i="29"/>
  <c r="BG275" i="29"/>
  <c r="BG276" i="29"/>
  <c r="BG287" i="29"/>
  <c r="BG292" i="29"/>
  <c r="BG296" i="29"/>
  <c r="BG299" i="29"/>
  <c r="BG307" i="29"/>
  <c r="BG316" i="29"/>
  <c r="BG320" i="29"/>
  <c r="BG323" i="29"/>
  <c r="BG328" i="29"/>
  <c r="BG332" i="29"/>
  <c r="BG347" i="29"/>
  <c r="BG351" i="29"/>
  <c r="BG360" i="29"/>
  <c r="BG364" i="29"/>
  <c r="BG368" i="29"/>
  <c r="BG373" i="29"/>
  <c r="BG377" i="29"/>
  <c r="BG383" i="29"/>
  <c r="BG394" i="29"/>
  <c r="BG380" i="29"/>
  <c r="BG412" i="29"/>
  <c r="BG428" i="29"/>
  <c r="BG430" i="29"/>
  <c r="BG432" i="29"/>
  <c r="BG434" i="29"/>
  <c r="BG437" i="29"/>
  <c r="BG438" i="29"/>
  <c r="BG440" i="29"/>
  <c r="BG450" i="29"/>
  <c r="BG452" i="29"/>
  <c r="BG458" i="29"/>
  <c r="BG473" i="29"/>
  <c r="BG477" i="29"/>
  <c r="BG484" i="29"/>
  <c r="BI47" i="29"/>
  <c r="AS18" i="29"/>
  <c r="DJ18" i="29" s="1"/>
  <c r="BG18" i="29"/>
  <c r="AS30" i="29"/>
  <c r="DJ30" i="29" s="1"/>
  <c r="BG30" i="29"/>
  <c r="BG53" i="29"/>
  <c r="BG26" i="29"/>
  <c r="BW41" i="29"/>
  <c r="BG48" i="29"/>
  <c r="AR19" i="29"/>
  <c r="BG19" i="29"/>
  <c r="AS20" i="29"/>
  <c r="DJ20" i="29" s="1"/>
  <c r="BG20" i="29"/>
  <c r="BG25" i="29"/>
  <c r="BG29" i="29"/>
  <c r="AS40" i="29"/>
  <c r="DJ40" i="29" s="1"/>
  <c r="BG40" i="29"/>
  <c r="BK40" i="29" s="1"/>
  <c r="BZ40" i="29" s="1"/>
  <c r="BG42" i="29"/>
  <c r="BG45" i="29"/>
  <c r="BG46" i="29"/>
  <c r="AM49" i="29"/>
  <c r="DA49" i="29"/>
  <c r="BG51" i="29"/>
  <c r="BG52" i="29"/>
  <c r="BG56" i="29"/>
  <c r="BG59" i="29"/>
  <c r="BG61" i="29"/>
  <c r="BG63" i="29"/>
  <c r="BG65" i="29"/>
  <c r="BG67" i="29"/>
  <c r="BG69" i="29"/>
  <c r="BG71" i="29"/>
  <c r="X49" i="29"/>
  <c r="BG75" i="29"/>
  <c r="BG80" i="29"/>
  <c r="BG83" i="29"/>
  <c r="BG84" i="29"/>
  <c r="BG87" i="29"/>
  <c r="BG92" i="29"/>
  <c r="BG97" i="29"/>
  <c r="BG105" i="29"/>
  <c r="BG110" i="29"/>
  <c r="BG117" i="29"/>
  <c r="AS120" i="29"/>
  <c r="DJ120" i="29" s="1"/>
  <c r="BG120" i="29"/>
  <c r="BG122" i="29"/>
  <c r="BG126" i="29"/>
  <c r="BG133" i="29"/>
  <c r="BG136" i="29"/>
  <c r="BG140" i="29"/>
  <c r="BG143" i="29"/>
  <c r="BG153" i="29"/>
  <c r="BG156" i="29"/>
  <c r="BG161" i="29"/>
  <c r="BG162" i="29"/>
  <c r="BG165" i="29"/>
  <c r="BG168" i="29"/>
  <c r="BG170" i="29"/>
  <c r="BG179" i="29"/>
  <c r="BG185" i="29"/>
  <c r="BG188" i="29"/>
  <c r="BG205" i="29"/>
  <c r="BG215" i="29"/>
  <c r="BG228" i="29"/>
  <c r="BG233" i="29"/>
  <c r="BJ250" i="29"/>
  <c r="BG281" i="29"/>
  <c r="BG285" i="29"/>
  <c r="BG341" i="29"/>
  <c r="BG385" i="29"/>
  <c r="BG390" i="29"/>
  <c r="BG392" i="29"/>
  <c r="AS379" i="29"/>
  <c r="DJ379" i="29" s="1"/>
  <c r="BG379" i="29"/>
  <c r="BI400" i="29"/>
  <c r="BG405" i="29"/>
  <c r="BG419" i="29"/>
  <c r="BG499" i="29"/>
  <c r="BG504" i="29"/>
  <c r="BG395" i="29"/>
  <c r="BG326" i="29"/>
  <c r="BG283" i="29"/>
  <c r="BK283" i="29" s="1"/>
  <c r="BZ283" i="29" s="1"/>
  <c r="AW19" i="29"/>
  <c r="BI19" i="29"/>
  <c r="BJ19" i="29" s="1"/>
  <c r="AS60" i="29"/>
  <c r="DJ60" i="29" s="1"/>
  <c r="BG60" i="29"/>
  <c r="AS72" i="29"/>
  <c r="DJ72" i="29" s="1"/>
  <c r="BG72" i="29"/>
  <c r="AS89" i="29"/>
  <c r="DJ89" i="29" s="1"/>
  <c r="BG89" i="29"/>
  <c r="BI98" i="29"/>
  <c r="AS142" i="29"/>
  <c r="DJ142" i="29" s="1"/>
  <c r="BG142" i="29"/>
  <c r="AS149" i="29"/>
  <c r="DJ149" i="29" s="1"/>
  <c r="BG149" i="29"/>
  <c r="BG158" i="29"/>
  <c r="BG159" i="29"/>
  <c r="BG167" i="29"/>
  <c r="BG169" i="29"/>
  <c r="BG174" i="29"/>
  <c r="BG176" i="29"/>
  <c r="BG182" i="29"/>
  <c r="BG195" i="29"/>
  <c r="BG208" i="29"/>
  <c r="BG214" i="29"/>
  <c r="BG257" i="29"/>
  <c r="BG261" i="29"/>
  <c r="BG265" i="29"/>
  <c r="AS361" i="29"/>
  <c r="DJ361" i="29" s="1"/>
  <c r="BG361" i="29"/>
  <c r="BG464" i="29"/>
  <c r="BG495" i="29"/>
  <c r="BG465" i="29"/>
  <c r="BK465" i="29" s="1"/>
  <c r="BZ465" i="29" s="1"/>
  <c r="BG408" i="29"/>
  <c r="BG146" i="29"/>
  <c r="AS163" i="29"/>
  <c r="DJ163" i="29" s="1"/>
  <c r="BG163" i="29"/>
  <c r="BI246" i="29"/>
  <c r="BI397" i="29"/>
  <c r="BI404" i="29"/>
  <c r="BK404" i="29" s="1"/>
  <c r="BZ404" i="29" s="1"/>
  <c r="BG469" i="29"/>
  <c r="BG436" i="29"/>
  <c r="BG425" i="29"/>
  <c r="BG318" i="29"/>
  <c r="BG259" i="29"/>
  <c r="BK259" i="29" s="1"/>
  <c r="BZ259" i="29" s="1"/>
  <c r="AS43" i="29"/>
  <c r="DJ43" i="29" s="1"/>
  <c r="BG43" i="29"/>
  <c r="AS24" i="29"/>
  <c r="DJ24" i="29" s="1"/>
  <c r="BG24" i="29"/>
  <c r="BK24" i="29" s="1"/>
  <c r="BZ24" i="29" s="1"/>
  <c r="BG32" i="29"/>
  <c r="BG34" i="29"/>
  <c r="CZ41" i="29"/>
  <c r="BG55" i="29"/>
  <c r="AS74" i="29"/>
  <c r="DJ74" i="29" s="1"/>
  <c r="BG74" i="29"/>
  <c r="BK74" i="29" s="1"/>
  <c r="BZ74" i="29" s="1"/>
  <c r="BG76" i="29"/>
  <c r="BG81" i="29"/>
  <c r="BG85" i="29"/>
  <c r="BG88" i="29"/>
  <c r="BG99" i="29"/>
  <c r="BG101" i="29"/>
  <c r="BG103" i="29"/>
  <c r="AS107" i="29"/>
  <c r="DJ107" i="29" s="1"/>
  <c r="BG107" i="29"/>
  <c r="BG111" i="29"/>
  <c r="BG115" i="29"/>
  <c r="BG118" i="29"/>
  <c r="BG123" i="29"/>
  <c r="BG127" i="29"/>
  <c r="AS130" i="29"/>
  <c r="DJ130" i="29" s="1"/>
  <c r="BG130" i="29"/>
  <c r="AS135" i="29"/>
  <c r="DJ135" i="29" s="1"/>
  <c r="BG135" i="29"/>
  <c r="BG137" i="29"/>
  <c r="BG141" i="29"/>
  <c r="BG148" i="29"/>
  <c r="BG150" i="29"/>
  <c r="BG155" i="29"/>
  <c r="BG164" i="29"/>
  <c r="BG166" i="29"/>
  <c r="BG171" i="29"/>
  <c r="AS177" i="29"/>
  <c r="DJ177" i="29" s="1"/>
  <c r="BG177" i="29"/>
  <c r="BG180" i="29"/>
  <c r="BG186" i="29"/>
  <c r="BG189" i="29"/>
  <c r="BG192" i="29"/>
  <c r="BG193" i="29"/>
  <c r="BG197" i="29"/>
  <c r="BG201" i="29"/>
  <c r="BG203" i="29"/>
  <c r="BK203" i="29" s="1"/>
  <c r="BZ203" i="29" s="1"/>
  <c r="BG209" i="29"/>
  <c r="BG218" i="29"/>
  <c r="BG222" i="29"/>
  <c r="BG227" i="29"/>
  <c r="BG241" i="29"/>
  <c r="BG253" i="29"/>
  <c r="BG269" i="29"/>
  <c r="BG277" i="29"/>
  <c r="BG293" i="29"/>
  <c r="BG297" i="29"/>
  <c r="BG309" i="29"/>
  <c r="BG313" i="29"/>
  <c r="BG317" i="29"/>
  <c r="BG321" i="29"/>
  <c r="BG365" i="29"/>
  <c r="BG369" i="29"/>
  <c r="BG374" i="29"/>
  <c r="DC377" i="29"/>
  <c r="BG378" i="29"/>
  <c r="BI398" i="29"/>
  <c r="BG401" i="29"/>
  <c r="BG409" i="29"/>
  <c r="BG423" i="29"/>
  <c r="BG427" i="29"/>
  <c r="BG439" i="29"/>
  <c r="BG451" i="29"/>
  <c r="BG460" i="29"/>
  <c r="BG468" i="29"/>
  <c r="BG503" i="29"/>
  <c r="BG424" i="29"/>
  <c r="BG411" i="29"/>
  <c r="BG406" i="29"/>
  <c r="BG376" i="29"/>
  <c r="BG343" i="29"/>
  <c r="CR10" i="29"/>
  <c r="BE36" i="29"/>
  <c r="AS468" i="29"/>
  <c r="DJ468" i="29" s="1"/>
  <c r="BE471" i="29"/>
  <c r="BE457" i="29"/>
  <c r="BE459" i="29"/>
  <c r="DS459" i="29" s="1"/>
  <c r="BE461" i="29"/>
  <c r="AC17" i="29"/>
  <c r="DL17" i="29" s="1"/>
  <c r="AS269" i="29"/>
  <c r="DJ269" i="29" s="1"/>
  <c r="AS272" i="29"/>
  <c r="DJ272" i="29" s="1"/>
  <c r="AS276" i="29"/>
  <c r="DJ276" i="29" s="1"/>
  <c r="AS403" i="29"/>
  <c r="DJ403" i="29" s="1"/>
  <c r="DO403" i="29" s="1"/>
  <c r="BO10" i="29"/>
  <c r="AB11" i="29"/>
  <c r="AS31" i="29"/>
  <c r="BE32" i="29"/>
  <c r="AS76" i="29"/>
  <c r="DJ76" i="29" s="1"/>
  <c r="DO76" i="29" s="1"/>
  <c r="AS78" i="29"/>
  <c r="DJ78" i="29" s="1"/>
  <c r="AS79" i="29"/>
  <c r="DJ79" i="29" s="1"/>
  <c r="DO79" i="29" s="1"/>
  <c r="AS80" i="29"/>
  <c r="DJ80" i="29" s="1"/>
  <c r="AS81" i="29"/>
  <c r="DJ81" i="29" s="1"/>
  <c r="BE378" i="29"/>
  <c r="BE507" i="29"/>
  <c r="AS509" i="29"/>
  <c r="DJ509" i="29" s="1"/>
  <c r="DO509" i="29" s="1"/>
  <c r="AS441" i="29"/>
  <c r="DJ441" i="29" s="1"/>
  <c r="DN441" i="29" s="1"/>
  <c r="BE445" i="29"/>
  <c r="DS445" i="29" s="1"/>
  <c r="BE282" i="29"/>
  <c r="AS319" i="29"/>
  <c r="DJ319" i="29" s="1"/>
  <c r="DO319" i="29" s="1"/>
  <c r="BE328" i="29"/>
  <c r="AS364" i="29"/>
  <c r="DJ364" i="29" s="1"/>
  <c r="AS444" i="29"/>
  <c r="DJ444" i="29" s="1"/>
  <c r="AS449" i="29"/>
  <c r="DJ449" i="29" s="1"/>
  <c r="AS450" i="29"/>
  <c r="DJ450" i="29" s="1"/>
  <c r="AS451" i="29"/>
  <c r="DJ451" i="29" s="1"/>
  <c r="AC459" i="29"/>
  <c r="DL459" i="29" s="1"/>
  <c r="DM459" i="29" s="1"/>
  <c r="BE462" i="29"/>
  <c r="BE463" i="29"/>
  <c r="AS464" i="29"/>
  <c r="DJ464" i="29" s="1"/>
  <c r="AS474" i="29"/>
  <c r="DJ474" i="29" s="1"/>
  <c r="AS476" i="29"/>
  <c r="DJ476" i="29" s="1"/>
  <c r="AS485" i="29"/>
  <c r="DJ485" i="29" s="1"/>
  <c r="AS487" i="29"/>
  <c r="DJ487" i="29" s="1"/>
  <c r="AS488" i="29"/>
  <c r="DJ488" i="29" s="1"/>
  <c r="BE492" i="29"/>
  <c r="BK492" i="29" s="1"/>
  <c r="AC497" i="29"/>
  <c r="DL497" i="29" s="1"/>
  <c r="AS58" i="29"/>
  <c r="DJ58" i="29" s="1"/>
  <c r="AS59" i="29"/>
  <c r="DJ59" i="29" s="1"/>
  <c r="BE65" i="29"/>
  <c r="BE69" i="29"/>
  <c r="AS155" i="29"/>
  <c r="DJ155" i="29" s="1"/>
  <c r="DN155" i="29" s="1"/>
  <c r="AS157" i="29"/>
  <c r="DJ157" i="29" s="1"/>
  <c r="DN157" i="29" s="1"/>
  <c r="BE287" i="29"/>
  <c r="AS288" i="29"/>
  <c r="DJ288" i="29" s="1"/>
  <c r="AS289" i="29"/>
  <c r="DJ289" i="29" s="1"/>
  <c r="BE291" i="29"/>
  <c r="BE292" i="29"/>
  <c r="BE293" i="29"/>
  <c r="BE294" i="29"/>
  <c r="BE295" i="29"/>
  <c r="BE296" i="29"/>
  <c r="BE297" i="29"/>
  <c r="BE298" i="29"/>
  <c r="AS300" i="29"/>
  <c r="DJ300" i="29" s="1"/>
  <c r="AS434" i="29"/>
  <c r="DJ434" i="29" s="1"/>
  <c r="AS477" i="29"/>
  <c r="DJ477" i="29" s="1"/>
  <c r="AS481" i="29"/>
  <c r="DJ481" i="29" s="1"/>
  <c r="AS484" i="29"/>
  <c r="DJ484" i="29" s="1"/>
  <c r="AS489" i="29"/>
  <c r="DJ489" i="29" s="1"/>
  <c r="AS495" i="29"/>
  <c r="DJ495" i="29" s="1"/>
  <c r="AS498" i="29"/>
  <c r="DJ498" i="29" s="1"/>
  <c r="BE502" i="29"/>
  <c r="AS510" i="29"/>
  <c r="DJ510" i="29" s="1"/>
  <c r="DO510" i="29" s="1"/>
  <c r="BE62" i="29"/>
  <c r="AC105" i="29"/>
  <c r="DL105" i="29" s="1"/>
  <c r="DM105" i="29" s="1"/>
  <c r="AS448" i="29"/>
  <c r="DJ448" i="29" s="1"/>
  <c r="AS470" i="29"/>
  <c r="CM470" i="29"/>
  <c r="AS471" i="29"/>
  <c r="DJ471" i="29" s="1"/>
  <c r="AS482" i="29"/>
  <c r="DJ482" i="29" s="1"/>
  <c r="AS19" i="29"/>
  <c r="AT19" i="29" s="1"/>
  <c r="AS21" i="29"/>
  <c r="AS22" i="29"/>
  <c r="DJ22" i="29" s="1"/>
  <c r="AS23" i="29"/>
  <c r="DJ23" i="29" s="1"/>
  <c r="BE27" i="29"/>
  <c r="AS37" i="29"/>
  <c r="DJ37" i="29" s="1"/>
  <c r="AS25" i="29"/>
  <c r="AS34" i="29"/>
  <c r="DJ34" i="29" s="1"/>
  <c r="AS39" i="29"/>
  <c r="DJ39" i="29" s="1"/>
  <c r="AS94" i="29"/>
  <c r="DJ94" i="29" s="1"/>
  <c r="DN94" i="29" s="1"/>
  <c r="AS95" i="29"/>
  <c r="DJ95" i="29" s="1"/>
  <c r="DN95" i="29" s="1"/>
  <c r="AS96" i="29"/>
  <c r="DJ96" i="29" s="1"/>
  <c r="DO96" i="29" s="1"/>
  <c r="AS100" i="29"/>
  <c r="DJ100" i="29" s="1"/>
  <c r="DN100" i="29" s="1"/>
  <c r="AS104" i="29"/>
  <c r="DJ104" i="29" s="1"/>
  <c r="DN104" i="29" s="1"/>
  <c r="AS106" i="29"/>
  <c r="DJ106" i="29" s="1"/>
  <c r="DN106" i="29" s="1"/>
  <c r="AS108" i="29"/>
  <c r="AS122" i="29"/>
  <c r="DJ122" i="29" s="1"/>
  <c r="AS126" i="29"/>
  <c r="DJ126" i="29" s="1"/>
  <c r="AR131" i="29"/>
  <c r="AS133" i="29"/>
  <c r="DJ133" i="29" s="1"/>
  <c r="DO133" i="29" s="1"/>
  <c r="BE16" i="29"/>
  <c r="BE26" i="29"/>
  <c r="AL41" i="29"/>
  <c r="BE46" i="29"/>
  <c r="BA51" i="29"/>
  <c r="AS55" i="29"/>
  <c r="DJ55" i="29" s="1"/>
  <c r="AS57" i="29"/>
  <c r="DJ57" i="29" s="1"/>
  <c r="AS68" i="29"/>
  <c r="DJ68" i="29" s="1"/>
  <c r="BE92" i="29"/>
  <c r="AS93" i="29"/>
  <c r="DJ93" i="29" s="1"/>
  <c r="DN93" i="29" s="1"/>
  <c r="BE97" i="29"/>
  <c r="AS99" i="29"/>
  <c r="DJ99" i="29" s="1"/>
  <c r="DN99" i="29" s="1"/>
  <c r="AS101" i="29"/>
  <c r="DJ101" i="29" s="1"/>
  <c r="DN101" i="29" s="1"/>
  <c r="AS103" i="29"/>
  <c r="DJ103" i="29" s="1"/>
  <c r="DN103" i="29" s="1"/>
  <c r="BE105" i="29"/>
  <c r="BE109" i="29"/>
  <c r="BQ16" i="29"/>
  <c r="AK49" i="29"/>
  <c r="BE70" i="29"/>
  <c r="BE90" i="29"/>
  <c r="AS146" i="29"/>
  <c r="DJ146" i="29" s="1"/>
  <c r="BE157" i="29"/>
  <c r="AS161" i="29"/>
  <c r="DJ161" i="29" s="1"/>
  <c r="AS162" i="29"/>
  <c r="DJ162" i="29" s="1"/>
  <c r="AS165" i="29"/>
  <c r="DJ165" i="29" s="1"/>
  <c r="DN165" i="29" s="1"/>
  <c r="AS166" i="29"/>
  <c r="DJ166" i="29" s="1"/>
  <c r="DN166" i="29" s="1"/>
  <c r="AS213" i="29"/>
  <c r="DJ213" i="29" s="1"/>
  <c r="AS214" i="29"/>
  <c r="DJ214" i="29" s="1"/>
  <c r="AS215" i="29"/>
  <c r="DJ215" i="29" s="1"/>
  <c r="AS216" i="29"/>
  <c r="DJ216" i="29" s="1"/>
  <c r="W225" i="29"/>
  <c r="AS228" i="29"/>
  <c r="DJ228" i="29" s="1"/>
  <c r="AS231" i="29"/>
  <c r="DJ231" i="29" s="1"/>
  <c r="DN231" i="29" s="1"/>
  <c r="AS233" i="29"/>
  <c r="DJ233" i="29" s="1"/>
  <c r="AS235" i="29"/>
  <c r="DJ235" i="29" s="1"/>
  <c r="DN235" i="29" s="1"/>
  <c r="AS236" i="29"/>
  <c r="DJ236" i="29" s="1"/>
  <c r="DN236" i="29" s="1"/>
  <c r="AS238" i="29"/>
  <c r="DJ238" i="29" s="1"/>
  <c r="BE277" i="29"/>
  <c r="BE278" i="29"/>
  <c r="AS280" i="29"/>
  <c r="DJ280" i="29" s="1"/>
  <c r="DO280" i="29" s="1"/>
  <c r="BE289" i="29"/>
  <c r="BE300" i="29"/>
  <c r="AS302" i="29"/>
  <c r="DJ302" i="29" s="1"/>
  <c r="AS304" i="29"/>
  <c r="DJ304" i="29" s="1"/>
  <c r="AS309" i="29"/>
  <c r="DJ309" i="29" s="1"/>
  <c r="BE319" i="29"/>
  <c r="AS323" i="29"/>
  <c r="DJ323" i="29" s="1"/>
  <c r="AS324" i="29"/>
  <c r="DJ324" i="29" s="1"/>
  <c r="AS325" i="29"/>
  <c r="DJ325" i="29" s="1"/>
  <c r="DO325" i="29" s="1"/>
  <c r="AS336" i="29"/>
  <c r="DJ336" i="29" s="1"/>
  <c r="BE341" i="29"/>
  <c r="AS375" i="29"/>
  <c r="DJ375" i="29" s="1"/>
  <c r="AS380" i="29"/>
  <c r="DJ380" i="29" s="1"/>
  <c r="BE398" i="29"/>
  <c r="BE421" i="29"/>
  <c r="AS426" i="29"/>
  <c r="DJ426" i="29" s="1"/>
  <c r="AS428" i="29"/>
  <c r="DJ428" i="29" s="1"/>
  <c r="AS440" i="29"/>
  <c r="AS443" i="29"/>
  <c r="DJ443" i="29" s="1"/>
  <c r="AC449" i="29"/>
  <c r="DL449" i="29" s="1"/>
  <c r="AS458" i="29"/>
  <c r="DJ458" i="29" s="1"/>
  <c r="AS486" i="29"/>
  <c r="DJ486" i="29" s="1"/>
  <c r="AS466" i="29"/>
  <c r="AS493" i="29"/>
  <c r="DJ493" i="29" s="1"/>
  <c r="BE494" i="29"/>
  <c r="AS496" i="29"/>
  <c r="DJ496" i="29" s="1"/>
  <c r="AS499" i="29"/>
  <c r="DJ499" i="29" s="1"/>
  <c r="AS502" i="29"/>
  <c r="DJ502" i="29" s="1"/>
  <c r="AS506" i="29"/>
  <c r="DJ506" i="29" s="1"/>
  <c r="DO506" i="29" s="1"/>
  <c r="AS507" i="29"/>
  <c r="DJ507" i="29" s="1"/>
  <c r="V509" i="29"/>
  <c r="AC511" i="29"/>
  <c r="DL511" i="29" s="1"/>
  <c r="BE511" i="29"/>
  <c r="AS148" i="29"/>
  <c r="DJ148" i="29" s="1"/>
  <c r="AS150" i="29"/>
  <c r="AS152" i="29"/>
  <c r="DJ152" i="29" s="1"/>
  <c r="AS153" i="29"/>
  <c r="DJ153" i="29" s="1"/>
  <c r="DN153" i="29" s="1"/>
  <c r="AS218" i="29"/>
  <c r="DJ218" i="29" s="1"/>
  <c r="AS240" i="29"/>
  <c r="DJ240" i="29" s="1"/>
  <c r="BE253" i="29"/>
  <c r="BE255" i="29"/>
  <c r="BK255" i="29" s="1"/>
  <c r="AS257" i="29"/>
  <c r="DJ257" i="29" s="1"/>
  <c r="DO257" i="29" s="1"/>
  <c r="BE261" i="29"/>
  <c r="BE271" i="29"/>
  <c r="AS274" i="29"/>
  <c r="DJ274" i="29" s="1"/>
  <c r="DO274" i="29" s="1"/>
  <c r="AS287" i="29"/>
  <c r="DJ287" i="29" s="1"/>
  <c r="BE391" i="29"/>
  <c r="AS394" i="29"/>
  <c r="DJ394" i="29" s="1"/>
  <c r="DO394" i="29" s="1"/>
  <c r="BE399" i="29"/>
  <c r="AS437" i="29"/>
  <c r="AS446" i="29"/>
  <c r="DJ446" i="29" s="1"/>
  <c r="BE452" i="29"/>
  <c r="AS454" i="29"/>
  <c r="DJ454" i="29" s="1"/>
  <c r="DN454" i="29" s="1"/>
  <c r="AS455" i="29"/>
  <c r="DJ455" i="29" s="1"/>
  <c r="AS457" i="29"/>
  <c r="DJ457" i="29" s="1"/>
  <c r="AS459" i="29"/>
  <c r="DJ459" i="29" s="1"/>
  <c r="DN459" i="29" s="1"/>
  <c r="AS461" i="29"/>
  <c r="DJ461" i="29" s="1"/>
  <c r="AS462" i="29"/>
  <c r="DJ462" i="29" s="1"/>
  <c r="AS463" i="29"/>
  <c r="DJ463" i="29" s="1"/>
  <c r="CZ466" i="29"/>
  <c r="AS467" i="29"/>
  <c r="DJ467" i="29" s="1"/>
  <c r="AS472" i="29"/>
  <c r="DJ472" i="29" s="1"/>
  <c r="AS478" i="29"/>
  <c r="DJ478" i="29" s="1"/>
  <c r="AS490" i="29"/>
  <c r="DJ490" i="29" s="1"/>
  <c r="AS494" i="29"/>
  <c r="DJ494" i="29" s="1"/>
  <c r="BE501" i="29"/>
  <c r="BE110" i="29"/>
  <c r="BE111" i="29"/>
  <c r="BE112" i="29"/>
  <c r="BE113" i="29"/>
  <c r="BE115" i="29"/>
  <c r="BE116" i="29"/>
  <c r="AS124" i="29"/>
  <c r="DJ124" i="29" s="1"/>
  <c r="AS128" i="29"/>
  <c r="DJ128" i="29" s="1"/>
  <c r="AS140" i="29"/>
  <c r="DJ140" i="29" s="1"/>
  <c r="AS167" i="29"/>
  <c r="DJ167" i="29" s="1"/>
  <c r="DN167" i="29" s="1"/>
  <c r="AS168" i="29"/>
  <c r="DJ168" i="29" s="1"/>
  <c r="DN168" i="29" s="1"/>
  <c r="AS175" i="29"/>
  <c r="DJ175" i="29" s="1"/>
  <c r="DN175" i="29" s="1"/>
  <c r="AS176" i="29"/>
  <c r="DJ176" i="29" s="1"/>
  <c r="DN176" i="29" s="1"/>
  <c r="AS186" i="29"/>
  <c r="DJ186" i="29" s="1"/>
  <c r="DN186" i="29" s="1"/>
  <c r="AS204" i="29"/>
  <c r="DJ204" i="29" s="1"/>
  <c r="AS205" i="29"/>
  <c r="DJ205" i="29" s="1"/>
  <c r="DN205" i="29" s="1"/>
  <c r="AS206" i="29"/>
  <c r="DJ206" i="29" s="1"/>
  <c r="DN206" i="29" s="1"/>
  <c r="AS207" i="29"/>
  <c r="DJ207" i="29" s="1"/>
  <c r="AS208" i="29"/>
  <c r="DJ208" i="29" s="1"/>
  <c r="DN208" i="29" s="1"/>
  <c r="AS211" i="29"/>
  <c r="DJ211" i="29" s="1"/>
  <c r="AS212" i="29"/>
  <c r="DJ212" i="29" s="1"/>
  <c r="BE231" i="29"/>
  <c r="BK231" i="29" s="1"/>
  <c r="BE233" i="29"/>
  <c r="BE235" i="29"/>
  <c r="BE238" i="29"/>
  <c r="AS239" i="29"/>
  <c r="DJ239" i="29" s="1"/>
  <c r="DN239" i="29" s="1"/>
  <c r="AS252" i="29"/>
  <c r="DJ252" i="29" s="1"/>
  <c r="DO252" i="29" s="1"/>
  <c r="AS253" i="29"/>
  <c r="DJ253" i="29" s="1"/>
  <c r="AS254" i="29"/>
  <c r="DJ254" i="29" s="1"/>
  <c r="AS255" i="29"/>
  <c r="DJ255" i="29" s="1"/>
  <c r="BE285" i="29"/>
  <c r="BE302" i="29"/>
  <c r="AS307" i="29"/>
  <c r="DJ307" i="29" s="1"/>
  <c r="AS308" i="29"/>
  <c r="DJ308" i="29" s="1"/>
  <c r="AS312" i="29"/>
  <c r="DJ312" i="29" s="1"/>
  <c r="BE315" i="29"/>
  <c r="BE324" i="29"/>
  <c r="BE332" i="29"/>
  <c r="AS333" i="29"/>
  <c r="DJ333" i="29" s="1"/>
  <c r="DO333" i="29" s="1"/>
  <c r="AS355" i="29"/>
  <c r="DJ355" i="29" s="1"/>
  <c r="DO355" i="29" s="1"/>
  <c r="AS356" i="29"/>
  <c r="DJ356" i="29" s="1"/>
  <c r="BE368" i="29"/>
  <c r="BE374" i="29"/>
  <c r="AS385" i="29"/>
  <c r="DJ385" i="29" s="1"/>
  <c r="DO385" i="29" s="1"/>
  <c r="AS384" i="29"/>
  <c r="DJ384" i="29" s="1"/>
  <c r="DO384" i="29" s="1"/>
  <c r="AS386" i="29"/>
  <c r="DJ386" i="29" s="1"/>
  <c r="DO386" i="29" s="1"/>
  <c r="AS389" i="29"/>
  <c r="DJ389" i="29" s="1"/>
  <c r="DO389" i="29" s="1"/>
  <c r="AS390" i="29"/>
  <c r="DJ390" i="29" s="1"/>
  <c r="AS391" i="29"/>
  <c r="DJ391" i="29" s="1"/>
  <c r="AS399" i="29"/>
  <c r="DJ399" i="29" s="1"/>
  <c r="DO399" i="29" s="1"/>
  <c r="AS442" i="29"/>
  <c r="DJ442" i="29" s="1"/>
  <c r="AS447" i="29"/>
  <c r="DJ447" i="29" s="1"/>
  <c r="AS452" i="29"/>
  <c r="DJ452" i="29" s="1"/>
  <c r="AS460" i="29"/>
  <c r="DJ460" i="29" s="1"/>
  <c r="DN460" i="29" s="1"/>
  <c r="AS473" i="29"/>
  <c r="DJ473" i="29" s="1"/>
  <c r="AS475" i="29"/>
  <c r="DJ475" i="29" s="1"/>
  <c r="BE477" i="29"/>
  <c r="AS483" i="29"/>
  <c r="DJ483" i="29" s="1"/>
  <c r="AS492" i="29"/>
  <c r="DJ492" i="29" s="1"/>
  <c r="AS497" i="29"/>
  <c r="DJ497" i="29" s="1"/>
  <c r="AS501" i="29"/>
  <c r="DJ501" i="29" s="1"/>
  <c r="BE509" i="29"/>
  <c r="AS28" i="29"/>
  <c r="DJ28" i="29" s="1"/>
  <c r="AS29" i="29"/>
  <c r="DJ29" i="29" s="1"/>
  <c r="AS42" i="29"/>
  <c r="DJ42" i="29" s="1"/>
  <c r="AS45" i="29"/>
  <c r="DJ45" i="29" s="1"/>
  <c r="F10" i="29"/>
  <c r="CN10" i="29"/>
  <c r="CX10" i="29"/>
  <c r="BA16" i="29"/>
  <c r="AW16" i="29"/>
  <c r="DC16" i="29"/>
  <c r="BE22" i="29"/>
  <c r="BE23" i="29"/>
  <c r="AS33" i="29"/>
  <c r="DJ33" i="29" s="1"/>
  <c r="BE34" i="29"/>
  <c r="AS35" i="29"/>
  <c r="DJ35" i="29" s="1"/>
  <c r="AS38" i="29"/>
  <c r="DJ38" i="29" s="1"/>
  <c r="BE39" i="29"/>
  <c r="AS41" i="29"/>
  <c r="AS46" i="29"/>
  <c r="DJ46" i="29" s="1"/>
  <c r="AS48" i="29"/>
  <c r="DJ48" i="29" s="1"/>
  <c r="AR51" i="29"/>
  <c r="AS52" i="29"/>
  <c r="DJ52" i="29" s="1"/>
  <c r="AS53" i="29"/>
  <c r="DJ53" i="29" s="1"/>
  <c r="AS54" i="29"/>
  <c r="DJ54" i="29" s="1"/>
  <c r="AC61" i="29"/>
  <c r="DL61" i="29" s="1"/>
  <c r="AS62" i="29"/>
  <c r="DJ62" i="29" s="1"/>
  <c r="AS65" i="29"/>
  <c r="DJ65" i="29" s="1"/>
  <c r="AS69" i="29"/>
  <c r="DJ69" i="29" s="1"/>
  <c r="AS70" i="29"/>
  <c r="DJ70" i="29" s="1"/>
  <c r="AS83" i="29"/>
  <c r="DJ83" i="29" s="1"/>
  <c r="AS90" i="29"/>
  <c r="AS92" i="29"/>
  <c r="DJ92" i="29" s="1"/>
  <c r="DN92" i="29" s="1"/>
  <c r="AS97" i="29"/>
  <c r="DJ97" i="29" s="1"/>
  <c r="AS105" i="29"/>
  <c r="DJ105" i="29" s="1"/>
  <c r="DN105" i="29" s="1"/>
  <c r="AS109" i="29"/>
  <c r="DJ109" i="29" s="1"/>
  <c r="AS110" i="29"/>
  <c r="DJ110" i="29" s="1"/>
  <c r="DO110" i="29" s="1"/>
  <c r="AS111" i="29"/>
  <c r="DJ111" i="29" s="1"/>
  <c r="DO111" i="29" s="1"/>
  <c r="AS112" i="29"/>
  <c r="DJ112" i="29" s="1"/>
  <c r="AS113" i="29"/>
  <c r="DJ113" i="29" s="1"/>
  <c r="AS115" i="29"/>
  <c r="DJ115" i="29" s="1"/>
  <c r="AS116" i="29"/>
  <c r="DJ116" i="29" s="1"/>
  <c r="AS123" i="29"/>
  <c r="DJ123" i="29" s="1"/>
  <c r="AS127" i="29"/>
  <c r="DJ127" i="29" s="1"/>
  <c r="AS131" i="29"/>
  <c r="AS164" i="29"/>
  <c r="AU10" i="29"/>
  <c r="AS16" i="29"/>
  <c r="AS17" i="29"/>
  <c r="DJ17" i="29" s="1"/>
  <c r="AS26" i="29"/>
  <c r="DJ26" i="29" s="1"/>
  <c r="AS27" i="29"/>
  <c r="DJ27" i="29" s="1"/>
  <c r="AS32" i="29"/>
  <c r="DJ32" i="29" s="1"/>
  <c r="AS36" i="29"/>
  <c r="DJ36" i="29" s="1"/>
  <c r="AD49" i="29"/>
  <c r="AS132" i="29"/>
  <c r="DJ132" i="29" s="1"/>
  <c r="AS137" i="29"/>
  <c r="DJ137" i="29" s="1"/>
  <c r="AS138" i="29"/>
  <c r="DJ138" i="29" s="1"/>
  <c r="AS141" i="29"/>
  <c r="DJ141" i="29" s="1"/>
  <c r="AS147" i="29"/>
  <c r="DJ147" i="29" s="1"/>
  <c r="BE54" i="29"/>
  <c r="AS56" i="29"/>
  <c r="DJ56" i="29" s="1"/>
  <c r="AS63" i="29"/>
  <c r="DJ63" i="29" s="1"/>
  <c r="DO63" i="29" s="1"/>
  <c r="AS64" i="29"/>
  <c r="DJ64" i="29" s="1"/>
  <c r="AS66" i="29"/>
  <c r="DJ66" i="29" s="1"/>
  <c r="AS71" i="29"/>
  <c r="DJ71" i="29" s="1"/>
  <c r="AS73" i="29"/>
  <c r="DJ73" i="29" s="1"/>
  <c r="U49" i="29"/>
  <c r="BW75" i="29"/>
  <c r="CZ75" i="29"/>
  <c r="AS84" i="29"/>
  <c r="DJ84" i="29" s="1"/>
  <c r="DO84" i="29" s="1"/>
  <c r="AS85" i="29"/>
  <c r="DJ85" i="29" s="1"/>
  <c r="AS86" i="29"/>
  <c r="DJ86" i="29" s="1"/>
  <c r="DO86" i="29" s="1"/>
  <c r="AW90" i="29"/>
  <c r="DC90" i="29"/>
  <c r="AS117" i="29"/>
  <c r="DJ117" i="29" s="1"/>
  <c r="AS118" i="29"/>
  <c r="DJ118" i="29" s="1"/>
  <c r="AS119" i="29"/>
  <c r="DJ119" i="29" s="1"/>
  <c r="BC131" i="29"/>
  <c r="DH131" i="29" s="1"/>
  <c r="BB49" i="29"/>
  <c r="BB10" i="29" s="1"/>
  <c r="AS50" i="29"/>
  <c r="H49" i="29"/>
  <c r="AS51" i="29"/>
  <c r="DJ51" i="29" s="1"/>
  <c r="AS61" i="29"/>
  <c r="AS67" i="29"/>
  <c r="DJ67" i="29" s="1"/>
  <c r="AS75" i="29"/>
  <c r="AS87" i="29"/>
  <c r="DJ87" i="29" s="1"/>
  <c r="DO87" i="29" s="1"/>
  <c r="AS88" i="29"/>
  <c r="DJ88" i="29" s="1"/>
  <c r="AS91" i="29"/>
  <c r="DJ91" i="29" s="1"/>
  <c r="AS98" i="29"/>
  <c r="DJ98" i="29" s="1"/>
  <c r="DN98" i="29" s="1"/>
  <c r="AS102" i="29"/>
  <c r="DJ102" i="29" s="1"/>
  <c r="DN102" i="29" s="1"/>
  <c r="AS114" i="29"/>
  <c r="DJ114" i="29" s="1"/>
  <c r="DO114" i="29" s="1"/>
  <c r="BE118" i="29"/>
  <c r="BE119" i="29"/>
  <c r="AS121" i="29"/>
  <c r="BE124" i="29"/>
  <c r="AS125" i="29"/>
  <c r="DJ125" i="29" s="1"/>
  <c r="BE128" i="29"/>
  <c r="AS129" i="29"/>
  <c r="DJ129" i="29" s="1"/>
  <c r="BE133" i="29"/>
  <c r="AS151" i="29"/>
  <c r="DJ151" i="29" s="1"/>
  <c r="AS159" i="29"/>
  <c r="DJ159" i="29" s="1"/>
  <c r="DN159" i="29" s="1"/>
  <c r="AS179" i="29"/>
  <c r="AS184" i="29"/>
  <c r="DJ184" i="29" s="1"/>
  <c r="AS190" i="29"/>
  <c r="DJ190" i="29" s="1"/>
  <c r="AS191" i="29"/>
  <c r="DJ191" i="29" s="1"/>
  <c r="AS192" i="29"/>
  <c r="DJ192" i="29" s="1"/>
  <c r="AS193" i="29"/>
  <c r="DJ193" i="29" s="1"/>
  <c r="AS194" i="29"/>
  <c r="DJ194" i="29" s="1"/>
  <c r="AS195" i="29"/>
  <c r="DJ195" i="29" s="1"/>
  <c r="AS196" i="29"/>
  <c r="DJ196" i="29" s="1"/>
  <c r="AS197" i="29"/>
  <c r="DJ197" i="29" s="1"/>
  <c r="AS198" i="29"/>
  <c r="DJ198" i="29" s="1"/>
  <c r="AS199" i="29"/>
  <c r="DJ199" i="29" s="1"/>
  <c r="AS201" i="29"/>
  <c r="DJ201" i="29" s="1"/>
  <c r="AS202" i="29"/>
  <c r="DJ202" i="29" s="1"/>
  <c r="AS203" i="29"/>
  <c r="DJ203" i="29" s="1"/>
  <c r="DN203" i="29" s="1"/>
  <c r="BE205" i="29"/>
  <c r="BE207" i="29"/>
  <c r="BE211" i="29"/>
  <c r="BK211" i="29" s="1"/>
  <c r="BE212" i="29"/>
  <c r="BE218" i="29"/>
  <c r="AS220" i="29"/>
  <c r="DJ220" i="29" s="1"/>
  <c r="AS221" i="29"/>
  <c r="DJ221" i="29" s="1"/>
  <c r="AS223" i="29"/>
  <c r="DJ223" i="29" s="1"/>
  <c r="AS226" i="29"/>
  <c r="AS227" i="29"/>
  <c r="AS230" i="29"/>
  <c r="DJ230" i="29" s="1"/>
  <c r="DN230" i="29" s="1"/>
  <c r="AS232" i="29"/>
  <c r="DJ232" i="29" s="1"/>
  <c r="AS234" i="29"/>
  <c r="DJ234" i="29" s="1"/>
  <c r="DN234" i="29" s="1"/>
  <c r="AS237" i="29"/>
  <c r="DJ237" i="29" s="1"/>
  <c r="DN237" i="29" s="1"/>
  <c r="AS242" i="29"/>
  <c r="DJ242" i="29" s="1"/>
  <c r="AS243" i="29"/>
  <c r="DJ243" i="29" s="1"/>
  <c r="DN243" i="29" s="1"/>
  <c r="AO260" i="29"/>
  <c r="AS260" i="29"/>
  <c r="U225" i="29"/>
  <c r="AS266" i="29"/>
  <c r="DJ266" i="29" s="1"/>
  <c r="DO266" i="29" s="1"/>
  <c r="AS267" i="29"/>
  <c r="DJ267" i="29" s="1"/>
  <c r="AS268" i="29"/>
  <c r="DJ268" i="29" s="1"/>
  <c r="BE269" i="29"/>
  <c r="BE272" i="29"/>
  <c r="BE273" i="29"/>
  <c r="AS279" i="29"/>
  <c r="DJ279" i="29" s="1"/>
  <c r="V281" i="29"/>
  <c r="AS281" i="29"/>
  <c r="DJ281" i="29" s="1"/>
  <c r="AS282" i="29"/>
  <c r="DJ282" i="29" s="1"/>
  <c r="AS284" i="29"/>
  <c r="AS286" i="29"/>
  <c r="DJ286" i="29" s="1"/>
  <c r="AS306" i="29"/>
  <c r="AS316" i="29"/>
  <c r="DJ316" i="29" s="1"/>
  <c r="AS317" i="29"/>
  <c r="DJ317" i="29" s="1"/>
  <c r="AS331" i="29"/>
  <c r="AS335" i="29"/>
  <c r="DJ335" i="29" s="1"/>
  <c r="DO335" i="29" s="1"/>
  <c r="AS339" i="29"/>
  <c r="DJ339" i="29" s="1"/>
  <c r="AS340" i="29"/>
  <c r="DJ340" i="29" s="1"/>
  <c r="AS342" i="29"/>
  <c r="DJ342" i="29" s="1"/>
  <c r="DO342" i="29" s="1"/>
  <c r="AL344" i="29"/>
  <c r="AS345" i="29"/>
  <c r="DJ345" i="29" s="1"/>
  <c r="AS346" i="29"/>
  <c r="DJ346" i="29" s="1"/>
  <c r="AS347" i="29"/>
  <c r="DJ347" i="29" s="1"/>
  <c r="AS348" i="29"/>
  <c r="DJ348" i="29" s="1"/>
  <c r="AS349" i="29"/>
  <c r="DJ349" i="29" s="1"/>
  <c r="AS350" i="29"/>
  <c r="DJ350" i="29" s="1"/>
  <c r="AS351" i="29"/>
  <c r="DJ351" i="29" s="1"/>
  <c r="AS352" i="29"/>
  <c r="DJ352" i="29" s="1"/>
  <c r="AS353" i="29"/>
  <c r="DJ353" i="29" s="1"/>
  <c r="AS354" i="29"/>
  <c r="DJ354" i="29" s="1"/>
  <c r="BE358" i="29"/>
  <c r="BE359" i="29"/>
  <c r="BE360" i="29"/>
  <c r="AS362" i="29"/>
  <c r="AS367" i="29"/>
  <c r="AS369" i="29"/>
  <c r="DJ369" i="29" s="1"/>
  <c r="BE372" i="29"/>
  <c r="AS378" i="29"/>
  <c r="DJ378" i="29" s="1"/>
  <c r="DO378" i="29" s="1"/>
  <c r="AS392" i="29"/>
  <c r="DJ392" i="29" s="1"/>
  <c r="AS393" i="29"/>
  <c r="DJ393" i="29" s="1"/>
  <c r="AS388" i="29"/>
  <c r="DJ388" i="29" s="1"/>
  <c r="AS396" i="29"/>
  <c r="AS401" i="29"/>
  <c r="DJ401" i="29" s="1"/>
  <c r="DO401" i="29" s="1"/>
  <c r="AS405" i="29"/>
  <c r="DJ405" i="29" s="1"/>
  <c r="BD407" i="29"/>
  <c r="AS409" i="29"/>
  <c r="DJ409" i="29" s="1"/>
  <c r="DO409" i="29" s="1"/>
  <c r="AS410" i="29"/>
  <c r="DJ410" i="29" s="1"/>
  <c r="DO410" i="29" s="1"/>
  <c r="DJ413" i="29"/>
  <c r="AS422" i="29"/>
  <c r="DJ422" i="29" s="1"/>
  <c r="AS427" i="29"/>
  <c r="DJ427" i="29" s="1"/>
  <c r="AS435" i="29"/>
  <c r="DJ435" i="29" s="1"/>
  <c r="AS438" i="29"/>
  <c r="DJ438" i="29" s="1"/>
  <c r="AS439" i="29"/>
  <c r="DJ439" i="29" s="1"/>
  <c r="AS245" i="29"/>
  <c r="DJ245" i="29" s="1"/>
  <c r="DN245" i="29" s="1"/>
  <c r="AS273" i="29"/>
  <c r="DJ273" i="29" s="1"/>
  <c r="AS303" i="29"/>
  <c r="DJ303" i="29" s="1"/>
  <c r="AC304" i="29"/>
  <c r="DL304" i="29" s="1"/>
  <c r="AC309" i="29"/>
  <c r="DL309" i="29" s="1"/>
  <c r="AS332" i="29"/>
  <c r="DJ332" i="29" s="1"/>
  <c r="AS337" i="29"/>
  <c r="DJ337" i="29" s="1"/>
  <c r="AS338" i="29"/>
  <c r="DJ338" i="29" s="1"/>
  <c r="DO338" i="29" s="1"/>
  <c r="AS344" i="29"/>
  <c r="AS358" i="29"/>
  <c r="DJ358" i="29" s="1"/>
  <c r="AS359" i="29"/>
  <c r="DJ359" i="29" s="1"/>
  <c r="AS360" i="29"/>
  <c r="DJ360" i="29" s="1"/>
  <c r="AS363" i="29"/>
  <c r="DJ363" i="29" s="1"/>
  <c r="AS365" i="29"/>
  <c r="DJ365" i="29" s="1"/>
  <c r="DO365" i="29" s="1"/>
  <c r="AS370" i="29"/>
  <c r="DJ370" i="29" s="1"/>
  <c r="AS372" i="29"/>
  <c r="DJ372" i="29" s="1"/>
  <c r="AS373" i="29"/>
  <c r="DJ373" i="29" s="1"/>
  <c r="AS374" i="29"/>
  <c r="DJ374" i="29" s="1"/>
  <c r="AS377" i="29"/>
  <c r="AS381" i="29"/>
  <c r="DJ381" i="29" s="1"/>
  <c r="AS382" i="29"/>
  <c r="DJ382" i="29" s="1"/>
  <c r="DO382" i="29" s="1"/>
  <c r="AS383" i="29"/>
  <c r="DJ383" i="29" s="1"/>
  <c r="BW396" i="29"/>
  <c r="AS407" i="29"/>
  <c r="AS414" i="29"/>
  <c r="DJ414" i="29" s="1"/>
  <c r="AS420" i="29"/>
  <c r="DJ420" i="29" s="1"/>
  <c r="AS431" i="29"/>
  <c r="DJ431" i="29" s="1"/>
  <c r="AS433" i="29"/>
  <c r="DJ433" i="29" s="1"/>
  <c r="AS185" i="29"/>
  <c r="BE188" i="29"/>
  <c r="AS200" i="29"/>
  <c r="DJ200" i="29" s="1"/>
  <c r="AS217" i="29"/>
  <c r="DJ217" i="29" s="1"/>
  <c r="DN217" i="29" s="1"/>
  <c r="AS222" i="29"/>
  <c r="DJ222" i="29" s="1"/>
  <c r="AO250" i="29"/>
  <c r="AS250" i="29"/>
  <c r="AS251" i="29"/>
  <c r="DJ251" i="29" s="1"/>
  <c r="AS262" i="29"/>
  <c r="DJ262" i="29" s="1"/>
  <c r="AS270" i="29"/>
  <c r="DJ270" i="29" s="1"/>
  <c r="DO270" i="29" s="1"/>
  <c r="AS299" i="29"/>
  <c r="DJ299" i="29" s="1"/>
  <c r="AS327" i="29"/>
  <c r="DJ327" i="29" s="1"/>
  <c r="DO327" i="29" s="1"/>
  <c r="AS328" i="29"/>
  <c r="DJ328" i="29" s="1"/>
  <c r="AS366" i="29"/>
  <c r="DJ366" i="29" s="1"/>
  <c r="AS423" i="29"/>
  <c r="DJ423" i="29" s="1"/>
  <c r="AS134" i="29"/>
  <c r="DJ134" i="29" s="1"/>
  <c r="AS136" i="29"/>
  <c r="AS139" i="29"/>
  <c r="DJ139" i="29" s="1"/>
  <c r="AS143" i="29"/>
  <c r="AS158" i="29"/>
  <c r="DJ158" i="29" s="1"/>
  <c r="BE159" i="29"/>
  <c r="AS160" i="29"/>
  <c r="DJ160" i="29" s="1"/>
  <c r="DN160" i="29" s="1"/>
  <c r="AS169" i="29"/>
  <c r="DJ169" i="29" s="1"/>
  <c r="DN169" i="29" s="1"/>
  <c r="AS170" i="29"/>
  <c r="DJ170" i="29" s="1"/>
  <c r="AS171" i="29"/>
  <c r="DJ171" i="29" s="1"/>
  <c r="AS173" i="29"/>
  <c r="DJ173" i="29" s="1"/>
  <c r="DN173" i="29" s="1"/>
  <c r="AS174" i="29"/>
  <c r="DJ174" i="29" s="1"/>
  <c r="DN174" i="29" s="1"/>
  <c r="AS180" i="29"/>
  <c r="DJ180" i="29" s="1"/>
  <c r="AS183" i="29"/>
  <c r="DJ183" i="29" s="1"/>
  <c r="AS182" i="29"/>
  <c r="DJ182" i="29" s="1"/>
  <c r="DO182" i="29" s="1"/>
  <c r="AS187" i="29"/>
  <c r="DJ187" i="29" s="1"/>
  <c r="AS188" i="29"/>
  <c r="DJ188" i="29" s="1"/>
  <c r="DN188" i="29" s="1"/>
  <c r="AS189" i="29"/>
  <c r="DJ189" i="29" s="1"/>
  <c r="DN189" i="29" s="1"/>
  <c r="AS209" i="29"/>
  <c r="DJ209" i="29" s="1"/>
  <c r="AS210" i="29"/>
  <c r="DJ210" i="29" s="1"/>
  <c r="AS219" i="29"/>
  <c r="DJ219" i="29" s="1"/>
  <c r="DN219" i="29" s="1"/>
  <c r="BE230" i="29"/>
  <c r="BE232" i="29"/>
  <c r="BE234" i="29"/>
  <c r="BE237" i="29"/>
  <c r="AS241" i="29"/>
  <c r="DJ241" i="29" s="1"/>
  <c r="BE243" i="29"/>
  <c r="AS244" i="29"/>
  <c r="DJ244" i="29" s="1"/>
  <c r="AS246" i="29"/>
  <c r="DJ246" i="29" s="1"/>
  <c r="DN246" i="29" s="1"/>
  <c r="AS256" i="29"/>
  <c r="DJ256" i="29" s="1"/>
  <c r="AS258" i="29"/>
  <c r="DJ258" i="29" s="1"/>
  <c r="AS261" i="29"/>
  <c r="DJ261" i="29" s="1"/>
  <c r="AS263" i="29"/>
  <c r="DJ263" i="29" s="1"/>
  <c r="DO263" i="29" s="1"/>
  <c r="AS264" i="29"/>
  <c r="DJ264" i="29" s="1"/>
  <c r="AS265" i="29"/>
  <c r="DJ265" i="29" s="1"/>
  <c r="DO265" i="29" s="1"/>
  <c r="AS271" i="29"/>
  <c r="DJ271" i="29" s="1"/>
  <c r="DO271" i="29" s="1"/>
  <c r="AS277" i="29"/>
  <c r="DJ277" i="29" s="1"/>
  <c r="DO277" i="29" s="1"/>
  <c r="AS278" i="29"/>
  <c r="DJ278" i="29" s="1"/>
  <c r="AS285" i="29"/>
  <c r="DJ285" i="29" s="1"/>
  <c r="BE286" i="29"/>
  <c r="AS290" i="29"/>
  <c r="DJ290" i="29" s="1"/>
  <c r="AS291" i="29"/>
  <c r="DJ291" i="29" s="1"/>
  <c r="AS292" i="29"/>
  <c r="DJ292" i="29" s="1"/>
  <c r="AS293" i="29"/>
  <c r="DJ293" i="29" s="1"/>
  <c r="AS294" i="29"/>
  <c r="DJ294" i="29" s="1"/>
  <c r="AS295" i="29"/>
  <c r="DJ295" i="29" s="1"/>
  <c r="DO295" i="29" s="1"/>
  <c r="AS296" i="29"/>
  <c r="DJ296" i="29" s="1"/>
  <c r="AS297" i="29"/>
  <c r="DJ297" i="29" s="1"/>
  <c r="AS298" i="29"/>
  <c r="DJ298" i="29" s="1"/>
  <c r="AS301" i="29"/>
  <c r="DJ301" i="29" s="1"/>
  <c r="AS305" i="29"/>
  <c r="DJ305" i="29" s="1"/>
  <c r="BE306" i="29"/>
  <c r="AS310" i="29"/>
  <c r="DJ310" i="29" s="1"/>
  <c r="AS311" i="29"/>
  <c r="DJ311" i="29" s="1"/>
  <c r="AS313" i="29"/>
  <c r="DJ313" i="29" s="1"/>
  <c r="AS314" i="29"/>
  <c r="DJ314" i="29" s="1"/>
  <c r="AS315" i="29"/>
  <c r="DJ315" i="29" s="1"/>
  <c r="AS320" i="29"/>
  <c r="DJ320" i="29" s="1"/>
  <c r="AS321" i="29"/>
  <c r="DJ321" i="29" s="1"/>
  <c r="AS322" i="29"/>
  <c r="DJ322" i="29" s="1"/>
  <c r="AS329" i="29"/>
  <c r="DJ329" i="29" s="1"/>
  <c r="AS334" i="29"/>
  <c r="DJ334" i="29" s="1"/>
  <c r="AS341" i="29"/>
  <c r="DJ341" i="29" s="1"/>
  <c r="AS357" i="29"/>
  <c r="DJ357" i="29" s="1"/>
  <c r="DO357" i="29" s="1"/>
  <c r="AS368" i="29"/>
  <c r="DJ368" i="29" s="1"/>
  <c r="BE396" i="29"/>
  <c r="AS398" i="29"/>
  <c r="DJ398" i="29" s="1"/>
  <c r="DO398" i="29" s="1"/>
  <c r="BE401" i="29"/>
  <c r="BE405" i="29"/>
  <c r="BE409" i="29"/>
  <c r="BE410" i="29"/>
  <c r="AS412" i="29"/>
  <c r="AS416" i="29"/>
  <c r="DJ416" i="29" s="1"/>
  <c r="AS419" i="29"/>
  <c r="DJ419" i="29" s="1"/>
  <c r="AS421" i="29"/>
  <c r="DJ421" i="29" s="1"/>
  <c r="BE422" i="29"/>
  <c r="BE427" i="29"/>
  <c r="AS430" i="29"/>
  <c r="DJ430" i="29" s="1"/>
  <c r="BE426" i="29"/>
  <c r="CZ437" i="29"/>
  <c r="BE448" i="29"/>
  <c r="BE464" i="29"/>
  <c r="DS464" i="29" s="1"/>
  <c r="BE475" i="29"/>
  <c r="BE478" i="29"/>
  <c r="BE485" i="29"/>
  <c r="AS508" i="29"/>
  <c r="DJ508" i="29" s="1"/>
  <c r="AS504" i="29"/>
  <c r="AS511" i="29"/>
  <c r="DJ511" i="29" s="1"/>
  <c r="DO511" i="29" s="1"/>
  <c r="AS418" i="29"/>
  <c r="DJ418" i="29" s="1"/>
  <c r="BE435" i="29"/>
  <c r="BE439" i="29"/>
  <c r="BE450" i="29"/>
  <c r="BK450" i="29" s="1"/>
  <c r="BE451" i="29"/>
  <c r="DS451" i="29" s="1"/>
  <c r="BE474" i="29"/>
  <c r="AS453" i="29"/>
  <c r="DJ453" i="29" s="1"/>
  <c r="DN453" i="29" s="1"/>
  <c r="AS445" i="29"/>
  <c r="DJ445" i="29" s="1"/>
  <c r="AS429" i="29"/>
  <c r="DJ429" i="29" s="1"/>
  <c r="BA466" i="29"/>
  <c r="AW466" i="29"/>
  <c r="BE468" i="29"/>
  <c r="BE495" i="29"/>
  <c r="BE498" i="29"/>
  <c r="BT16" i="29"/>
  <c r="K11" i="29"/>
  <c r="BE28" i="29"/>
  <c r="BW16" i="29"/>
  <c r="CZ16" i="29"/>
  <c r="BA31" i="29"/>
  <c r="BE35" i="29"/>
  <c r="BE38" i="29"/>
  <c r="BE42" i="29"/>
  <c r="BE45" i="29"/>
  <c r="K49" i="29"/>
  <c r="BE61" i="29"/>
  <c r="BE67" i="29"/>
  <c r="AO41" i="29"/>
  <c r="W49" i="29"/>
  <c r="BE29" i="29"/>
  <c r="CK10" i="29"/>
  <c r="AO51" i="29"/>
  <c r="BE51" i="29"/>
  <c r="BE55" i="29"/>
  <c r="BE57" i="29"/>
  <c r="BE68" i="29"/>
  <c r="BE76" i="29"/>
  <c r="BE78" i="29"/>
  <c r="BE80" i="29"/>
  <c r="BE81" i="29"/>
  <c r="BR49" i="29"/>
  <c r="CL49" i="29"/>
  <c r="BE63" i="29"/>
  <c r="BE66" i="29"/>
  <c r="BE71" i="29"/>
  <c r="BE73" i="29"/>
  <c r="BE85" i="29"/>
  <c r="BE86" i="29"/>
  <c r="V96" i="29"/>
  <c r="BE99" i="29"/>
  <c r="BE101" i="29"/>
  <c r="BE103" i="29"/>
  <c r="CP108" i="29"/>
  <c r="BE121" i="29"/>
  <c r="BQ121" i="29"/>
  <c r="BE125" i="29"/>
  <c r="BE129" i="29"/>
  <c r="BE169" i="29"/>
  <c r="BE170" i="29"/>
  <c r="BE171" i="29"/>
  <c r="BE173" i="29"/>
  <c r="BE174" i="29"/>
  <c r="BE180" i="29"/>
  <c r="BE183" i="29"/>
  <c r="BE182" i="29"/>
  <c r="BE221" i="29"/>
  <c r="BE223" i="29"/>
  <c r="BE244" i="29"/>
  <c r="BE251" i="29"/>
  <c r="BE263" i="29"/>
  <c r="BE264" i="29"/>
  <c r="BE265" i="29"/>
  <c r="BE270" i="29"/>
  <c r="V272" i="29"/>
  <c r="BE274" i="29"/>
  <c r="BE276" i="29"/>
  <c r="AB49" i="29"/>
  <c r="BE94" i="29"/>
  <c r="BE96" i="29"/>
  <c r="BE100" i="29"/>
  <c r="BK100" i="29" s="1"/>
  <c r="BW121" i="29"/>
  <c r="CZ121" i="29"/>
  <c r="BE127" i="29"/>
  <c r="CZ131" i="29"/>
  <c r="BE132" i="29"/>
  <c r="BE137" i="29"/>
  <c r="BE138" i="29"/>
  <c r="BE141" i="29"/>
  <c r="BE148" i="29"/>
  <c r="BE150" i="29"/>
  <c r="BE155" i="29"/>
  <c r="BE167" i="29"/>
  <c r="BE168" i="29"/>
  <c r="BE176" i="29"/>
  <c r="BW185" i="29"/>
  <c r="BE189" i="29"/>
  <c r="BE213" i="29"/>
  <c r="BE214" i="29"/>
  <c r="BE215" i="29"/>
  <c r="BE216" i="29"/>
  <c r="BE222" i="29"/>
  <c r="BE240" i="29"/>
  <c r="BE245" i="29"/>
  <c r="BE256" i="29"/>
  <c r="BE262" i="29"/>
  <c r="BK262" i="29" s="1"/>
  <c r="BE266" i="29"/>
  <c r="BE268" i="29"/>
  <c r="BK268" i="29" s="1"/>
  <c r="BE88" i="29"/>
  <c r="BE91" i="29"/>
  <c r="BE98" i="29"/>
  <c r="BE102" i="29"/>
  <c r="BE114" i="29"/>
  <c r="AW121" i="29"/>
  <c r="BE122" i="29"/>
  <c r="BE126" i="29"/>
  <c r="CM131" i="29"/>
  <c r="BE134" i="29"/>
  <c r="AL136" i="29"/>
  <c r="BE139" i="29"/>
  <c r="BE161" i="29"/>
  <c r="BT164" i="29"/>
  <c r="BE165" i="29"/>
  <c r="BE166" i="29"/>
  <c r="BE186" i="29"/>
  <c r="BE191" i="29"/>
  <c r="BE192" i="29"/>
  <c r="BE193" i="29"/>
  <c r="BE194" i="29"/>
  <c r="BE195" i="29"/>
  <c r="BE196" i="29"/>
  <c r="BK196" i="29" s="1"/>
  <c r="BE197" i="29"/>
  <c r="BE198" i="29"/>
  <c r="BE199" i="29"/>
  <c r="BE201" i="29"/>
  <c r="BE202" i="29"/>
  <c r="BE208" i="29"/>
  <c r="BE209" i="29"/>
  <c r="BE210" i="29"/>
  <c r="BE279" i="29"/>
  <c r="AC281" i="29"/>
  <c r="DL281" i="29" s="1"/>
  <c r="BE281" i="29"/>
  <c r="BE290" i="29"/>
  <c r="BE299" i="29"/>
  <c r="BE303" i="29"/>
  <c r="BD306" i="29"/>
  <c r="BE310" i="29"/>
  <c r="BE311" i="29"/>
  <c r="BE313" i="29"/>
  <c r="BE314" i="29"/>
  <c r="BE327" i="29"/>
  <c r="BE337" i="29"/>
  <c r="BE345" i="29"/>
  <c r="BE346" i="29"/>
  <c r="BE347" i="29"/>
  <c r="BE348" i="29"/>
  <c r="BE349" i="29"/>
  <c r="BE351" i="29"/>
  <c r="BE352" i="29"/>
  <c r="BE353" i="29"/>
  <c r="BE373" i="29"/>
  <c r="BE394" i="29"/>
  <c r="CZ407" i="29"/>
  <c r="BE414" i="29"/>
  <c r="BE418" i="29"/>
  <c r="BE301" i="29"/>
  <c r="BE304" i="29"/>
  <c r="BE307" i="29"/>
  <c r="BE308" i="29"/>
  <c r="BE316" i="29"/>
  <c r="BE317" i="29"/>
  <c r="BE320" i="29"/>
  <c r="BE321" i="29"/>
  <c r="BE323" i="29"/>
  <c r="BE334" i="29"/>
  <c r="BE356" i="29"/>
  <c r="BE365" i="29"/>
  <c r="BE369" i="29"/>
  <c r="BE375" i="29"/>
  <c r="BE381" i="29"/>
  <c r="BE382" i="29"/>
  <c r="BE383" i="29"/>
  <c r="BT407" i="29"/>
  <c r="BQ412" i="29"/>
  <c r="BE416" i="29"/>
  <c r="BE419" i="29"/>
  <c r="BE309" i="29"/>
  <c r="BE322" i="29"/>
  <c r="BE325" i="29"/>
  <c r="BE335" i="29"/>
  <c r="BE340" i="29"/>
  <c r="BE357" i="29"/>
  <c r="CM367" i="29"/>
  <c r="BE370" i="29"/>
  <c r="BE385" i="29"/>
  <c r="BE384" i="29"/>
  <c r="BE389" i="29"/>
  <c r="BE379" i="29"/>
  <c r="BE423" i="29"/>
  <c r="BQ466" i="29"/>
  <c r="BE486" i="29"/>
  <c r="BE489" i="29"/>
  <c r="BE442" i="29"/>
  <c r="DS442" i="29" s="1"/>
  <c r="BE446" i="29"/>
  <c r="DS446" i="29" s="1"/>
  <c r="BE454" i="29"/>
  <c r="BE455" i="29"/>
  <c r="DS455" i="29" s="1"/>
  <c r="BE460" i="29"/>
  <c r="DS460" i="29" s="1"/>
  <c r="BE472" i="29"/>
  <c r="BE483" i="29"/>
  <c r="BE441" i="29"/>
  <c r="AC443" i="29"/>
  <c r="DL443" i="29" s="1"/>
  <c r="BE443" i="29"/>
  <c r="BE447" i="29"/>
  <c r="DS447" i="29" s="1"/>
  <c r="AC454" i="29"/>
  <c r="DL454" i="29" s="1"/>
  <c r="DM454" i="29" s="1"/>
  <c r="AC460" i="29"/>
  <c r="DL460" i="29" s="1"/>
  <c r="DM460" i="29" s="1"/>
  <c r="CP466" i="29"/>
  <c r="BE467" i="29"/>
  <c r="BE473" i="29"/>
  <c r="G10" i="29"/>
  <c r="X11" i="29"/>
  <c r="AO31" i="29"/>
  <c r="AW31" i="29"/>
  <c r="AO21" i="29"/>
  <c r="BE33" i="29"/>
  <c r="BA90" i="29"/>
  <c r="AC92" i="29"/>
  <c r="DL92" i="29" s="1"/>
  <c r="DM92" i="29" s="1"/>
  <c r="BT108" i="29"/>
  <c r="AW150" i="29"/>
  <c r="AC155" i="29"/>
  <c r="DL155" i="29" s="1"/>
  <c r="DM155" i="29" s="1"/>
  <c r="CP164" i="29"/>
  <c r="AC208" i="29"/>
  <c r="DL208" i="29" s="1"/>
  <c r="DM208" i="29" s="1"/>
  <c r="BV11" i="29"/>
  <c r="DB49" i="29"/>
  <c r="AF61" i="29"/>
  <c r="AF49" i="29" s="1"/>
  <c r="AW75" i="29"/>
  <c r="AO90" i="29"/>
  <c r="BQ90" i="29"/>
  <c r="AR143" i="29"/>
  <c r="V165" i="29"/>
  <c r="BQ51" i="29"/>
  <c r="CP61" i="29"/>
  <c r="CZ61" i="29"/>
  <c r="CM90" i="29"/>
  <c r="BQ143" i="29"/>
  <c r="CZ150" i="29"/>
  <c r="BE152" i="29"/>
  <c r="BE204" i="29"/>
  <c r="H225" i="29"/>
  <c r="V267" i="29"/>
  <c r="AC267" i="29"/>
  <c r="DL267" i="29" s="1"/>
  <c r="AF323" i="29"/>
  <c r="CP344" i="29"/>
  <c r="AL367" i="29"/>
  <c r="CM250" i="29"/>
  <c r="AC272" i="29"/>
  <c r="DL272" i="29" s="1"/>
  <c r="AC290" i="29"/>
  <c r="DL290" i="29" s="1"/>
  <c r="AO306" i="29"/>
  <c r="AR306" i="29"/>
  <c r="CP331" i="29"/>
  <c r="AR344" i="29"/>
  <c r="CZ377" i="29"/>
  <c r="CM396" i="29"/>
  <c r="AL407" i="29"/>
  <c r="DC407" i="29"/>
  <c r="AL412" i="29"/>
  <c r="BA412" i="29"/>
  <c r="AW412" i="29"/>
  <c r="BE440" i="29"/>
  <c r="AC448" i="29"/>
  <c r="DL448" i="29" s="1"/>
  <c r="AC455" i="29"/>
  <c r="DL455" i="29" s="1"/>
  <c r="CZ470" i="29"/>
  <c r="BE490" i="29"/>
  <c r="BE496" i="29"/>
  <c r="BA396" i="29"/>
  <c r="AW396" i="29"/>
  <c r="DC396" i="29"/>
  <c r="AW362" i="29"/>
  <c r="CM377" i="29"/>
  <c r="CP407" i="29"/>
  <c r="AC444" i="29"/>
  <c r="DL444" i="29" s="1"/>
  <c r="AC457" i="29"/>
  <c r="DL457" i="29" s="1"/>
  <c r="AC463" i="29"/>
  <c r="DL463" i="29" s="1"/>
  <c r="AL470" i="29"/>
  <c r="BE493" i="29"/>
  <c r="BE506" i="29"/>
  <c r="AK11" i="29"/>
  <c r="CT11" i="29"/>
  <c r="CM21" i="29"/>
  <c r="CP25" i="29"/>
  <c r="T11" i="29"/>
  <c r="H11" i="29"/>
  <c r="BE17" i="29"/>
  <c r="BW31" i="29"/>
  <c r="BE41" i="29"/>
  <c r="BR11" i="29"/>
  <c r="AF11" i="29"/>
  <c r="BA21" i="29"/>
  <c r="AW21" i="29"/>
  <c r="CM31" i="29"/>
  <c r="BE48" i="29"/>
  <c r="BM49" i="29"/>
  <c r="CT49" i="29"/>
  <c r="CP51" i="29"/>
  <c r="BE59" i="29"/>
  <c r="BQ61" i="29"/>
  <c r="CP75" i="29"/>
  <c r="BE83" i="29"/>
  <c r="BW90" i="29"/>
  <c r="V95" i="29"/>
  <c r="AC104" i="29"/>
  <c r="DL104" i="29" s="1"/>
  <c r="DM104" i="29" s="1"/>
  <c r="CM121" i="29"/>
  <c r="DC121" i="29"/>
  <c r="AC132" i="29"/>
  <c r="DL132" i="29" s="1"/>
  <c r="BQ136" i="29"/>
  <c r="AW136" i="29"/>
  <c r="DC136" i="29"/>
  <c r="BA136" i="29"/>
  <c r="CZ143" i="29"/>
  <c r="BT150" i="29"/>
  <c r="BE162" i="29"/>
  <c r="V175" i="29"/>
  <c r="BD185" i="29"/>
  <c r="CS10" i="29"/>
  <c r="AC131" i="29"/>
  <c r="DL131" i="29" s="1"/>
  <c r="BE131" i="29"/>
  <c r="BW136" i="29"/>
  <c r="BE143" i="29"/>
  <c r="AW143" i="29"/>
  <c r="CP143" i="29"/>
  <c r="CP150" i="29"/>
  <c r="BE153" i="29"/>
  <c r="CM185" i="29"/>
  <c r="BN49" i="29"/>
  <c r="BW51" i="29"/>
  <c r="BE136" i="29"/>
  <c r="CO11" i="29"/>
  <c r="CY11" i="29"/>
  <c r="DC31" i="29"/>
  <c r="DJ31" i="29" s="1"/>
  <c r="BE37" i="29"/>
  <c r="AW41" i="29"/>
  <c r="DC41" i="29"/>
  <c r="I10" i="29"/>
  <c r="AZ49" i="29"/>
  <c r="CM51" i="29"/>
  <c r="AW51" i="29"/>
  <c r="BE52" i="29"/>
  <c r="AW61" i="29"/>
  <c r="DC75" i="29"/>
  <c r="AC101" i="29"/>
  <c r="DL101" i="29" s="1"/>
  <c r="DM101" i="29" s="1"/>
  <c r="BA108" i="29"/>
  <c r="BQ131" i="29"/>
  <c r="AC150" i="29"/>
  <c r="DL150" i="29" s="1"/>
  <c r="DM150" i="29" s="1"/>
  <c r="AC153" i="29"/>
  <c r="DL153" i="29" s="1"/>
  <c r="DM153" i="29" s="1"/>
  <c r="AC165" i="29"/>
  <c r="DL165" i="29" s="1"/>
  <c r="DM165" i="29" s="1"/>
  <c r="AC175" i="29"/>
  <c r="DL175" i="29" s="1"/>
  <c r="DM175" i="29" s="1"/>
  <c r="DC185" i="29"/>
  <c r="BE206" i="29"/>
  <c r="BQ227" i="29"/>
  <c r="CZ227" i="29"/>
  <c r="BQ250" i="29"/>
  <c r="BE254" i="29"/>
  <c r="Y267" i="29"/>
  <c r="Y225" i="29" s="1"/>
  <c r="V275" i="29"/>
  <c r="AC275" i="29"/>
  <c r="DL275" i="29" s="1"/>
  <c r="BQ284" i="29"/>
  <c r="DC284" i="29"/>
  <c r="CZ284" i="29"/>
  <c r="AC313" i="29"/>
  <c r="DL313" i="29" s="1"/>
  <c r="BE318" i="29"/>
  <c r="BE333" i="29"/>
  <c r="V337" i="29"/>
  <c r="CM362" i="29"/>
  <c r="DC344" i="29"/>
  <c r="CP362" i="29"/>
  <c r="BW362" i="29"/>
  <c r="AW367" i="29"/>
  <c r="CP227" i="29"/>
  <c r="K225" i="29"/>
  <c r="BE242" i="29"/>
  <c r="CP284" i="29"/>
  <c r="CM306" i="29"/>
  <c r="BE336" i="29"/>
  <c r="CZ344" i="29"/>
  <c r="BA362" i="29"/>
  <c r="DC362" i="29"/>
  <c r="AO367" i="29"/>
  <c r="BQ377" i="29"/>
  <c r="AR377" i="29"/>
  <c r="CP260" i="29"/>
  <c r="AL284" i="29"/>
  <c r="BA284" i="29"/>
  <c r="CZ306" i="29"/>
  <c r="BA331" i="29"/>
  <c r="BW377" i="29"/>
  <c r="BQ396" i="29"/>
  <c r="CM407" i="29"/>
  <c r="BW412" i="29"/>
  <c r="AR412" i="29"/>
  <c r="AC442" i="29"/>
  <c r="DL442" i="29" s="1"/>
  <c r="CP396" i="29"/>
  <c r="AO407" i="29"/>
  <c r="BQ367" i="29"/>
  <c r="DC367" i="29"/>
  <c r="BA377" i="29"/>
  <c r="CP377" i="29"/>
  <c r="CM412" i="29"/>
  <c r="BE413" i="29"/>
  <c r="BA437" i="29"/>
  <c r="AR437" i="29"/>
  <c r="BC11" i="29"/>
  <c r="BN11" i="29"/>
  <c r="AL25" i="29"/>
  <c r="BW25" i="29"/>
  <c r="CZ25" i="29"/>
  <c r="BQ31" i="29"/>
  <c r="BP11" i="29"/>
  <c r="AO19" i="29"/>
  <c r="BQ21" i="29"/>
  <c r="AO25" i="29"/>
  <c r="AW25" i="29"/>
  <c r="DC25" i="29"/>
  <c r="AC31" i="29"/>
  <c r="AL31" i="29"/>
  <c r="BE31" i="29"/>
  <c r="CZ31" i="29"/>
  <c r="Y11" i="29"/>
  <c r="AQ11" i="29"/>
  <c r="DB11" i="29"/>
  <c r="DC21" i="29"/>
  <c r="CW11" i="29"/>
  <c r="CW10" i="29" s="1"/>
  <c r="CM16" i="29"/>
  <c r="AR16" i="29"/>
  <c r="AL21" i="29"/>
  <c r="CP21" i="29"/>
  <c r="BW21" i="29"/>
  <c r="AR21" i="29"/>
  <c r="CZ21" i="29"/>
  <c r="CM25" i="29"/>
  <c r="BQ25" i="29"/>
  <c r="CP41" i="29"/>
  <c r="T49" i="29"/>
  <c r="AN49" i="29"/>
  <c r="AV49" i="29"/>
  <c r="BI49" i="29" s="1"/>
  <c r="AL51" i="29"/>
  <c r="BE56" i="29"/>
  <c r="BA61" i="29"/>
  <c r="BW61" i="29"/>
  <c r="Y49" i="29"/>
  <c r="BE75" i="29"/>
  <c r="CM75" i="29"/>
  <c r="CP90" i="29"/>
  <c r="BE104" i="29"/>
  <c r="BE108" i="29"/>
  <c r="CM108" i="29"/>
  <c r="BT121" i="29"/>
  <c r="BE123" i="29"/>
  <c r="AL131" i="29"/>
  <c r="BW131" i="29"/>
  <c r="DC131" i="29"/>
  <c r="CM150" i="29"/>
  <c r="BQ150" i="29"/>
  <c r="AL164" i="29"/>
  <c r="BA164" i="29"/>
  <c r="BQ185" i="29"/>
  <c r="CZ185" i="29"/>
  <c r="AC188" i="29"/>
  <c r="DL188" i="29" s="1"/>
  <c r="DM188" i="29" s="1"/>
  <c r="BE84" i="29"/>
  <c r="BE158" i="29"/>
  <c r="BT185" i="29"/>
  <c r="BD61" i="29"/>
  <c r="DC61" i="29"/>
  <c r="AR61" i="29"/>
  <c r="AO75" i="29"/>
  <c r="BQ75" i="29"/>
  <c r="BE95" i="29"/>
  <c r="BQ108" i="29"/>
  <c r="AR108" i="29"/>
  <c r="DC108" i="29"/>
  <c r="CZ108" i="29"/>
  <c r="BE117" i="29"/>
  <c r="AL121" i="29"/>
  <c r="AO131" i="29"/>
  <c r="BA131" i="29"/>
  <c r="CP131" i="29"/>
  <c r="AW131" i="29"/>
  <c r="AC133" i="29"/>
  <c r="DL133" i="29" s="1"/>
  <c r="AO136" i="29"/>
  <c r="CM136" i="29"/>
  <c r="CZ136" i="29"/>
  <c r="AL143" i="29"/>
  <c r="CM143" i="29"/>
  <c r="BT143" i="29"/>
  <c r="DC143" i="29"/>
  <c r="AR164" i="29"/>
  <c r="AC189" i="29"/>
  <c r="DL189" i="29" s="1"/>
  <c r="DM189" i="29" s="1"/>
  <c r="CP31" i="29"/>
  <c r="AR31" i="29"/>
  <c r="CM41" i="29"/>
  <c r="BQ41" i="29"/>
  <c r="CZ51" i="29"/>
  <c r="BE58" i="29"/>
  <c r="AL61" i="29"/>
  <c r="CM61" i="29"/>
  <c r="BD75" i="29"/>
  <c r="BE93" i="29"/>
  <c r="BD108" i="29"/>
  <c r="AW108" i="29"/>
  <c r="AO121" i="29"/>
  <c r="BA121" i="29"/>
  <c r="CP121" i="29"/>
  <c r="AR121" i="29"/>
  <c r="CP136" i="29"/>
  <c r="BD150" i="29"/>
  <c r="AR185" i="29"/>
  <c r="BW143" i="29"/>
  <c r="AR150" i="29"/>
  <c r="DC150" i="29"/>
  <c r="BE151" i="29"/>
  <c r="CZ164" i="29"/>
  <c r="AO164" i="29"/>
  <c r="AC168" i="29"/>
  <c r="DL168" i="29" s="1"/>
  <c r="DM168" i="29" s="1"/>
  <c r="CP185" i="29"/>
  <c r="BE190" i="29"/>
  <c r="AC205" i="29"/>
  <c r="DL205" i="29" s="1"/>
  <c r="DM205" i="29" s="1"/>
  <c r="BE236" i="29"/>
  <c r="BE246" i="29"/>
  <c r="BA250" i="29"/>
  <c r="AW250" i="29"/>
  <c r="BE257" i="29"/>
  <c r="BE258" i="29"/>
  <c r="CM260" i="29"/>
  <c r="BT260" i="29"/>
  <c r="BE267" i="29"/>
  <c r="AO284" i="29"/>
  <c r="BD284" i="29"/>
  <c r="AW284" i="29"/>
  <c r="AC217" i="29"/>
  <c r="DL217" i="29" s="1"/>
  <c r="DM217" i="29" s="1"/>
  <c r="BE220" i="29"/>
  <c r="BE228" i="29"/>
  <c r="BW260" i="29"/>
  <c r="AR260" i="29"/>
  <c r="CZ260" i="29"/>
  <c r="BE241" i="29"/>
  <c r="AF267" i="29"/>
  <c r="BE160" i="29"/>
  <c r="BW164" i="29"/>
  <c r="BA185" i="29"/>
  <c r="AW185" i="29"/>
  <c r="AC186" i="29"/>
  <c r="DL186" i="29" s="1"/>
  <c r="DM186" i="29" s="1"/>
  <c r="BE217" i="29"/>
  <c r="BD227" i="29"/>
  <c r="AL250" i="29"/>
  <c r="CP250" i="29"/>
  <c r="BW250" i="29"/>
  <c r="AR250" i="29"/>
  <c r="CZ250" i="29"/>
  <c r="BQ260" i="29"/>
  <c r="AW260" i="29"/>
  <c r="V262" i="29"/>
  <c r="AC263" i="29"/>
  <c r="DL263" i="29" s="1"/>
  <c r="V280" i="29"/>
  <c r="AC280" i="29"/>
  <c r="DL280" i="29" s="1"/>
  <c r="CM284" i="29"/>
  <c r="AL306" i="29"/>
  <c r="CP306" i="29"/>
  <c r="BT306" i="29"/>
  <c r="AF313" i="29"/>
  <c r="AR331" i="29"/>
  <c r="CZ331" i="29"/>
  <c r="DC331" i="29"/>
  <c r="BE338" i="29"/>
  <c r="BK338" i="29" s="1"/>
  <c r="BW344" i="29"/>
  <c r="CZ367" i="29"/>
  <c r="BW331" i="29"/>
  <c r="BQ306" i="29"/>
  <c r="AW306" i="29"/>
  <c r="AL331" i="29"/>
  <c r="BD344" i="29"/>
  <c r="AW344" i="29"/>
  <c r="BE362" i="29"/>
  <c r="AL362" i="29"/>
  <c r="BA367" i="29"/>
  <c r="DC306" i="29"/>
  <c r="CM331" i="29"/>
  <c r="BT331" i="29"/>
  <c r="BT344" i="29"/>
  <c r="BQ344" i="29"/>
  <c r="BE350" i="29"/>
  <c r="BQ362" i="29"/>
  <c r="BE367" i="29"/>
  <c r="BW367" i="29"/>
  <c r="AL377" i="29"/>
  <c r="BE377" i="29"/>
  <c r="BE342" i="29"/>
  <c r="BE355" i="29"/>
  <c r="AO362" i="29"/>
  <c r="CZ362" i="29"/>
  <c r="BE392" i="29"/>
  <c r="AO396" i="29"/>
  <c r="CZ396" i="29"/>
  <c r="AW407" i="29"/>
  <c r="BE412" i="29"/>
  <c r="BT412" i="29"/>
  <c r="BE420" i="29"/>
  <c r="BE424" i="29"/>
  <c r="CM437" i="29"/>
  <c r="AC446" i="29"/>
  <c r="DL446" i="29" s="1"/>
  <c r="AW377" i="29"/>
  <c r="BE393" i="29"/>
  <c r="BE429" i="29"/>
  <c r="BW407" i="29"/>
  <c r="CP367" i="29"/>
  <c r="BT377" i="29"/>
  <c r="AL396" i="29"/>
  <c r="BA407" i="29"/>
  <c r="BQ407" i="29"/>
  <c r="AR407" i="29"/>
  <c r="AO412" i="29"/>
  <c r="CP412" i="29"/>
  <c r="CZ412" i="29"/>
  <c r="BE432" i="29"/>
  <c r="DC437" i="29"/>
  <c r="CP437" i="29"/>
  <c r="BT437" i="29"/>
  <c r="BE444" i="29"/>
  <c r="DS444" i="29" s="1"/>
  <c r="V452" i="29"/>
  <c r="AC452" i="29"/>
  <c r="DL452" i="29" s="1"/>
  <c r="BE453" i="29"/>
  <c r="CM466" i="29"/>
  <c r="BQ470" i="29"/>
  <c r="DC466" i="29"/>
  <c r="DS448" i="29"/>
  <c r="AC458" i="29"/>
  <c r="DL458" i="29" s="1"/>
  <c r="AR466" i="29"/>
  <c r="AW470" i="29"/>
  <c r="DC470" i="29"/>
  <c r="BE476" i="29"/>
  <c r="BE504" i="29"/>
  <c r="DS461" i="29"/>
  <c r="BE470" i="29"/>
  <c r="BW470" i="29"/>
  <c r="BE482" i="29"/>
  <c r="V506" i="29"/>
  <c r="BS11" i="29"/>
  <c r="AL16" i="29"/>
  <c r="BA25" i="29"/>
  <c r="BE25" i="29"/>
  <c r="U11" i="29"/>
  <c r="AI11" i="29"/>
  <c r="AA11" i="29"/>
  <c r="AE11" i="29"/>
  <c r="AN11" i="29"/>
  <c r="CL11" i="29"/>
  <c r="BM11" i="29"/>
  <c r="AV11" i="29"/>
  <c r="AO16" i="29"/>
  <c r="BE21" i="29"/>
  <c r="BD25" i="29"/>
  <c r="AR25" i="29"/>
  <c r="BD41" i="29"/>
  <c r="AR41" i="29"/>
  <c r="AA49" i="29"/>
  <c r="AI49" i="29"/>
  <c r="CO49" i="29"/>
  <c r="BP49" i="29"/>
  <c r="BE72" i="29"/>
  <c r="AL75" i="29"/>
  <c r="AR75" i="29"/>
  <c r="BE79" i="29"/>
  <c r="BE87" i="29"/>
  <c r="BD90" i="29"/>
  <c r="AR90" i="29"/>
  <c r="CZ90" i="29"/>
  <c r="AC100" i="29"/>
  <c r="DL100" i="29" s="1"/>
  <c r="DM100" i="29" s="1"/>
  <c r="BE106" i="29"/>
  <c r="AO150" i="29"/>
  <c r="BW108" i="29"/>
  <c r="AZ11" i="29"/>
  <c r="BD16" i="29"/>
  <c r="BD21" i="29"/>
  <c r="BA41" i="29"/>
  <c r="DZ6" i="29"/>
  <c r="CM19" i="29"/>
  <c r="BD31" i="29"/>
  <c r="BS49" i="29"/>
  <c r="AQ49" i="29"/>
  <c r="CY49" i="29"/>
  <c r="BD51" i="29"/>
  <c r="BA75" i="29"/>
  <c r="AL90" i="29"/>
  <c r="AL108" i="29"/>
  <c r="BT131" i="29"/>
  <c r="AO108" i="29"/>
  <c r="BD136" i="29"/>
  <c r="BT136" i="29"/>
  <c r="AR136" i="29"/>
  <c r="AO143" i="29"/>
  <c r="AL150" i="29"/>
  <c r="BW150" i="29"/>
  <c r="CM164" i="29"/>
  <c r="DC164" i="29"/>
  <c r="V168" i="29"/>
  <c r="BE175" i="29"/>
  <c r="AC159" i="29"/>
  <c r="DL159" i="29" s="1"/>
  <c r="DM159" i="29" s="1"/>
  <c r="V166" i="29"/>
  <c r="BD121" i="29"/>
  <c r="BA150" i="29"/>
  <c r="BD164" i="29"/>
  <c r="BQ164" i="29"/>
  <c r="AW164" i="29"/>
  <c r="BE179" i="29"/>
  <c r="BE185" i="29"/>
  <c r="AL185" i="29"/>
  <c r="AO185" i="29"/>
  <c r="AW227" i="29"/>
  <c r="DC227" i="29"/>
  <c r="BE219" i="29"/>
  <c r="AL227" i="29"/>
  <c r="BE227" i="29"/>
  <c r="CM227" i="29"/>
  <c r="AO227" i="29"/>
  <c r="AR227" i="29"/>
  <c r="BE250" i="29"/>
  <c r="BE260" i="29"/>
  <c r="BE280" i="29"/>
  <c r="AR284" i="29"/>
  <c r="BE288" i="29"/>
  <c r="BA344" i="29"/>
  <c r="BE344" i="29"/>
  <c r="BD250" i="29"/>
  <c r="BD260" i="29"/>
  <c r="BE284" i="29"/>
  <c r="BE326" i="29"/>
  <c r="BA306" i="29"/>
  <c r="AO331" i="29"/>
  <c r="BD331" i="29"/>
  <c r="BQ331" i="29"/>
  <c r="AW331" i="29"/>
  <c r="BE339" i="29"/>
  <c r="AO344" i="29"/>
  <c r="CM344" i="29"/>
  <c r="BE354" i="29"/>
  <c r="BE331" i="29"/>
  <c r="BD362" i="29"/>
  <c r="BT362" i="29"/>
  <c r="AR362" i="29"/>
  <c r="BD367" i="29"/>
  <c r="BT367" i="29"/>
  <c r="AR367" i="29"/>
  <c r="AC387" i="29"/>
  <c r="DL387" i="29" s="1"/>
  <c r="BE386" i="29"/>
  <c r="BE390" i="29"/>
  <c r="BE387" i="29"/>
  <c r="BE437" i="29"/>
  <c r="BD377" i="29"/>
  <c r="BE380" i="29"/>
  <c r="BD396" i="29"/>
  <c r="AR396" i="29"/>
  <c r="BE407" i="29"/>
  <c r="BE430" i="29"/>
  <c r="BE434" i="29"/>
  <c r="AC438" i="29"/>
  <c r="DL438" i="29" s="1"/>
  <c r="BE449" i="29"/>
  <c r="DS449" i="29" s="1"/>
  <c r="BE400" i="29"/>
  <c r="BE428" i="29"/>
  <c r="BE431" i="29"/>
  <c r="AC437" i="29"/>
  <c r="DL437" i="29" s="1"/>
  <c r="BD437" i="29"/>
  <c r="BQ437" i="29"/>
  <c r="AW437" i="29"/>
  <c r="BE438" i="29"/>
  <c r="DS438" i="29" s="1"/>
  <c r="DS439" i="29"/>
  <c r="BD412" i="29"/>
  <c r="BE458" i="29"/>
  <c r="DS458" i="29" s="1"/>
  <c r="AO466" i="29"/>
  <c r="BD466" i="29"/>
  <c r="BW466" i="29"/>
  <c r="AC453" i="29"/>
  <c r="DL453" i="29" s="1"/>
  <c r="DM453" i="29" s="1"/>
  <c r="AC462" i="29"/>
  <c r="DL462" i="29" s="1"/>
  <c r="BE466" i="29"/>
  <c r="AL466" i="29"/>
  <c r="AO470" i="29"/>
  <c r="BE484" i="29"/>
  <c r="BD470" i="29"/>
  <c r="AR470" i="29"/>
  <c r="BE481" i="29"/>
  <c r="BA470" i="29"/>
  <c r="BE488" i="29"/>
  <c r="BE499" i="29"/>
  <c r="BE497" i="29"/>
  <c r="BK335" i="29" l="1"/>
  <c r="BZ335" i="29" s="1"/>
  <c r="BK360" i="29"/>
  <c r="DJ466" i="29"/>
  <c r="BK307" i="29"/>
  <c r="BK138" i="29"/>
  <c r="BZ138" i="29" s="1"/>
  <c r="BK37" i="29"/>
  <c r="BK474" i="29"/>
  <c r="AC11" i="29"/>
  <c r="BK370" i="29"/>
  <c r="BZ370" i="29" s="1"/>
  <c r="BK129" i="29"/>
  <c r="BK422" i="29"/>
  <c r="BK288" i="29"/>
  <c r="DK466" i="29"/>
  <c r="DJ131" i="29"/>
  <c r="BY407" i="29"/>
  <c r="L50" i="27" s="1"/>
  <c r="BK290" i="29"/>
  <c r="BK412" i="29"/>
  <c r="BK325" i="29"/>
  <c r="BK349" i="29"/>
  <c r="BK303" i="29"/>
  <c r="BK276" i="29"/>
  <c r="BZ276" i="29" s="1"/>
  <c r="DK131" i="29"/>
  <c r="DK31" i="29"/>
  <c r="BK443" i="29"/>
  <c r="BK96" i="29"/>
  <c r="BZ96" i="29" s="1"/>
  <c r="BK119" i="29"/>
  <c r="BK140" i="29"/>
  <c r="BK364" i="29"/>
  <c r="DK51" i="29"/>
  <c r="DJ331" i="29"/>
  <c r="DO331" i="29" s="1"/>
  <c r="DJ121" i="29"/>
  <c r="DK121" i="29" s="1"/>
  <c r="DK44" i="29"/>
  <c r="DO14" i="29"/>
  <c r="DO11" i="29" s="1"/>
  <c r="DK14" i="29"/>
  <c r="DJ504" i="29"/>
  <c r="DK504" i="29" s="1"/>
  <c r="AI225" i="29"/>
  <c r="BH178" i="29"/>
  <c r="BY178" i="29"/>
  <c r="BY396" i="29"/>
  <c r="L48" i="27" s="1"/>
  <c r="BY367" i="29"/>
  <c r="L46" i="27" s="1"/>
  <c r="BY437" i="29"/>
  <c r="L52" i="27" s="1"/>
  <c r="AT178" i="29"/>
  <c r="DJ440" i="29"/>
  <c r="DN440" i="29" s="1"/>
  <c r="AT437" i="29"/>
  <c r="J38" i="27"/>
  <c r="K38" i="27" s="1"/>
  <c r="AJ10" i="29"/>
  <c r="DL31" i="29"/>
  <c r="DL11" i="29" s="1"/>
  <c r="DM49" i="29"/>
  <c r="DL49" i="29"/>
  <c r="DM225" i="29"/>
  <c r="DL225" i="29"/>
  <c r="BK79" i="29"/>
  <c r="BC49" i="29"/>
  <c r="BC10" i="29" s="1"/>
  <c r="BK104" i="29"/>
  <c r="BZ104" i="29" s="1"/>
  <c r="BK334" i="29"/>
  <c r="BZ334" i="29" s="1"/>
  <c r="BK301" i="29"/>
  <c r="BZ301" i="29" s="1"/>
  <c r="BK394" i="29"/>
  <c r="BZ394" i="29" s="1"/>
  <c r="BK345" i="29"/>
  <c r="BZ345" i="29" s="1"/>
  <c r="BK327" i="29"/>
  <c r="BZ327" i="29" s="1"/>
  <c r="BK57" i="29"/>
  <c r="BK35" i="29"/>
  <c r="BK400" i="29"/>
  <c r="BZ400" i="29" s="1"/>
  <c r="BK386" i="29"/>
  <c r="BZ386" i="29" s="1"/>
  <c r="BF178" i="29"/>
  <c r="DJ437" i="29"/>
  <c r="BK355" i="29"/>
  <c r="DJ179" i="29"/>
  <c r="DO179" i="29" s="1"/>
  <c r="BK329" i="29"/>
  <c r="BZ329" i="29" s="1"/>
  <c r="BK312" i="29"/>
  <c r="BZ312" i="29" s="1"/>
  <c r="BJ407" i="29"/>
  <c r="BJ466" i="29"/>
  <c r="BJ306" i="29"/>
  <c r="DS450" i="29"/>
  <c r="BK420" i="29"/>
  <c r="DJ108" i="29"/>
  <c r="DK108" i="29" s="1"/>
  <c r="BK352" i="29"/>
  <c r="BK347" i="29"/>
  <c r="BZ347" i="29" s="1"/>
  <c r="BK337" i="29"/>
  <c r="BK194" i="29"/>
  <c r="BZ194" i="29" s="1"/>
  <c r="BK435" i="29"/>
  <c r="BZ435" i="29" s="1"/>
  <c r="BK478" i="29"/>
  <c r="BZ478" i="29" s="1"/>
  <c r="BK237" i="29"/>
  <c r="BK477" i="29"/>
  <c r="BZ477" i="29" s="1"/>
  <c r="BK252" i="29"/>
  <c r="BZ252" i="29" s="1"/>
  <c r="BK411" i="29"/>
  <c r="BZ411" i="29" s="1"/>
  <c r="BJ178" i="29"/>
  <c r="DA10" i="29"/>
  <c r="BK183" i="29"/>
  <c r="BZ183" i="29" s="1"/>
  <c r="BK511" i="29"/>
  <c r="BZ511" i="29" s="1"/>
  <c r="BK484" i="29"/>
  <c r="BZ484" i="29" s="1"/>
  <c r="BK429" i="29"/>
  <c r="BZ429" i="29" s="1"/>
  <c r="DJ412" i="29"/>
  <c r="DK412" i="29" s="1"/>
  <c r="DJ362" i="29"/>
  <c r="DK362" i="29" s="1"/>
  <c r="BK333" i="29"/>
  <c r="BZ333" i="29" s="1"/>
  <c r="DJ407" i="29"/>
  <c r="BK191" i="29"/>
  <c r="BZ191" i="29" s="1"/>
  <c r="BK114" i="29"/>
  <c r="BZ114" i="29" s="1"/>
  <c r="BK264" i="29"/>
  <c r="BZ264" i="29" s="1"/>
  <c r="BK306" i="29"/>
  <c r="BZ306" i="29" s="1"/>
  <c r="BK286" i="29"/>
  <c r="BK368" i="29"/>
  <c r="BZ368" i="29" s="1"/>
  <c r="BK399" i="29"/>
  <c r="BK287" i="29"/>
  <c r="BZ287" i="29" s="1"/>
  <c r="BK425" i="29"/>
  <c r="BZ425" i="29" s="1"/>
  <c r="BJ41" i="29"/>
  <c r="BJ185" i="29"/>
  <c r="BJ344" i="29"/>
  <c r="BK476" i="29"/>
  <c r="DJ306" i="29"/>
  <c r="DK306" i="29" s="1"/>
  <c r="BK258" i="29"/>
  <c r="BZ258" i="29" s="1"/>
  <c r="BK93" i="29"/>
  <c r="BK496" i="29"/>
  <c r="BZ496" i="29" s="1"/>
  <c r="BK152" i="29"/>
  <c r="BZ152" i="29" s="1"/>
  <c r="BK454" i="29"/>
  <c r="BZ454" i="29" s="1"/>
  <c r="BK304" i="29"/>
  <c r="BK223" i="29"/>
  <c r="BZ223" i="29" s="1"/>
  <c r="BK243" i="29"/>
  <c r="AS275" i="29"/>
  <c r="DJ275" i="29" s="1"/>
  <c r="BK509" i="29"/>
  <c r="BZ509" i="29" s="1"/>
  <c r="BK315" i="29"/>
  <c r="BK302" i="29"/>
  <c r="BZ302" i="29" s="1"/>
  <c r="BK294" i="29"/>
  <c r="BZ294" i="29" s="1"/>
  <c r="BK462" i="29"/>
  <c r="BZ462" i="29" s="1"/>
  <c r="BK457" i="29"/>
  <c r="BK406" i="29"/>
  <c r="BZ406" i="29" s="1"/>
  <c r="BK469" i="29"/>
  <c r="BZ469" i="29" s="1"/>
  <c r="BJ227" i="29"/>
  <c r="BK156" i="29"/>
  <c r="BZ156" i="29" s="1"/>
  <c r="BK403" i="29"/>
  <c r="BZ403" i="29" s="1"/>
  <c r="BK363" i="29"/>
  <c r="BZ363" i="29" s="1"/>
  <c r="BJ470" i="29"/>
  <c r="AH10" i="29"/>
  <c r="BJ362" i="29"/>
  <c r="BJ412" i="29"/>
  <c r="BK381" i="29"/>
  <c r="BZ381" i="29" s="1"/>
  <c r="BK393" i="29"/>
  <c r="BZ393" i="29" s="1"/>
  <c r="BK383" i="29"/>
  <c r="BZ64" i="29"/>
  <c r="BK217" i="29"/>
  <c r="BZ217" i="29" s="1"/>
  <c r="BK230" i="29"/>
  <c r="BZ230" i="29" s="1"/>
  <c r="BK273" i="29"/>
  <c r="BZ273" i="29" s="1"/>
  <c r="DB225" i="29"/>
  <c r="DB10" i="29" s="1"/>
  <c r="BY260" i="29"/>
  <c r="L40" i="27" s="1"/>
  <c r="DC260" i="29"/>
  <c r="DJ260" i="29" s="1"/>
  <c r="BK202" i="29"/>
  <c r="BZ202" i="29" s="1"/>
  <c r="BK173" i="29"/>
  <c r="BK212" i="29"/>
  <c r="BZ212" i="29" s="1"/>
  <c r="BK62" i="29"/>
  <c r="BZ62" i="29" s="1"/>
  <c r="BK53" i="29"/>
  <c r="BZ53" i="29" s="1"/>
  <c r="BK430" i="29"/>
  <c r="AE10" i="29"/>
  <c r="AM10" i="29"/>
  <c r="BK431" i="29"/>
  <c r="BZ431" i="29" s="1"/>
  <c r="BK418" i="29"/>
  <c r="BY466" i="29"/>
  <c r="L53" i="27" s="1"/>
  <c r="AK225" i="29"/>
  <c r="AK10" i="29" s="1"/>
  <c r="BK488" i="29"/>
  <c r="BZ488" i="29" s="1"/>
  <c r="DS462" i="29"/>
  <c r="BK428" i="29"/>
  <c r="BZ428" i="29" s="1"/>
  <c r="BF407" i="29"/>
  <c r="AL225" i="29"/>
  <c r="AW225" i="29"/>
  <c r="BK453" i="29"/>
  <c r="BK432" i="29"/>
  <c r="BZ432" i="29" s="1"/>
  <c r="BA260" i="29"/>
  <c r="BA225" i="29" s="1"/>
  <c r="DJ143" i="29"/>
  <c r="DK143" i="29" s="1"/>
  <c r="BK413" i="29"/>
  <c r="DJ367" i="29"/>
  <c r="DK367" i="29" s="1"/>
  <c r="BK206" i="29"/>
  <c r="BZ206" i="29" s="1"/>
  <c r="BK473" i="29"/>
  <c r="BK472" i="29"/>
  <c r="BK384" i="29"/>
  <c r="BZ384" i="29" s="1"/>
  <c r="BK340" i="29"/>
  <c r="BZ340" i="29" s="1"/>
  <c r="BK322" i="29"/>
  <c r="BK416" i="29"/>
  <c r="BZ416" i="29" s="1"/>
  <c r="BK375" i="29"/>
  <c r="BZ375" i="29" s="1"/>
  <c r="BK356" i="29"/>
  <c r="BZ356" i="29" s="1"/>
  <c r="BK320" i="29"/>
  <c r="BK308" i="29"/>
  <c r="BZ308" i="29" s="1"/>
  <c r="BK348" i="29"/>
  <c r="BZ348" i="29" s="1"/>
  <c r="BK134" i="29"/>
  <c r="BZ134" i="29" s="1"/>
  <c r="BK244" i="29"/>
  <c r="BK125" i="29"/>
  <c r="AS387" i="29"/>
  <c r="DJ387" i="29" s="1"/>
  <c r="DO387" i="29" s="1"/>
  <c r="BK452" i="29"/>
  <c r="BZ452" i="29" s="1"/>
  <c r="BK391" i="29"/>
  <c r="BZ391" i="29" s="1"/>
  <c r="BK109" i="29"/>
  <c r="BZ109" i="29" s="1"/>
  <c r="BK295" i="29"/>
  <c r="BZ295" i="29" s="1"/>
  <c r="BK376" i="29"/>
  <c r="BZ376" i="29" s="1"/>
  <c r="BK503" i="29"/>
  <c r="BZ503" i="29" s="1"/>
  <c r="BK135" i="29"/>
  <c r="BZ135" i="29" s="1"/>
  <c r="BK163" i="29"/>
  <c r="BZ163" i="29" s="1"/>
  <c r="BK408" i="29"/>
  <c r="BZ408" i="29" s="1"/>
  <c r="BS225" i="29"/>
  <c r="BS10" i="29" s="1"/>
  <c r="BJ504" i="29"/>
  <c r="BJ260" i="29"/>
  <c r="AF225" i="29"/>
  <c r="AF10" i="29" s="1"/>
  <c r="BJ367" i="29"/>
  <c r="BK106" i="29"/>
  <c r="BZ106" i="29" s="1"/>
  <c r="BK310" i="29"/>
  <c r="BZ310" i="29" s="1"/>
  <c r="BK198" i="29"/>
  <c r="BZ198" i="29" s="1"/>
  <c r="BK263" i="29"/>
  <c r="BZ263" i="29" s="1"/>
  <c r="BK238" i="29"/>
  <c r="BZ238" i="29" s="1"/>
  <c r="BH396" i="29"/>
  <c r="BH504" i="29"/>
  <c r="BK482" i="29"/>
  <c r="BK220" i="29"/>
  <c r="BK467" i="29"/>
  <c r="BZ467" i="29" s="1"/>
  <c r="BK323" i="29"/>
  <c r="BZ323" i="29" s="1"/>
  <c r="BK98" i="29"/>
  <c r="BK256" i="29"/>
  <c r="BZ256" i="29" s="1"/>
  <c r="DJ16" i="29"/>
  <c r="DK16" i="29" s="1"/>
  <c r="BJ284" i="29"/>
  <c r="BK481" i="29"/>
  <c r="BZ481" i="29" s="1"/>
  <c r="BK339" i="29"/>
  <c r="BZ339" i="29" s="1"/>
  <c r="BE275" i="29"/>
  <c r="BK275" i="29" s="1"/>
  <c r="BZ275" i="29" s="1"/>
  <c r="AO377" i="29"/>
  <c r="BK350" i="29"/>
  <c r="BK151" i="29"/>
  <c r="BZ151" i="29" s="1"/>
  <c r="BK95" i="29"/>
  <c r="BZ95" i="29" s="1"/>
  <c r="DJ61" i="29"/>
  <c r="DS457" i="29"/>
  <c r="DJ344" i="29"/>
  <c r="DK344" i="29" s="1"/>
  <c r="DJ75" i="29"/>
  <c r="DK75" i="29" s="1"/>
  <c r="BK506" i="29"/>
  <c r="BZ506" i="29" s="1"/>
  <c r="BK490" i="29"/>
  <c r="BZ490" i="29" s="1"/>
  <c r="BK442" i="29"/>
  <c r="BZ442" i="29" s="1"/>
  <c r="BK489" i="29"/>
  <c r="BZ489" i="29" s="1"/>
  <c r="BK314" i="29"/>
  <c r="BZ314" i="29" s="1"/>
  <c r="BK279" i="29"/>
  <c r="BZ279" i="29" s="1"/>
  <c r="BK245" i="29"/>
  <c r="BZ245" i="29" s="1"/>
  <c r="BK132" i="29"/>
  <c r="BZ132" i="29" s="1"/>
  <c r="BK94" i="29"/>
  <c r="BZ94" i="29" s="1"/>
  <c r="BK270" i="29"/>
  <c r="BK251" i="29"/>
  <c r="BZ251" i="29" s="1"/>
  <c r="BK38" i="29"/>
  <c r="BK113" i="29"/>
  <c r="BZ113" i="29" s="1"/>
  <c r="BK501" i="29"/>
  <c r="BZ501" i="29" s="1"/>
  <c r="BK421" i="29"/>
  <c r="BZ421" i="29" s="1"/>
  <c r="BK278" i="29"/>
  <c r="BZ278" i="29" s="1"/>
  <c r="BK282" i="29"/>
  <c r="BZ282" i="29" s="1"/>
  <c r="BZ508" i="29"/>
  <c r="BK361" i="29"/>
  <c r="BZ361" i="29" s="1"/>
  <c r="BK505" i="29"/>
  <c r="BZ505" i="29" s="1"/>
  <c r="BK487" i="29"/>
  <c r="BZ487" i="29" s="1"/>
  <c r="BG387" i="29"/>
  <c r="BK387" i="29" s="1"/>
  <c r="BZ387" i="29" s="1"/>
  <c r="BY41" i="29"/>
  <c r="L19" i="27" s="1"/>
  <c r="L9" i="27"/>
  <c r="BY44" i="29"/>
  <c r="L20" i="27" s="1"/>
  <c r="BJ150" i="29"/>
  <c r="BJ61" i="29"/>
  <c r="BJ131" i="29"/>
  <c r="BJ16" i="29"/>
  <c r="BJ143" i="29"/>
  <c r="BJ108" i="29"/>
  <c r="BJ51" i="29"/>
  <c r="BJ331" i="29"/>
  <c r="BQ225" i="29"/>
  <c r="AR225" i="29"/>
  <c r="BJ25" i="29"/>
  <c r="BJ164" i="29"/>
  <c r="BK116" i="29"/>
  <c r="BZ116" i="29" s="1"/>
  <c r="BK463" i="29"/>
  <c r="BZ463" i="29" s="1"/>
  <c r="DS463" i="29"/>
  <c r="BJ377" i="29"/>
  <c r="BK434" i="29"/>
  <c r="BZ434" i="29" s="1"/>
  <c r="AC225" i="29"/>
  <c r="BD225" i="29"/>
  <c r="BK447" i="29"/>
  <c r="BZ447" i="29" s="1"/>
  <c r="BK357" i="29"/>
  <c r="BZ357" i="29" s="1"/>
  <c r="BK216" i="29"/>
  <c r="BZ216" i="29" s="1"/>
  <c r="BK78" i="29"/>
  <c r="BK372" i="29"/>
  <c r="BZ372" i="29" s="1"/>
  <c r="BK128" i="29"/>
  <c r="BZ128" i="29" s="1"/>
  <c r="BK20" i="29"/>
  <c r="BZ20" i="29" s="1"/>
  <c r="BJ121" i="29"/>
  <c r="BJ31" i="29"/>
  <c r="BJ21" i="29"/>
  <c r="BJ437" i="29"/>
  <c r="BY412" i="29"/>
  <c r="L51" i="27" s="1"/>
  <c r="BJ136" i="29"/>
  <c r="BJ75" i="29"/>
  <c r="BF362" i="29"/>
  <c r="CP225" i="29"/>
  <c r="CZ225" i="29"/>
  <c r="BK17" i="29"/>
  <c r="BZ17" i="29" s="1"/>
  <c r="BK440" i="29"/>
  <c r="BZ440" i="29" s="1"/>
  <c r="DS440" i="29"/>
  <c r="DS452" i="29"/>
  <c r="CM225" i="29"/>
  <c r="BK236" i="29"/>
  <c r="BZ236" i="29" s="1"/>
  <c r="DJ25" i="29"/>
  <c r="DK25" i="29" s="1"/>
  <c r="BK86" i="29"/>
  <c r="BZ86" i="29" s="1"/>
  <c r="BK380" i="29"/>
  <c r="BZ380" i="29" s="1"/>
  <c r="DS454" i="29"/>
  <c r="BK107" i="29"/>
  <c r="BZ107" i="29" s="1"/>
  <c r="BK142" i="29"/>
  <c r="BZ142" i="29" s="1"/>
  <c r="L34" i="27"/>
  <c r="BF250" i="29"/>
  <c r="BK175" i="29"/>
  <c r="BZ175" i="29" s="1"/>
  <c r="BF21" i="29"/>
  <c r="BF25" i="29"/>
  <c r="DJ284" i="29"/>
  <c r="DK284" i="29" s="1"/>
  <c r="BF131" i="29"/>
  <c r="BK493" i="29"/>
  <c r="BZ493" i="29" s="1"/>
  <c r="DJ396" i="29"/>
  <c r="BK204" i="29"/>
  <c r="BZ204" i="29" s="1"/>
  <c r="BK33" i="29"/>
  <c r="BZ33" i="29" s="1"/>
  <c r="BK486" i="29"/>
  <c r="BZ486" i="29" s="1"/>
  <c r="BK389" i="29"/>
  <c r="BZ389" i="29" s="1"/>
  <c r="BK382" i="29"/>
  <c r="BZ382" i="29" s="1"/>
  <c r="BK316" i="29"/>
  <c r="BZ316" i="29" s="1"/>
  <c r="BK414" i="29"/>
  <c r="BZ414" i="29" s="1"/>
  <c r="BK351" i="29"/>
  <c r="BK346" i="29"/>
  <c r="BZ346" i="29" s="1"/>
  <c r="BK299" i="29"/>
  <c r="BZ299" i="29" s="1"/>
  <c r="BK139" i="29"/>
  <c r="BZ139" i="29" s="1"/>
  <c r="BK102" i="29"/>
  <c r="BZ102" i="29" s="1"/>
  <c r="BK91" i="29"/>
  <c r="BZ91" i="29" s="1"/>
  <c r="BK266" i="29"/>
  <c r="BZ266" i="29" s="1"/>
  <c r="BK475" i="29"/>
  <c r="BZ475" i="29" s="1"/>
  <c r="BK426" i="29"/>
  <c r="BZ426" i="29" s="1"/>
  <c r="BK410" i="29"/>
  <c r="BZ410" i="29" s="1"/>
  <c r="BK359" i="29"/>
  <c r="BZ359" i="29" s="1"/>
  <c r="BK207" i="29"/>
  <c r="BZ207" i="29" s="1"/>
  <c r="DJ90" i="29"/>
  <c r="DK90" i="29" s="1"/>
  <c r="BK332" i="29"/>
  <c r="BZ332" i="29" s="1"/>
  <c r="BK298" i="29"/>
  <c r="BZ298" i="29" s="1"/>
  <c r="DJ377" i="29"/>
  <c r="BK130" i="29"/>
  <c r="BZ130" i="29" s="1"/>
  <c r="BK146" i="29"/>
  <c r="BK395" i="29"/>
  <c r="BZ395" i="29" s="1"/>
  <c r="BK30" i="29"/>
  <c r="BZ30" i="29" s="1"/>
  <c r="BT284" i="29"/>
  <c r="BT225" i="29" s="1"/>
  <c r="DJ19" i="29"/>
  <c r="DK19" i="29" s="1"/>
  <c r="BX304" i="29"/>
  <c r="BY284" i="29" s="1"/>
  <c r="L41" i="27" s="1"/>
  <c r="DH225" i="29"/>
  <c r="BK485" i="29"/>
  <c r="BZ485" i="29" s="1"/>
  <c r="BK358" i="29"/>
  <c r="BZ358" i="29" s="1"/>
  <c r="BK23" i="29"/>
  <c r="BZ23" i="29" s="1"/>
  <c r="BK324" i="29"/>
  <c r="BZ324" i="29" s="1"/>
  <c r="BK319" i="29"/>
  <c r="BZ319" i="29" s="1"/>
  <c r="BK300" i="29"/>
  <c r="BZ300" i="29" s="1"/>
  <c r="BK177" i="29"/>
  <c r="BZ177" i="29" s="1"/>
  <c r="BK43" i="29"/>
  <c r="BZ43" i="29" s="1"/>
  <c r="BK149" i="29"/>
  <c r="BZ149" i="29" s="1"/>
  <c r="BJ90" i="29"/>
  <c r="BK120" i="29"/>
  <c r="BZ120" i="29" s="1"/>
  <c r="BK388" i="29"/>
  <c r="BZ388" i="29" s="1"/>
  <c r="BF466" i="29"/>
  <c r="BK280" i="29"/>
  <c r="BZ280" i="29" s="1"/>
  <c r="DJ164" i="29"/>
  <c r="DJ470" i="29"/>
  <c r="DK470" i="29" s="1"/>
  <c r="DS443" i="29"/>
  <c r="BK342" i="29"/>
  <c r="BZ342" i="29" s="1"/>
  <c r="BF367" i="29"/>
  <c r="BW284" i="29"/>
  <c r="BW225" i="29" s="1"/>
  <c r="DJ150" i="29"/>
  <c r="BK58" i="29"/>
  <c r="BZ58" i="29" s="1"/>
  <c r="DJ21" i="29"/>
  <c r="DK21" i="29" s="1"/>
  <c r="BK336" i="29"/>
  <c r="BZ336" i="29" s="1"/>
  <c r="DJ185" i="29"/>
  <c r="DJ41" i="29"/>
  <c r="DK41" i="29" s="1"/>
  <c r="DJ136" i="29"/>
  <c r="DK136" i="29" s="1"/>
  <c r="BK441" i="29"/>
  <c r="BZ441" i="29" s="1"/>
  <c r="BK483" i="29"/>
  <c r="BZ483" i="29" s="1"/>
  <c r="BK373" i="29"/>
  <c r="BZ373" i="29" s="1"/>
  <c r="BK353" i="29"/>
  <c r="BZ353" i="29" s="1"/>
  <c r="BK311" i="29"/>
  <c r="BZ311" i="29" s="1"/>
  <c r="BK199" i="29"/>
  <c r="BZ199" i="29" s="1"/>
  <c r="BK213" i="29"/>
  <c r="BZ213" i="29" s="1"/>
  <c r="BK73" i="29"/>
  <c r="BZ73" i="29" s="1"/>
  <c r="BK66" i="29"/>
  <c r="BZ66" i="29" s="1"/>
  <c r="BK68" i="29"/>
  <c r="BZ68" i="29" s="1"/>
  <c r="BK28" i="29"/>
  <c r="BZ28" i="29" s="1"/>
  <c r="BK498" i="29"/>
  <c r="BZ498" i="29" s="1"/>
  <c r="AT504" i="29"/>
  <c r="BK448" i="29"/>
  <c r="BK232" i="29"/>
  <c r="BZ232" i="29" s="1"/>
  <c r="BK124" i="29"/>
  <c r="BZ124" i="29" s="1"/>
  <c r="BK54" i="29"/>
  <c r="BZ54" i="29" s="1"/>
  <c r="BK22" i="29"/>
  <c r="BZ22" i="29" s="1"/>
  <c r="BK112" i="29"/>
  <c r="BZ112" i="29" s="1"/>
  <c r="BK271" i="29"/>
  <c r="BZ271" i="29" s="1"/>
  <c r="BK494" i="29"/>
  <c r="BZ494" i="29" s="1"/>
  <c r="BK289" i="29"/>
  <c r="BZ289" i="29" s="1"/>
  <c r="BK157" i="29"/>
  <c r="BZ157" i="29" s="1"/>
  <c r="BK70" i="29"/>
  <c r="BZ70" i="29" s="1"/>
  <c r="BK292" i="29"/>
  <c r="BZ292" i="29" s="1"/>
  <c r="BK343" i="29"/>
  <c r="BZ343" i="29" s="1"/>
  <c r="BK436" i="29"/>
  <c r="BZ436" i="29" s="1"/>
  <c r="BK89" i="29"/>
  <c r="BZ89" i="29" s="1"/>
  <c r="BK60" i="29"/>
  <c r="BZ60" i="29" s="1"/>
  <c r="BK18" i="29"/>
  <c r="BZ18" i="29" s="1"/>
  <c r="BK147" i="29"/>
  <c r="BZ147" i="29" s="1"/>
  <c r="BK433" i="29"/>
  <c r="BZ433" i="29" s="1"/>
  <c r="BY136" i="29"/>
  <c r="L29" i="27" s="1"/>
  <c r="DG225" i="29"/>
  <c r="DJ250" i="29"/>
  <c r="DK250" i="29" s="1"/>
  <c r="DJ227" i="29"/>
  <c r="DK227" i="29" s="1"/>
  <c r="DN228" i="29"/>
  <c r="DN225" i="29" s="1"/>
  <c r="BK254" i="29"/>
  <c r="BZ254" i="29" s="1"/>
  <c r="BK210" i="29"/>
  <c r="BZ210" i="29" s="1"/>
  <c r="BK240" i="29"/>
  <c r="BZ240" i="29" s="1"/>
  <c r="BK221" i="29"/>
  <c r="BZ221" i="29" s="1"/>
  <c r="BK234" i="29"/>
  <c r="BZ234" i="29" s="1"/>
  <c r="BK235" i="29"/>
  <c r="BZ235" i="29" s="1"/>
  <c r="W10" i="29"/>
  <c r="BI225" i="29"/>
  <c r="BK272" i="29"/>
  <c r="BZ272" i="29" s="1"/>
  <c r="BK219" i="29"/>
  <c r="BZ219" i="29" s="1"/>
  <c r="BK267" i="29"/>
  <c r="BZ267" i="29" s="1"/>
  <c r="BK246" i="29"/>
  <c r="BZ246" i="29" s="1"/>
  <c r="BK274" i="29"/>
  <c r="BZ274" i="29" s="1"/>
  <c r="U10" i="29"/>
  <c r="X10" i="29"/>
  <c r="AW11" i="29"/>
  <c r="BK39" i="29"/>
  <c r="BZ39" i="29" s="1"/>
  <c r="DH49" i="29"/>
  <c r="BY25" i="29"/>
  <c r="L16" i="27" s="1"/>
  <c r="BY504" i="29"/>
  <c r="L55" i="27" s="1"/>
  <c r="BK510" i="29"/>
  <c r="BZ510" i="29" s="1"/>
  <c r="BF504" i="29"/>
  <c r="DG11" i="29"/>
  <c r="DG49" i="29"/>
  <c r="DH11" i="29"/>
  <c r="BH41" i="29"/>
  <c r="BX49" i="29"/>
  <c r="BY16" i="29"/>
  <c r="L12" i="27" s="1"/>
  <c r="BY362" i="29"/>
  <c r="L45" i="27" s="1"/>
  <c r="AT44" i="29"/>
  <c r="BY306" i="29"/>
  <c r="BJ44" i="29"/>
  <c r="BF44" i="29"/>
  <c r="BH44" i="29"/>
  <c r="BY470" i="29"/>
  <c r="L54" i="27" s="1"/>
  <c r="BY377" i="29"/>
  <c r="L47" i="27" s="1"/>
  <c r="BY21" i="29"/>
  <c r="L14" i="27" s="1"/>
  <c r="BY344" i="29"/>
  <c r="BY331" i="29"/>
  <c r="L43" i="27" s="1"/>
  <c r="BF284" i="29"/>
  <c r="BY90" i="29"/>
  <c r="L25" i="27" s="1"/>
  <c r="BY185" i="29"/>
  <c r="L35" i="27" s="1"/>
  <c r="BY164" i="29"/>
  <c r="L33" i="27" s="1"/>
  <c r="CP49" i="29"/>
  <c r="BY121" i="29"/>
  <c r="L27" i="27" s="1"/>
  <c r="BY31" i="29"/>
  <c r="L17" i="27" s="1"/>
  <c r="BY51" i="29"/>
  <c r="L22" i="27" s="1"/>
  <c r="BY143" i="29"/>
  <c r="L30" i="27" s="1"/>
  <c r="BY75" i="29"/>
  <c r="L24" i="27" s="1"/>
  <c r="BY250" i="29"/>
  <c r="L39" i="27" s="1"/>
  <c r="BY131" i="29"/>
  <c r="L28" i="27" s="1"/>
  <c r="BY108" i="29"/>
  <c r="L26" i="27" s="1"/>
  <c r="BY227" i="29"/>
  <c r="L37" i="27" s="1"/>
  <c r="BY61" i="29"/>
  <c r="L23" i="27" s="1"/>
  <c r="BY150" i="29"/>
  <c r="L32" i="27" s="1"/>
  <c r="BK291" i="29"/>
  <c r="BZ291" i="29" s="1"/>
  <c r="BK461" i="29"/>
  <c r="BZ461" i="29" s="1"/>
  <c r="BK36" i="29"/>
  <c r="BZ36" i="29" s="1"/>
  <c r="BF136" i="29"/>
  <c r="BF143" i="29"/>
  <c r="BK398" i="29"/>
  <c r="BZ398" i="29" s="1"/>
  <c r="BK27" i="29"/>
  <c r="BZ27" i="29" s="1"/>
  <c r="BK502" i="29"/>
  <c r="BZ502" i="29" s="1"/>
  <c r="BK459" i="29"/>
  <c r="BZ459" i="29" s="1"/>
  <c r="BK471" i="29"/>
  <c r="BZ471" i="29" s="1"/>
  <c r="BZ350" i="29"/>
  <c r="BF41" i="29"/>
  <c r="BK445" i="29"/>
  <c r="BZ445" i="29" s="1"/>
  <c r="BK296" i="29"/>
  <c r="BZ296" i="29" s="1"/>
  <c r="BK328" i="29"/>
  <c r="BZ328" i="29" s="1"/>
  <c r="BK507" i="29"/>
  <c r="BZ507" i="29" s="1"/>
  <c r="BH16" i="29"/>
  <c r="AT143" i="29"/>
  <c r="BH344" i="29"/>
  <c r="BH21" i="29"/>
  <c r="BF31" i="29"/>
  <c r="BH121" i="29"/>
  <c r="BH90" i="29"/>
  <c r="BI11" i="29"/>
  <c r="BG131" i="29"/>
  <c r="BG49" i="29" s="1"/>
  <c r="BD131" i="29"/>
  <c r="BD49" i="29" s="1"/>
  <c r="BK253" i="29"/>
  <c r="BZ253" i="29" s="1"/>
  <c r="BH331" i="29"/>
  <c r="K10" i="29"/>
  <c r="BR10" i="29"/>
  <c r="BF331" i="29"/>
  <c r="BF227" i="29"/>
  <c r="BQ49" i="29"/>
  <c r="AZ10" i="29"/>
  <c r="BM10" i="29"/>
  <c r="BF164" i="29"/>
  <c r="BN10" i="29"/>
  <c r="BH466" i="29"/>
  <c r="BK378" i="29"/>
  <c r="BZ378" i="29" s="1"/>
  <c r="BH367" i="29"/>
  <c r="BQ11" i="29"/>
  <c r="BZ325" i="29"/>
  <c r="BZ196" i="29"/>
  <c r="BZ270" i="29"/>
  <c r="BZ457" i="29"/>
  <c r="BH284" i="29"/>
  <c r="BK47" i="29"/>
  <c r="BZ47" i="29" s="1"/>
  <c r="BZ383" i="29"/>
  <c r="BJ396" i="29"/>
  <c r="BZ418" i="29"/>
  <c r="BZ243" i="29"/>
  <c r="AT470" i="29"/>
  <c r="BZ255" i="29"/>
  <c r="BH437" i="29"/>
  <c r="BF437" i="29"/>
  <c r="BF470" i="29"/>
  <c r="BF377" i="29"/>
  <c r="BF108" i="29"/>
  <c r="T10" i="29"/>
  <c r="BF150" i="29"/>
  <c r="BF51" i="29"/>
  <c r="BE49" i="29"/>
  <c r="BF61" i="29"/>
  <c r="BF16" i="29"/>
  <c r="BK397" i="29"/>
  <c r="BZ397" i="29" s="1"/>
  <c r="BK460" i="29"/>
  <c r="BZ460" i="29" s="1"/>
  <c r="BK427" i="29"/>
  <c r="BZ427" i="29" s="1"/>
  <c r="BK401" i="29"/>
  <c r="BZ401" i="29" s="1"/>
  <c r="BK365" i="29"/>
  <c r="BZ365" i="29" s="1"/>
  <c r="BK309" i="29"/>
  <c r="BK227" i="29"/>
  <c r="BH227" i="29"/>
  <c r="BK192" i="29"/>
  <c r="BZ192" i="29" s="1"/>
  <c r="BK180" i="29"/>
  <c r="BZ180" i="29" s="1"/>
  <c r="BK171" i="29"/>
  <c r="BZ171" i="29" s="1"/>
  <c r="BK150" i="29"/>
  <c r="BZ150" i="29" s="1"/>
  <c r="BH150" i="29"/>
  <c r="BK137" i="29"/>
  <c r="BZ137" i="29" s="1"/>
  <c r="BK123" i="29"/>
  <c r="BZ123" i="29" s="1"/>
  <c r="BK99" i="29"/>
  <c r="BZ99" i="29" s="1"/>
  <c r="BK76" i="29"/>
  <c r="BZ76" i="29" s="1"/>
  <c r="BK32" i="29"/>
  <c r="BZ32" i="29" s="1"/>
  <c r="G10" i="27"/>
  <c r="BK318" i="29"/>
  <c r="BZ318" i="29" s="1"/>
  <c r="BK455" i="29"/>
  <c r="BK108" i="29"/>
  <c r="BZ108" i="29" s="1"/>
  <c r="BH31" i="29"/>
  <c r="BK464" i="29"/>
  <c r="BZ464" i="29" s="1"/>
  <c r="BK265" i="29"/>
  <c r="BZ265" i="29" s="1"/>
  <c r="BK214" i="29"/>
  <c r="BZ214" i="29" s="1"/>
  <c r="BK195" i="29"/>
  <c r="BZ195" i="29" s="1"/>
  <c r="BK169" i="29"/>
  <c r="BZ169" i="29" s="1"/>
  <c r="BK504" i="29"/>
  <c r="BK419" i="29"/>
  <c r="BK379" i="29"/>
  <c r="BZ379" i="29" s="1"/>
  <c r="BK390" i="29"/>
  <c r="BZ390" i="29" s="1"/>
  <c r="BK281" i="29"/>
  <c r="BZ281" i="29" s="1"/>
  <c r="BK215" i="29"/>
  <c r="BZ215" i="29" s="1"/>
  <c r="BK179" i="29"/>
  <c r="BK162" i="29"/>
  <c r="BK143" i="29"/>
  <c r="BH143" i="29"/>
  <c r="BK126" i="29"/>
  <c r="BZ126" i="29" s="1"/>
  <c r="BK97" i="29"/>
  <c r="BK84" i="29"/>
  <c r="BZ84" i="29" s="1"/>
  <c r="BK65" i="29"/>
  <c r="BZ65" i="29" s="1"/>
  <c r="BK59" i="29"/>
  <c r="BZ59" i="29" s="1"/>
  <c r="BK45" i="29"/>
  <c r="BE11" i="29"/>
  <c r="BK48" i="29"/>
  <c r="BZ48" i="29" s="1"/>
  <c r="BK458" i="29"/>
  <c r="BZ458" i="29" s="1"/>
  <c r="BK438" i="29"/>
  <c r="BZ438" i="29" s="1"/>
  <c r="BH407" i="29"/>
  <c r="BK470" i="29"/>
  <c r="BZ470" i="29" s="1"/>
  <c r="BK260" i="29"/>
  <c r="BZ260" i="29" s="1"/>
  <c r="BK449" i="29"/>
  <c r="BZ449" i="29" s="1"/>
  <c r="BF121" i="29"/>
  <c r="BK424" i="29"/>
  <c r="BZ424" i="29" s="1"/>
  <c r="BK451" i="29"/>
  <c r="BZ451" i="29" s="1"/>
  <c r="BK423" i="29"/>
  <c r="BK321" i="29"/>
  <c r="BZ321" i="29" s="1"/>
  <c r="BK297" i="29"/>
  <c r="BZ297" i="29" s="1"/>
  <c r="BK269" i="29"/>
  <c r="BZ269" i="29" s="1"/>
  <c r="BK222" i="29"/>
  <c r="BZ222" i="29" s="1"/>
  <c r="BK201" i="29"/>
  <c r="BZ201" i="29" s="1"/>
  <c r="BK189" i="29"/>
  <c r="BZ189" i="29" s="1"/>
  <c r="BK166" i="29"/>
  <c r="BZ166" i="29" s="1"/>
  <c r="BK148" i="29"/>
  <c r="BZ148" i="29" s="1"/>
  <c r="BK118" i="29"/>
  <c r="BZ118" i="29" s="1"/>
  <c r="BK88" i="29"/>
  <c r="BZ88" i="29" s="1"/>
  <c r="BK55" i="29"/>
  <c r="BZ55" i="29" s="1"/>
  <c r="BG11" i="29"/>
  <c r="BK160" i="29"/>
  <c r="BZ160" i="29" s="1"/>
  <c r="BK261" i="29"/>
  <c r="BZ261" i="29" s="1"/>
  <c r="BK208" i="29"/>
  <c r="BZ208" i="29" s="1"/>
  <c r="BK182" i="29"/>
  <c r="BZ182" i="29" s="1"/>
  <c r="BK167" i="29"/>
  <c r="BZ167" i="29" s="1"/>
  <c r="BK326" i="29"/>
  <c r="BZ326" i="29" s="1"/>
  <c r="BK499" i="29"/>
  <c r="BZ499" i="29" s="1"/>
  <c r="BK405" i="29"/>
  <c r="BZ405" i="29" s="1"/>
  <c r="BK385" i="29"/>
  <c r="BZ385" i="29" s="1"/>
  <c r="BK205" i="29"/>
  <c r="BZ205" i="29" s="1"/>
  <c r="BK170" i="29"/>
  <c r="BZ170" i="29" s="1"/>
  <c r="BK161" i="29"/>
  <c r="BZ161" i="29" s="1"/>
  <c r="BK122" i="29"/>
  <c r="BZ122" i="29" s="1"/>
  <c r="BK117" i="29"/>
  <c r="BZ117" i="29" s="1"/>
  <c r="BK92" i="29"/>
  <c r="BZ92" i="29" s="1"/>
  <c r="BK83" i="29"/>
  <c r="BZ83" i="29" s="1"/>
  <c r="BK71" i="29"/>
  <c r="BZ71" i="29" s="1"/>
  <c r="BK56" i="29"/>
  <c r="BK407" i="29"/>
  <c r="BZ407" i="29" s="1"/>
  <c r="BK497" i="29"/>
  <c r="BZ497" i="29" s="1"/>
  <c r="BK444" i="29"/>
  <c r="BK331" i="29"/>
  <c r="BZ331" i="29" s="1"/>
  <c r="BH306" i="29"/>
  <c r="BK284" i="29"/>
  <c r="BF412" i="29"/>
  <c r="BF75" i="29"/>
  <c r="BF90" i="29"/>
  <c r="BK439" i="29"/>
  <c r="BZ439" i="29" s="1"/>
  <c r="BK374" i="29"/>
  <c r="BK317" i="29"/>
  <c r="BZ317" i="29" s="1"/>
  <c r="BK293" i="29"/>
  <c r="BZ293" i="29" s="1"/>
  <c r="BK218" i="29"/>
  <c r="BZ218" i="29" s="1"/>
  <c r="BK197" i="29"/>
  <c r="BZ197" i="29" s="1"/>
  <c r="BK186" i="29"/>
  <c r="BZ186" i="29" s="1"/>
  <c r="BK164" i="29"/>
  <c r="BH164" i="29"/>
  <c r="BK115" i="29"/>
  <c r="BZ115" i="29" s="1"/>
  <c r="BK103" i="29"/>
  <c r="BZ103" i="29" s="1"/>
  <c r="BK85" i="29"/>
  <c r="BZ85" i="29" s="1"/>
  <c r="BK495" i="29"/>
  <c r="BZ495" i="29" s="1"/>
  <c r="BK176" i="29"/>
  <c r="BZ176" i="29" s="1"/>
  <c r="BK159" i="29"/>
  <c r="BZ159" i="29" s="1"/>
  <c r="BK121" i="29"/>
  <c r="BK90" i="29"/>
  <c r="BZ90" i="29" s="1"/>
  <c r="BK285" i="29"/>
  <c r="BZ285" i="29" s="1"/>
  <c r="BK233" i="29"/>
  <c r="BZ233" i="29" s="1"/>
  <c r="BK188" i="29"/>
  <c r="BZ188" i="29" s="1"/>
  <c r="BK168" i="29"/>
  <c r="BZ168" i="29" s="1"/>
  <c r="BK136" i="29"/>
  <c r="BZ136" i="29" s="1"/>
  <c r="BH136" i="29"/>
  <c r="BK110" i="29"/>
  <c r="BZ110" i="29" s="1"/>
  <c r="BK80" i="29"/>
  <c r="BZ80" i="29" s="1"/>
  <c r="BK69" i="29"/>
  <c r="BZ69" i="29" s="1"/>
  <c r="BK63" i="29"/>
  <c r="BZ63" i="29" s="1"/>
  <c r="BK52" i="29"/>
  <c r="BZ52" i="29" s="1"/>
  <c r="BK42" i="29"/>
  <c r="BZ42" i="29" s="1"/>
  <c r="BK29" i="29"/>
  <c r="BZ29" i="29" s="1"/>
  <c r="BH19" i="29"/>
  <c r="BK19" i="29"/>
  <c r="BK21" i="29"/>
  <c r="BZ21" i="29" s="1"/>
  <c r="BK437" i="29"/>
  <c r="BZ437" i="29" s="1"/>
  <c r="BK377" i="29"/>
  <c r="BZ377" i="29" s="1"/>
  <c r="BH362" i="29"/>
  <c r="BK446" i="29"/>
  <c r="BZ446" i="29" s="1"/>
  <c r="BK354" i="29"/>
  <c r="BZ354" i="29" s="1"/>
  <c r="BH250" i="29"/>
  <c r="BZ430" i="29"/>
  <c r="BF344" i="29"/>
  <c r="BF185" i="29"/>
  <c r="BF396" i="29"/>
  <c r="BF306" i="29"/>
  <c r="BK468" i="29"/>
  <c r="BZ468" i="29" s="1"/>
  <c r="BK409" i="29"/>
  <c r="BZ409" i="29" s="1"/>
  <c r="BK369" i="29"/>
  <c r="BZ369" i="29" s="1"/>
  <c r="BK313" i="29"/>
  <c r="BZ313" i="29" s="1"/>
  <c r="BK277" i="29"/>
  <c r="BZ277" i="29" s="1"/>
  <c r="BK241" i="29"/>
  <c r="BZ241" i="29" s="1"/>
  <c r="BK209" i="29"/>
  <c r="BZ209" i="29" s="1"/>
  <c r="BK193" i="29"/>
  <c r="BZ193" i="29" s="1"/>
  <c r="BK155" i="29"/>
  <c r="BZ155" i="29" s="1"/>
  <c r="BK141" i="29"/>
  <c r="BZ141" i="29" s="1"/>
  <c r="BK127" i="29"/>
  <c r="BZ127" i="29" s="1"/>
  <c r="BK111" i="29"/>
  <c r="BZ111" i="29" s="1"/>
  <c r="BK101" i="29"/>
  <c r="BZ101" i="29" s="1"/>
  <c r="BK81" i="29"/>
  <c r="BZ81" i="29" s="1"/>
  <c r="BK34" i="29"/>
  <c r="BZ34" i="29" s="1"/>
  <c r="BK190" i="29"/>
  <c r="BZ190" i="29" s="1"/>
  <c r="BH108" i="29"/>
  <c r="BK31" i="29"/>
  <c r="BZ31" i="29" s="1"/>
  <c r="BK257" i="29"/>
  <c r="BZ257" i="29" s="1"/>
  <c r="BK174" i="29"/>
  <c r="BZ174" i="29" s="1"/>
  <c r="BK158" i="29"/>
  <c r="BK72" i="29"/>
  <c r="BZ72" i="29" s="1"/>
  <c r="BK392" i="29"/>
  <c r="BZ392" i="29" s="1"/>
  <c r="BK341" i="29"/>
  <c r="BZ341" i="29" s="1"/>
  <c r="BK228" i="29"/>
  <c r="BZ228" i="29" s="1"/>
  <c r="BK185" i="29"/>
  <c r="BZ185" i="29" s="1"/>
  <c r="BH185" i="29"/>
  <c r="BK165" i="29"/>
  <c r="BZ165" i="29" s="1"/>
  <c r="BK153" i="29"/>
  <c r="BZ153" i="29" s="1"/>
  <c r="BK133" i="29"/>
  <c r="BZ133" i="29" s="1"/>
  <c r="BK105" i="29"/>
  <c r="BZ105" i="29" s="1"/>
  <c r="BK87" i="29"/>
  <c r="BZ87" i="29" s="1"/>
  <c r="BK75" i="29"/>
  <c r="BZ75" i="29" s="1"/>
  <c r="BH75" i="29"/>
  <c r="BK67" i="29"/>
  <c r="BZ67" i="29" s="1"/>
  <c r="BK61" i="29"/>
  <c r="BH61" i="29"/>
  <c r="BK51" i="29"/>
  <c r="BZ51" i="29" s="1"/>
  <c r="BH51" i="29"/>
  <c r="BK46" i="29"/>
  <c r="BZ46" i="29" s="1"/>
  <c r="BH25" i="29"/>
  <c r="BK25" i="29"/>
  <c r="BK26" i="29"/>
  <c r="BZ26" i="29" s="1"/>
  <c r="BK16" i="29"/>
  <c r="BK41" i="29"/>
  <c r="BZ41" i="29" s="1"/>
  <c r="BH412" i="29"/>
  <c r="BK396" i="29"/>
  <c r="BZ396" i="29" s="1"/>
  <c r="BK344" i="29"/>
  <c r="BZ344" i="29" s="1"/>
  <c r="BK242" i="29"/>
  <c r="BZ242" i="29" s="1"/>
  <c r="BH470" i="29"/>
  <c r="BK362" i="29"/>
  <c r="BH260" i="29"/>
  <c r="BK466" i="29"/>
  <c r="BZ466" i="29" s="1"/>
  <c r="BK367" i="29"/>
  <c r="BZ367" i="29" s="1"/>
  <c r="BK250" i="29"/>
  <c r="BZ250" i="29" s="1"/>
  <c r="BZ352" i="29"/>
  <c r="BZ262" i="29"/>
  <c r="DC49" i="29"/>
  <c r="CL10" i="29"/>
  <c r="AB10" i="29"/>
  <c r="DC11" i="29"/>
  <c r="BZ93" i="29"/>
  <c r="BZ473" i="29"/>
  <c r="AW49" i="29"/>
  <c r="CZ11" i="29"/>
  <c r="AT407" i="29"/>
  <c r="AT21" i="29"/>
  <c r="AT466" i="29"/>
  <c r="BZ476" i="29"/>
  <c r="BZ450" i="29"/>
  <c r="BZ200" i="29"/>
  <c r="AN10" i="29"/>
  <c r="BZ482" i="29"/>
  <c r="AD10" i="29"/>
  <c r="BZ453" i="29"/>
  <c r="BZ315" i="29"/>
  <c r="BZ268" i="29"/>
  <c r="CM11" i="29"/>
  <c r="CZ49" i="29"/>
  <c r="AV10" i="29"/>
  <c r="DB7" i="29" s="1"/>
  <c r="BZ220" i="29"/>
  <c r="AT136" i="29"/>
  <c r="AT16" i="29"/>
  <c r="BZ38" i="29"/>
  <c r="BZ374" i="29"/>
  <c r="BZ286" i="29"/>
  <c r="BZ211" i="29"/>
  <c r="CP11" i="29"/>
  <c r="H10" i="29"/>
  <c r="AT362" i="29"/>
  <c r="AT75" i="29"/>
  <c r="AT25" i="29"/>
  <c r="AT31" i="29"/>
  <c r="AT367" i="29"/>
  <c r="AT108" i="29"/>
  <c r="AT150" i="29"/>
  <c r="AT250" i="29"/>
  <c r="AT121" i="29"/>
  <c r="AT61" i="29"/>
  <c r="AT131" i="29"/>
  <c r="AT90" i="29"/>
  <c r="AR49" i="29"/>
  <c r="AT396" i="29"/>
  <c r="AS49" i="29"/>
  <c r="AT51" i="29"/>
  <c r="AT41" i="29"/>
  <c r="AT185" i="29"/>
  <c r="AT331" i="29"/>
  <c r="AT306" i="29"/>
  <c r="AT284" i="29"/>
  <c r="AT164" i="29"/>
  <c r="AT412" i="29"/>
  <c r="AT344" i="29"/>
  <c r="AT260" i="29"/>
  <c r="AT227" i="29"/>
  <c r="BZ303" i="29"/>
  <c r="V11" i="29"/>
  <c r="BZ239" i="29"/>
  <c r="BZ492" i="29"/>
  <c r="BZ351" i="29"/>
  <c r="BZ307" i="29"/>
  <c r="CO10" i="29"/>
  <c r="BW11" i="29"/>
  <c r="CT10" i="29"/>
  <c r="V225" i="29"/>
  <c r="V49" i="29"/>
  <c r="BZ423" i="29"/>
  <c r="CY10" i="29"/>
  <c r="AC49" i="29"/>
  <c r="BP10" i="29"/>
  <c r="Y10" i="29"/>
  <c r="BA49" i="29"/>
  <c r="BZ412" i="29"/>
  <c r="AO49" i="29"/>
  <c r="BA11" i="29"/>
  <c r="BW49" i="29"/>
  <c r="AS11" i="29"/>
  <c r="BX11" i="29"/>
  <c r="BZ474" i="29"/>
  <c r="BZ443" i="29"/>
  <c r="BZ504" i="29"/>
  <c r="BZ448" i="29"/>
  <c r="AO437" i="29"/>
  <c r="AO225" i="29" s="1"/>
  <c r="BZ444" i="29"/>
  <c r="BZ413" i="29"/>
  <c r="DS437" i="29"/>
  <c r="BZ322" i="29"/>
  <c r="BZ290" i="29"/>
  <c r="BZ244" i="29"/>
  <c r="BZ237" i="29"/>
  <c r="BZ125" i="29"/>
  <c r="BZ140" i="29"/>
  <c r="AQ10" i="29"/>
  <c r="AO11" i="29"/>
  <c r="BZ98" i="29"/>
  <c r="BZ422" i="29"/>
  <c r="BZ399" i="29"/>
  <c r="BZ360" i="29"/>
  <c r="BZ304" i="29"/>
  <c r="BZ231" i="29"/>
  <c r="BZ146" i="29"/>
  <c r="BZ129" i="29"/>
  <c r="BZ97" i="29"/>
  <c r="BD11" i="29"/>
  <c r="BZ57" i="29"/>
  <c r="BZ78" i="29"/>
  <c r="BZ37" i="29"/>
  <c r="AR11" i="29"/>
  <c r="AL11" i="29"/>
  <c r="BT49" i="29"/>
  <c r="BZ420" i="29"/>
  <c r="BZ364" i="29"/>
  <c r="BZ355" i="29"/>
  <c r="BZ320" i="29"/>
  <c r="BZ338" i="29"/>
  <c r="BZ162" i="29"/>
  <c r="BZ119" i="29"/>
  <c r="BZ173" i="29"/>
  <c r="BZ158" i="29"/>
  <c r="BZ100" i="29"/>
  <c r="BZ56" i="29"/>
  <c r="AA10" i="29"/>
  <c r="BT11" i="29"/>
  <c r="CM49" i="29"/>
  <c r="AL49" i="29"/>
  <c r="BZ472" i="29"/>
  <c r="BZ455" i="29"/>
  <c r="BZ349" i="29"/>
  <c r="BZ337" i="29"/>
  <c r="BZ288" i="29"/>
  <c r="BZ187" i="29"/>
  <c r="BZ79" i="29"/>
  <c r="BZ35" i="29"/>
  <c r="AI10" i="29"/>
  <c r="BV10" i="29"/>
  <c r="L42" i="27" l="1"/>
  <c r="L44" i="27"/>
  <c r="DK331" i="29"/>
  <c r="DK437" i="29"/>
  <c r="DN185" i="29"/>
  <c r="DN49" i="29" s="1"/>
  <c r="DN10" i="29" s="1"/>
  <c r="DK185" i="29"/>
  <c r="DN150" i="29"/>
  <c r="DK150" i="29"/>
  <c r="DO61" i="29"/>
  <c r="DO49" i="29" s="1"/>
  <c r="DK61" i="29"/>
  <c r="DO407" i="29"/>
  <c r="DK407" i="29"/>
  <c r="DK178" i="29"/>
  <c r="DO396" i="29"/>
  <c r="DK396" i="29"/>
  <c r="DN164" i="29"/>
  <c r="DK164" i="29"/>
  <c r="DO377" i="29"/>
  <c r="DK377" i="29"/>
  <c r="DO260" i="29"/>
  <c r="DK260" i="29"/>
  <c r="DH10" i="29"/>
  <c r="DC225" i="29"/>
  <c r="DC10" i="29" s="1"/>
  <c r="DL10" i="29"/>
  <c r="BZ179" i="29"/>
  <c r="BL178" i="29"/>
  <c r="DM10" i="29"/>
  <c r="BG225" i="29"/>
  <c r="BG10" i="29" s="1"/>
  <c r="AS225" i="29"/>
  <c r="AS10" i="29" s="1"/>
  <c r="AT377" i="29"/>
  <c r="BL16" i="29"/>
  <c r="G12" i="27" s="1"/>
  <c r="J12" i="27" s="1"/>
  <c r="K12" i="27" s="1"/>
  <c r="BJ49" i="29"/>
  <c r="BH377" i="29"/>
  <c r="BH225" i="29" s="1"/>
  <c r="DJ11" i="29"/>
  <c r="DJ225" i="29"/>
  <c r="BF260" i="29"/>
  <c r="BJ225" i="29"/>
  <c r="L8" i="27"/>
  <c r="BX225" i="29"/>
  <c r="BX10" i="29" s="1"/>
  <c r="DO225" i="29"/>
  <c r="BE225" i="29"/>
  <c r="BE10" i="29" s="1"/>
  <c r="BL362" i="29"/>
  <c r="G45" i="27" s="1"/>
  <c r="J45" i="27" s="1"/>
  <c r="K45" i="27" s="1"/>
  <c r="BL21" i="29"/>
  <c r="G14" i="27" s="1"/>
  <c r="J14" i="27" s="1"/>
  <c r="K14" i="27" s="1"/>
  <c r="BF225" i="29"/>
  <c r="BI10" i="29"/>
  <c r="BJ11" i="29"/>
  <c r="BL504" i="29"/>
  <c r="G55" i="27" s="1"/>
  <c r="J55" i="27" s="1"/>
  <c r="K55" i="27" s="1"/>
  <c r="DJ49" i="29"/>
  <c r="BK225" i="29"/>
  <c r="L21" i="27"/>
  <c r="AT225" i="29"/>
  <c r="J10" i="27"/>
  <c r="K10" i="27" s="1"/>
  <c r="BY225" i="29"/>
  <c r="BZ16" i="29"/>
  <c r="DG10" i="29"/>
  <c r="BQ10" i="29"/>
  <c r="BY49" i="29"/>
  <c r="BY11" i="29"/>
  <c r="BH131" i="29"/>
  <c r="BH49" i="29" s="1"/>
  <c r="BK131" i="29"/>
  <c r="BZ131" i="29" s="1"/>
  <c r="BZ45" i="29"/>
  <c r="BL44" i="29"/>
  <c r="G20" i="27" s="1"/>
  <c r="J20" i="27" s="1"/>
  <c r="K20" i="27" s="1"/>
  <c r="CY8" i="29"/>
  <c r="DB8" i="29"/>
  <c r="BZ362" i="29"/>
  <c r="BL344" i="29"/>
  <c r="G44" i="27" s="1"/>
  <c r="J44" i="27" s="1"/>
  <c r="K44" i="27" s="1"/>
  <c r="BK49" i="29"/>
  <c r="CZ10" i="29"/>
  <c r="BL284" i="29"/>
  <c r="G41" i="27" s="1"/>
  <c r="J41" i="27" s="1"/>
  <c r="K41" i="27" s="1"/>
  <c r="BF11" i="29"/>
  <c r="BL412" i="29"/>
  <c r="CM10" i="29"/>
  <c r="CP10" i="29"/>
  <c r="AW10" i="29"/>
  <c r="BL466" i="29"/>
  <c r="G53" i="27" s="1"/>
  <c r="J53" i="27" s="1"/>
  <c r="K53" i="27" s="1"/>
  <c r="BL41" i="29"/>
  <c r="G19" i="27" s="1"/>
  <c r="J19" i="27" s="1"/>
  <c r="K19" i="27" s="1"/>
  <c r="BL25" i="29"/>
  <c r="G16" i="27" s="1"/>
  <c r="J16" i="27" s="1"/>
  <c r="K16" i="27" s="1"/>
  <c r="BL121" i="29"/>
  <c r="G27" i="27" s="1"/>
  <c r="J27" i="27" s="1"/>
  <c r="K27" i="27" s="1"/>
  <c r="BL164" i="29"/>
  <c r="BL331" i="29"/>
  <c r="G43" i="27" s="1"/>
  <c r="J43" i="27" s="1"/>
  <c r="K43" i="27" s="1"/>
  <c r="BL306" i="29"/>
  <c r="G42" i="27" s="1"/>
  <c r="J42" i="27" s="1"/>
  <c r="K42" i="27" s="1"/>
  <c r="BL396" i="29"/>
  <c r="G48" i="27" s="1"/>
  <c r="J48" i="27" s="1"/>
  <c r="K48" i="27" s="1"/>
  <c r="BL31" i="29"/>
  <c r="G17" i="27" s="1"/>
  <c r="J17" i="27" s="1"/>
  <c r="K17" i="27" s="1"/>
  <c r="BZ284" i="29"/>
  <c r="BZ309" i="29"/>
  <c r="BL367" i="29"/>
  <c r="G46" i="27" s="1"/>
  <c r="J46" i="27" s="1"/>
  <c r="K46" i="27" s="1"/>
  <c r="BL61" i="29"/>
  <c r="BZ61" i="29"/>
  <c r="BL90" i="29"/>
  <c r="G25" i="27" s="1"/>
  <c r="J25" i="27" s="1"/>
  <c r="K25" i="27" s="1"/>
  <c r="BL470" i="29"/>
  <c r="G54" i="27" s="1"/>
  <c r="J54" i="27" s="1"/>
  <c r="BL227" i="29"/>
  <c r="BF49" i="29"/>
  <c r="BL143" i="29"/>
  <c r="G30" i="27" s="1"/>
  <c r="J30" i="27" s="1"/>
  <c r="K30" i="27" s="1"/>
  <c r="BZ143" i="29"/>
  <c r="BZ25" i="29"/>
  <c r="BZ419" i="29"/>
  <c r="BL51" i="29"/>
  <c r="G22" i="27" s="1"/>
  <c r="BL185" i="29"/>
  <c r="G35" i="27" s="1"/>
  <c r="J35" i="27" s="1"/>
  <c r="K35" i="27" s="1"/>
  <c r="BL377" i="29"/>
  <c r="G47" i="27" s="1"/>
  <c r="J47" i="27" s="1"/>
  <c r="K47" i="27" s="1"/>
  <c r="BL407" i="29"/>
  <c r="G50" i="27" s="1"/>
  <c r="J50" i="27" s="1"/>
  <c r="K50" i="27" s="1"/>
  <c r="BH11" i="29"/>
  <c r="BL150" i="29"/>
  <c r="G32" i="27" s="1"/>
  <c r="J32" i="27" s="1"/>
  <c r="K32" i="27" s="1"/>
  <c r="BL19" i="29"/>
  <c r="G13" i="27" s="1"/>
  <c r="J13" i="27" s="1"/>
  <c r="K13" i="27" s="1"/>
  <c r="BZ19" i="29"/>
  <c r="BZ121" i="29"/>
  <c r="BZ164" i="29"/>
  <c r="BL250" i="29"/>
  <c r="G39" i="27" s="1"/>
  <c r="J39" i="27" s="1"/>
  <c r="K39" i="27" s="1"/>
  <c r="BL75" i="29"/>
  <c r="G24" i="27" s="1"/>
  <c r="J24" i="27" s="1"/>
  <c r="K24" i="27" s="1"/>
  <c r="BL437" i="29"/>
  <c r="BL136" i="29"/>
  <c r="G29" i="27" s="1"/>
  <c r="J29" i="27" s="1"/>
  <c r="K29" i="27" s="1"/>
  <c r="BL260" i="29"/>
  <c r="BL108" i="29"/>
  <c r="G26" i="27" s="1"/>
  <c r="J26" i="27" s="1"/>
  <c r="K26" i="27" s="1"/>
  <c r="BW10" i="29"/>
  <c r="BA10" i="29"/>
  <c r="AT11" i="29"/>
  <c r="BT10" i="29"/>
  <c r="AC10" i="29"/>
  <c r="V10" i="29"/>
  <c r="AT49" i="29"/>
  <c r="AO10" i="29"/>
  <c r="AR10" i="29"/>
  <c r="BZ227" i="29"/>
  <c r="BK11" i="29"/>
  <c r="AL10" i="29"/>
  <c r="BD10" i="29"/>
  <c r="L36" i="27" l="1"/>
  <c r="DP11" i="29"/>
  <c r="DJ10" i="29"/>
  <c r="G34" i="27"/>
  <c r="DO10" i="29"/>
  <c r="G23" i="27"/>
  <c r="J23" i="27" s="1"/>
  <c r="K23" i="27" s="1"/>
  <c r="G33" i="27"/>
  <c r="J33" i="27" s="1"/>
  <c r="K33" i="27" s="1"/>
  <c r="G51" i="27"/>
  <c r="J51" i="27" s="1"/>
  <c r="K51" i="27" s="1"/>
  <c r="G9" i="27"/>
  <c r="J9" i="27" s="1"/>
  <c r="G40" i="27"/>
  <c r="J40" i="27" s="1"/>
  <c r="K40" i="27" s="1"/>
  <c r="G52" i="27"/>
  <c r="J52" i="27" s="1"/>
  <c r="K52" i="27" s="1"/>
  <c r="DP49" i="29"/>
  <c r="J34" i="27"/>
  <c r="K34" i="27" s="1"/>
  <c r="DP225" i="29"/>
  <c r="BJ10" i="29"/>
  <c r="BZ225" i="29"/>
  <c r="BZ10" i="29" s="1"/>
  <c r="L7" i="27"/>
  <c r="BL225" i="29"/>
  <c r="DK11" i="29"/>
  <c r="J22" i="27"/>
  <c r="BL131" i="29"/>
  <c r="G28" i="27" s="1"/>
  <c r="J28" i="27" s="1"/>
  <c r="K28" i="27" s="1"/>
  <c r="BY10" i="29"/>
  <c r="BY8" i="29" s="1"/>
  <c r="CP8" i="29"/>
  <c r="CM8" i="29"/>
  <c r="BF10" i="29"/>
  <c r="BH10" i="29"/>
  <c r="BL11" i="29"/>
  <c r="AT10" i="29"/>
  <c r="AR8" i="29"/>
  <c r="BK10" i="29"/>
  <c r="DU10" i="29"/>
  <c r="DU11" i="29" s="1"/>
  <c r="BD8" i="29"/>
  <c r="DP10" i="29" l="1"/>
  <c r="G8" i="27"/>
  <c r="K9" i="27"/>
  <c r="K8" i="27" s="1"/>
  <c r="J8" i="27"/>
  <c r="G37" i="27"/>
  <c r="DK225" i="29"/>
  <c r="BL49" i="29"/>
  <c r="BL10" i="29" s="1"/>
  <c r="G21" i="27"/>
  <c r="DK49" i="29"/>
  <c r="J21" i="27"/>
  <c r="K22" i="27"/>
  <c r="K21" i="27" s="1"/>
  <c r="K54" i="27"/>
  <c r="DV11" i="29"/>
  <c r="DW11" i="29" s="1"/>
  <c r="J37" i="27" l="1"/>
  <c r="G36" i="27"/>
  <c r="G7" i="27" s="1"/>
  <c r="DK10" i="29"/>
  <c r="DK8" i="29" s="1"/>
  <c r="BY6" i="29"/>
  <c r="K37" i="27" l="1"/>
  <c r="K36" i="27" s="1"/>
  <c r="K7" i="27" s="1"/>
  <c r="J36" i="27"/>
  <c r="J7" i="27" s="1"/>
  <c r="AU27" i="43" l="1"/>
  <c r="AU12" i="43" l="1"/>
  <c r="AU10" i="43" l="1"/>
  <c r="AU7" i="43" s="1"/>
  <c r="AU6" i="43" s="1"/>
  <c r="AT7" i="43"/>
  <c r="AT6" i="43" s="1"/>
</calcChain>
</file>

<file path=xl/comments1.xml><?xml version="1.0" encoding="utf-8"?>
<comments xmlns="http://schemas.openxmlformats.org/spreadsheetml/2006/main">
  <authors>
    <author>user</author>
    <author>RICE PROGRAM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revised 712</t>
        </r>
        <r>
          <rPr>
            <sz val="9"/>
            <color indexed="81"/>
            <rFont val="Tahoma"/>
            <family val="2"/>
          </rPr>
          <t xml:space="preserve">
50 plus 32.5 from Pilar and S-Bullones</t>
        </r>
      </text>
    </comment>
    <comment ref="X34" authorId="2">
      <text>
        <r>
          <rPr>
            <b/>
            <sz val="9"/>
            <color indexed="81"/>
            <rFont val="Tahoma"/>
            <family val="2"/>
          </rPr>
          <t>Mura ug sagol PIONEER
kani nga  of CSF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" authorId="2">
      <text>
        <r>
          <rPr>
            <b/>
            <sz val="9"/>
            <color indexed="81"/>
            <rFont val="Tahoma"/>
            <family val="2"/>
          </rPr>
          <t>20 less 2 bags to Sevilla</t>
        </r>
      </text>
    </comment>
    <comment ref="X40" authorId="2">
      <text>
        <r>
          <rPr>
            <b/>
            <sz val="9"/>
            <color indexed="81"/>
            <rFont val="Tahoma"/>
            <family val="2"/>
          </rPr>
          <t>ka Bb Calamba and Tabit Loy-a ra nga area</t>
        </r>
      </text>
    </comment>
    <comment ref="H52" authorId="2">
      <text>
        <r>
          <rPr>
            <b/>
            <sz val="9"/>
            <color indexed="81"/>
            <rFont val="Tahoma"/>
            <family val="2"/>
          </rPr>
          <t xml:space="preserve">revise 712
450 less 10 to tubigon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2" authorId="2">
      <text>
        <r>
          <rPr>
            <b/>
            <sz val="9"/>
            <color indexed="81"/>
            <rFont val="Tahoma"/>
            <family val="2"/>
          </rPr>
          <t>Gibulag ang CSF sa seeds ug Urea
127 pcs ang duplicate</t>
        </r>
      </text>
    </comment>
    <comment ref="H53" authorId="2">
      <text>
        <r>
          <rPr>
            <b/>
            <sz val="9"/>
            <color indexed="81"/>
            <rFont val="Tahoma"/>
            <family val="2"/>
          </rPr>
          <t>5 plus 2 bags from Batuan (withdrawn buy Rico Varquez)</t>
        </r>
      </text>
    </comment>
    <comment ref="H54" authorId="2">
      <text>
        <r>
          <rPr>
            <b/>
            <sz val="9"/>
            <color indexed="81"/>
            <rFont val="Tahoma"/>
            <family val="2"/>
          </rPr>
          <t>revise 712
366 less 22.5 to Tubigon</t>
        </r>
      </text>
    </comment>
  </commentList>
</comments>
</file>

<file path=xl/comments2.xml><?xml version="1.0" encoding="utf-8"?>
<comments xmlns="http://schemas.openxmlformats.org/spreadsheetml/2006/main">
  <authors>
    <author>RICE PROGRAM</author>
    <author>user</author>
    <author>BOHOL APC</author>
    <author>CELLRICE7</author>
  </authors>
  <commentList>
    <comment ref="BI6" authorId="0">
      <text>
        <r>
          <rPr>
            <b/>
            <sz val="9"/>
            <color indexed="81"/>
            <rFont val="Tahoma"/>
            <family val="2"/>
          </rPr>
          <t xml:space="preserve">validate kgs w no no. Of fbs on comment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C147" authorId="2">
      <text>
        <r>
          <rPr>
            <b/>
            <sz val="9"/>
            <color indexed="81"/>
            <rFont val="Tahoma"/>
            <family val="2"/>
          </rPr>
          <t>Baloanan ug masterlist para sa bag.o nga taker
- redirected to calangahan fa</t>
        </r>
      </text>
    </comment>
    <comment ref="C148" authorId="2">
      <text>
        <r>
          <rPr>
            <b/>
            <sz val="9"/>
            <color indexed="81"/>
            <rFont val="Tahoma"/>
            <family val="2"/>
          </rPr>
          <t xml:space="preserve">Baloanan ug masterlist para sa bag.o nga taker
</t>
        </r>
        <r>
          <rPr>
            <sz val="9"/>
            <color indexed="81"/>
            <rFont val="Tahoma"/>
            <family val="2"/>
          </rPr>
          <t>- redirected to calangahan fa</t>
        </r>
      </text>
    </comment>
    <comment ref="BN149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#33 not signed 71316</t>
        </r>
      </text>
    </comment>
    <comment ref="B252" authorId="2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2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263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AJ291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fbs of 480 kgs</t>
        </r>
      </text>
    </comment>
    <comment ref="BI295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?fbs of 750 kgs</t>
        </r>
      </text>
    </comment>
    <comment ref="BI298" authorId="0">
      <text>
        <r>
          <rPr>
            <b/>
            <sz val="9"/>
            <color indexed="81"/>
            <rFont val="Tahoma"/>
            <family val="2"/>
          </rPr>
          <t>? Of fbs of 850 kgs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99" authorId="0">
      <text>
        <r>
          <rPr>
            <b/>
            <sz val="9"/>
            <color indexed="81"/>
            <rFont val="Tahoma"/>
            <family val="2"/>
          </rPr>
          <t>no. Of fbs of 900 kgs?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7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B309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10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3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2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7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Y369" authorId="0">
      <text>
        <r>
          <rPr>
            <b/>
            <sz val="9"/>
            <color indexed="81"/>
            <rFont val="Tahoma"/>
            <family val="2"/>
          </rPr>
          <t>xerox only on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C39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C39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C39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394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AL494" authorId="2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1331.5 total from scaned copy</t>
        </r>
      </text>
    </comment>
  </commentList>
</comments>
</file>

<file path=xl/comments3.xml><?xml version="1.0" encoding="utf-8"?>
<comments xmlns="http://schemas.openxmlformats.org/spreadsheetml/2006/main">
  <authors>
    <author>BOHOL APC</author>
    <author>user</author>
    <author>lenovo</author>
    <author>CELLRICE7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Additional IA/FA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Legend:
   / - Allocated
   X - Additional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   NO - Not Yet Submitted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Allocated IA/FA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No Summary of masterlist Submitted</t>
        </r>
      </text>
    </comment>
    <comment ref="F97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S97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33*15=495 transfer to Ubay
-10*15=150 transfer to Jagna</t>
        </r>
      </text>
    </comment>
    <comment ref="S157" authorId="1">
      <text>
        <r>
          <rPr>
            <b/>
            <sz val="9"/>
            <color indexed="81"/>
            <rFont val="Tahoma"/>
            <family val="2"/>
          </rPr>
          <t>? 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6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xerox</t>
        </r>
      </text>
    </comment>
    <comment ref="S219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33 has. from Dagohoy</t>
        </r>
      </text>
    </comment>
    <comment ref="J270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J271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D272" authorId="0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2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D283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D348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D353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F407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S410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150 from Dagohoy</t>
        </r>
      </text>
    </comment>
    <comment ref="J41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only 304.5 kls
</t>
        </r>
      </text>
    </comment>
    <comment ref="F41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F41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F416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F417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</commentList>
</comments>
</file>

<file path=xl/comments4.xml><?xml version="1.0" encoding="utf-8"?>
<comments xmlns="http://schemas.openxmlformats.org/spreadsheetml/2006/main">
  <authors>
    <author>BOHOL APC</author>
    <author>user</author>
    <author>RICE PROGRAM</author>
    <author>ATHANIX</author>
    <author>lenovo</author>
    <author>CELLRICE7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Additional IA/FA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Legend:
   / - Allocated
   X - Additional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   NO - Not Yet Submitted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Allocated IA/FA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No Summary of masterlist Submitted</t>
        </r>
      </text>
    </comment>
    <comment ref="AM4" authorId="0">
      <text>
        <r>
          <rPr>
            <sz val="11"/>
            <color indexed="81"/>
            <rFont val="Tahoma"/>
            <family val="2"/>
          </rPr>
          <t xml:space="preserve">part of Bigante 5,500 has. - </t>
        </r>
        <r>
          <rPr>
            <b/>
            <sz val="11"/>
            <color indexed="81"/>
            <rFont val="Tahoma"/>
            <family val="2"/>
          </rPr>
          <t>1,540.33 has.</t>
        </r>
        <r>
          <rPr>
            <sz val="11"/>
            <color indexed="81"/>
            <rFont val="Tahoma"/>
            <family val="2"/>
          </rPr>
          <t xml:space="preserve">
part of Bigante 718 ha. - </t>
        </r>
        <r>
          <rPr>
            <b/>
            <sz val="11"/>
            <color indexed="81"/>
            <rFont val="Tahoma"/>
            <family val="2"/>
          </rPr>
          <t>375 has</t>
        </r>
      </text>
    </comment>
    <comment ref="BY6" authorId="1">
      <text>
        <r>
          <rPr>
            <b/>
            <sz val="9"/>
            <color indexed="81"/>
            <rFont val="Tahoma"/>
            <family val="2"/>
          </rPr>
          <t>DIFFERENCE seeds-urea total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7" authorId="0">
      <text>
        <r>
          <rPr>
            <b/>
            <sz val="9"/>
            <color indexed="81"/>
            <rFont val="Tahoma"/>
            <family val="2"/>
          </rPr>
          <t>Part of Bigante 5,500 has</t>
        </r>
      </text>
    </comment>
    <comment ref="AO8" authorId="0">
      <text>
        <r>
          <rPr>
            <b/>
            <sz val="9"/>
            <color indexed="81"/>
            <rFont val="Tahoma"/>
            <family val="2"/>
          </rPr>
          <t>Part of bigante 718 has</t>
        </r>
      </text>
    </comment>
    <comment ref="AR8" authorId="1">
      <text>
        <r>
          <rPr>
            <sz val="9"/>
            <color indexed="81"/>
            <rFont val="Tahoma"/>
            <family val="2"/>
          </rPr>
          <t xml:space="preserve">balance
</t>
        </r>
      </text>
    </comment>
    <comment ref="BD8" authorId="1">
      <text>
        <r>
          <rPr>
            <b/>
            <sz val="9"/>
            <color indexed="81"/>
            <rFont val="Tahoma"/>
            <family val="2"/>
          </rPr>
          <t>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8" authorId="1">
      <text>
        <r>
          <rPr>
            <b/>
            <sz val="9"/>
            <color indexed="81"/>
            <rFont val="Tahoma"/>
            <family val="2"/>
          </rPr>
          <t xml:space="preserve">=1st + 2nd batch + masterlist follow up urea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8" authorId="1">
      <text>
        <r>
          <rPr>
            <b/>
            <sz val="9"/>
            <color indexed="81"/>
            <rFont val="Tahoma"/>
            <family val="2"/>
          </rPr>
          <t>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8" authorId="1">
      <text>
        <r>
          <rPr>
            <sz val="9"/>
            <color indexed="81"/>
            <rFont val="Tahoma"/>
            <family val="2"/>
          </rPr>
          <t>balance</t>
        </r>
      </text>
    </comment>
    <comment ref="DB8" authorId="0">
      <text>
        <r>
          <rPr>
            <b/>
            <sz val="11"/>
            <color indexed="81"/>
            <rFont val="Tahoma"/>
            <family val="2"/>
          </rPr>
          <t>Balance</t>
        </r>
      </text>
    </comment>
    <comment ref="DK8" authorId="1">
      <text>
        <r>
          <rPr>
            <b/>
            <sz val="9"/>
            <color indexed="81"/>
            <rFont val="Tahoma"/>
            <family val="2"/>
          </rPr>
          <t>WITH BIGANTE 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0" authorId="1">
      <text>
        <r>
          <rPr>
            <b/>
            <sz val="9"/>
            <color indexed="81"/>
            <rFont val="Tahoma"/>
            <family val="2"/>
          </rPr>
          <t>12 bags for follow up san miguel fa (5,266 bags 1st batch)</t>
        </r>
      </text>
    </comment>
    <comment ref="AN14" authorId="0">
      <text>
        <r>
          <rPr>
            <b/>
            <sz val="9"/>
            <color indexed="81"/>
            <rFont val="Tahoma"/>
            <family val="2"/>
          </rPr>
          <t>Lacking masterlist for 2 pack 
Actual masterlist 440 kg</t>
        </r>
      </text>
    </comment>
    <comment ref="BR52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MAO; more than recieved</t>
        </r>
      </text>
    </comment>
    <comment ref="DA53" authorId="0">
      <text>
        <r>
          <rPr>
            <sz val="9"/>
            <color indexed="81"/>
            <rFont val="Tahoma"/>
            <family val="2"/>
          </rPr>
          <t>kuha sa PATCO Allocation</t>
        </r>
      </text>
    </comment>
    <comment ref="BR54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</t>
        </r>
      </text>
    </comment>
    <comment ref="DA55" authorId="0">
      <text>
        <r>
          <rPr>
            <sz val="9"/>
            <color indexed="81"/>
            <rFont val="Tahoma"/>
            <family val="2"/>
          </rPr>
          <t>kuha sa PATCO Allocation</t>
        </r>
      </text>
    </comment>
    <comment ref="BR58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</t>
        </r>
      </text>
    </comment>
    <comment ref="BR59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708 validate with MAO</t>
        </r>
      </text>
    </comment>
    <comment ref="BU75" authorId="1">
      <text>
        <r>
          <rPr>
            <b/>
            <sz val="9"/>
            <color indexed="81"/>
            <rFont val="Tahoma"/>
            <family val="2"/>
          </rPr>
          <t>? To what 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BU148" authorId="2">
      <text>
        <r>
          <rPr>
            <b/>
            <sz val="9"/>
            <color indexed="81"/>
            <rFont val="Tahoma"/>
            <family val="2"/>
          </rPr>
          <t>#33 of masterlist not signed 71316</t>
        </r>
      </text>
    </comment>
    <comment ref="DA157" authorId="0">
      <text>
        <r>
          <rPr>
            <sz val="9"/>
            <color indexed="81"/>
            <rFont val="Tahoma"/>
            <family val="2"/>
          </rPr>
          <t>kuha sa PATCO Allocation</t>
        </r>
      </text>
    </comment>
    <comment ref="R159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xerox</t>
        </r>
      </text>
    </comment>
    <comment ref="R165" authorId="1">
      <text>
        <r>
          <rPr>
            <sz val="9"/>
            <color indexed="81"/>
            <rFont val="Tahoma"/>
            <family val="2"/>
          </rPr>
          <t xml:space="preserve">no masterlist 2nd batch
</t>
        </r>
      </text>
    </comment>
    <comment ref="R166" authorId="1">
      <text>
        <r>
          <rPr>
            <b/>
            <sz val="9"/>
            <color indexed="81"/>
            <rFont val="Tahoma"/>
            <family val="2"/>
          </rPr>
          <t>no masterlist 2nd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0" authorId="3">
      <text>
        <r>
          <rPr>
            <b/>
            <sz val="9"/>
            <color indexed="81"/>
            <rFont val="Tahoma"/>
            <family val="2"/>
          </rPr>
          <t>ATHANIX:</t>
        </r>
        <r>
          <rPr>
            <sz val="9"/>
            <color indexed="81"/>
            <rFont val="Tahoma"/>
            <family val="2"/>
          </rPr>
          <t xml:space="preserve">
ADDED UPLAND AREAS</t>
        </r>
      </text>
    </comment>
    <comment ref="BR235" authorId="1">
      <text>
        <r>
          <rPr>
            <b/>
            <sz val="9"/>
            <color indexed="81"/>
            <rFont val="Tahoma"/>
            <family val="2"/>
          </rPr>
          <t>w masterlist 18 has.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50" authorId="4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P251" authorId="4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R251" authorId="4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5/4/2016</t>
        </r>
      </text>
    </comment>
    <comment ref="AY251" authorId="1">
      <text>
        <r>
          <rPr>
            <b/>
            <sz val="9"/>
            <color indexed="81"/>
            <rFont val="Tahoma"/>
            <family val="2"/>
          </rPr>
          <t>380 masterlisted 519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2" authorId="0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52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250 masterlisted</t>
        </r>
      </text>
    </comment>
    <comment ref="AY252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910 masterlisted</t>
        </r>
      </text>
    </comment>
    <comment ref="AJ254" authorId="1">
      <text>
        <r>
          <rPr>
            <sz val="9"/>
            <color indexed="81"/>
            <rFont val="Tahoma"/>
            <family val="2"/>
          </rPr>
          <t xml:space="preserve">60 masterlisted
</t>
        </r>
      </text>
    </comment>
    <comment ref="AY254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250 masterlisted 519</t>
        </r>
      </text>
    </comment>
    <comment ref="C262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C263" authorId="0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E292" authorId="1">
      <text>
        <r>
          <rPr>
            <b/>
            <sz val="9"/>
            <color indexed="81"/>
            <rFont val="Tahoma"/>
            <family val="2"/>
          </rPr>
          <t>28 in urea 1st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97" authorId="1">
      <text>
        <r>
          <rPr>
            <b/>
            <sz val="9"/>
            <color indexed="81"/>
            <rFont val="Tahoma"/>
            <family val="2"/>
          </rPr>
          <t>22 in urea 1st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297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excess 3 bags to panadtaran fa</t>
        </r>
      </text>
    </comment>
    <comment ref="BX298" authorId="1">
      <text>
        <r>
          <rPr>
            <b/>
            <sz val="9"/>
            <color indexed="81"/>
            <rFont val="Tahoma"/>
            <family val="2"/>
          </rPr>
          <t>get from pagahat fa 3 bats urea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301" authorId="1">
      <text>
        <r>
          <rPr>
            <b/>
            <sz val="9"/>
            <color indexed="81"/>
            <rFont val="Tahoma"/>
            <family val="2"/>
          </rPr>
          <t>27
 in urea 1st batch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30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16 bags excess</t>
        </r>
      </text>
    </comment>
    <comment ref="BX302" authorId="1">
      <text>
        <r>
          <rPr>
            <b/>
            <sz val="9"/>
            <color indexed="81"/>
            <rFont val="Tahoma"/>
            <family val="2"/>
          </rPr>
          <t>16 from tambongan 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7" authorId="0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C309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C310" authorId="0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3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C322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C327" authorId="0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R364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lacking</t>
        </r>
      </text>
    </comment>
    <comment ref="E383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E390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E391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E392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E393" authorId="5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M412" authorId="2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188 TOTAL allocation</t>
        </r>
      </text>
    </comment>
    <comment ref="BR447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14 bags only, 4 w o urea</t>
        </r>
      </text>
    </comment>
  </commentList>
</comments>
</file>

<file path=xl/comments5.xml><?xml version="1.0" encoding="utf-8"?>
<comments xmlns="http://schemas.openxmlformats.org/spreadsheetml/2006/main">
  <authors>
    <author>BOHOL APC</author>
    <author>user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Additional IA/FA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Legend:
   / - Allocated
   X - Additional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Allocated IA/FA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No Summary of masterlist Submitted</t>
        </r>
      </text>
    </comment>
    <comment ref="AF5" authorId="1">
      <text>
        <r>
          <rPr>
            <b/>
            <sz val="9"/>
            <color indexed="81"/>
            <rFont val="Tahoma"/>
            <family val="2"/>
          </rPr>
          <t>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<sst xmlns="http://schemas.openxmlformats.org/spreadsheetml/2006/main" count="6367" uniqueCount="954">
  <si>
    <t>Bigante</t>
  </si>
  <si>
    <t>SL</t>
  </si>
  <si>
    <t>Total</t>
  </si>
  <si>
    <t>NO.</t>
  </si>
  <si>
    <t>MUNICIPALITY/IRRIGATORS/FARMERS ASSOCIATION</t>
  </si>
  <si>
    <t>FEMALE</t>
  </si>
  <si>
    <t>TOTAL</t>
  </si>
  <si>
    <t>FARM AREA</t>
  </si>
  <si>
    <t>BOHOL PROVINCE</t>
  </si>
  <si>
    <t>I</t>
  </si>
  <si>
    <t>ANTEQUERA</t>
  </si>
  <si>
    <t>SILING-DANLASAN IA</t>
  </si>
  <si>
    <t>N/A</t>
  </si>
  <si>
    <t>BALILIHAN</t>
  </si>
  <si>
    <t>COGON SCFO</t>
  </si>
  <si>
    <t>CATIGBIAN</t>
  </si>
  <si>
    <t>MAITUM COCONUT FA</t>
  </si>
  <si>
    <t>CORTES</t>
  </si>
  <si>
    <t>MONSERRAT FA</t>
  </si>
  <si>
    <t>LORETO FA</t>
  </si>
  <si>
    <t>FATIMA SMALL RICE FA</t>
  </si>
  <si>
    <t>PATROCINIO FA</t>
  </si>
  <si>
    <t>ROSARIO FA</t>
  </si>
  <si>
    <t>SIKATUNA</t>
  </si>
  <si>
    <t>ABUCAY NORTE SCFO</t>
  </si>
  <si>
    <t>ABUCAY SUR FA</t>
  </si>
  <si>
    <t>TUBIGON</t>
  </si>
  <si>
    <t>SETIA, ETC.</t>
  </si>
  <si>
    <t>II</t>
  </si>
  <si>
    <t>BIEN UNIDO</t>
  </si>
  <si>
    <t>BUENAVISTA</t>
  </si>
  <si>
    <t>BUGA-ONG CATUBA IA</t>
  </si>
  <si>
    <t>CANTOMOGCAD WATER ASSOCIATION</t>
  </si>
  <si>
    <t>CATIBIG-AN IA</t>
  </si>
  <si>
    <t>CAWAG FA</t>
  </si>
  <si>
    <t>CENTRO BAGO FAI</t>
  </si>
  <si>
    <t>LACAPAN NORTE FA</t>
  </si>
  <si>
    <t>LUBANG FA</t>
  </si>
  <si>
    <t>LUSONG UNITED FA</t>
  </si>
  <si>
    <t>MAGKAYA UNITED FA</t>
  </si>
  <si>
    <t>NAGKAHIUSANG MAGUUMA SA OVERLAND</t>
  </si>
  <si>
    <t>PANGHAGBAN WATERWORK SYSTEM AND SANITATION ASSOCIATON</t>
  </si>
  <si>
    <t>CLARIN</t>
  </si>
  <si>
    <t>BACANI COMAANG TANGARAN MATAUB  IA</t>
  </si>
  <si>
    <t>BUANGAN SMALL FA</t>
  </si>
  <si>
    <t>BUCAO SMALL IA</t>
  </si>
  <si>
    <t>CABOG ORGANIC FO</t>
  </si>
  <si>
    <t>LAJOG SMALL IA</t>
  </si>
  <si>
    <t>NAHAWAN-UBUJAN IA</t>
  </si>
  <si>
    <t>POB. SUR-CANDAJEC IAI</t>
  </si>
  <si>
    <t>TONTUNAN FA</t>
  </si>
  <si>
    <t>DAGOHOY</t>
  </si>
  <si>
    <t>CANDUNGGON IA</t>
  </si>
  <si>
    <t>DADASAN SWISA</t>
  </si>
  <si>
    <t>CAWASAN IA</t>
  </si>
  <si>
    <t>SAMICAFASPO IA</t>
  </si>
  <si>
    <t>LACALSANDA</t>
  </si>
  <si>
    <t>DANAO</t>
  </si>
  <si>
    <t>DAGOHOY ASSOCIATION FOR PROGRESS</t>
  </si>
  <si>
    <t>HIBALE IA</t>
  </si>
  <si>
    <t>HIBALE PALAYAMANAN FARMER-PARTNER ASSOCIATION</t>
  </si>
  <si>
    <t>HIBALE-POBLACION DANAO IA</t>
  </si>
  <si>
    <t>KALIWAT NI DAGOHOY MPC</t>
  </si>
  <si>
    <t>NAHUD FA</t>
  </si>
  <si>
    <t>SAN MIGUEL ASSOCIATION RESOURCE TEAM</t>
  </si>
  <si>
    <t>STA. ANA FA</t>
  </si>
  <si>
    <t>GETAFE</t>
  </si>
  <si>
    <t>BUYOG FA</t>
  </si>
  <si>
    <t>CABASAKAN FA</t>
  </si>
  <si>
    <t>CAMPAO ORIENTAL FA</t>
  </si>
  <si>
    <t>CANGMUNDO FA</t>
  </si>
  <si>
    <t>C.P.G. FA</t>
  </si>
  <si>
    <t>SALOG FA</t>
  </si>
  <si>
    <t>SAN JOSE FA</t>
  </si>
  <si>
    <t>STO. NIÑO FA</t>
  </si>
  <si>
    <t>TULANG FA</t>
  </si>
  <si>
    <t>INABANGA</t>
  </si>
  <si>
    <t>LILOAN NORTE FA</t>
  </si>
  <si>
    <t>ILIHAN IRRIGATORS SERVICE ASSOCIATION</t>
  </si>
  <si>
    <t>PRESIDENT CARLOS P. GARCIA</t>
  </si>
  <si>
    <t>BASIAO MANGO GROWER'S ASSOCIATION</t>
  </si>
  <si>
    <t>BAYANIHAN SA MAG-UUMA UG MANANAGAT SA CAMPAMANOG</t>
  </si>
  <si>
    <t>HINIUSANG KUGI SA MAG-UUMA UG MANANAGT SA POPOO</t>
  </si>
  <si>
    <t>HUGPONG SA MAG-UUMA UG MANANAGAT SA SAN VICENTE</t>
  </si>
  <si>
    <t>ORGANISASYON SA MAG-UUMA UG MANANAGAT SA VILLA MILAGROSA</t>
  </si>
  <si>
    <t>SAN MIGUEL</t>
  </si>
  <si>
    <t>MAHAYAG SM</t>
  </si>
  <si>
    <t>MASDANUEBA IA</t>
  </si>
  <si>
    <t>BASANIBA IA</t>
  </si>
  <si>
    <t>CORAZON LATERAL F</t>
  </si>
  <si>
    <t>BASACAN IA</t>
  </si>
  <si>
    <t>NEWLAND IA</t>
  </si>
  <si>
    <t>TALIBON</t>
  </si>
  <si>
    <t>BALINTAWAK IA</t>
  </si>
  <si>
    <t>BIPAGZA IA</t>
  </si>
  <si>
    <t>CEPAGO IA</t>
  </si>
  <si>
    <t>LUY-A IA</t>
  </si>
  <si>
    <t>SAN AGUSTIN IA</t>
  </si>
  <si>
    <t>SANJOFRAN IA</t>
  </si>
  <si>
    <t>SANJOSIDRO IA</t>
  </si>
  <si>
    <t>SAN-ROQUE IA</t>
  </si>
  <si>
    <t>TRINIDAD</t>
  </si>
  <si>
    <t>CATOOGAN LATERAL O</t>
  </si>
  <si>
    <t>CATOOGAN SMALL FA</t>
  </si>
  <si>
    <t>SAN ISIDRO IA</t>
  </si>
  <si>
    <t>UBAY</t>
  </si>
  <si>
    <t>BAY-ANG EAST IA</t>
  </si>
  <si>
    <t>BONGBONG TREE PLANTERS ASSOCIATION</t>
  </si>
  <si>
    <t>BRGY. BULILIS P-4 FATIMA FA</t>
  </si>
  <si>
    <t>BULILIS MPC</t>
  </si>
  <si>
    <t>CABUDLAN FA</t>
  </si>
  <si>
    <t>CALANGAAMAN FA</t>
  </si>
  <si>
    <t>CALIFORNIA SMALL COCONUT FA</t>
  </si>
  <si>
    <t>CAMALIAN FA</t>
  </si>
  <si>
    <t>CAMALIAN MALINAWON LATERAL L</t>
  </si>
  <si>
    <t>CAMAMBUGAN FA</t>
  </si>
  <si>
    <t>CASACAL IA</t>
  </si>
  <si>
    <t>CCT IA</t>
  </si>
  <si>
    <t>FARMERS ASSOCIATION OF GABI</t>
  </si>
  <si>
    <t>GCL IA</t>
  </si>
  <si>
    <t>GOV. BOYLES FA</t>
  </si>
  <si>
    <t>HUMAYHUMAY FA</t>
  </si>
  <si>
    <t>MISFASPO</t>
  </si>
  <si>
    <t>PANGPANG FA GROUP</t>
  </si>
  <si>
    <t>SAN FRANCISCO FA</t>
  </si>
  <si>
    <t>SAN ISIDRO NATURAL FA</t>
  </si>
  <si>
    <t>SINANDIGAN CARABAO RAISER'S ASSOCIATION</t>
  </si>
  <si>
    <t>TSAG-21/ A GBL</t>
  </si>
  <si>
    <t>TUBOG FA</t>
  </si>
  <si>
    <t>TUBORAN FA</t>
  </si>
  <si>
    <t>III</t>
  </si>
  <si>
    <t>ALICIA</t>
  </si>
  <si>
    <t>ARACAN FA</t>
  </si>
  <si>
    <t>ILAYA IA</t>
  </si>
  <si>
    <t>SAMICA IA</t>
  </si>
  <si>
    <t>BATUAN</t>
  </si>
  <si>
    <t>GARCIA MPC</t>
  </si>
  <si>
    <t>KANGWASAY IA</t>
  </si>
  <si>
    <t>POB. NORTE FA</t>
  </si>
  <si>
    <t>PUFAMCI</t>
  </si>
  <si>
    <t>QUEZON MPC</t>
  </si>
  <si>
    <t>QUIRINO IRRIGATORS &amp; FA</t>
  </si>
  <si>
    <t>BILAR</t>
  </si>
  <si>
    <t>BASAK DAKU IA</t>
  </si>
  <si>
    <t>BUGANG SUR FA</t>
  </si>
  <si>
    <t>CABACNITAN FA</t>
  </si>
  <si>
    <t>CABALIJANO OWAC IA</t>
  </si>
  <si>
    <t>CAMBIGSI FA</t>
  </si>
  <si>
    <t>CAMOCON-MATIN-AO IA (CIS)</t>
  </si>
  <si>
    <t>CANSUMBOL FA</t>
  </si>
  <si>
    <t>CANSUMBOL/CAMPAGAO IA</t>
  </si>
  <si>
    <t>RIVERSIDE FA</t>
  </si>
  <si>
    <t>ROXAS BILAR IA</t>
  </si>
  <si>
    <t>VILLA AURORA VEG. &amp; RICE FA</t>
  </si>
  <si>
    <t>YANAYA IRRIGATORS CREDIT ASSOCIATION</t>
  </si>
  <si>
    <t>ZAMORA FA</t>
  </si>
  <si>
    <t>ZAMRO IA</t>
  </si>
  <si>
    <t>CANDIJAY</t>
  </si>
  <si>
    <t>ANOLING FA</t>
  </si>
  <si>
    <t>BOYOAN FA</t>
  </si>
  <si>
    <t>CADAPDAPAN FA</t>
  </si>
  <si>
    <t>CAMBANE FA</t>
  </si>
  <si>
    <t>CANAWA FA</t>
  </si>
  <si>
    <t>CAN-OLIN FA</t>
  </si>
  <si>
    <t>LA-UNION FA</t>
  </si>
  <si>
    <t>LUAN FA</t>
  </si>
  <si>
    <t>LUNGSODAAN FA</t>
  </si>
  <si>
    <t>MAHANGIN IA</t>
  </si>
  <si>
    <t>NAGMATA FA</t>
  </si>
  <si>
    <t>PAGAHAT FA</t>
  </si>
  <si>
    <t>PANADTARAN FA</t>
  </si>
  <si>
    <t>POBLACION FA</t>
  </si>
  <si>
    <t>SAN ISIDRO FA</t>
  </si>
  <si>
    <t>TAWID FA</t>
  </si>
  <si>
    <t>TUBOD FA</t>
  </si>
  <si>
    <t>TUGAS FA</t>
  </si>
  <si>
    <t>CARMEN</t>
  </si>
  <si>
    <t>BUENAVISTA FA</t>
  </si>
  <si>
    <t>BUENOS AIRES FMPC</t>
  </si>
  <si>
    <t>EL PROGRESO FA</t>
  </si>
  <si>
    <t>EL SALVADOR FA</t>
  </si>
  <si>
    <t>GUADALUPE IA</t>
  </si>
  <si>
    <t>KATIPUNAN FA</t>
  </si>
  <si>
    <t>LA LIBERTAD FA</t>
  </si>
  <si>
    <t>MATINAO FA</t>
  </si>
  <si>
    <t>MONTESUERTE IA</t>
  </si>
  <si>
    <t>NUEVA VIDA FA</t>
  </si>
  <si>
    <t>NUEVA VIDA SUR FA</t>
  </si>
  <si>
    <t>POBLACION SUR FA</t>
  </si>
  <si>
    <t>DIMIAO</t>
  </si>
  <si>
    <t>BALBALAN IRRIGATORS FA</t>
  </si>
  <si>
    <t>CADAP-AGAN FA</t>
  </si>
  <si>
    <t>GUIDAGUITAN RICE FA</t>
  </si>
  <si>
    <t>GUINGOYURAN IA</t>
  </si>
  <si>
    <t>OAC FA</t>
  </si>
  <si>
    <t>TANGOHAY IRRIGATORS SYSTEM ASSOCIATION</t>
  </si>
  <si>
    <t>DUERO</t>
  </si>
  <si>
    <t>ANGILAN RICE FA</t>
  </si>
  <si>
    <t>BANGWALOG RICE FA</t>
  </si>
  <si>
    <t>CANSUHAY RICE FA</t>
  </si>
  <si>
    <t>DANAO RICE FA</t>
  </si>
  <si>
    <t>GUINSULARAN RICE FA</t>
  </si>
  <si>
    <t>IMELDA RICE FA</t>
  </si>
  <si>
    <t>ITUM RICE FA</t>
  </si>
  <si>
    <t>LANGKIS RICE FA</t>
  </si>
  <si>
    <t>LOBOGON RICE FA</t>
  </si>
  <si>
    <t>MADUA NORTE RICE FA</t>
  </si>
  <si>
    <t>MADUA SUR RICE FA</t>
  </si>
  <si>
    <t>SAN ISIDRO RICE FA</t>
  </si>
  <si>
    <t>SAN PEDRO RICE FA</t>
  </si>
  <si>
    <t>GARCIA-HERNANDEZ</t>
  </si>
  <si>
    <t>WEST-CANAYON IA</t>
  </si>
  <si>
    <t>GUINDULMAN</t>
  </si>
  <si>
    <t>BIABAS FA</t>
  </si>
  <si>
    <t>CATURGAWAN IA</t>
  </si>
  <si>
    <t>GUIO-ANG FA</t>
  </si>
  <si>
    <t>MAYUGA FA</t>
  </si>
  <si>
    <t>SAWANG BULAWAN IA</t>
  </si>
  <si>
    <t>JAGNA</t>
  </si>
  <si>
    <t>ALEJAWAN IA</t>
  </si>
  <si>
    <t>BALILI SILING IA</t>
  </si>
  <si>
    <t>CAMBRIGE IA</t>
  </si>
  <si>
    <t>DATAG TEJERO IAI</t>
  </si>
  <si>
    <t>LONOY IA/FA</t>
  </si>
  <si>
    <t>LOOC FA</t>
  </si>
  <si>
    <t>LUINAB IA</t>
  </si>
  <si>
    <t>ODIONG SKILLED VEG. AGRI. WORKER'S ASSOCIATION</t>
  </si>
  <si>
    <t>TUBOD MONTE FA</t>
  </si>
  <si>
    <t>LILA</t>
  </si>
  <si>
    <t>POGOW IA</t>
  </si>
  <si>
    <t>CATUGASAN IA</t>
  </si>
  <si>
    <t>LOAY</t>
  </si>
  <si>
    <t>TOCDOG IA</t>
  </si>
  <si>
    <t>LOBOC</t>
  </si>
  <si>
    <t>BAGUMBAYAN IA</t>
  </si>
  <si>
    <t>JIMILIAN IA</t>
  </si>
  <si>
    <t>GOTOZON IA</t>
  </si>
  <si>
    <t>MABINI</t>
  </si>
  <si>
    <t>PILAR</t>
  </si>
  <si>
    <t>BUENASUERTE FA</t>
  </si>
  <si>
    <t>LA SUERTE FA</t>
  </si>
  <si>
    <t>ESTACA FA</t>
  </si>
  <si>
    <t>CAGAWASAN FA</t>
  </si>
  <si>
    <t>LUMBAY FA</t>
  </si>
  <si>
    <t>PAMACSALAN FA</t>
  </si>
  <si>
    <t>AURORA FA</t>
  </si>
  <si>
    <t>ILAUD FA</t>
  </si>
  <si>
    <t>BAGACAY FA</t>
  </si>
  <si>
    <t>SAN VICENTE FA</t>
  </si>
  <si>
    <t>BAGUMBAYAN FA</t>
  </si>
  <si>
    <t>CATAGDAAN FA</t>
  </si>
  <si>
    <t>SAN CARLOS FA</t>
  </si>
  <si>
    <t>INAGHUBAN FA</t>
  </si>
  <si>
    <t>RIZAL FA</t>
  </si>
  <si>
    <t>DEL PILAR FA</t>
  </si>
  <si>
    <t>BAYONG FA</t>
  </si>
  <si>
    <t>VALENCIA</t>
  </si>
  <si>
    <t>GINOPOLAN-ANOYON ISA</t>
  </si>
  <si>
    <t>LA VICTORIA FARMER'S MPC</t>
  </si>
  <si>
    <t>MAUBO OMJON MARAWIS IA</t>
  </si>
  <si>
    <t>PANANGATAN IA</t>
  </si>
  <si>
    <t>PINBANGIN IA</t>
  </si>
  <si>
    <t>has</t>
  </si>
  <si>
    <t>Female</t>
  </si>
  <si>
    <t>Male</t>
  </si>
  <si>
    <t>/</t>
  </si>
  <si>
    <t>W/ Pre-masterlist</t>
  </si>
  <si>
    <t>No. of Farmers</t>
  </si>
  <si>
    <t>Allocation</t>
  </si>
  <si>
    <t>Summary</t>
  </si>
  <si>
    <t>Summary Submitted</t>
  </si>
  <si>
    <t>kg</t>
  </si>
  <si>
    <t>LOI Submitted</t>
  </si>
  <si>
    <t>Remarks</t>
  </si>
  <si>
    <t>Signed masterlist validated</t>
  </si>
  <si>
    <t>bag</t>
  </si>
  <si>
    <t>X</t>
  </si>
  <si>
    <t>Type of Farm (ha)</t>
  </si>
  <si>
    <t>Irrigated</t>
  </si>
  <si>
    <t>Favorable Rainfed</t>
  </si>
  <si>
    <t>ANISLAGAN CABOG MULTI-PURPOSE COOPERATIVE</t>
  </si>
  <si>
    <t>FATIMA LATERAL H IA</t>
  </si>
  <si>
    <t>LOI ONLY</t>
  </si>
  <si>
    <t>LATERAL-G SAN FRANCISCO AND SAN JOSE IA</t>
  </si>
  <si>
    <t>LIPOTON ACTIVE FA</t>
  </si>
  <si>
    <t>BAGASICO IA</t>
  </si>
  <si>
    <t>CALINGGANAY IA</t>
  </si>
  <si>
    <t>NAPO ILAYA FA</t>
  </si>
  <si>
    <t>CAMBAOL IA</t>
  </si>
  <si>
    <t>CAMBAOL MPC</t>
  </si>
  <si>
    <t>DALHOFA FA</t>
  </si>
  <si>
    <t>LA HACIENDA IA</t>
  </si>
  <si>
    <t>TAGBAK IA</t>
  </si>
  <si>
    <t>SALEKA IA</t>
  </si>
  <si>
    <t>NAPO SMALL FARMERS ORG.</t>
  </si>
  <si>
    <t>CARP FA</t>
  </si>
  <si>
    <t>AJLEJAWAN RICE FA</t>
  </si>
  <si>
    <t>PAYAO RICE FA</t>
  </si>
  <si>
    <t>MADUA SAN ISIDRO IA</t>
  </si>
  <si>
    <t>VTSCFO</t>
  </si>
  <si>
    <t>UFIFARA</t>
  </si>
  <si>
    <t>GABI ORNAMENTAL GROWERS ASSOCIATION (GOGA)</t>
  </si>
  <si>
    <t>ILIHAN FARMERS ASSOCIATION (ILFA)</t>
  </si>
  <si>
    <t>BARANGAY LIVESOCK AIDE - FA</t>
  </si>
  <si>
    <t>Seeds</t>
  </si>
  <si>
    <t>Date Validated</t>
  </si>
  <si>
    <t>DANAO MARIBELA  IA</t>
  </si>
  <si>
    <t>KABASACAN SMALL IA</t>
  </si>
  <si>
    <t>CAMARIN UNITED FA</t>
  </si>
  <si>
    <t>KAPUNONGAN SA MAG-UUMA SA REMEDIOS (KAMARE)</t>
  </si>
  <si>
    <t>ALBURQUERQUE</t>
  </si>
  <si>
    <t>CANTIGUIB SMALL FARMERS ORG.</t>
  </si>
  <si>
    <t>NAGKAHI-USANG MAG-UUMA SA TORIL</t>
  </si>
  <si>
    <t>BUGANG FA</t>
  </si>
  <si>
    <t>SAN VICENTE ASSOCIATION OF WOMENS</t>
  </si>
  <si>
    <t>CANSUNGAY FA</t>
  </si>
  <si>
    <t>BANTAYAN IA</t>
  </si>
  <si>
    <t>PIWARDEP FORESTRY-BASED MPC</t>
  </si>
  <si>
    <t>PANAGDAGO-OCAN FA</t>
  </si>
  <si>
    <t>BUENAVISTA PALAYAMANAN FA</t>
  </si>
  <si>
    <t>TRABAJO MAS-ING IA</t>
  </si>
  <si>
    <t>LOI and SUMMARY DID NOT MATCH</t>
  </si>
  <si>
    <t>BONKOKAN ILAYA IA INC.</t>
  </si>
  <si>
    <t>SAN ROQUE FA</t>
  </si>
  <si>
    <t>TANGKIGAN FA</t>
  </si>
  <si>
    <t>SAN ROQUE IMACIPATED FA</t>
  </si>
  <si>
    <t>CONCEPTION FA</t>
  </si>
  <si>
    <t>CABIDIAN FA</t>
  </si>
  <si>
    <t>ABACA FA</t>
  </si>
  <si>
    <t>PARAISO FA</t>
  </si>
  <si>
    <t>SAGBAYAN</t>
  </si>
  <si>
    <t>GREEN FA</t>
  </si>
  <si>
    <t>KABASACAN RICE FA</t>
  </si>
  <si>
    <t>CELING-DANLASAN IA</t>
  </si>
  <si>
    <t>CAWAYANAN FA</t>
  </si>
  <si>
    <t>MATABAO</t>
  </si>
  <si>
    <t>NO LOI</t>
  </si>
  <si>
    <t>CABUNGA-AN IA</t>
  </si>
  <si>
    <t>CANSUHAY LOWER IA</t>
  </si>
  <si>
    <t>UPPER KANSUHAY IA</t>
  </si>
  <si>
    <t>JAGNA MAYANA IA</t>
  </si>
  <si>
    <t>700</t>
  </si>
  <si>
    <t>SEVILLA</t>
  </si>
  <si>
    <t>LICOLICO FA</t>
  </si>
  <si>
    <t>EWON FA</t>
  </si>
  <si>
    <t>GUINOB-AN</t>
  </si>
  <si>
    <t>DIMIAONON IA</t>
  </si>
  <si>
    <t>LOI HAVE ERASURES W/OUT COUNTERSIGN</t>
  </si>
  <si>
    <t>BUGANG NORTE FA</t>
  </si>
  <si>
    <t>CAGAWASAN IA</t>
  </si>
  <si>
    <t>LOI AND SUMMARY DID NOT MATCH</t>
  </si>
  <si>
    <t>LOON</t>
  </si>
  <si>
    <t>BAGAKAY KAWAYAN SMALL FA</t>
  </si>
  <si>
    <t>BAGAKAY SAONG SMALL FA</t>
  </si>
  <si>
    <t>CANDAIGAN FA</t>
  </si>
  <si>
    <t>KANAMA SA CANMAAG</t>
  </si>
  <si>
    <t>CANTAONGON FA</t>
  </si>
  <si>
    <t>NAGTUANG FA</t>
  </si>
  <si>
    <t>TUBUAN FA</t>
  </si>
  <si>
    <t>TAMBONGAN FA</t>
  </si>
  <si>
    <t>ABIHILAN FA</t>
  </si>
  <si>
    <t>x</t>
  </si>
  <si>
    <t>BONTOD CALUASAN IA</t>
  </si>
  <si>
    <t>Pilar</t>
  </si>
  <si>
    <t>MICALESPI IA</t>
  </si>
  <si>
    <t>TUBOCALM</t>
  </si>
  <si>
    <t>Urea</t>
  </si>
  <si>
    <t>total</t>
  </si>
  <si>
    <t>SIERRA BULLONES</t>
  </si>
  <si>
    <t>Rainfed</t>
  </si>
  <si>
    <t>ANDA</t>
  </si>
  <si>
    <t>CALAPE</t>
  </si>
  <si>
    <t>Catigbian</t>
  </si>
  <si>
    <t>No LOI</t>
  </si>
  <si>
    <t>NO PRE-MASTERLIST AND LOI</t>
  </si>
  <si>
    <t>NO PRE-MASTERLIST</t>
  </si>
  <si>
    <t>SUMMARY AND LOI DID NOT MATCH</t>
  </si>
  <si>
    <t>BUENOS AIRES FA</t>
  </si>
  <si>
    <t>NOTE</t>
  </si>
  <si>
    <t>CANTUYOC ORGANIC FA</t>
  </si>
  <si>
    <t>BIKFA-BICAL FA</t>
  </si>
  <si>
    <t>NUEVA ESTRELLA FA</t>
  </si>
  <si>
    <t>NUEVA ESPERANZA FA</t>
  </si>
  <si>
    <t>PINAMGO FA</t>
  </si>
  <si>
    <t>NO LOI, Wrong figure of SL KG in the LOI</t>
  </si>
  <si>
    <t>NO LOI; LOI and summary did not match</t>
  </si>
  <si>
    <t xml:space="preserve"> LOI and summary did not match</t>
  </si>
  <si>
    <t>NO PRE-MASTERLIST; Seeds, Urea and Area did not match</t>
  </si>
  <si>
    <t xml:space="preserve"> NO PRE-MASTERLIST</t>
  </si>
  <si>
    <t>Area, Seed and Urea did not match based on summary</t>
  </si>
  <si>
    <t>Area and seeds did not match based on summary</t>
  </si>
  <si>
    <t>SUMMARY AND LOI DID NOT MATCH; Area, Seeds and Urea did not match based on summary</t>
  </si>
  <si>
    <t>BALA FA</t>
  </si>
  <si>
    <t>Seeds and Urea did not match</t>
  </si>
  <si>
    <t>4/12/16</t>
  </si>
  <si>
    <t>LOI ONLY; LOI NO AREA</t>
  </si>
  <si>
    <t>CANSUBAYON SMALL FA</t>
  </si>
  <si>
    <t>BONCO</t>
  </si>
  <si>
    <t>NO LOI AND PRE-MASTERLIST</t>
  </si>
  <si>
    <t>BIG FIELD FA</t>
  </si>
  <si>
    <t>4/26/16</t>
  </si>
  <si>
    <t>SUBMITTED NEW LOI THEN SUMMARY DID NOT MATCH</t>
  </si>
  <si>
    <t>BUGANG NORTE LOCTOB IA</t>
  </si>
  <si>
    <t>//</t>
  </si>
  <si>
    <t>CAMPAGAO CENTER 1 IA</t>
  </si>
  <si>
    <t>CAMANAHID-DUWANGON IA</t>
  </si>
  <si>
    <t>NO PRE-MASTERLIST; NAA PA KULANG PIRMA SA SIGNED MASTERLIST</t>
  </si>
  <si>
    <t>CAMPAGAO MPC</t>
  </si>
  <si>
    <t>CAN-AGNAY IA</t>
  </si>
  <si>
    <t xml:space="preserve">NO PRE-MASTERLIST </t>
  </si>
  <si>
    <t>VILLA SUERTE BILAR FA</t>
  </si>
  <si>
    <t>NAGKAHIUSANG MANANAGAT SA PUERTO SAN PEDRO</t>
  </si>
  <si>
    <t>POBLACION FARMERS ASSOCIATION</t>
  </si>
  <si>
    <t>LIBERTY MANGROVE PLANTER ASSOCIATION</t>
  </si>
  <si>
    <t>naa farmer nga nakapirma sa fertilizer nga wala sa seeds</t>
  </si>
  <si>
    <t>CAMAYA-AN BASAK DAKU FA</t>
  </si>
  <si>
    <t>LIMOKON ILAUD FA</t>
  </si>
  <si>
    <t>BUNLAYA IA</t>
  </si>
  <si>
    <t>GBL-TSAG 21</t>
  </si>
  <si>
    <t>NO PRE-MASTERLIST; SEEDS AND UREA DID NOT MATCH</t>
  </si>
  <si>
    <t>CASATE RURAL IMPROVEMENT ORG.</t>
  </si>
  <si>
    <t>IMELDA ARB'S FA</t>
  </si>
  <si>
    <t>Pioneer</t>
  </si>
  <si>
    <t>Validated based on Masterlist</t>
  </si>
  <si>
    <t>Masterlist</t>
  </si>
  <si>
    <t>CABANGAHAN</t>
  </si>
  <si>
    <t xml:space="preserve"> </t>
  </si>
  <si>
    <t>BASAN</t>
  </si>
  <si>
    <t>5/2/16</t>
  </si>
  <si>
    <t>NIS</t>
  </si>
  <si>
    <t>Type of Association</t>
  </si>
  <si>
    <t>FA</t>
  </si>
  <si>
    <t>SAN JOSE ILAYA IA</t>
  </si>
  <si>
    <t>AGUIPO TAWID FA</t>
  </si>
  <si>
    <t>PRE-MASTERLIST ONLY</t>
  </si>
  <si>
    <t>POBOKA IA</t>
  </si>
  <si>
    <t>SAN JOSE LAMAK IA</t>
  </si>
  <si>
    <t>CIS</t>
  </si>
  <si>
    <t>BULAWAN GOLDEN FA</t>
  </si>
  <si>
    <t>MINOL FA</t>
  </si>
  <si>
    <t>POBLACION I FA</t>
  </si>
  <si>
    <t>CABANGAHAN FA</t>
  </si>
  <si>
    <t>TAMBO FA</t>
  </si>
  <si>
    <t>VALAGA FA</t>
  </si>
  <si>
    <t>LOI AND SIGNED MASTERLIST DID NOT MATCH</t>
  </si>
  <si>
    <t>POBLACION II  FA</t>
  </si>
  <si>
    <t>Alicia</t>
  </si>
  <si>
    <t>Loon</t>
  </si>
  <si>
    <t>Balilihan</t>
  </si>
  <si>
    <t>Calape</t>
  </si>
  <si>
    <t>Antequera</t>
  </si>
  <si>
    <t>Candijay</t>
  </si>
  <si>
    <t>Mabini</t>
  </si>
  <si>
    <t>Duero</t>
  </si>
  <si>
    <t>Jagna</t>
  </si>
  <si>
    <t>Batuan</t>
  </si>
  <si>
    <t>Bilar</t>
  </si>
  <si>
    <t>5.5.16</t>
  </si>
  <si>
    <t>with LOI but full of countersign</t>
  </si>
  <si>
    <t>with LOI but full of countersign ; no ML urea</t>
  </si>
  <si>
    <t>with LOI but full of countersign ;  ML urea less than seed allocation</t>
  </si>
  <si>
    <t>Carmen</t>
  </si>
  <si>
    <t>5/4/16</t>
  </si>
  <si>
    <t>SAN RAFAEL BANGI IA</t>
  </si>
  <si>
    <t>BOYOG SUR SCFO</t>
  </si>
  <si>
    <t>allocation deducted for unsigned recipients</t>
  </si>
  <si>
    <t>allocation deducted for unsigned recipients;NO LOI</t>
  </si>
  <si>
    <t>MANDAUG PALAYAMANAN FARMERS PARTNERS ASSOCIATION</t>
  </si>
  <si>
    <t>Dimiao</t>
  </si>
  <si>
    <t>ABIHID IRRIGATORS ASOCIATION</t>
  </si>
  <si>
    <t>14 BAGS OF BIGANTE HAVE NO CORRESPONDING UREA MASTERLIST</t>
  </si>
  <si>
    <t>BALBALAN IRRIGATORS SERVICE ASSOCIATION</t>
  </si>
  <si>
    <t>46 BAG OF BIGANTE &amp; 12 BAGS OF SL8 HAVE NO CORRESPONDING UREA MASTERLIST</t>
  </si>
  <si>
    <t>1 BAG OF BIGANTE &amp; 3 BAGS OF SL8 NO CORRESPONDING UREA MASTERLIST</t>
  </si>
  <si>
    <t>NO PREMASTERLIST; 11 BAG OF BIGANTE HAVE NO CORRESPONDING UREA MASTERLIST</t>
  </si>
  <si>
    <t>ILE FARMERS ASSOCIATION</t>
  </si>
  <si>
    <t>29 BAGS OF BIGANTE HAVE NO CORRESPONDING UREA MASTERLIST</t>
  </si>
  <si>
    <t>3 BAGS OF SL8 HAVE NO CORRESPONDING UREA MASTERLIST</t>
  </si>
  <si>
    <t>1 BAG OF BIGANTE &amp; 4 BAGS OF SL8 HAVE NO CORRESPONDING UREA MASTERLIST</t>
  </si>
  <si>
    <t>GUINGOYURAN SMALL FARMERS ASSOCIATION</t>
  </si>
  <si>
    <t>NO PREMASTERLIST</t>
  </si>
  <si>
    <t>1 BAG OF BIGANTE &amp; 6 BAGS OF SL8 HAVE NO CORRESPONDING UREA MASTERLIST</t>
  </si>
  <si>
    <t>VALIDATED</t>
  </si>
  <si>
    <t>NO SUBMITTED MASTERLIST FOR UREA FERTILIZER</t>
  </si>
  <si>
    <t>NAPO ILAYA IA (POBLACION)</t>
  </si>
  <si>
    <t>NO PRE-MASTERLIST, LOI</t>
  </si>
  <si>
    <t>PROGRESO FARMERS ASSOCIATION</t>
  </si>
  <si>
    <t>NO AREA (HECTARE)INDICATED IN THE MASTERLIST</t>
  </si>
  <si>
    <t>PUTLONGCAM DAIRY FARMERS ORG.</t>
  </si>
  <si>
    <t>IA</t>
  </si>
  <si>
    <t>ok-urea and seeds matched</t>
  </si>
  <si>
    <t>15 farmers only were listed n fertilizer based on submitted masterlist</t>
  </si>
  <si>
    <t>not all listed farmers in the seeds are listed in the fertilizer;few farmers are listed in fertilizer and not in seeds; some signature of the farmers in both urea and seeds did not matched.</t>
  </si>
  <si>
    <t>ok-urea and seeds matched but the area were not the same</t>
  </si>
  <si>
    <t>not all listed farmers in the seeds are listed in the fertilizer</t>
  </si>
  <si>
    <t>CANTIGDAS BUNGA IA</t>
  </si>
  <si>
    <t>number of bags of urea did nt match to the number of bags of seeds</t>
  </si>
  <si>
    <t>STA. CRUZ UNITED PEOPLE MPC</t>
  </si>
  <si>
    <t xml:space="preserve"> /</t>
  </si>
  <si>
    <t>11 farmers listed in urea masterlist did not indicate the number of kilograms to be given.</t>
  </si>
  <si>
    <t>Additional SL Sumary  worth 22 has. is validated. With signed masterlist.</t>
  </si>
  <si>
    <t xml:space="preserve">NO PRE-MASTERLIST; </t>
  </si>
  <si>
    <t>Additional SL Sumary  worth 15 has. validated. With signed masterlist for 15 has.</t>
  </si>
  <si>
    <t>Additional SL and Bigante summary (10 has., 5 has. Respectively) has no submitted signed masterlist, LOI and pre-masterlist</t>
  </si>
  <si>
    <t>with signed masterlist</t>
  </si>
  <si>
    <t>Additional SL and Bigante summary (10 has., 10 has. Respectively) has no submitted signed masterlist, LOI and pre-masterlist</t>
  </si>
  <si>
    <t>ALEGRIA SAMAHANG NAYON ASSOCIATION</t>
  </si>
  <si>
    <t>1 FARMER (NORMA EWICAN) SEEDS AND UREA AREA DID NOT MATCH</t>
  </si>
  <si>
    <t>NO SUBMITTED PREMASTERLIST, LOI</t>
  </si>
  <si>
    <t>MONTESUNTING DEL CARMEN MPC</t>
  </si>
  <si>
    <t xml:space="preserve">NO SUBMITTED PREMASTERLIST; </t>
  </si>
  <si>
    <t>MARWASA</t>
  </si>
  <si>
    <t>MOSQUEDA DAM IA</t>
  </si>
  <si>
    <t>NUEVA FUERZA FA</t>
  </si>
  <si>
    <t>NO SIGNATURE OF IA PRESIDENT IN THE LOI</t>
  </si>
  <si>
    <t>NO MASTERLIST SUBMITTED FOR FERTILIZER</t>
  </si>
  <si>
    <t>POBLACION SUR SFIA</t>
  </si>
  <si>
    <t>TAMBOAN FARMERS MPC</t>
  </si>
  <si>
    <t>SEEDS LACKS 5 KG TO ACHIEVE 60 HAS.</t>
  </si>
  <si>
    <t>VILLAFUERTE FA</t>
  </si>
  <si>
    <t>VILLAFUERTE IA</t>
  </si>
  <si>
    <t xml:space="preserve">NO SUBMITTED PREMASTERLIST, LOI; </t>
  </si>
  <si>
    <t>NO SUBMITTED PREMASTERLIST</t>
  </si>
  <si>
    <t>RC 222</t>
  </si>
  <si>
    <t>RC 18</t>
  </si>
  <si>
    <t>CALABACITA TU-OB IA</t>
  </si>
  <si>
    <t>KA ANONG-CANJULAO FA</t>
  </si>
  <si>
    <t>BUNGA ILAYA FA</t>
  </si>
  <si>
    <t>Additional SL Sumary  worth 15 has. Not yet submitted a validate/signed masterlist for seeds and fertilizer.</t>
  </si>
  <si>
    <t>DATAG FA</t>
  </si>
  <si>
    <t>CUPA FA</t>
  </si>
  <si>
    <t>MANABA FA</t>
  </si>
  <si>
    <t>LGU Total</t>
  </si>
  <si>
    <t>05/06/16</t>
  </si>
  <si>
    <t>UNITED PROHANCE</t>
  </si>
  <si>
    <t>SOLID G IA</t>
  </si>
  <si>
    <t>MANDAWA FA</t>
  </si>
  <si>
    <t>NAGKAHIUSANG MAGUUMA SA NUEVA GRANADA</t>
  </si>
  <si>
    <t>MICABANTUG IA</t>
  </si>
  <si>
    <t>SAN D MIL IA</t>
  </si>
  <si>
    <t>SAMILCA IA</t>
  </si>
  <si>
    <t>MAMAMIA IA</t>
  </si>
  <si>
    <t>SANBAG IA</t>
  </si>
  <si>
    <t>SAGBAYAN BARANGAY LIVESTOCK AIDES ASSO</t>
  </si>
  <si>
    <t>MALAMBUONG MAGUUMA SA SAN VICENTE NORTE</t>
  </si>
  <si>
    <t>CAMBASAN IA</t>
  </si>
  <si>
    <t>NINNEW - C IA</t>
  </si>
  <si>
    <t>A A1 A2 IA</t>
  </si>
  <si>
    <t>BONCASACAL IA</t>
  </si>
  <si>
    <t>GBL IA</t>
  </si>
  <si>
    <t>GHP FORTUNATE IA</t>
  </si>
  <si>
    <t>TRIPLE C&amp;T</t>
  </si>
  <si>
    <t>ANIBONGAN MAGKANAW IA</t>
  </si>
  <si>
    <t>CAHAYAG-DANICOP-CASILAY IA</t>
  </si>
  <si>
    <t>CAHAYAG FA</t>
  </si>
  <si>
    <t>CANTA-OB BISAYAN ESAKAYA FA</t>
  </si>
  <si>
    <t>CASILAY UNITED FA</t>
  </si>
  <si>
    <t>DANICOP FARMER'S MPC</t>
  </si>
  <si>
    <t>DUSITA UNITED FA</t>
  </si>
  <si>
    <t>KAUMAY FA</t>
  </si>
  <si>
    <t>LA UNION FA</t>
  </si>
  <si>
    <t>LA UNION MPC</t>
  </si>
  <si>
    <t>LIBERTAD FA</t>
  </si>
  <si>
    <t>LUMANOY COMMUNA IRRIGATION SYSTEM</t>
  </si>
  <si>
    <t>MATIN-AO IA</t>
  </si>
  <si>
    <t>CANLANGIT IA</t>
  </si>
  <si>
    <t>NEW ABACHANAN CONSUMER COOP.</t>
  </si>
  <si>
    <t>BUFO BUGSOC FA</t>
  </si>
  <si>
    <t>DATI FA</t>
  </si>
  <si>
    <t>LATABAN BENIFICIARIES MPC</t>
  </si>
  <si>
    <t>MAFC</t>
  </si>
  <si>
    <t>NAN-OD BENEFICIARIES MPC</t>
  </si>
  <si>
    <t>PALAYAMANAN FA</t>
  </si>
  <si>
    <t>SAN AGUSTIN FA</t>
  </si>
  <si>
    <t>VILLA GARCIA IA</t>
  </si>
  <si>
    <t>WSBIA DAM 6 SAWANG SECTOR</t>
  </si>
  <si>
    <t>SAN JOSE WAHIG S-BULLONES MPC</t>
  </si>
  <si>
    <t>WSBIA DAM5 (WAHIG BINITIAN IA)</t>
  </si>
  <si>
    <t>SAN JUAN FA</t>
  </si>
  <si>
    <t>KAUGOY DAM FARMER ORG.</t>
  </si>
  <si>
    <t>BUGSOC FA</t>
  </si>
  <si>
    <t>1st batch</t>
  </si>
  <si>
    <t>2nd batch</t>
  </si>
  <si>
    <t>1ST BATCH</t>
  </si>
  <si>
    <t>2nd BATCH</t>
  </si>
  <si>
    <t>FA TOTAL</t>
  </si>
  <si>
    <t>LGU TOTAL</t>
  </si>
  <si>
    <t>ha.</t>
  </si>
  <si>
    <t>5/12/16</t>
  </si>
  <si>
    <t>no urea masterlist for 2nd batch</t>
  </si>
  <si>
    <t>NO PRE-MASTERLIST, no urea masterlist for 2nd batch</t>
  </si>
  <si>
    <t>512 no urea masterlist for 2nd batch</t>
  </si>
  <si>
    <t>512 no urea masterlist</t>
  </si>
  <si>
    <t>PANAGHUGPONG SA MAGUUMAN UG MANANAGAT SA POPOO</t>
  </si>
  <si>
    <t>512 NO urea masterlist</t>
  </si>
  <si>
    <t>ACTGA</t>
  </si>
  <si>
    <t>512 NO UREA MASTERLIST</t>
  </si>
  <si>
    <t>CANCAFA</t>
  </si>
  <si>
    <t>masterlist for follow up 1st/2nd batch</t>
  </si>
  <si>
    <t>TRINIDAD WOMEN'S CARE ASSOCIATION</t>
  </si>
  <si>
    <t>to be Masterlisted</t>
  </si>
  <si>
    <t>NO PRE-MASTERLIST; bigante 718 no signified</t>
  </si>
  <si>
    <t>BAYONGAN ENDPOINT UNITED</t>
  </si>
  <si>
    <t>517 ?verify urea in 1st batch while no seeds in 1st batch</t>
  </si>
  <si>
    <t>UNTAGA CARP FA</t>
  </si>
  <si>
    <t>SANBABUE IA</t>
  </si>
  <si>
    <t>5/18/16</t>
  </si>
  <si>
    <t>TAWID GUINACOT FA</t>
  </si>
  <si>
    <t xml:space="preserve">CAMANAYON FFS </t>
  </si>
  <si>
    <t>MANDALESPI</t>
  </si>
  <si>
    <t>CATIBIG-AN WATER SYSTEM AND SANITATION</t>
  </si>
  <si>
    <t>DANAHAW FA</t>
  </si>
  <si>
    <t xml:space="preserve">BONKOKAN UBOS IA </t>
  </si>
  <si>
    <t>MALICOGON IA</t>
  </si>
  <si>
    <t>JAMBAWAN MPC</t>
  </si>
  <si>
    <t>LANTANG RICE CORN FA</t>
  </si>
  <si>
    <t>ADLAWAN CASINGAN DATAG IA</t>
  </si>
  <si>
    <t>MAMBOOL IA</t>
  </si>
  <si>
    <t>5/24/16</t>
  </si>
  <si>
    <t xml:space="preserve">524 basan ia urea masterlist nicanor tadena </t>
  </si>
  <si>
    <t>PANSUL UNITED FA</t>
  </si>
  <si>
    <t>GABIBU IA</t>
  </si>
  <si>
    <t>CORALES IA</t>
  </si>
  <si>
    <t>LGU total</t>
  </si>
  <si>
    <t>Ubay</t>
  </si>
  <si>
    <t>San Miguel</t>
  </si>
  <si>
    <t>Dagohoy</t>
  </si>
  <si>
    <t>Talibon</t>
  </si>
  <si>
    <t>Trinidad</t>
  </si>
  <si>
    <t>Guindulman</t>
  </si>
  <si>
    <t>Sagbayan</t>
  </si>
  <si>
    <t>Sevilla</t>
  </si>
  <si>
    <t>Sikatuna</t>
  </si>
  <si>
    <t>Loboc</t>
  </si>
  <si>
    <t>Bien Unido</t>
  </si>
  <si>
    <t>525 - check red cells in urea vs. total fa seeds</t>
  </si>
  <si>
    <t>w o urea</t>
  </si>
  <si>
    <t>Province / District / Municipality</t>
  </si>
  <si>
    <t>Bohol</t>
  </si>
  <si>
    <t>Alburquerque</t>
  </si>
  <si>
    <t>Baclayon</t>
  </si>
  <si>
    <t>Corella</t>
  </si>
  <si>
    <t>Cortes</t>
  </si>
  <si>
    <t>Maribojoc</t>
  </si>
  <si>
    <t>Tubigon</t>
  </si>
  <si>
    <t>Buenavista</t>
  </si>
  <si>
    <t>Clarin</t>
  </si>
  <si>
    <t>Danao</t>
  </si>
  <si>
    <t>Getafe</t>
  </si>
  <si>
    <t>Inabanga</t>
  </si>
  <si>
    <t>San Isidro</t>
  </si>
  <si>
    <t>Anda</t>
  </si>
  <si>
    <t>G-Hernandez</t>
  </si>
  <si>
    <t>Lila</t>
  </si>
  <si>
    <t>Loay</t>
  </si>
  <si>
    <t>Sierra Bullones</t>
  </si>
  <si>
    <t>Valencia</t>
  </si>
  <si>
    <t>5/26/16</t>
  </si>
  <si>
    <t>CANHAWAY IA</t>
  </si>
  <si>
    <t>ST. ISIDORE IA</t>
  </si>
  <si>
    <t>Balance</t>
  </si>
  <si>
    <t xml:space="preserve">1st batch </t>
  </si>
  <si>
    <t>Masterlisted</t>
  </si>
  <si>
    <t>TOTAL SEEDS</t>
  </si>
  <si>
    <t>less to next delivery</t>
  </si>
  <si>
    <t xml:space="preserve">Physical Area </t>
  </si>
  <si>
    <t>Summary of Allocation per LGU for WS 2016 Cropping</t>
  </si>
  <si>
    <t>MACOPA</t>
  </si>
  <si>
    <t>6/1/16</t>
  </si>
  <si>
    <t>ha</t>
  </si>
  <si>
    <t>Signed Masterlist Validated</t>
  </si>
  <si>
    <t>Pioneer 3,600 has.</t>
  </si>
  <si>
    <t>FA Total</t>
  </si>
  <si>
    <t xml:space="preserve">Allocation </t>
  </si>
  <si>
    <t>Available</t>
  </si>
  <si>
    <t>LUMANOY COMMUNAL IRRIGATION SYSTEM</t>
  </si>
  <si>
    <t>CANLANGIT FA</t>
  </si>
  <si>
    <t>06/2/16</t>
  </si>
  <si>
    <t>LOI - nadala daw nila sir lindoy kadto ni hapit sila adto nga wala si sir Tony</t>
  </si>
  <si>
    <t>BIGANTE with Urea</t>
  </si>
  <si>
    <r>
      <t>Masterlisted</t>
    </r>
    <r>
      <rPr>
        <sz val="11"/>
        <rFont val="Calibri"/>
        <family val="2"/>
        <scheme val="minor"/>
      </rPr>
      <t xml:space="preserve"> Part of Bigante 718 has.</t>
    </r>
  </si>
  <si>
    <r>
      <t>2nd batch</t>
    </r>
    <r>
      <rPr>
        <sz val="12"/>
        <rFont val="Cambria"/>
        <family val="1"/>
        <scheme val="major"/>
      </rPr>
      <t xml:space="preserve"> (part of Bigante 5,500 + part of Bigante 718)</t>
    </r>
  </si>
  <si>
    <t>Masterlisted per IA/FA</t>
  </si>
  <si>
    <r>
      <rPr>
        <b/>
        <sz val="12"/>
        <rFont val="Cambria"/>
        <family val="1"/>
        <scheme val="major"/>
      </rPr>
      <t xml:space="preserve">2nd batch </t>
    </r>
    <r>
      <rPr>
        <sz val="9"/>
        <rFont val="Cambria"/>
        <family val="1"/>
        <scheme val="major"/>
      </rPr>
      <t xml:space="preserve">Masterlisted w urea </t>
    </r>
  </si>
  <si>
    <t>SL with Urea</t>
  </si>
  <si>
    <t>3rd batch</t>
  </si>
  <si>
    <t>3rd BATCH</t>
  </si>
  <si>
    <t>HYBRIB Seeds without Urea</t>
  </si>
  <si>
    <t>06/03/16</t>
  </si>
  <si>
    <t>06/02/16</t>
  </si>
  <si>
    <t xml:space="preserve">2nd batch Masterlisted </t>
  </si>
  <si>
    <t>3rd batch Masterlisted</t>
  </si>
  <si>
    <t>06/06/16 - Lacking 2 packs masterlist for Bigante w/ Urea; Lacking 8 bags for Urea on SL</t>
  </si>
  <si>
    <t>Seeds VALIDATED</t>
  </si>
  <si>
    <t>SEED DISTRIBUTED</t>
  </si>
  <si>
    <t>NO VARIETY</t>
  </si>
  <si>
    <t>RC 218</t>
  </si>
  <si>
    <t>CANSURAN IA &amp; FA</t>
  </si>
  <si>
    <t>STA. CRUZ FA</t>
  </si>
  <si>
    <t>Area w/o seed intervention</t>
  </si>
  <si>
    <t>BIGANTE</t>
  </si>
  <si>
    <t>UREA</t>
  </si>
  <si>
    <t>Masterlist Retrieval</t>
  </si>
  <si>
    <t>Retrieved</t>
  </si>
  <si>
    <t>balance</t>
  </si>
  <si>
    <t>Municipality</t>
  </si>
  <si>
    <t>Name of IA/FA</t>
  </si>
  <si>
    <t>CENTRAL LOMBOG IA</t>
  </si>
  <si>
    <t>SL -8H</t>
  </si>
  <si>
    <t>FA Total (ha)</t>
  </si>
  <si>
    <t>CATUNGAWAN IA</t>
  </si>
  <si>
    <t>FA President</t>
  </si>
  <si>
    <t>Name</t>
  </si>
  <si>
    <t>CP Num</t>
  </si>
  <si>
    <t>6/8/16</t>
  </si>
  <si>
    <t>Melencion, Abundio G</t>
  </si>
  <si>
    <t>Bentillo, George B</t>
  </si>
  <si>
    <t>MERRYLAND FA</t>
  </si>
  <si>
    <t>Cempron, Jovencio Sr.</t>
  </si>
  <si>
    <t>Lofranco, Isabelo</t>
  </si>
  <si>
    <t>Summary Submitted/LOI</t>
  </si>
  <si>
    <t>GUAVASAL IA</t>
  </si>
  <si>
    <t xml:space="preserve">TOTAL HYTA SEEDS WS 2016 </t>
  </si>
  <si>
    <t>6/10/16</t>
  </si>
  <si>
    <t>allocation+masterlisted</t>
  </si>
  <si>
    <t>690 provided to lgus</t>
  </si>
  <si>
    <t>WSBIA CANLANGIT NORTH</t>
  </si>
  <si>
    <t>WSBIA CANLANGIT NORHT</t>
  </si>
  <si>
    <t>06/13/16</t>
  </si>
  <si>
    <t>MAGSAYSAY MULTI-PURPOSE COOPERATIVE</t>
  </si>
  <si>
    <t>SAN JUAN FARMERS MPC</t>
  </si>
  <si>
    <t>DAM 6 CONCEPTION SECTOR</t>
  </si>
  <si>
    <t>DAM 6 PAG-ASA SECTOR</t>
  </si>
  <si>
    <t>DAM 1 CANLANGIT SIGPIT SECTOR</t>
  </si>
  <si>
    <t>BARANGAY AGRICULTURE AND FISHERY COUNCIL</t>
  </si>
  <si>
    <t>kg/pack</t>
  </si>
  <si>
    <t>pack/bag</t>
  </si>
  <si>
    <t>kg/bag</t>
  </si>
  <si>
    <t>61416 at bofamco</t>
  </si>
  <si>
    <t>romulo boncales</t>
  </si>
  <si>
    <t>6/7/16, 6/17/16</t>
  </si>
  <si>
    <t xml:space="preserve"> HYTA SEEDS WS 2016 (CS)</t>
  </si>
  <si>
    <t>HYTA SEEDS WS 2016 (Pioneer)</t>
  </si>
  <si>
    <t xml:space="preserve"> HYTA SEEDS WS 2016 (SL, Bigante)</t>
  </si>
  <si>
    <t>61316 masterlist only 7.75 ha.</t>
  </si>
  <si>
    <t>61316 masterlist is Rc 222</t>
  </si>
  <si>
    <t>2nd Batch</t>
  </si>
  <si>
    <t>AF</t>
  </si>
  <si>
    <t>POB. SUR-CANDAJEC IA</t>
  </si>
  <si>
    <t>Bigante 3rd Batch per FA Total (w urea + w/out urea)</t>
  </si>
  <si>
    <t>SL 2nd Batch per FA Total (w urea + w/out Urea)</t>
  </si>
  <si>
    <t>Hybrid 1,200 has.</t>
  </si>
  <si>
    <t>G-HERNANDEZ</t>
  </si>
  <si>
    <t>ASSOCIATION OF FARMERS AND FISHERIES IN LA UNION</t>
  </si>
  <si>
    <t>S-BULLONES</t>
  </si>
  <si>
    <t>TAUSON FA</t>
  </si>
  <si>
    <t>TAUSION FA</t>
  </si>
  <si>
    <t>SL Masterlist Retrieval (1st Batch - 3,300 has)</t>
  </si>
  <si>
    <t>SL Masterlist Retrieval (2nd Batch - 825 has.)</t>
  </si>
  <si>
    <t>Bigante Masterlist Retrieval (1st + 2nd Batch)</t>
  </si>
  <si>
    <t>Bigante Masterlist Retrieval (3rd Batch)</t>
  </si>
  <si>
    <t>6/20/16</t>
  </si>
  <si>
    <t>RICARDO LOZADA</t>
  </si>
  <si>
    <t>BODCASACAL IA</t>
  </si>
  <si>
    <t>CALANGAMAN FA</t>
  </si>
  <si>
    <t>PRES.CARLOS P. GARCIA</t>
  </si>
  <si>
    <t>FA total</t>
  </si>
  <si>
    <t>CANOWA</t>
  </si>
  <si>
    <t>6/24/16</t>
  </si>
  <si>
    <t>Final Allo.</t>
  </si>
  <si>
    <t>BACANI - COTAMA IA</t>
  </si>
  <si>
    <t>CLARIN VILLAFLOR IA</t>
  </si>
  <si>
    <t>06/24/16</t>
  </si>
  <si>
    <t>MAGSAYSAY WOMENS CIRCLE ASSOCIATION</t>
  </si>
  <si>
    <t>6/20/16, 6/24/16</t>
  </si>
  <si>
    <t>MATAUB FO</t>
  </si>
  <si>
    <t>Seeds (ha)</t>
  </si>
  <si>
    <t>Total Farmer</t>
  </si>
  <si>
    <t>Total Seeds (ha)</t>
  </si>
  <si>
    <t>Data Submitted to Regional office - June 30, 2016</t>
  </si>
  <si>
    <t>Urea (bag)</t>
  </si>
  <si>
    <t>No. of CSF Submitted</t>
  </si>
  <si>
    <t>LGU TOTAL SEEDS</t>
  </si>
  <si>
    <t>nis total</t>
  </si>
  <si>
    <t>cis total</t>
  </si>
  <si>
    <t>FA TOTAL SEEDS</t>
  </si>
  <si>
    <t>FA Balance</t>
  </si>
  <si>
    <t>BANGI IA</t>
  </si>
  <si>
    <t xml:space="preserve">POBLACION FARMERS ASSOCIATION </t>
  </si>
  <si>
    <t xml:space="preserve"> Masterlist Retrieval </t>
  </si>
  <si>
    <t>RETRIEVED</t>
  </si>
  <si>
    <t>lgu total</t>
  </si>
  <si>
    <t>BALANCE</t>
  </si>
  <si>
    <t>LGU</t>
  </si>
  <si>
    <t>no. Of fbs</t>
  </si>
  <si>
    <t>NIS no. Of fbs</t>
  </si>
  <si>
    <t>7/12/16</t>
  </si>
  <si>
    <t>DAIT SUR FARMER ASSOCIATION</t>
  </si>
  <si>
    <t>LAPACAN SUR RICE GROWER ASSOCIATION</t>
  </si>
  <si>
    <t>7/13/16</t>
  </si>
  <si>
    <t>UNDBA</t>
  </si>
  <si>
    <t>Ubay Mailingin IA</t>
  </si>
  <si>
    <t>BUENADESTA IA</t>
  </si>
  <si>
    <t>CARLIM</t>
  </si>
  <si>
    <t>SAN PASCUAL DAIRY BREEDERS ASSO.</t>
  </si>
  <si>
    <t>SAN PASCUAL COCONUT FA</t>
  </si>
  <si>
    <t>LOMANGOG FA</t>
  </si>
  <si>
    <t>MDK GOOF FARMERS IA</t>
  </si>
  <si>
    <t xml:space="preserve">IMILDA FARMERS ASSOCIATION </t>
  </si>
  <si>
    <t>TOTAL Balance</t>
  </si>
  <si>
    <t>Pionner</t>
  </si>
  <si>
    <t>CS</t>
  </si>
  <si>
    <t>TINUBDAN MASLOG IA</t>
  </si>
  <si>
    <t>7/20/16</t>
  </si>
  <si>
    <t>CAMBAGUI</t>
  </si>
  <si>
    <t>Bigante W/out Urea</t>
  </si>
  <si>
    <t>SL W/out Urea</t>
  </si>
  <si>
    <t>Hybrid w/ Urea</t>
  </si>
  <si>
    <t>Pres. C. P. G.</t>
  </si>
  <si>
    <t>3rd Batch</t>
  </si>
  <si>
    <t>CANTUBA FA</t>
  </si>
  <si>
    <t>TORREGUIS FA</t>
  </si>
  <si>
    <t>HINLAYA ILAUD FARMERS ORG, INC.</t>
  </si>
  <si>
    <t>KALAMBUAN ORGANIZATION OF GUINABATAN</t>
  </si>
  <si>
    <t>KAPONONGAN SA NAGKAHIUSANG INAHAN SA HINLAYA ILAYA</t>
  </si>
  <si>
    <t>CORALIS IA</t>
  </si>
  <si>
    <t>7/28/16</t>
  </si>
  <si>
    <t>8/28/16</t>
  </si>
  <si>
    <t>7/27/16</t>
  </si>
  <si>
    <t>7/27/26</t>
  </si>
  <si>
    <t>7/12/16, 7/28/16</t>
  </si>
  <si>
    <t>Distribution</t>
  </si>
  <si>
    <t>1st and 2nd Batch Distribution</t>
  </si>
  <si>
    <t>1st Batch SL Distribution</t>
  </si>
  <si>
    <t>3rd Batch Bigante Distribution</t>
  </si>
  <si>
    <t>2nd Batch SL Distribution</t>
  </si>
  <si>
    <t>FA/IA</t>
  </si>
  <si>
    <t>Total SL Balance</t>
  </si>
  <si>
    <t>SL Total No. of Farmers</t>
  </si>
  <si>
    <t>Bigante Tot'l No. of Farmers</t>
  </si>
  <si>
    <t>Total Bigante Balance</t>
  </si>
  <si>
    <t>GUINOBATAN PEOPLES MULTI PURPOSE COOPERATIVE</t>
  </si>
  <si>
    <t>CABULAO MABINI IA</t>
  </si>
  <si>
    <t>08/07/16</t>
  </si>
  <si>
    <t>Urea Distribution</t>
  </si>
  <si>
    <t>FATotal</t>
  </si>
  <si>
    <r>
      <t xml:space="preserve">Total </t>
    </r>
    <r>
      <rPr>
        <sz val="9"/>
        <rFont val="Calibri"/>
        <family val="2"/>
        <scheme val="minor"/>
      </rPr>
      <t>Masterlist balance on Seeds</t>
    </r>
  </si>
  <si>
    <t>Masterlist Balance (has/bag)</t>
  </si>
  <si>
    <t xml:space="preserve"> No. of Famers </t>
  </si>
  <si>
    <t>Total CSF on Seeds</t>
  </si>
  <si>
    <t>Total No. of Farmers</t>
  </si>
  <si>
    <t>Balance CSF</t>
  </si>
  <si>
    <t>BONGCO FA</t>
  </si>
  <si>
    <t>Note</t>
  </si>
  <si>
    <t>AGIPO SMALL IRRIGARITORS ASSOC.</t>
  </si>
  <si>
    <t>BICAO SMALL FARMERS MPC</t>
  </si>
  <si>
    <t>BUENOS AIRES SCFO</t>
  </si>
  <si>
    <t>LA SALVACIO FA</t>
  </si>
  <si>
    <t>8/22/16</t>
  </si>
  <si>
    <t>7/20/16, 8/22/16</t>
  </si>
  <si>
    <t>7/28/16, 8/22/16</t>
  </si>
  <si>
    <t>///</t>
  </si>
  <si>
    <t>7/12/16, 7/28/16, 8/22/16</t>
  </si>
  <si>
    <t>8/9/16</t>
  </si>
  <si>
    <t>6/10/16, 8/9/16</t>
  </si>
  <si>
    <t>MASTERLIST RETRIEVED</t>
  </si>
  <si>
    <t>8/25/16</t>
  </si>
  <si>
    <t>PROPILCA</t>
  </si>
  <si>
    <t>POBLACION BAFTECH ASSOCIATION</t>
  </si>
  <si>
    <t>CSF Submitted to Regional Office</t>
  </si>
  <si>
    <t>1st Batch</t>
  </si>
  <si>
    <t>Total Seeds (With + Without Urea)</t>
  </si>
  <si>
    <t>unit</t>
  </si>
  <si>
    <t>CALANGAHAN RICE FARMERS ASSOCIATION (CRFA)</t>
  </si>
  <si>
    <t>SAN ANTONIO IRRIGATORS ASSOCIATION</t>
  </si>
  <si>
    <t>32 has. Na bilin sa ila pioneer seeds as of Sedtember 13, 2016</t>
  </si>
  <si>
    <t>CABATANG FA</t>
  </si>
  <si>
    <t>DITA FA</t>
  </si>
  <si>
    <t>CAJAGO-CASUNUGAN IA</t>
  </si>
  <si>
    <t>Bigante (1st batch)</t>
  </si>
  <si>
    <t>Bigante (2nd batch)</t>
  </si>
  <si>
    <t>Bigante (3rd batch)</t>
  </si>
  <si>
    <t>SL (1st batch)</t>
  </si>
  <si>
    <t>SL (2nd batch)</t>
  </si>
  <si>
    <t>With Urea</t>
  </si>
  <si>
    <t>Portion With and W/out</t>
  </si>
  <si>
    <t>Submitted to Regional Office</t>
  </si>
  <si>
    <t>Variety</t>
  </si>
  <si>
    <t>Status</t>
  </si>
  <si>
    <r>
      <t xml:space="preserve">Quantity </t>
    </r>
    <r>
      <rPr>
        <b/>
        <sz val="10"/>
        <rFont val="Calibri"/>
        <family val="2"/>
        <scheme val="minor"/>
      </rPr>
      <t>(ha/bag)</t>
    </r>
  </si>
  <si>
    <t>WS 2016 Summary of HYTA Distribution</t>
  </si>
  <si>
    <t>Total Hybrid</t>
  </si>
  <si>
    <t>Portion With and W/out urea</t>
  </si>
  <si>
    <t>Inbred</t>
  </si>
  <si>
    <t>G-Total</t>
  </si>
  <si>
    <t>SL (part of 825 has) - 399 has</t>
  </si>
  <si>
    <t>Bigante (5, 500 + 718 bags @ 15 kgs) with Urea  - 6,218 has</t>
  </si>
  <si>
    <t>Bigante part of 375 has with Urea  - 159.33 has</t>
  </si>
  <si>
    <t>SL 3,300 has w urea - 3,300 has</t>
  </si>
  <si>
    <t>Urea Fertilizer 10,000 bags - 10,060 bags</t>
  </si>
  <si>
    <t>SL  (part of 825 has) without Urea - 426 has</t>
  </si>
  <si>
    <t>BIGANTE (part of  375 has.) w/out Urea - 215.67 has</t>
  </si>
  <si>
    <t>BOSONGON DIVERSION CANAL IRRIGATORS ASSOCIATION</t>
  </si>
  <si>
    <t>CAHAYAG IRRIGATORS ASSOCIATION</t>
  </si>
  <si>
    <t>TUCIA</t>
  </si>
  <si>
    <t>BOYLOG IA</t>
  </si>
  <si>
    <t>B.A.T.S IA</t>
  </si>
  <si>
    <t>11/16/16</t>
  </si>
  <si>
    <t>COCONUT FAMERS ORGANIZATION?</t>
  </si>
  <si>
    <t>√</t>
  </si>
  <si>
    <t>BINOGAWAN SIMBOLOK IA</t>
  </si>
  <si>
    <t>LIBORON IA</t>
  </si>
  <si>
    <t>CALUNASAN FISHERMEN &amp; FA</t>
  </si>
  <si>
    <t>BONBON FISHERMEN &amp; FA</t>
  </si>
  <si>
    <t>SOHOTON-CATMONAN IA</t>
  </si>
  <si>
    <t>HINAKHAKAN FA</t>
  </si>
  <si>
    <t>POBLACION 1 FA</t>
  </si>
  <si>
    <t>POBLACION 2 FA</t>
  </si>
  <si>
    <t>CAWAYANAN FARMERS ASSO</t>
  </si>
  <si>
    <t>MANDAWA</t>
  </si>
  <si>
    <t>11/21/16</t>
  </si>
  <si>
    <t>KAPUNONGAN SA MAG-UUMA SA MALITBOG</t>
  </si>
  <si>
    <t>MALITBOG FA</t>
  </si>
  <si>
    <t>DANAHAN FA</t>
  </si>
  <si>
    <t>MALUNGTARONG MAG-UUMA SA SALOG</t>
  </si>
  <si>
    <t>CANGMUNDO MPC</t>
  </si>
  <si>
    <t>DAIT SUR FA</t>
  </si>
  <si>
    <t>LAPACAN SUR FA</t>
  </si>
  <si>
    <t>BRGY. PANGPANG FA GROUP</t>
  </si>
  <si>
    <t>BIABAS FARMERS AND FISHERFOLKS ASSOCIATION</t>
  </si>
  <si>
    <t>UBAY NORTHEASTERN DAIRY BREEDERS ASS.</t>
  </si>
  <si>
    <t>UNION FISHERMEN AND FA</t>
  </si>
  <si>
    <t>ALEJAWAN RICE FA</t>
  </si>
  <si>
    <t>PAGAO RICE FA</t>
  </si>
  <si>
    <t>MAMBOOL</t>
  </si>
  <si>
    <t>NAPO SMALL FA</t>
  </si>
  <si>
    <t>NAPO ILAYA</t>
  </si>
  <si>
    <t>BOHOL BAGASICO</t>
  </si>
  <si>
    <t>KAWASAN CAYACAY IA</t>
  </si>
  <si>
    <t>TABUAN FARMERS MPC</t>
  </si>
  <si>
    <t>TOGBONGON FA</t>
  </si>
  <si>
    <t>VICTORIA AGRI-FARMERS ORG</t>
  </si>
  <si>
    <t>UNITED PANSUL FA</t>
  </si>
  <si>
    <t>CAMBUGASON IA</t>
  </si>
  <si>
    <t>LOWER CANSUJAY IA</t>
  </si>
  <si>
    <t>CALABACITA TUOB IA</t>
  </si>
  <si>
    <t>PILAR BAFTECH ASSOCIATION</t>
  </si>
  <si>
    <t>SAN JOSE WAHIG SB IA MPC</t>
  </si>
  <si>
    <t>DAFAMUPCO</t>
  </si>
  <si>
    <t>BAHI FA</t>
  </si>
  <si>
    <t>NAGTUAN FA</t>
  </si>
  <si>
    <t>DANAO MARIBELA IA</t>
  </si>
  <si>
    <t>CABATUAN UNITED FA</t>
  </si>
  <si>
    <t>11/23/16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</si>
</sst>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2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b/>
      <sz val="8"/>
      <name val="Cambria"/>
      <family val="1"/>
      <scheme val="major"/>
    </font>
    <font>
      <sz val="14"/>
      <name val="Cambria"/>
      <family val="1"/>
      <scheme val="maj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8"/>
      <name val="Cambria"/>
      <family val="1"/>
      <scheme val="major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3"/>
      <name val="Cambria"/>
      <family val="1"/>
      <scheme val="maj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9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2"/>
      <color rgb="FFFF0000"/>
      <name val="Calibri"/>
      <family val="2"/>
      <scheme val="minor"/>
    </font>
    <font>
      <sz val="9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41B18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/>
  </cellStyleXfs>
  <cellXfs count="1679">
    <xf numFmtId="0" fontId="0" fillId="0" borderId="0" xfId="0"/>
    <xf numFmtId="0" fontId="0" fillId="0" borderId="9" xfId="0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4" fontId="3" fillId="0" borderId="9" xfId="0" applyNumberFormat="1" applyFont="1" applyFill="1" applyBorder="1" applyAlignment="1">
      <alignment horizontal="center" vertical="top" wrapText="1"/>
    </xf>
    <xf numFmtId="49" fontId="3" fillId="0" borderId="9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4" fontId="3" fillId="2" borderId="9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9" borderId="9" xfId="0" applyFill="1" applyBorder="1" applyAlignment="1">
      <alignment horizontal="left" vertical="top" wrapText="1"/>
    </xf>
    <xf numFmtId="49" fontId="0" fillId="0" borderId="9" xfId="1" applyNumberFormat="1" applyFont="1" applyFill="1" applyBorder="1" applyAlignment="1">
      <alignment horizontal="left" vertical="top" wrapText="1"/>
    </xf>
    <xf numFmtId="49" fontId="3" fillId="0" borderId="9" xfId="0" applyNumberFormat="1" applyFont="1" applyFill="1" applyBorder="1" applyAlignment="1">
      <alignment horizontal="left" vertical="top" wrapText="1"/>
    </xf>
    <xf numFmtId="49" fontId="3" fillId="0" borderId="9" xfId="0" applyNumberFormat="1" applyFont="1" applyBorder="1" applyAlignment="1">
      <alignment horizontal="left" vertical="top" wrapText="1"/>
    </xf>
    <xf numFmtId="49" fontId="0" fillId="0" borderId="9" xfId="0" applyNumberFormat="1" applyFont="1" applyBorder="1" applyAlignment="1">
      <alignment horizontal="left" vertical="top" wrapText="1"/>
    </xf>
    <xf numFmtId="49" fontId="0" fillId="0" borderId="9" xfId="0" applyNumberFormat="1" applyFont="1" applyFill="1" applyBorder="1" applyAlignment="1">
      <alignment horizontal="left" vertical="top" wrapText="1"/>
    </xf>
    <xf numFmtId="49" fontId="8" fillId="0" borderId="9" xfId="0" applyNumberFormat="1" applyFont="1" applyFill="1" applyBorder="1" applyAlignment="1">
      <alignment horizontal="left" vertical="top" wrapText="1"/>
    </xf>
    <xf numFmtId="49" fontId="8" fillId="0" borderId="9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3" fillId="9" borderId="9" xfId="0" applyNumberFormat="1" applyFont="1" applyFill="1" applyBorder="1" applyAlignment="1">
      <alignment horizontal="left" vertical="top" wrapText="1"/>
    </xf>
    <xf numFmtId="49" fontId="11" fillId="0" borderId="9" xfId="0" applyNumberFormat="1" applyFont="1" applyFill="1" applyBorder="1" applyAlignment="1">
      <alignment horizontal="left" vertical="top" wrapText="1"/>
    </xf>
    <xf numFmtId="49" fontId="3" fillId="2" borderId="9" xfId="0" applyNumberFormat="1" applyFont="1" applyFill="1" applyBorder="1" applyAlignment="1">
      <alignment horizontal="left" vertical="top" wrapText="1"/>
    </xf>
    <xf numFmtId="49" fontId="3" fillId="2" borderId="17" xfId="1" applyNumberFormat="1" applyFont="1" applyFill="1" applyBorder="1" applyAlignment="1">
      <alignment horizontal="left" vertical="top" wrapText="1"/>
    </xf>
    <xf numFmtId="0" fontId="0" fillId="9" borderId="7" xfId="0" applyFont="1" applyFill="1" applyBorder="1" applyAlignment="1">
      <alignment horizontal="left" vertical="top" wrapText="1"/>
    </xf>
    <xf numFmtId="49" fontId="1" fillId="9" borderId="9" xfId="1" applyNumberFormat="1" applyFont="1" applyFill="1" applyBorder="1" applyAlignment="1">
      <alignment horizontal="left" vertical="top" wrapText="1"/>
    </xf>
    <xf numFmtId="4" fontId="3" fillId="9" borderId="9" xfId="0" applyNumberFormat="1" applyFont="1" applyFill="1" applyBorder="1" applyAlignment="1">
      <alignment horizontal="left" vertical="top" wrapText="1"/>
    </xf>
    <xf numFmtId="49" fontId="0" fillId="9" borderId="9" xfId="0" applyNumberFormat="1" applyFont="1" applyFill="1" applyBorder="1" applyAlignment="1">
      <alignment horizontal="left" vertical="top" wrapText="1"/>
    </xf>
    <xf numFmtId="0" fontId="8" fillId="9" borderId="9" xfId="0" applyFont="1" applyFill="1" applyBorder="1" applyAlignment="1">
      <alignment horizontal="left" vertical="top" wrapText="1"/>
    </xf>
    <xf numFmtId="49" fontId="8" fillId="9" borderId="9" xfId="0" applyNumberFormat="1" applyFont="1" applyFill="1" applyBorder="1" applyAlignment="1">
      <alignment horizontal="left" vertical="top" wrapText="1"/>
    </xf>
    <xf numFmtId="49" fontId="3" fillId="0" borderId="11" xfId="0" applyNumberFormat="1" applyFont="1" applyFill="1" applyBorder="1" applyAlignment="1">
      <alignment horizontal="center" vertical="top" wrapText="1"/>
    </xf>
    <xf numFmtId="0" fontId="8" fillId="5" borderId="9" xfId="0" applyFont="1" applyFill="1" applyBorder="1" applyAlignment="1">
      <alignment horizontal="left" vertical="top" wrapText="1"/>
    </xf>
    <xf numFmtId="0" fontId="3" fillId="14" borderId="7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" fontId="26" fillId="3" borderId="2" xfId="0" applyNumberFormat="1" applyFont="1" applyFill="1" applyBorder="1" applyAlignment="1">
      <alignment horizontal="center" vertical="top" wrapText="1"/>
    </xf>
    <xf numFmtId="4" fontId="0" fillId="0" borderId="11" xfId="0" applyNumberFormat="1" applyFont="1" applyFill="1" applyBorder="1" applyAlignment="1">
      <alignment horizontal="center" vertical="top" wrapText="1"/>
    </xf>
    <xf numFmtId="4" fontId="0" fillId="0" borderId="13" xfId="0" applyNumberFormat="1" applyFont="1" applyFill="1" applyBorder="1" applyAlignment="1">
      <alignment horizontal="center" vertical="top" wrapText="1"/>
    </xf>
    <xf numFmtId="4" fontId="0" fillId="3" borderId="2" xfId="0" applyNumberFormat="1" applyFont="1" applyFill="1" applyBorder="1" applyAlignment="1">
      <alignment horizontal="center" vertical="top" wrapText="1"/>
    </xf>
    <xf numFmtId="4" fontId="3" fillId="3" borderId="2" xfId="0" applyNumberFormat="1" applyFont="1" applyFill="1" applyBorder="1" applyAlignment="1">
      <alignment horizontal="center" vertical="top" wrapText="1"/>
    </xf>
    <xf numFmtId="4" fontId="0" fillId="0" borderId="9" xfId="0" applyNumberFormat="1" applyFont="1" applyFill="1" applyBorder="1" applyAlignment="1">
      <alignment horizontal="center" vertical="top" wrapText="1"/>
    </xf>
    <xf numFmtId="4" fontId="0" fillId="3" borderId="9" xfId="0" applyNumberFormat="1" applyFont="1" applyFill="1" applyBorder="1" applyAlignment="1">
      <alignment horizontal="center" vertical="top" wrapText="1"/>
    </xf>
    <xf numFmtId="4" fontId="3" fillId="3" borderId="9" xfId="0" applyNumberFormat="1" applyFont="1" applyFill="1" applyBorder="1" applyAlignment="1">
      <alignment horizontal="center" vertical="top" wrapText="1"/>
    </xf>
    <xf numFmtId="4" fontId="0" fillId="0" borderId="16" xfId="0" applyNumberFormat="1" applyFont="1" applyFill="1" applyBorder="1" applyAlignment="1">
      <alignment horizontal="center" vertical="top" wrapText="1"/>
    </xf>
    <xf numFmtId="4" fontId="3" fillId="0" borderId="16" xfId="0" applyNumberFormat="1" applyFont="1" applyFill="1" applyBorder="1" applyAlignment="1">
      <alignment horizontal="center" vertical="top" wrapText="1"/>
    </xf>
    <xf numFmtId="4" fontId="3" fillId="3" borderId="16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horizontal="center" vertical="top" wrapText="1"/>
    </xf>
    <xf numFmtId="0" fontId="3" fillId="14" borderId="7" xfId="0" applyFont="1" applyFill="1" applyBorder="1" applyAlignment="1">
      <alignment horizontal="center" vertical="top" wrapText="1"/>
    </xf>
    <xf numFmtId="0" fontId="11" fillId="14" borderId="7" xfId="0" applyFont="1" applyFill="1" applyBorder="1" applyAlignment="1">
      <alignment horizontal="center" vertical="top" wrapText="1"/>
    </xf>
    <xf numFmtId="164" fontId="3" fillId="14" borderId="7" xfId="1" applyNumberFormat="1" applyFont="1" applyFill="1" applyBorder="1" applyAlignment="1">
      <alignment horizontal="center" vertical="top" wrapText="1"/>
    </xf>
    <xf numFmtId="164" fontId="3" fillId="14" borderId="12" xfId="1" applyNumberFormat="1" applyFont="1" applyFill="1" applyBorder="1" applyAlignment="1">
      <alignment horizontal="center" vertical="top" wrapText="1"/>
    </xf>
    <xf numFmtId="49" fontId="3" fillId="14" borderId="19" xfId="1" applyNumberFormat="1" applyFont="1" applyFill="1" applyBorder="1" applyAlignment="1">
      <alignment horizontal="center" vertical="top" wrapText="1"/>
    </xf>
    <xf numFmtId="49" fontId="13" fillId="14" borderId="19" xfId="0" applyNumberFormat="1" applyFont="1" applyFill="1" applyBorder="1" applyAlignment="1">
      <alignment horizontal="center" vertical="top" wrapText="1"/>
    </xf>
    <xf numFmtId="4" fontId="3" fillId="14" borderId="0" xfId="1" applyNumberFormat="1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top" wrapText="1"/>
    </xf>
    <xf numFmtId="164" fontId="3" fillId="2" borderId="7" xfId="1" applyNumberFormat="1" applyFont="1" applyFill="1" applyBorder="1" applyAlignment="1">
      <alignment horizontal="center" vertical="top" wrapText="1"/>
    </xf>
    <xf numFmtId="164" fontId="3" fillId="2" borderId="12" xfId="1" applyNumberFormat="1" applyFont="1" applyFill="1" applyBorder="1" applyAlignment="1">
      <alignment horizontal="center" vertical="top" wrapText="1"/>
    </xf>
    <xf numFmtId="164" fontId="3" fillId="2" borderId="11" xfId="1" applyNumberFormat="1" applyFont="1" applyFill="1" applyBorder="1" applyAlignment="1">
      <alignment horizontal="center" vertical="top" wrapText="1"/>
    </xf>
    <xf numFmtId="49" fontId="3" fillId="2" borderId="11" xfId="0" applyNumberFormat="1" applyFont="1" applyFill="1" applyBorder="1" applyAlignment="1">
      <alignment horizontal="center" vertical="top" wrapText="1"/>
    </xf>
    <xf numFmtId="4" fontId="3" fillId="2" borderId="9" xfId="1" applyNumberFormat="1" applyFont="1" applyFill="1" applyBorder="1" applyAlignment="1">
      <alignment horizontal="center" vertical="top" wrapText="1"/>
    </xf>
    <xf numFmtId="49" fontId="3" fillId="2" borderId="9" xfId="1" applyNumberFormat="1" applyFont="1" applyFill="1" applyBorder="1" applyAlignment="1">
      <alignment horizontal="center" vertical="top" wrapText="1"/>
    </xf>
    <xf numFmtId="4" fontId="3" fillId="2" borderId="11" xfId="1" applyNumberFormat="1" applyFont="1" applyFill="1" applyBorder="1" applyAlignment="1">
      <alignment horizontal="center" vertical="top" wrapText="1"/>
    </xf>
    <xf numFmtId="3" fontId="3" fillId="2" borderId="11" xfId="1" applyNumberFormat="1" applyFont="1" applyFill="1" applyBorder="1" applyAlignment="1">
      <alignment horizontal="center" vertical="top" wrapText="1"/>
    </xf>
    <xf numFmtId="4" fontId="3" fillId="2" borderId="13" xfId="1" applyNumberFormat="1" applyFont="1" applyFill="1" applyBorder="1" applyAlignment="1">
      <alignment horizontal="center" vertical="top" wrapText="1"/>
    </xf>
    <xf numFmtId="4" fontId="3" fillId="2" borderId="2" xfId="1" applyNumberFormat="1" applyFont="1" applyFill="1" applyBorder="1" applyAlignment="1">
      <alignment horizontal="center" vertical="top" wrapText="1"/>
    </xf>
    <xf numFmtId="4" fontId="3" fillId="2" borderId="27" xfId="1" applyNumberFormat="1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164" fontId="1" fillId="0" borderId="7" xfId="1" applyNumberFormat="1" applyFont="1" applyFill="1" applyBorder="1" applyAlignment="1">
      <alignment horizontal="center" vertical="top" wrapText="1"/>
    </xf>
    <xf numFmtId="4" fontId="1" fillId="0" borderId="0" xfId="1" applyNumberFormat="1" applyFont="1" applyFill="1" applyBorder="1" applyAlignment="1">
      <alignment horizontal="center" vertical="top" wrapText="1"/>
    </xf>
    <xf numFmtId="164" fontId="0" fillId="0" borderId="11" xfId="1" applyNumberFormat="1" applyFont="1" applyFill="1" applyBorder="1" applyAlignment="1">
      <alignment horizontal="center" vertical="top" wrapText="1"/>
    </xf>
    <xf numFmtId="49" fontId="0" fillId="0" borderId="11" xfId="0" applyNumberFormat="1" applyFont="1" applyFill="1" applyBorder="1" applyAlignment="1">
      <alignment horizontal="center" vertical="top" wrapText="1"/>
    </xf>
    <xf numFmtId="4" fontId="0" fillId="0" borderId="16" xfId="1" applyNumberFormat="1" applyFont="1" applyFill="1" applyBorder="1" applyAlignment="1">
      <alignment horizontal="center" vertical="top" wrapText="1"/>
    </xf>
    <xf numFmtId="49" fontId="1" fillId="0" borderId="9" xfId="1" applyNumberFormat="1" applyFont="1" applyFill="1" applyBorder="1" applyAlignment="1">
      <alignment horizontal="center" vertical="top" wrapText="1"/>
    </xf>
    <xf numFmtId="49" fontId="0" fillId="0" borderId="9" xfId="1" applyNumberFormat="1" applyFont="1" applyFill="1" applyBorder="1" applyAlignment="1">
      <alignment horizontal="center" vertical="top" wrapText="1"/>
    </xf>
    <xf numFmtId="3" fontId="1" fillId="8" borderId="11" xfId="1" applyNumberFormat="1" applyFont="1" applyFill="1" applyBorder="1" applyAlignment="1">
      <alignment horizontal="center" vertical="top" wrapText="1"/>
    </xf>
    <xf numFmtId="3" fontId="0" fillId="8" borderId="11" xfId="0" applyNumberFormat="1" applyFill="1" applyBorder="1" applyAlignment="1">
      <alignment horizontal="center" vertical="top" wrapText="1"/>
    </xf>
    <xf numFmtId="4" fontId="0" fillId="8" borderId="11" xfId="0" applyNumberFormat="1" applyFill="1" applyBorder="1" applyAlignment="1">
      <alignment horizontal="center" vertical="top" wrapText="1"/>
    </xf>
    <xf numFmtId="4" fontId="0" fillId="0" borderId="16" xfId="0" applyNumberFormat="1" applyFill="1" applyBorder="1" applyAlignment="1">
      <alignment horizontal="center" vertical="top" wrapText="1"/>
    </xf>
    <xf numFmtId="3" fontId="0" fillId="7" borderId="11" xfId="0" applyNumberFormat="1" applyFill="1" applyBorder="1" applyAlignment="1">
      <alignment horizontal="center" vertical="top" wrapText="1"/>
    </xf>
    <xf numFmtId="4" fontId="0" fillId="7" borderId="11" xfId="0" applyNumberFormat="1" applyFill="1" applyBorder="1" applyAlignment="1">
      <alignment horizontal="center" vertical="top" wrapText="1"/>
    </xf>
    <xf numFmtId="4" fontId="0" fillId="7" borderId="13" xfId="0" applyNumberForma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4" fontId="1" fillId="8" borderId="9" xfId="1" applyNumberFormat="1" applyFont="1" applyFill="1" applyBorder="1" applyAlignment="1">
      <alignment horizontal="center" vertical="top" wrapText="1"/>
    </xf>
    <xf numFmtId="4" fontId="1" fillId="0" borderId="9" xfId="1" applyNumberFormat="1" applyFont="1" applyFill="1" applyBorder="1" applyAlignment="1">
      <alignment horizontal="center" vertical="top" wrapText="1"/>
    </xf>
    <xf numFmtId="4" fontId="3" fillId="0" borderId="9" xfId="1" applyNumberFormat="1" applyFont="1" applyFill="1" applyBorder="1" applyAlignment="1">
      <alignment horizontal="center" vertical="top" wrapText="1"/>
    </xf>
    <xf numFmtId="4" fontId="0" fillId="8" borderId="9" xfId="0" applyNumberFormat="1" applyFill="1" applyBorder="1" applyAlignment="1">
      <alignment horizontal="center" vertical="top" wrapText="1"/>
    </xf>
    <xf numFmtId="4" fontId="1" fillId="7" borderId="9" xfId="1" applyNumberFormat="1" applyFont="1" applyFill="1" applyBorder="1" applyAlignment="1">
      <alignment horizontal="center" vertical="top" wrapText="1"/>
    </xf>
    <xf numFmtId="4" fontId="3" fillId="7" borderId="9" xfId="1" applyNumberFormat="1" applyFont="1" applyFill="1" applyBorder="1" applyAlignment="1">
      <alignment horizontal="center" vertical="top" wrapText="1"/>
    </xf>
    <xf numFmtId="4" fontId="1" fillId="3" borderId="9" xfId="1" applyNumberFormat="1" applyFont="1" applyFill="1" applyBorder="1" applyAlignment="1">
      <alignment horizontal="center" vertical="top" wrapText="1"/>
    </xf>
    <xf numFmtId="4" fontId="3" fillId="3" borderId="9" xfId="1" applyNumberFormat="1" applyFont="1" applyFill="1" applyBorder="1" applyAlignment="1">
      <alignment horizontal="center" vertical="top" wrapText="1"/>
    </xf>
    <xf numFmtId="4" fontId="0" fillId="8" borderId="9" xfId="0" applyNumberFormat="1" applyFont="1" applyFill="1" applyBorder="1" applyAlignment="1">
      <alignment horizontal="center" vertical="top" wrapText="1"/>
    </xf>
    <xf numFmtId="4" fontId="0" fillId="7" borderId="9" xfId="0" applyNumberFormat="1" applyFont="1" applyFill="1" applyBorder="1" applyAlignment="1">
      <alignment horizontal="center" vertical="top" wrapText="1"/>
    </xf>
    <xf numFmtId="4" fontId="3" fillId="7" borderId="9" xfId="0" applyNumberFormat="1" applyFont="1" applyFill="1" applyBorder="1" applyAlignment="1">
      <alignment horizontal="center" vertical="top" wrapText="1"/>
    </xf>
    <xf numFmtId="4" fontId="0" fillId="7" borderId="7" xfId="0" applyNumberFormat="1" applyFont="1" applyFill="1" applyBorder="1" applyAlignment="1">
      <alignment horizontal="center" vertical="top" wrapText="1"/>
    </xf>
    <xf numFmtId="4" fontId="3" fillId="7" borderId="7" xfId="1" applyNumberFormat="1" applyFont="1" applyFill="1" applyBorder="1" applyAlignment="1">
      <alignment horizontal="center" vertical="top" wrapText="1"/>
    </xf>
    <xf numFmtId="4" fontId="1" fillId="3" borderId="7" xfId="1" applyNumberFormat="1" applyFont="1" applyFill="1" applyBorder="1" applyAlignment="1">
      <alignment horizontal="center" vertical="top" wrapText="1"/>
    </xf>
    <xf numFmtId="4" fontId="3" fillId="3" borderId="7" xfId="1" applyNumberFormat="1" applyFont="1" applyFill="1" applyBorder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3" fillId="0" borderId="0" xfId="1" applyNumberFormat="1" applyFont="1" applyFill="1" applyBorder="1" applyAlignment="1">
      <alignment horizontal="center" vertical="top" wrapText="1"/>
    </xf>
    <xf numFmtId="0" fontId="0" fillId="9" borderId="8" xfId="0" applyFont="1" applyFill="1" applyBorder="1" applyAlignment="1">
      <alignment horizontal="center" vertical="top" wrapText="1"/>
    </xf>
    <xf numFmtId="0" fontId="3" fillId="9" borderId="8" xfId="0" applyFont="1" applyFill="1" applyBorder="1" applyAlignment="1">
      <alignment horizontal="center" vertical="top" wrapText="1"/>
    </xf>
    <xf numFmtId="0" fontId="11" fillId="9" borderId="8" xfId="0" applyFont="1" applyFill="1" applyBorder="1" applyAlignment="1">
      <alignment horizontal="center" vertical="top" wrapText="1"/>
    </xf>
    <xf numFmtId="164" fontId="1" fillId="9" borderId="7" xfId="1" applyNumberFormat="1" applyFont="1" applyFill="1" applyBorder="1" applyAlignment="1">
      <alignment horizontal="center" vertical="top" wrapText="1"/>
    </xf>
    <xf numFmtId="164" fontId="1" fillId="9" borderId="12" xfId="1" applyNumberFormat="1" applyFont="1" applyFill="1" applyBorder="1" applyAlignment="1">
      <alignment horizontal="center" vertical="top" wrapText="1"/>
    </xf>
    <xf numFmtId="164" fontId="0" fillId="9" borderId="11" xfId="1" applyNumberFormat="1" applyFont="1" applyFill="1" applyBorder="1" applyAlignment="1">
      <alignment horizontal="center" vertical="top" wrapText="1"/>
    </xf>
    <xf numFmtId="49" fontId="0" fillId="9" borderId="11" xfId="0" applyNumberFormat="1" applyFont="1" applyFill="1" applyBorder="1" applyAlignment="1">
      <alignment horizontal="center" vertical="top" wrapText="1"/>
    </xf>
    <xf numFmtId="4" fontId="1" fillId="9" borderId="16" xfId="1" applyNumberFormat="1" applyFont="1" applyFill="1" applyBorder="1" applyAlignment="1">
      <alignment horizontal="center" vertical="top" wrapText="1"/>
    </xf>
    <xf numFmtId="49" fontId="1" fillId="9" borderId="9" xfId="1" applyNumberFormat="1" applyFont="1" applyFill="1" applyBorder="1" applyAlignment="1">
      <alignment horizontal="center" vertical="top" wrapText="1"/>
    </xf>
    <xf numFmtId="3" fontId="1" fillId="9" borderId="11" xfId="1" applyNumberFormat="1" applyFont="1" applyFill="1" applyBorder="1" applyAlignment="1">
      <alignment horizontal="center" vertical="top" wrapText="1"/>
    </xf>
    <xf numFmtId="3" fontId="0" fillId="9" borderId="11" xfId="0" applyNumberFormat="1" applyFill="1" applyBorder="1" applyAlignment="1">
      <alignment horizontal="center" vertical="top" wrapText="1"/>
    </xf>
    <xf numFmtId="4" fontId="0" fillId="9" borderId="11" xfId="0" applyNumberFormat="1" applyFill="1" applyBorder="1" applyAlignment="1">
      <alignment horizontal="center" vertical="top" wrapText="1"/>
    </xf>
    <xf numFmtId="4" fontId="0" fillId="9" borderId="16" xfId="0" applyNumberFormat="1" applyFill="1" applyBorder="1" applyAlignment="1">
      <alignment horizontal="center" vertical="top" wrapText="1"/>
    </xf>
    <xf numFmtId="4" fontId="0" fillId="9" borderId="13" xfId="0" applyNumberFormat="1" applyFill="1" applyBorder="1" applyAlignment="1">
      <alignment horizontal="center" vertical="top" wrapText="1"/>
    </xf>
    <xf numFmtId="4" fontId="1" fillId="9" borderId="17" xfId="1" applyNumberFormat="1" applyFont="1" applyFill="1" applyBorder="1" applyAlignment="1">
      <alignment horizontal="center" vertical="top" wrapText="1"/>
    </xf>
    <xf numFmtId="4" fontId="1" fillId="9" borderId="9" xfId="1" applyNumberFormat="1" applyFont="1" applyFill="1" applyBorder="1" applyAlignment="1">
      <alignment horizontal="center" vertical="top" wrapText="1"/>
    </xf>
    <xf numFmtId="4" fontId="0" fillId="9" borderId="9" xfId="0" applyNumberFormat="1" applyFill="1" applyBorder="1" applyAlignment="1">
      <alignment horizontal="center" vertical="top" wrapText="1"/>
    </xf>
    <xf numFmtId="4" fontId="0" fillId="9" borderId="9" xfId="0" applyNumberFormat="1" applyFont="1" applyFill="1" applyBorder="1" applyAlignment="1">
      <alignment horizontal="center" vertical="top" wrapText="1"/>
    </xf>
    <xf numFmtId="4" fontId="3" fillId="9" borderId="9" xfId="0" applyNumberFormat="1" applyFont="1" applyFill="1" applyBorder="1" applyAlignment="1">
      <alignment horizontal="center" vertical="top" wrapText="1"/>
    </xf>
    <xf numFmtId="0" fontId="0" fillId="9" borderId="0" xfId="0" applyFont="1" applyFill="1" applyAlignment="1">
      <alignment horizontal="center" vertical="top" wrapText="1"/>
    </xf>
    <xf numFmtId="3" fontId="0" fillId="9" borderId="0" xfId="0" applyNumberFormat="1" applyFont="1" applyFill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center" vertical="top" wrapText="1"/>
    </xf>
    <xf numFmtId="4" fontId="0" fillId="7" borderId="9" xfId="0" applyNumberForma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3" fontId="0" fillId="0" borderId="0" xfId="0" applyNumberFormat="1" applyFill="1" applyAlignment="1">
      <alignment horizontal="center" vertical="top" wrapText="1"/>
    </xf>
    <xf numFmtId="0" fontId="0" fillId="9" borderId="10" xfId="0" applyFill="1" applyBorder="1" applyAlignment="1">
      <alignment horizontal="center" vertical="top" wrapText="1"/>
    </xf>
    <xf numFmtId="0" fontId="7" fillId="9" borderId="9" xfId="0" applyFont="1" applyFill="1" applyBorder="1" applyAlignment="1">
      <alignment horizontal="center" vertical="top" wrapText="1"/>
    </xf>
    <xf numFmtId="0" fontId="11" fillId="9" borderId="9" xfId="0" applyFont="1" applyFill="1" applyBorder="1" applyAlignment="1">
      <alignment horizontal="center" vertical="top" wrapText="1"/>
    </xf>
    <xf numFmtId="0" fontId="0" fillId="9" borderId="9" xfId="0" applyFill="1" applyBorder="1" applyAlignment="1">
      <alignment horizontal="center" vertical="top" wrapText="1"/>
    </xf>
    <xf numFmtId="0" fontId="0" fillId="9" borderId="16" xfId="0" applyFill="1" applyBorder="1" applyAlignment="1">
      <alignment horizontal="center" vertical="top" wrapText="1"/>
    </xf>
    <xf numFmtId="0" fontId="3" fillId="9" borderId="11" xfId="0" applyFont="1" applyFill="1" applyBorder="1" applyAlignment="1">
      <alignment horizontal="center" vertical="top" wrapText="1"/>
    </xf>
    <xf numFmtId="49" fontId="3" fillId="9" borderId="11" xfId="0" applyNumberFormat="1" applyFont="1" applyFill="1" applyBorder="1" applyAlignment="1">
      <alignment horizontal="center" vertical="top" wrapText="1"/>
    </xf>
    <xf numFmtId="49" fontId="3" fillId="9" borderId="9" xfId="0" applyNumberFormat="1" applyFont="1" applyFill="1" applyBorder="1" applyAlignment="1">
      <alignment horizontal="center" vertical="top" wrapText="1"/>
    </xf>
    <xf numFmtId="0" fontId="0" fillId="9" borderId="11" xfId="0" applyFill="1" applyBorder="1" applyAlignment="1">
      <alignment horizontal="center" vertical="top" wrapText="1"/>
    </xf>
    <xf numFmtId="4" fontId="0" fillId="9" borderId="17" xfId="0" applyNumberFormat="1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3" fontId="0" fillId="9" borderId="0" xfId="0" applyNumberFormat="1" applyFill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4" fontId="3" fillId="0" borderId="7" xfId="0" applyNumberFormat="1" applyFont="1" applyFill="1" applyBorder="1" applyAlignment="1">
      <alignment horizontal="center" vertical="top" wrapText="1"/>
    </xf>
    <xf numFmtId="49" fontId="0" fillId="0" borderId="9" xfId="0" applyNumberFormat="1" applyFont="1" applyFill="1" applyBorder="1" applyAlignment="1">
      <alignment horizontal="center" vertical="top" wrapText="1"/>
    </xf>
    <xf numFmtId="0" fontId="3" fillId="9" borderId="9" xfId="0" applyFont="1" applyFill="1" applyBorder="1" applyAlignment="1">
      <alignment horizontal="center" vertical="top" wrapText="1"/>
    </xf>
    <xf numFmtId="164" fontId="3" fillId="9" borderId="0" xfId="0" applyNumberFormat="1" applyFont="1" applyFill="1" applyBorder="1" applyAlignment="1">
      <alignment horizontal="center" vertical="top" wrapText="1"/>
    </xf>
    <xf numFmtId="0" fontId="3" fillId="9" borderId="16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4" fontId="3" fillId="0" borderId="9" xfId="0" applyNumberFormat="1" applyFont="1" applyBorder="1" applyAlignment="1">
      <alignment horizontal="center" vertical="top" wrapText="1"/>
    </xf>
    <xf numFmtId="49" fontId="3" fillId="0" borderId="9" xfId="0" applyNumberFormat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4" fontId="0" fillId="0" borderId="16" xfId="0" applyNumberFormat="1" applyBorder="1" applyAlignment="1">
      <alignment horizontal="center" vertical="top" wrapText="1"/>
    </xf>
    <xf numFmtId="4" fontId="0" fillId="0" borderId="24" xfId="0" applyNumberForma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3" fillId="9" borderId="10" xfId="0" applyFont="1" applyFill="1" applyBorder="1" applyAlignment="1">
      <alignment horizontal="center" vertical="top" wrapText="1"/>
    </xf>
    <xf numFmtId="0" fontId="11" fillId="9" borderId="10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1" fillId="0" borderId="10" xfId="0" applyFont="1" applyFill="1" applyBorder="1" applyAlignment="1">
      <alignment horizontal="center" vertical="top" wrapText="1"/>
    </xf>
    <xf numFmtId="49" fontId="11" fillId="0" borderId="11" xfId="0" applyNumberFormat="1" applyFont="1" applyFill="1" applyBorder="1" applyAlignment="1">
      <alignment horizontal="center" vertical="top" wrapText="1"/>
    </xf>
    <xf numFmtId="0" fontId="7" fillId="9" borderId="10" xfId="0" applyFont="1" applyFill="1" applyBorder="1" applyAlignment="1">
      <alignment horizontal="center" vertical="top" wrapText="1"/>
    </xf>
    <xf numFmtId="4" fontId="3" fillId="9" borderId="16" xfId="0" applyNumberFormat="1" applyFont="1" applyFill="1" applyBorder="1" applyAlignment="1">
      <alignment horizontal="center" vertical="top" wrapText="1"/>
    </xf>
    <xf numFmtId="4" fontId="3" fillId="5" borderId="9" xfId="1" applyNumberFormat="1" applyFont="1" applyFill="1" applyBorder="1" applyAlignment="1">
      <alignment horizontal="center" vertical="top" wrapText="1"/>
    </xf>
    <xf numFmtId="4" fontId="3" fillId="3" borderId="7" xfId="0" applyNumberFormat="1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4" fontId="3" fillId="2" borderId="10" xfId="0" applyNumberFormat="1" applyFont="1" applyFill="1" applyBorder="1" applyAlignment="1">
      <alignment horizontal="center" vertical="top" wrapText="1"/>
    </xf>
    <xf numFmtId="4" fontId="3" fillId="2" borderId="9" xfId="0" applyNumberFormat="1" applyFont="1" applyFill="1" applyBorder="1" applyAlignment="1">
      <alignment horizontal="center" vertical="top" wrapText="1"/>
    </xf>
    <xf numFmtId="4" fontId="11" fillId="2" borderId="9" xfId="0" applyNumberFormat="1" applyFont="1" applyFill="1" applyBorder="1" applyAlignment="1">
      <alignment horizontal="center" vertical="top" wrapText="1"/>
    </xf>
    <xf numFmtId="49" fontId="3" fillId="2" borderId="9" xfId="0" applyNumberFormat="1" applyFont="1" applyFill="1" applyBorder="1" applyAlignment="1">
      <alignment horizontal="center" vertical="top" wrapText="1"/>
    </xf>
    <xf numFmtId="4" fontId="3" fillId="2" borderId="0" xfId="0" applyNumberFormat="1" applyFont="1" applyFill="1" applyAlignment="1">
      <alignment horizontal="center" vertical="top" wrapText="1"/>
    </xf>
    <xf numFmtId="3" fontId="3" fillId="2" borderId="0" xfId="0" applyNumberFormat="1" applyFont="1" applyFill="1" applyAlignment="1">
      <alignment horizontal="center" vertical="top" wrapText="1"/>
    </xf>
    <xf numFmtId="4" fontId="3" fillId="9" borderId="10" xfId="0" applyNumberFormat="1" applyFont="1" applyFill="1" applyBorder="1" applyAlignment="1">
      <alignment horizontal="center" vertical="top" wrapText="1"/>
    </xf>
    <xf numFmtId="4" fontId="11" fillId="9" borderId="9" xfId="0" applyNumberFormat="1" applyFont="1" applyFill="1" applyBorder="1" applyAlignment="1">
      <alignment horizontal="center" vertical="top" wrapText="1"/>
    </xf>
    <xf numFmtId="4" fontId="3" fillId="9" borderId="0" xfId="0" applyNumberFormat="1" applyFont="1" applyFill="1" applyBorder="1" applyAlignment="1">
      <alignment horizontal="center" vertical="top" wrapText="1"/>
    </xf>
    <xf numFmtId="4" fontId="3" fillId="9" borderId="11" xfId="0" applyNumberFormat="1" applyFont="1" applyFill="1" applyBorder="1" applyAlignment="1">
      <alignment horizontal="center" vertical="top" wrapText="1"/>
    </xf>
    <xf numFmtId="3" fontId="3" fillId="9" borderId="11" xfId="0" applyNumberFormat="1" applyFont="1" applyFill="1" applyBorder="1" applyAlignment="1">
      <alignment horizontal="center" vertical="top" wrapText="1"/>
    </xf>
    <xf numFmtId="4" fontId="3" fillId="9" borderId="13" xfId="0" applyNumberFormat="1" applyFont="1" applyFill="1" applyBorder="1" applyAlignment="1">
      <alignment horizontal="center" vertical="top" wrapText="1"/>
    </xf>
    <xf numFmtId="4" fontId="0" fillId="3" borderId="16" xfId="0" applyNumberFormat="1" applyFont="1" applyFill="1" applyBorder="1" applyAlignment="1">
      <alignment horizontal="center" vertical="top" wrapText="1"/>
    </xf>
    <xf numFmtId="4" fontId="3" fillId="9" borderId="0" xfId="0" applyNumberFormat="1" applyFont="1" applyFill="1" applyAlignment="1">
      <alignment horizontal="center" vertical="top" wrapText="1"/>
    </xf>
    <xf numFmtId="3" fontId="3" fillId="9" borderId="0" xfId="0" applyNumberFormat="1" applyFont="1" applyFill="1" applyAlignment="1">
      <alignment horizontal="center" vertical="top" wrapText="1"/>
    </xf>
    <xf numFmtId="4" fontId="3" fillId="5" borderId="9" xfId="0" applyNumberFormat="1" applyFont="1" applyFill="1" applyBorder="1" applyAlignment="1">
      <alignment horizontal="center" vertical="top" wrapText="1"/>
    </xf>
    <xf numFmtId="49" fontId="0" fillId="0" borderId="9" xfId="0" applyNumberFormat="1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49" fontId="3" fillId="5" borderId="11" xfId="0" applyNumberFormat="1" applyFont="1" applyFill="1" applyBorder="1" applyAlignment="1">
      <alignment horizontal="center" vertical="top" wrapText="1"/>
    </xf>
    <xf numFmtId="4" fontId="3" fillId="0" borderId="16" xfId="0" applyNumberFormat="1" applyFont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164" fontId="11" fillId="0" borderId="0" xfId="0" applyNumberFormat="1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4" fontId="11" fillId="0" borderId="9" xfId="0" applyNumberFormat="1" applyFont="1" applyFill="1" applyBorder="1" applyAlignment="1">
      <alignment horizontal="center" vertical="top" wrapText="1"/>
    </xf>
    <xf numFmtId="49" fontId="11" fillId="0" borderId="9" xfId="0" applyNumberFormat="1" applyFont="1" applyFill="1" applyBorder="1" applyAlignment="1">
      <alignment horizontal="center" vertical="top" wrapText="1"/>
    </xf>
    <xf numFmtId="3" fontId="8" fillId="8" borderId="11" xfId="0" applyNumberFormat="1" applyFont="1" applyFill="1" applyBorder="1" applyAlignment="1">
      <alignment horizontal="center" vertical="top" wrapText="1"/>
    </xf>
    <xf numFmtId="0" fontId="8" fillId="8" borderId="11" xfId="0" applyFont="1" applyFill="1" applyBorder="1" applyAlignment="1">
      <alignment horizontal="center" vertical="top" wrapText="1"/>
    </xf>
    <xf numFmtId="4" fontId="8" fillId="8" borderId="11" xfId="0" applyNumberFormat="1" applyFont="1" applyFill="1" applyBorder="1" applyAlignment="1">
      <alignment horizontal="center" vertical="top" wrapText="1"/>
    </xf>
    <xf numFmtId="4" fontId="8" fillId="0" borderId="16" xfId="0" applyNumberFormat="1" applyFont="1" applyFill="1" applyBorder="1" applyAlignment="1">
      <alignment horizontal="center" vertical="top" wrapText="1"/>
    </xf>
    <xf numFmtId="3" fontId="8" fillId="7" borderId="11" xfId="0" applyNumberFormat="1" applyFont="1" applyFill="1" applyBorder="1" applyAlignment="1">
      <alignment horizontal="center" vertical="top" wrapText="1"/>
    </xf>
    <xf numFmtId="4" fontId="8" fillId="7" borderId="11" xfId="0" applyNumberFormat="1" applyFont="1" applyFill="1" applyBorder="1" applyAlignment="1">
      <alignment horizontal="center" vertical="top" wrapText="1"/>
    </xf>
    <xf numFmtId="4" fontId="8" fillId="8" borderId="9" xfId="0" applyNumberFormat="1" applyFont="1" applyFill="1" applyBorder="1" applyAlignment="1">
      <alignment horizontal="center" vertical="top" wrapText="1"/>
    </xf>
    <xf numFmtId="4" fontId="8" fillId="10" borderId="9" xfId="0" applyNumberFormat="1" applyFont="1" applyFill="1" applyBorder="1" applyAlignment="1">
      <alignment horizontal="center" vertical="top" wrapText="1"/>
    </xf>
    <xf numFmtId="4" fontId="8" fillId="7" borderId="9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3" fontId="8" fillId="0" borderId="0" xfId="0" applyNumberFormat="1" applyFont="1" applyFill="1" applyAlignment="1">
      <alignment horizontal="center" vertical="top" wrapText="1"/>
    </xf>
    <xf numFmtId="0" fontId="8" fillId="5" borderId="9" xfId="0" applyFont="1" applyFill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164" fontId="11" fillId="0" borderId="0" xfId="0" applyNumberFormat="1" applyFont="1" applyBorder="1" applyAlignment="1">
      <alignment horizontal="center" vertical="top" wrapText="1"/>
    </xf>
    <xf numFmtId="4" fontId="11" fillId="0" borderId="11" xfId="0" applyNumberFormat="1" applyFont="1" applyBorder="1" applyAlignment="1">
      <alignment horizontal="center" vertical="top" wrapText="1"/>
    </xf>
    <xf numFmtId="49" fontId="11" fillId="0" borderId="9" xfId="0" applyNumberFormat="1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 vertical="top" wrapText="1"/>
    </xf>
    <xf numFmtId="4" fontId="8" fillId="0" borderId="16" xfId="0" applyNumberFormat="1" applyFont="1" applyBorder="1" applyAlignment="1">
      <alignment horizontal="center" vertical="top" wrapText="1"/>
    </xf>
    <xf numFmtId="4" fontId="0" fillId="5" borderId="9" xfId="0" applyNumberFormat="1" applyFont="1" applyFill="1" applyBorder="1" applyAlignment="1">
      <alignment horizontal="center" vertical="top" wrapText="1"/>
    </xf>
    <xf numFmtId="4" fontId="11" fillId="0" borderId="11" xfId="0" applyNumberFormat="1" applyFont="1" applyFill="1" applyBorder="1" applyAlignment="1">
      <alignment horizontal="center" vertical="top" wrapText="1"/>
    </xf>
    <xf numFmtId="49" fontId="8" fillId="0" borderId="9" xfId="0" applyNumberFormat="1" applyFont="1" applyFill="1" applyBorder="1" applyAlignment="1">
      <alignment horizontal="center" vertical="top" wrapText="1"/>
    </xf>
    <xf numFmtId="4" fontId="11" fillId="0" borderId="16" xfId="0" applyNumberFormat="1" applyFont="1" applyBorder="1" applyAlignment="1">
      <alignment horizontal="center" vertical="top" wrapText="1"/>
    </xf>
    <xf numFmtId="4" fontId="2" fillId="7" borderId="13" xfId="0" applyNumberFormat="1" applyFont="1" applyFill="1" applyBorder="1" applyAlignment="1">
      <alignment horizontal="center" vertical="top" wrapText="1"/>
    </xf>
    <xf numFmtId="4" fontId="11" fillId="0" borderId="9" xfId="0" applyNumberFormat="1" applyFont="1" applyBorder="1" applyAlignment="1">
      <alignment horizontal="center" vertical="top" wrapText="1"/>
    </xf>
    <xf numFmtId="0" fontId="8" fillId="9" borderId="10" xfId="0" applyFont="1" applyFill="1" applyBorder="1" applyAlignment="1">
      <alignment horizontal="center" vertical="top" wrapText="1"/>
    </xf>
    <xf numFmtId="0" fontId="8" fillId="9" borderId="9" xfId="0" applyFont="1" applyFill="1" applyBorder="1" applyAlignment="1">
      <alignment horizontal="center" vertical="top" wrapText="1"/>
    </xf>
    <xf numFmtId="0" fontId="8" fillId="9" borderId="16" xfId="0" applyFont="1" applyFill="1" applyBorder="1" applyAlignment="1">
      <alignment horizontal="center" vertical="top" wrapText="1"/>
    </xf>
    <xf numFmtId="0" fontId="11" fillId="9" borderId="11" xfId="0" applyFont="1" applyFill="1" applyBorder="1" applyAlignment="1">
      <alignment horizontal="center" vertical="top" wrapText="1"/>
    </xf>
    <xf numFmtId="49" fontId="11" fillId="9" borderId="11" xfId="0" applyNumberFormat="1" applyFont="1" applyFill="1" applyBorder="1" applyAlignment="1">
      <alignment horizontal="center" vertical="top" wrapText="1"/>
    </xf>
    <xf numFmtId="49" fontId="11" fillId="9" borderId="9" xfId="0" applyNumberFormat="1" applyFont="1" applyFill="1" applyBorder="1" applyAlignment="1">
      <alignment horizontal="center" vertical="top" wrapText="1"/>
    </xf>
    <xf numFmtId="3" fontId="8" fillId="9" borderId="11" xfId="0" applyNumberFormat="1" applyFont="1" applyFill="1" applyBorder="1" applyAlignment="1">
      <alignment horizontal="center" vertical="top" wrapText="1"/>
    </xf>
    <xf numFmtId="0" fontId="8" fillId="9" borderId="11" xfId="0" applyFont="1" applyFill="1" applyBorder="1" applyAlignment="1">
      <alignment horizontal="center" vertical="top" wrapText="1"/>
    </xf>
    <xf numFmtId="4" fontId="8" fillId="9" borderId="11" xfId="0" applyNumberFormat="1" applyFont="1" applyFill="1" applyBorder="1" applyAlignment="1">
      <alignment horizontal="center" vertical="top" wrapText="1"/>
    </xf>
    <xf numFmtId="4" fontId="8" fillId="9" borderId="16" xfId="0" applyNumberFormat="1" applyFont="1" applyFill="1" applyBorder="1" applyAlignment="1">
      <alignment horizontal="center" vertical="top" wrapText="1"/>
    </xf>
    <xf numFmtId="4" fontId="8" fillId="9" borderId="9" xfId="0" applyNumberFormat="1" applyFont="1" applyFill="1" applyBorder="1" applyAlignment="1">
      <alignment horizontal="center" vertical="top" wrapText="1"/>
    </xf>
    <xf numFmtId="0" fontId="8" fillId="9" borderId="0" xfId="0" applyFont="1" applyFill="1" applyAlignment="1">
      <alignment horizontal="center" vertical="top" wrapText="1"/>
    </xf>
    <xf numFmtId="3" fontId="8" fillId="9" borderId="0" xfId="0" applyNumberFormat="1" applyFont="1" applyFill="1" applyAlignment="1">
      <alignment horizontal="center" vertical="top" wrapText="1"/>
    </xf>
    <xf numFmtId="49" fontId="0" fillId="8" borderId="9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4" fontId="2" fillId="7" borderId="9" xfId="0" applyNumberFormat="1" applyFont="1" applyFill="1" applyBorder="1" applyAlignment="1">
      <alignment horizontal="center" vertical="top" wrapText="1"/>
    </xf>
    <xf numFmtId="4" fontId="7" fillId="7" borderId="9" xfId="0" applyNumberFormat="1" applyFont="1" applyFill="1" applyBorder="1" applyAlignment="1">
      <alignment horizontal="center" vertical="top" wrapText="1"/>
    </xf>
    <xf numFmtId="4" fontId="8" fillId="3" borderId="9" xfId="0" applyNumberFormat="1" applyFont="1" applyFill="1" applyBorder="1" applyAlignment="1">
      <alignment horizontal="center" vertical="top" wrapText="1"/>
    </xf>
    <xf numFmtId="4" fontId="7" fillId="3" borderId="9" xfId="0" applyNumberFormat="1" applyFont="1" applyFill="1" applyBorder="1" applyAlignment="1">
      <alignment horizontal="center" vertical="top" wrapText="1"/>
    </xf>
    <xf numFmtId="4" fontId="8" fillId="5" borderId="9" xfId="0" applyNumberFormat="1" applyFont="1" applyFill="1" applyBorder="1" applyAlignment="1">
      <alignment horizontal="center" vertical="top" wrapText="1"/>
    </xf>
    <xf numFmtId="4" fontId="2" fillId="3" borderId="9" xfId="0" applyNumberFormat="1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4" fontId="8" fillId="7" borderId="13" xfId="0" applyNumberFormat="1" applyFont="1" applyFill="1" applyBorder="1" applyAlignment="1">
      <alignment horizontal="center" vertical="top" wrapText="1"/>
    </xf>
    <xf numFmtId="4" fontId="8" fillId="0" borderId="9" xfId="0" applyNumberFormat="1" applyFont="1" applyFill="1" applyBorder="1" applyAlignment="1">
      <alignment horizontal="center" vertical="top" wrapText="1"/>
    </xf>
    <xf numFmtId="4" fontId="8" fillId="7" borderId="9" xfId="1" applyNumberFormat="1" applyFont="1" applyFill="1" applyBorder="1" applyAlignment="1">
      <alignment horizontal="center" vertical="top" wrapText="1"/>
    </xf>
    <xf numFmtId="4" fontId="11" fillId="7" borderId="9" xfId="0" applyNumberFormat="1" applyFont="1" applyFill="1" applyBorder="1" applyAlignment="1">
      <alignment horizontal="center" vertical="top" wrapText="1"/>
    </xf>
    <xf numFmtId="4" fontId="11" fillId="3" borderId="9" xfId="0" applyNumberFormat="1" applyFont="1" applyFill="1" applyBorder="1" applyAlignment="1">
      <alignment horizontal="center" vertical="top" wrapText="1"/>
    </xf>
    <xf numFmtId="4" fontId="11" fillId="0" borderId="7" xfId="0" applyNumberFormat="1" applyFont="1" applyFill="1" applyBorder="1" applyAlignment="1">
      <alignment horizontal="center" vertical="top" wrapText="1"/>
    </xf>
    <xf numFmtId="49" fontId="3" fillId="9" borderId="16" xfId="0" applyNumberFormat="1" applyFont="1" applyFill="1" applyBorder="1" applyAlignment="1">
      <alignment horizontal="center" vertical="top" wrapText="1"/>
    </xf>
    <xf numFmtId="3" fontId="0" fillId="9" borderId="16" xfId="0" applyNumberFormat="1" applyFill="1" applyBorder="1" applyAlignment="1">
      <alignment horizontal="center" vertical="top" wrapText="1"/>
    </xf>
    <xf numFmtId="4" fontId="0" fillId="9" borderId="0" xfId="0" applyNumberFormat="1" applyFill="1" applyBorder="1" applyAlignment="1">
      <alignment horizontal="center" vertical="top" wrapText="1"/>
    </xf>
    <xf numFmtId="49" fontId="3" fillId="9" borderId="0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3" fontId="0" fillId="0" borderId="11" xfId="0" applyNumberFormat="1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4" fontId="0" fillId="0" borderId="11" xfId="0" applyNumberFormat="1" applyFill="1" applyBorder="1" applyAlignment="1">
      <alignment horizontal="center" vertical="top" wrapText="1"/>
    </xf>
    <xf numFmtId="4" fontId="0" fillId="0" borderId="13" xfId="0" applyNumberFormat="1" applyFill="1" applyBorder="1" applyAlignment="1">
      <alignment horizontal="center" vertical="top" wrapText="1"/>
    </xf>
    <xf numFmtId="4" fontId="0" fillId="0" borderId="9" xfId="0" applyNumberFormat="1" applyFill="1" applyBorder="1" applyAlignment="1">
      <alignment horizontal="center" vertical="top" wrapText="1"/>
    </xf>
    <xf numFmtId="0" fontId="8" fillId="0" borderId="16" xfId="0" applyFont="1" applyFill="1" applyBorder="1" applyAlignment="1">
      <alignment horizontal="center" vertical="top" wrapText="1"/>
    </xf>
    <xf numFmtId="0" fontId="8" fillId="5" borderId="10" xfId="0" applyFont="1" applyFill="1" applyBorder="1" applyAlignment="1">
      <alignment horizontal="center" vertical="top" wrapText="1"/>
    </xf>
    <xf numFmtId="0" fontId="11" fillId="5" borderId="9" xfId="0" applyFont="1" applyFill="1" applyBorder="1" applyAlignment="1">
      <alignment horizontal="center" vertical="top" wrapText="1"/>
    </xf>
    <xf numFmtId="49" fontId="11" fillId="5" borderId="9" xfId="0" applyNumberFormat="1" applyFont="1" applyFill="1" applyBorder="1" applyAlignment="1">
      <alignment horizontal="center" vertical="top" wrapText="1"/>
    </xf>
    <xf numFmtId="3" fontId="8" fillId="5" borderId="11" xfId="0" applyNumberFormat="1" applyFont="1" applyFill="1" applyBorder="1" applyAlignment="1">
      <alignment horizontal="center" vertical="top" wrapText="1"/>
    </xf>
    <xf numFmtId="0" fontId="8" fillId="5" borderId="11" xfId="0" applyFont="1" applyFill="1" applyBorder="1" applyAlignment="1">
      <alignment horizontal="center" vertical="top" wrapText="1"/>
    </xf>
    <xf numFmtId="4" fontId="8" fillId="5" borderId="11" xfId="0" applyNumberFormat="1" applyFont="1" applyFill="1" applyBorder="1" applyAlignment="1">
      <alignment horizontal="center" vertical="top" wrapText="1"/>
    </xf>
    <xf numFmtId="4" fontId="8" fillId="5" borderId="16" xfId="0" applyNumberFormat="1" applyFont="1" applyFill="1" applyBorder="1" applyAlignment="1">
      <alignment horizontal="center" vertical="top" wrapText="1"/>
    </xf>
    <xf numFmtId="4" fontId="8" fillId="5" borderId="13" xfId="0" applyNumberFormat="1" applyFont="1" applyFill="1" applyBorder="1" applyAlignment="1">
      <alignment horizontal="center" vertical="top" wrapText="1"/>
    </xf>
    <xf numFmtId="4" fontId="11" fillId="5" borderId="9" xfId="0" applyNumberFormat="1" applyFont="1" applyFill="1" applyBorder="1" applyAlignment="1">
      <alignment horizontal="center" vertical="top" wrapText="1"/>
    </xf>
    <xf numFmtId="4" fontId="11" fillId="5" borderId="9" xfId="1" applyNumberFormat="1" applyFont="1" applyFill="1" applyBorder="1" applyAlignment="1">
      <alignment horizontal="center" vertical="top" wrapText="1"/>
    </xf>
    <xf numFmtId="4" fontId="8" fillId="3" borderId="9" xfId="1" applyNumberFormat="1" applyFont="1" applyFill="1" applyBorder="1" applyAlignment="1">
      <alignment horizontal="center" vertical="top" wrapText="1"/>
    </xf>
    <xf numFmtId="4" fontId="11" fillId="3" borderId="9" xfId="1" applyNumberFormat="1" applyFont="1" applyFill="1" applyBorder="1" applyAlignment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3" fontId="8" fillId="5" borderId="0" xfId="0" applyNumberFormat="1" applyFont="1" applyFill="1" applyAlignment="1">
      <alignment horizontal="center" vertical="top" wrapText="1"/>
    </xf>
    <xf numFmtId="4" fontId="2" fillId="8" borderId="9" xfId="0" applyNumberFormat="1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14" fontId="0" fillId="0" borderId="9" xfId="0" applyNumberFormat="1" applyFill="1" applyBorder="1" applyAlignment="1">
      <alignment horizontal="center" vertical="top" wrapText="1"/>
    </xf>
    <xf numFmtId="4" fontId="0" fillId="0" borderId="0" xfId="0" applyNumberFormat="1" applyFill="1" applyAlignment="1">
      <alignment horizontal="center" vertical="top" wrapText="1"/>
    </xf>
    <xf numFmtId="0" fontId="11" fillId="13" borderId="9" xfId="0" applyFont="1" applyFill="1" applyBorder="1" applyAlignment="1">
      <alignment horizontal="center" vertical="top" wrapText="1"/>
    </xf>
    <xf numFmtId="3" fontId="0" fillId="0" borderId="0" xfId="1" applyNumberFormat="1" applyFont="1" applyFill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3" fontId="8" fillId="0" borderId="11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4" fontId="8" fillId="0" borderId="11" xfId="0" applyNumberFormat="1" applyFont="1" applyFill="1" applyBorder="1" applyAlignment="1">
      <alignment horizontal="center" vertical="top" wrapText="1"/>
    </xf>
    <xf numFmtId="4" fontId="8" fillId="0" borderId="13" xfId="0" applyNumberFormat="1" applyFont="1" applyFill="1" applyBorder="1" applyAlignment="1">
      <alignment horizontal="center" vertical="top" wrapText="1"/>
    </xf>
    <xf numFmtId="4" fontId="11" fillId="0" borderId="9" xfId="1" applyNumberFormat="1" applyFont="1" applyFill="1" applyBorder="1" applyAlignment="1">
      <alignment horizontal="center" vertical="top" wrapText="1"/>
    </xf>
    <xf numFmtId="3" fontId="0" fillId="3" borderId="11" xfId="0" applyNumberFormat="1" applyFill="1" applyBorder="1" applyAlignment="1">
      <alignment horizontal="center" vertical="top" wrapText="1"/>
    </xf>
    <xf numFmtId="4" fontId="0" fillId="3" borderId="13" xfId="0" applyNumberForma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16" xfId="0" applyFont="1" applyFill="1" applyBorder="1" applyAlignment="1">
      <alignment horizontal="center" vertical="top" wrapText="1"/>
    </xf>
    <xf numFmtId="3" fontId="0" fillId="0" borderId="11" xfId="0" applyNumberFormat="1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vertical="top" wrapText="1"/>
    </xf>
    <xf numFmtId="3" fontId="0" fillId="8" borderId="0" xfId="0" applyNumberFormat="1" applyFill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4" fontId="0" fillId="8" borderId="0" xfId="0" applyNumberFormat="1" applyFill="1" applyAlignment="1">
      <alignment horizontal="center" vertical="top" wrapText="1"/>
    </xf>
    <xf numFmtId="3" fontId="0" fillId="7" borderId="0" xfId="0" applyNumberFormat="1" applyFill="1" applyAlignment="1">
      <alignment horizontal="center" vertical="top" wrapText="1"/>
    </xf>
    <xf numFmtId="4" fontId="0" fillId="7" borderId="0" xfId="0" applyNumberFormat="1" applyFill="1" applyAlignment="1">
      <alignment horizontal="center" vertical="top" wrapText="1"/>
    </xf>
    <xf numFmtId="4" fontId="0" fillId="0" borderId="0" xfId="0" applyNumberFormat="1" applyFont="1" applyFill="1" applyAlignment="1">
      <alignment horizontal="center" vertical="top" wrapText="1"/>
    </xf>
    <xf numFmtId="4" fontId="3" fillId="0" borderId="0" xfId="0" applyNumberFormat="1" applyFont="1" applyFill="1" applyAlignment="1">
      <alignment horizontal="center" vertical="top" wrapText="1"/>
    </xf>
    <xf numFmtId="4" fontId="3" fillId="7" borderId="0" xfId="0" applyNumberFormat="1" applyFont="1" applyFill="1" applyAlignment="1">
      <alignment horizontal="center" vertical="top" wrapText="1"/>
    </xf>
    <xf numFmtId="4" fontId="3" fillId="3" borderId="0" xfId="0" applyNumberFormat="1" applyFont="1" applyFill="1" applyAlignment="1">
      <alignment horizontal="center" vertical="top" wrapText="1"/>
    </xf>
    <xf numFmtId="4" fontId="0" fillId="3" borderId="0" xfId="0" applyNumberFormat="1" applyFont="1" applyFill="1" applyAlignment="1">
      <alignment horizontal="center" vertical="top" wrapText="1"/>
    </xf>
    <xf numFmtId="164" fontId="3" fillId="14" borderId="19" xfId="1" applyNumberFormat="1" applyFont="1" applyFill="1" applyBorder="1" applyAlignment="1">
      <alignment horizontal="center" vertical="top" wrapText="1"/>
    </xf>
    <xf numFmtId="49" fontId="3" fillId="14" borderId="19" xfId="0" applyNumberFormat="1" applyFont="1" applyFill="1" applyBorder="1" applyAlignment="1">
      <alignment horizontal="center" vertical="top" wrapText="1"/>
    </xf>
    <xf numFmtId="4" fontId="3" fillId="14" borderId="19" xfId="1" applyNumberFormat="1" applyFont="1" applyFill="1" applyBorder="1" applyAlignment="1">
      <alignment horizontal="center" vertical="top" wrapText="1"/>
    </xf>
    <xf numFmtId="3" fontId="3" fillId="14" borderId="19" xfId="1" applyNumberFormat="1" applyFont="1" applyFill="1" applyBorder="1" applyAlignment="1">
      <alignment horizontal="center" vertical="top" wrapText="1"/>
    </xf>
    <xf numFmtId="4" fontId="3" fillId="14" borderId="22" xfId="1" applyNumberFormat="1" applyFont="1" applyFill="1" applyBorder="1" applyAlignment="1">
      <alignment horizontal="center" vertical="top" wrapText="1"/>
    </xf>
    <xf numFmtId="3" fontId="3" fillId="14" borderId="22" xfId="1" applyNumberFormat="1" applyFont="1" applyFill="1" applyBorder="1" applyAlignment="1">
      <alignment horizontal="center" vertical="top" wrapText="1"/>
    </xf>
    <xf numFmtId="4" fontId="3" fillId="14" borderId="12" xfId="1" applyNumberFormat="1" applyFont="1" applyFill="1" applyBorder="1" applyAlignment="1">
      <alignment horizontal="center" vertical="top" wrapText="1"/>
    </xf>
    <xf numFmtId="4" fontId="3" fillId="14" borderId="3" xfId="1" applyNumberFormat="1" applyFont="1" applyFill="1" applyBorder="1" applyAlignment="1">
      <alignment horizontal="center" vertical="top" wrapText="1"/>
    </xf>
    <xf numFmtId="4" fontId="3" fillId="14" borderId="7" xfId="1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4" fontId="4" fillId="8" borderId="2" xfId="0" applyNumberFormat="1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4" fontId="3" fillId="0" borderId="2" xfId="0" applyNumberFormat="1" applyFont="1" applyBorder="1" applyAlignment="1">
      <alignment horizontal="center" vertical="top" wrapText="1"/>
    </xf>
    <xf numFmtId="4" fontId="5" fillId="0" borderId="2" xfId="0" applyNumberFormat="1" applyFont="1" applyBorder="1" applyAlignment="1">
      <alignment horizontal="center" vertical="top" wrapText="1"/>
    </xf>
    <xf numFmtId="4" fontId="11" fillId="7" borderId="2" xfId="0" applyNumberFormat="1" applyFont="1" applyFill="1" applyBorder="1" applyAlignment="1">
      <alignment horizontal="center" vertical="top" wrapText="1"/>
    </xf>
    <xf numFmtId="4" fontId="8" fillId="0" borderId="2" xfId="0" applyNumberFormat="1" applyFont="1" applyFill="1" applyBorder="1" applyAlignment="1">
      <alignment horizontal="center" vertical="top" wrapText="1"/>
    </xf>
    <xf numFmtId="4" fontId="3" fillId="12" borderId="2" xfId="0" applyNumberFormat="1" applyFont="1" applyFill="1" applyBorder="1" applyAlignment="1">
      <alignment horizontal="center" vertical="top" wrapText="1"/>
    </xf>
    <xf numFmtId="4" fontId="11" fillId="14" borderId="3" xfId="1" applyNumberFormat="1" applyFont="1" applyFill="1" applyBorder="1" applyAlignment="1">
      <alignment horizontal="center" vertical="top" wrapText="1"/>
    </xf>
    <xf numFmtId="4" fontId="11" fillId="2" borderId="2" xfId="1" applyNumberFormat="1" applyFont="1" applyFill="1" applyBorder="1" applyAlignment="1">
      <alignment horizontal="center" vertical="top" wrapText="1"/>
    </xf>
    <xf numFmtId="4" fontId="8" fillId="0" borderId="7" xfId="1" applyNumberFormat="1" applyFont="1" applyFill="1" applyBorder="1" applyAlignment="1">
      <alignment horizontal="center" vertical="top" wrapText="1"/>
    </xf>
    <xf numFmtId="4" fontId="11" fillId="0" borderId="7" xfId="1" applyNumberFormat="1" applyFont="1" applyFill="1" applyBorder="1" applyAlignment="1">
      <alignment horizontal="center" vertical="top" wrapText="1"/>
    </xf>
    <xf numFmtId="4" fontId="11" fillId="9" borderId="16" xfId="0" applyNumberFormat="1" applyFont="1" applyFill="1" applyBorder="1" applyAlignment="1">
      <alignment horizontal="center" vertical="top" wrapText="1"/>
    </xf>
    <xf numFmtId="4" fontId="3" fillId="11" borderId="7" xfId="1" applyNumberFormat="1" applyFont="1" applyFill="1" applyBorder="1" applyAlignment="1">
      <alignment horizontal="center" vertical="top" wrapText="1"/>
    </xf>
    <xf numFmtId="0" fontId="34" fillId="0" borderId="0" xfId="2" applyFont="1"/>
    <xf numFmtId="0" fontId="34" fillId="0" borderId="0" xfId="2" applyFont="1" applyBorder="1"/>
    <xf numFmtId="0" fontId="34" fillId="0" borderId="0" xfId="2" applyFont="1" applyBorder="1" applyAlignment="1">
      <alignment horizontal="center"/>
    </xf>
    <xf numFmtId="0" fontId="34" fillId="0" borderId="26" xfId="2" applyFont="1" applyBorder="1" applyAlignment="1">
      <alignment horizontal="center"/>
    </xf>
    <xf numFmtId="0" fontId="34" fillId="0" borderId="0" xfId="2" applyFont="1" applyAlignment="1">
      <alignment vertical="top"/>
    </xf>
    <xf numFmtId="0" fontId="34" fillId="0" borderId="2" xfId="2" applyFont="1" applyBorder="1" applyAlignment="1">
      <alignment horizontal="center"/>
    </xf>
    <xf numFmtId="0" fontId="34" fillId="0" borderId="2" xfId="2" applyFont="1" applyBorder="1"/>
    <xf numFmtId="2" fontId="34" fillId="0" borderId="2" xfId="2" applyNumberFormat="1" applyFont="1" applyFill="1" applyBorder="1"/>
    <xf numFmtId="4" fontId="34" fillId="0" borderId="0" xfId="2" applyNumberFormat="1" applyFont="1"/>
    <xf numFmtId="0" fontId="16" fillId="0" borderId="0" xfId="2" applyFont="1" applyBorder="1"/>
    <xf numFmtId="3" fontId="16" fillId="0" borderId="0" xfId="2" applyNumberFormat="1" applyFont="1" applyFill="1" applyBorder="1"/>
    <xf numFmtId="0" fontId="34" fillId="0" borderId="0" xfId="2" applyFont="1" applyFill="1" applyBorder="1"/>
    <xf numFmtId="0" fontId="16" fillId="0" borderId="0" xfId="2" applyFont="1" applyAlignment="1"/>
    <xf numFmtId="0" fontId="16" fillId="0" borderId="0" xfId="2" applyFont="1" applyFill="1" applyBorder="1"/>
    <xf numFmtId="0" fontId="34" fillId="0" borderId="0" xfId="2" applyFont="1" applyFill="1"/>
    <xf numFmtId="0" fontId="0" fillId="15" borderId="10" xfId="0" applyFill="1" applyBorder="1" applyAlignment="1">
      <alignment horizontal="center" vertical="top" wrapText="1"/>
    </xf>
    <xf numFmtId="0" fontId="7" fillId="15" borderId="9" xfId="0" applyFont="1" applyFill="1" applyBorder="1" applyAlignment="1">
      <alignment horizontal="center" vertical="top" wrapText="1"/>
    </xf>
    <xf numFmtId="0" fontId="11" fillId="15" borderId="9" xfId="0" applyFont="1" applyFill="1" applyBorder="1" applyAlignment="1">
      <alignment horizontal="center" vertical="top" wrapText="1"/>
    </xf>
    <xf numFmtId="0" fontId="0" fillId="15" borderId="9" xfId="0" applyFill="1" applyBorder="1" applyAlignment="1">
      <alignment horizontal="left" vertical="top" wrapText="1"/>
    </xf>
    <xf numFmtId="0" fontId="0" fillId="15" borderId="9" xfId="0" applyFill="1" applyBorder="1" applyAlignment="1">
      <alignment horizontal="center" vertical="top" wrapText="1"/>
    </xf>
    <xf numFmtId="0" fontId="0" fillId="15" borderId="16" xfId="0" applyFill="1" applyBorder="1" applyAlignment="1">
      <alignment horizontal="center" vertical="top" wrapText="1"/>
    </xf>
    <xf numFmtId="0" fontId="3" fillId="15" borderId="11" xfId="0" applyFont="1" applyFill="1" applyBorder="1" applyAlignment="1">
      <alignment horizontal="center" vertical="top" wrapText="1"/>
    </xf>
    <xf numFmtId="49" fontId="3" fillId="15" borderId="11" xfId="0" applyNumberFormat="1" applyFont="1" applyFill="1" applyBorder="1" applyAlignment="1">
      <alignment horizontal="center" vertical="top" wrapText="1"/>
    </xf>
    <xf numFmtId="4" fontId="3" fillId="15" borderId="9" xfId="0" applyNumberFormat="1" applyFont="1" applyFill="1" applyBorder="1" applyAlignment="1">
      <alignment horizontal="center" vertical="top" wrapText="1"/>
    </xf>
    <xf numFmtId="49" fontId="3" fillId="15" borderId="9" xfId="0" applyNumberFormat="1" applyFont="1" applyFill="1" applyBorder="1" applyAlignment="1">
      <alignment horizontal="center" vertical="top" wrapText="1"/>
    </xf>
    <xf numFmtId="3" fontId="0" fillId="15" borderId="11" xfId="0" applyNumberFormat="1" applyFill="1" applyBorder="1" applyAlignment="1">
      <alignment horizontal="center" vertical="top" wrapText="1"/>
    </xf>
    <xf numFmtId="0" fontId="0" fillId="15" borderId="11" xfId="0" applyFill="1" applyBorder="1" applyAlignment="1">
      <alignment horizontal="center" vertical="top" wrapText="1"/>
    </xf>
    <xf numFmtId="4" fontId="0" fillId="15" borderId="11" xfId="0" applyNumberFormat="1" applyFill="1" applyBorder="1" applyAlignment="1">
      <alignment horizontal="center" vertical="top" wrapText="1"/>
    </xf>
    <xf numFmtId="4" fontId="0" fillId="15" borderId="16" xfId="0" applyNumberFormat="1" applyFill="1" applyBorder="1" applyAlignment="1">
      <alignment horizontal="center" vertical="top" wrapText="1"/>
    </xf>
    <xf numFmtId="4" fontId="0" fillId="15" borderId="13" xfId="0" applyNumberFormat="1" applyFill="1" applyBorder="1" applyAlignment="1">
      <alignment horizontal="center" vertical="top" wrapText="1"/>
    </xf>
    <xf numFmtId="4" fontId="0" fillId="15" borderId="9" xfId="0" applyNumberFormat="1" applyFill="1" applyBorder="1" applyAlignment="1">
      <alignment horizontal="center" vertical="top" wrapText="1"/>
    </xf>
    <xf numFmtId="4" fontId="0" fillId="15" borderId="9" xfId="0" applyNumberFormat="1" applyFont="1" applyFill="1" applyBorder="1" applyAlignment="1">
      <alignment horizontal="center" vertical="top" wrapText="1"/>
    </xf>
    <xf numFmtId="4" fontId="1" fillId="15" borderId="9" xfId="1" applyNumberFormat="1" applyFont="1" applyFill="1" applyBorder="1" applyAlignment="1">
      <alignment horizontal="center" vertical="top" wrapText="1"/>
    </xf>
    <xf numFmtId="4" fontId="3" fillId="15" borderId="9" xfId="1" applyNumberFormat="1" applyFont="1" applyFill="1" applyBorder="1" applyAlignment="1">
      <alignment horizontal="center" vertical="top" wrapText="1"/>
    </xf>
    <xf numFmtId="0" fontId="0" fillId="15" borderId="0" xfId="0" applyFill="1" applyAlignment="1">
      <alignment horizontal="center" vertical="top" wrapText="1"/>
    </xf>
    <xf numFmtId="3" fontId="0" fillId="15" borderId="0" xfId="0" applyNumberFormat="1" applyFill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4" fontId="3" fillId="2" borderId="0" xfId="1" applyNumberFormat="1" applyFont="1" applyFill="1" applyBorder="1" applyAlignment="1">
      <alignment horizontal="center" vertical="top" wrapText="1"/>
    </xf>
    <xf numFmtId="3" fontId="0" fillId="7" borderId="9" xfId="0" applyNumberFormat="1" applyFill="1" applyBorder="1" applyAlignment="1">
      <alignment horizontal="center" vertical="top" wrapText="1"/>
    </xf>
    <xf numFmtId="0" fontId="0" fillId="7" borderId="9" xfId="0" applyFill="1" applyBorder="1" applyAlignment="1">
      <alignment horizontal="center" vertical="top" wrapText="1"/>
    </xf>
    <xf numFmtId="0" fontId="0" fillId="7" borderId="0" xfId="0" applyFill="1" applyAlignment="1">
      <alignment horizontal="center" vertical="top" wrapText="1"/>
    </xf>
    <xf numFmtId="0" fontId="3" fillId="7" borderId="9" xfId="0" applyFont="1" applyFill="1" applyBorder="1" applyAlignment="1">
      <alignment horizontal="center" vertical="top" wrapText="1"/>
    </xf>
    <xf numFmtId="0" fontId="11" fillId="7" borderId="9" xfId="0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4" fontId="3" fillId="7" borderId="2" xfId="0" applyNumberFormat="1" applyFont="1" applyFill="1" applyBorder="1" applyAlignment="1">
      <alignment horizontal="center" vertical="top" wrapText="1"/>
    </xf>
    <xf numFmtId="4" fontId="11" fillId="0" borderId="2" xfId="0" applyNumberFormat="1" applyFont="1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3" fontId="0" fillId="8" borderId="2" xfId="0" applyNumberFormat="1" applyFill="1" applyBorder="1" applyAlignment="1">
      <alignment horizontal="center" vertical="top" wrapText="1"/>
    </xf>
    <xf numFmtId="0" fontId="0" fillId="8" borderId="2" xfId="0" applyFill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" fontId="5" fillId="8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0" fillId="0" borderId="35" xfId="0" applyBorder="1" applyAlignment="1">
      <alignment horizontal="left" vertical="top" wrapText="1"/>
    </xf>
    <xf numFmtId="0" fontId="0" fillId="0" borderId="35" xfId="0" applyBorder="1" applyAlignment="1">
      <alignment horizontal="center" vertical="top" wrapText="1"/>
    </xf>
    <xf numFmtId="49" fontId="3" fillId="0" borderId="18" xfId="0" applyNumberFormat="1" applyFont="1" applyBorder="1" applyAlignment="1">
      <alignment horizontal="center" vertical="top" wrapText="1"/>
    </xf>
    <xf numFmtId="4" fontId="3" fillId="0" borderId="35" xfId="0" applyNumberFormat="1" applyFont="1" applyBorder="1" applyAlignment="1">
      <alignment horizontal="center" vertical="top" wrapText="1"/>
    </xf>
    <xf numFmtId="49" fontId="3" fillId="0" borderId="35" xfId="0" applyNumberFormat="1" applyFont="1" applyBorder="1" applyAlignment="1">
      <alignment horizontal="center" vertical="top" wrapText="1"/>
    </xf>
    <xf numFmtId="49" fontId="0" fillId="0" borderId="35" xfId="0" applyNumberFormat="1" applyFont="1" applyBorder="1" applyAlignment="1">
      <alignment horizontal="center" vertical="top" wrapText="1"/>
    </xf>
    <xf numFmtId="3" fontId="0" fillId="8" borderId="18" xfId="0" applyNumberForma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 wrapText="1"/>
    </xf>
    <xf numFmtId="4" fontId="0" fillId="8" borderId="18" xfId="0" applyNumberFormat="1" applyFill="1" applyBorder="1" applyAlignment="1">
      <alignment horizontal="center" vertical="top" wrapText="1"/>
    </xf>
    <xf numFmtId="4" fontId="0" fillId="0" borderId="14" xfId="0" applyNumberFormat="1" applyBorder="1" applyAlignment="1">
      <alignment horizontal="center" vertical="top" wrapText="1"/>
    </xf>
    <xf numFmtId="3" fontId="0" fillId="7" borderId="18" xfId="0" applyNumberFormat="1" applyFill="1" applyBorder="1" applyAlignment="1">
      <alignment horizontal="center" vertical="top" wrapText="1"/>
    </xf>
    <xf numFmtId="4" fontId="0" fillId="7" borderId="18" xfId="0" applyNumberFormat="1" applyFill="1" applyBorder="1" applyAlignment="1">
      <alignment horizontal="center" vertical="top" wrapText="1"/>
    </xf>
    <xf numFmtId="4" fontId="0" fillId="7" borderId="20" xfId="0" applyNumberFormat="1" applyFill="1" applyBorder="1" applyAlignment="1">
      <alignment horizontal="center" vertical="top" wrapText="1"/>
    </xf>
    <xf numFmtId="4" fontId="0" fillId="8" borderId="35" xfId="0" applyNumberFormat="1" applyFill="1" applyBorder="1" applyAlignment="1">
      <alignment horizontal="center" vertical="top" wrapText="1"/>
    </xf>
    <xf numFmtId="4" fontId="1" fillId="7" borderId="35" xfId="1" applyNumberFormat="1" applyFont="1" applyFill="1" applyBorder="1" applyAlignment="1">
      <alignment horizontal="center" vertical="top" wrapText="1"/>
    </xf>
    <xf numFmtId="4" fontId="3" fillId="7" borderId="35" xfId="0" applyNumberFormat="1" applyFont="1" applyFill="1" applyBorder="1" applyAlignment="1">
      <alignment horizontal="center" vertical="top" wrapText="1"/>
    </xf>
    <xf numFmtId="4" fontId="0" fillId="3" borderId="35" xfId="0" applyNumberFormat="1" applyFont="1" applyFill="1" applyBorder="1" applyAlignment="1">
      <alignment horizontal="center" vertical="top" wrapText="1"/>
    </xf>
    <xf numFmtId="4" fontId="3" fillId="3" borderId="35" xfId="0" applyNumberFormat="1" applyFont="1" applyFill="1" applyBorder="1" applyAlignment="1">
      <alignment horizontal="center" vertical="top" wrapText="1"/>
    </xf>
    <xf numFmtId="4" fontId="0" fillId="8" borderId="35" xfId="0" applyNumberFormat="1" applyFont="1" applyFill="1" applyBorder="1" applyAlignment="1">
      <alignment horizontal="center" vertical="top" wrapText="1"/>
    </xf>
    <xf numFmtId="4" fontId="0" fillId="7" borderId="35" xfId="0" applyNumberFormat="1" applyFont="1" applyFill="1" applyBorder="1" applyAlignment="1">
      <alignment horizontal="center" vertical="top" wrapText="1"/>
    </xf>
    <xf numFmtId="4" fontId="11" fillId="0" borderId="35" xfId="0" applyNumberFormat="1" applyFont="1" applyFill="1" applyBorder="1" applyAlignment="1">
      <alignment horizontal="center" vertical="top" wrapText="1"/>
    </xf>
    <xf numFmtId="4" fontId="1" fillId="0" borderId="5" xfId="1" applyNumberFormat="1" applyFont="1" applyFill="1" applyBorder="1" applyAlignment="1">
      <alignment horizontal="center" vertical="top" wrapText="1"/>
    </xf>
    <xf numFmtId="4" fontId="3" fillId="0" borderId="5" xfId="0" applyNumberFormat="1" applyFont="1" applyFill="1" applyBorder="1" applyAlignment="1">
      <alignment horizontal="center" vertical="top" wrapText="1"/>
    </xf>
    <xf numFmtId="4" fontId="1" fillId="3" borderId="5" xfId="1" applyNumberFormat="1" applyFont="1" applyFill="1" applyBorder="1" applyAlignment="1">
      <alignment horizontal="center" vertical="top" wrapText="1"/>
    </xf>
    <xf numFmtId="4" fontId="3" fillId="0" borderId="5" xfId="1" applyNumberFormat="1" applyFont="1" applyFill="1" applyBorder="1" applyAlignment="1">
      <alignment horizontal="center" vertical="top" wrapText="1"/>
    </xf>
    <xf numFmtId="0" fontId="0" fillId="4" borderId="7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center" vertical="top" wrapText="1"/>
    </xf>
    <xf numFmtId="49" fontId="3" fillId="0" borderId="19" xfId="0" applyNumberFormat="1" applyFont="1" applyFill="1" applyBorder="1" applyAlignment="1">
      <alignment horizontal="center" vertical="top" wrapText="1"/>
    </xf>
    <xf numFmtId="49" fontId="3" fillId="0" borderId="7" xfId="0" applyNumberFormat="1" applyFont="1" applyFill="1" applyBorder="1" applyAlignment="1">
      <alignment horizontal="center" vertical="top" wrapText="1"/>
    </xf>
    <xf numFmtId="49" fontId="0" fillId="0" borderId="7" xfId="0" applyNumberFormat="1" applyFont="1" applyFill="1" applyBorder="1" applyAlignment="1">
      <alignment horizontal="center" vertical="top" wrapText="1"/>
    </xf>
    <xf numFmtId="3" fontId="0" fillId="8" borderId="19" xfId="0" applyNumberFormat="1" applyFill="1" applyBorder="1" applyAlignment="1">
      <alignment horizontal="center" vertical="top" wrapText="1"/>
    </xf>
    <xf numFmtId="0" fontId="0" fillId="8" borderId="19" xfId="0" applyFill="1" applyBorder="1" applyAlignment="1">
      <alignment horizontal="center" vertical="top" wrapText="1"/>
    </xf>
    <xf numFmtId="4" fontId="0" fillId="8" borderId="19" xfId="0" applyNumberFormat="1" applyFill="1" applyBorder="1" applyAlignment="1">
      <alignment horizontal="center" vertical="top" wrapText="1"/>
    </xf>
    <xf numFmtId="4" fontId="0" fillId="0" borderId="12" xfId="0" applyNumberFormat="1" applyFill="1" applyBorder="1" applyAlignment="1">
      <alignment horizontal="center" vertical="top" wrapText="1"/>
    </xf>
    <xf numFmtId="3" fontId="0" fillId="7" borderId="19" xfId="0" applyNumberFormat="1" applyFill="1" applyBorder="1" applyAlignment="1">
      <alignment horizontal="center" vertical="top" wrapText="1"/>
    </xf>
    <xf numFmtId="4" fontId="0" fillId="7" borderId="19" xfId="0" applyNumberFormat="1" applyFill="1" applyBorder="1" applyAlignment="1">
      <alignment horizontal="center" vertical="top" wrapText="1"/>
    </xf>
    <xf numFmtId="4" fontId="0" fillId="7" borderId="21" xfId="0" applyNumberFormat="1" applyFill="1" applyBorder="1" applyAlignment="1">
      <alignment horizontal="center" vertical="top" wrapText="1"/>
    </xf>
    <xf numFmtId="4" fontId="1" fillId="7" borderId="7" xfId="1" applyNumberFormat="1" applyFont="1" applyFill="1" applyBorder="1" applyAlignment="1">
      <alignment horizontal="center" vertical="top" wrapText="1"/>
    </xf>
    <xf numFmtId="4" fontId="3" fillId="7" borderId="7" xfId="0" applyNumberFormat="1" applyFont="1" applyFill="1" applyBorder="1" applyAlignment="1">
      <alignment horizontal="center" vertical="top" wrapText="1"/>
    </xf>
    <xf numFmtId="4" fontId="0" fillId="3" borderId="7" xfId="0" applyNumberFormat="1" applyFont="1" applyFill="1" applyBorder="1" applyAlignment="1">
      <alignment horizontal="center" vertical="top" wrapText="1"/>
    </xf>
    <xf numFmtId="4" fontId="0" fillId="8" borderId="7" xfId="0" applyNumberFormat="1" applyFont="1" applyFill="1" applyBorder="1" applyAlignment="1">
      <alignment horizontal="center" vertical="top" wrapText="1"/>
    </xf>
    <xf numFmtId="164" fontId="3" fillId="0" borderId="9" xfId="0" applyNumberFormat="1" applyFont="1" applyBorder="1" applyAlignment="1">
      <alignment horizontal="center" vertical="top" wrapText="1"/>
    </xf>
    <xf numFmtId="14" fontId="0" fillId="0" borderId="9" xfId="0" applyNumberFormat="1" applyFont="1" applyBorder="1" applyAlignment="1">
      <alignment horizontal="center" vertical="top" wrapText="1"/>
    </xf>
    <xf numFmtId="0" fontId="0" fillId="8" borderId="9" xfId="0" applyFill="1" applyBorder="1" applyAlignment="1">
      <alignment horizontal="center" vertical="top" wrapText="1"/>
    </xf>
    <xf numFmtId="3" fontId="0" fillId="8" borderId="9" xfId="0" applyNumberFormat="1" applyFill="1" applyBorder="1" applyAlignment="1">
      <alignment horizontal="center" vertical="top" wrapText="1"/>
    </xf>
    <xf numFmtId="4" fontId="0" fillId="0" borderId="9" xfId="0" applyNumberFormat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4" fontId="3" fillId="7" borderId="2" xfId="0" applyNumberFormat="1" applyFont="1" applyFill="1" applyBorder="1" applyAlignment="1">
      <alignment horizontal="center" vertical="top" wrapText="1"/>
    </xf>
    <xf numFmtId="4" fontId="3" fillId="7" borderId="16" xfId="0" applyNumberFormat="1" applyFont="1" applyFill="1" applyBorder="1" applyAlignment="1">
      <alignment horizontal="center" vertical="top" wrapText="1"/>
    </xf>
    <xf numFmtId="4" fontId="0" fillId="7" borderId="16" xfId="0" applyNumberFormat="1" applyFont="1" applyFill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top" wrapText="1"/>
    </xf>
    <xf numFmtId="0" fontId="5" fillId="0" borderId="28" xfId="0" applyFont="1" applyBorder="1" applyAlignment="1">
      <alignment horizontal="center" vertical="top" wrapText="1"/>
    </xf>
    <xf numFmtId="4" fontId="5" fillId="0" borderId="28" xfId="0" applyNumberFormat="1" applyFont="1" applyBorder="1" applyAlignment="1">
      <alignment horizontal="center" vertical="top" wrapText="1"/>
    </xf>
    <xf numFmtId="4" fontId="0" fillId="0" borderId="25" xfId="0" applyNumberFormat="1" applyFill="1" applyBorder="1" applyAlignment="1">
      <alignment horizontal="center" vertical="top" wrapText="1"/>
    </xf>
    <xf numFmtId="4" fontId="0" fillId="9" borderId="25" xfId="0" applyNumberFormat="1" applyFill="1" applyBorder="1" applyAlignment="1">
      <alignment horizontal="center" vertical="top" wrapText="1"/>
    </xf>
    <xf numFmtId="4" fontId="0" fillId="0" borderId="25" xfId="0" applyNumberFormat="1" applyBorder="1" applyAlignment="1">
      <alignment horizontal="center" vertical="top" wrapText="1"/>
    </xf>
    <xf numFmtId="4" fontId="3" fillId="9" borderId="25" xfId="0" applyNumberFormat="1" applyFont="1" applyFill="1" applyBorder="1" applyAlignment="1">
      <alignment horizontal="center" vertical="top" wrapText="1"/>
    </xf>
    <xf numFmtId="4" fontId="8" fillId="0" borderId="25" xfId="0" applyNumberFormat="1" applyFont="1" applyFill="1" applyBorder="1" applyAlignment="1">
      <alignment horizontal="center" vertical="top" wrapText="1"/>
    </xf>
    <xf numFmtId="4" fontId="8" fillId="0" borderId="25" xfId="0" applyNumberFormat="1" applyFont="1" applyBorder="1" applyAlignment="1">
      <alignment horizontal="center" vertical="top" wrapText="1"/>
    </xf>
    <xf numFmtId="4" fontId="8" fillId="9" borderId="25" xfId="0" applyNumberFormat="1" applyFont="1" applyFill="1" applyBorder="1" applyAlignment="1">
      <alignment horizontal="center" vertical="top" wrapText="1"/>
    </xf>
    <xf numFmtId="4" fontId="0" fillId="0" borderId="10" xfId="0" applyNumberFormat="1" applyBorder="1" applyAlignment="1">
      <alignment horizontal="center" vertical="top" wrapText="1"/>
    </xf>
    <xf numFmtId="4" fontId="0" fillId="15" borderId="25" xfId="0" applyNumberFormat="1" applyFill="1" applyBorder="1" applyAlignment="1">
      <alignment horizontal="center" vertical="top" wrapText="1"/>
    </xf>
    <xf numFmtId="4" fontId="8" fillId="5" borderId="25" xfId="0" applyNumberFormat="1" applyFont="1" applyFill="1" applyBorder="1" applyAlignment="1">
      <alignment horizontal="center" vertical="top" wrapText="1"/>
    </xf>
    <xf numFmtId="4" fontId="0" fillId="0" borderId="25" xfId="0" applyNumberFormat="1" applyFont="1" applyFill="1" applyBorder="1" applyAlignment="1">
      <alignment horizontal="center" vertical="top" wrapText="1"/>
    </xf>
    <xf numFmtId="4" fontId="3" fillId="2" borderId="15" xfId="1" applyNumberFormat="1" applyFont="1" applyFill="1" applyBorder="1" applyAlignment="1">
      <alignment horizontal="center" vertical="top" wrapText="1"/>
    </xf>
    <xf numFmtId="4" fontId="3" fillId="2" borderId="17" xfId="0" applyNumberFormat="1" applyFont="1" applyFill="1" applyBorder="1" applyAlignment="1">
      <alignment horizontal="center" vertical="top" wrapText="1"/>
    </xf>
    <xf numFmtId="4" fontId="3" fillId="8" borderId="9" xfId="0" applyNumberFormat="1" applyFont="1" applyFill="1" applyBorder="1" applyAlignment="1">
      <alignment horizontal="center" vertical="top" wrapText="1"/>
    </xf>
    <xf numFmtId="4" fontId="3" fillId="14" borderId="9" xfId="1" applyNumberFormat="1" applyFont="1" applyFill="1" applyBorder="1" applyAlignment="1">
      <alignment horizontal="center" vertical="top" wrapText="1"/>
    </xf>
    <xf numFmtId="4" fontId="3" fillId="7" borderId="28" xfId="0" applyNumberFormat="1" applyFont="1" applyFill="1" applyBorder="1" applyAlignment="1">
      <alignment horizontal="center" vertical="top" wrapText="1"/>
    </xf>
    <xf numFmtId="4" fontId="3" fillId="7" borderId="29" xfId="0" applyNumberFormat="1" applyFont="1" applyFill="1" applyBorder="1" applyAlignment="1">
      <alignment horizontal="center" vertical="top" wrapText="1"/>
    </xf>
    <xf numFmtId="4" fontId="11" fillId="7" borderId="10" xfId="0" applyNumberFormat="1" applyFont="1" applyFill="1" applyBorder="1" applyAlignment="1">
      <alignment horizontal="center" vertical="top" wrapText="1"/>
    </xf>
    <xf numFmtId="4" fontId="0" fillId="7" borderId="0" xfId="0" applyNumberFormat="1" applyFont="1" applyFill="1" applyAlignment="1">
      <alignment horizontal="center" vertical="top" wrapText="1"/>
    </xf>
    <xf numFmtId="4" fontId="1" fillId="7" borderId="5" xfId="1" applyNumberFormat="1" applyFont="1" applyFill="1" applyBorder="1" applyAlignment="1">
      <alignment horizontal="center" vertical="top" wrapText="1"/>
    </xf>
    <xf numFmtId="4" fontId="11" fillId="7" borderId="9" xfId="1" applyNumberFormat="1" applyFont="1" applyFill="1" applyBorder="1" applyAlignment="1">
      <alignment horizontal="center" vertical="top" wrapText="1"/>
    </xf>
    <xf numFmtId="4" fontId="0" fillId="7" borderId="9" xfId="1" applyNumberFormat="1" applyFont="1" applyFill="1" applyBorder="1" applyAlignment="1">
      <alignment horizontal="center" vertical="top" wrapText="1"/>
    </xf>
    <xf numFmtId="4" fontId="3" fillId="7" borderId="8" xfId="1" applyNumberFormat="1" applyFont="1" applyFill="1" applyBorder="1" applyAlignment="1">
      <alignment horizontal="center" vertical="top" wrapText="1"/>
    </xf>
    <xf numFmtId="4" fontId="3" fillId="7" borderId="10" xfId="0" applyNumberFormat="1" applyFont="1" applyFill="1" applyBorder="1" applyAlignment="1">
      <alignment horizontal="center" vertical="top" wrapText="1"/>
    </xf>
    <xf numFmtId="4" fontId="1" fillId="7" borderId="17" xfId="1" applyNumberFormat="1" applyFont="1" applyFill="1" applyBorder="1" applyAlignment="1">
      <alignment horizontal="center" vertical="top" wrapText="1"/>
    </xf>
    <xf numFmtId="4" fontId="0" fillId="7" borderId="17" xfId="0" applyNumberFormat="1" applyFill="1" applyBorder="1" applyAlignment="1">
      <alignment horizontal="center" vertical="top" wrapText="1"/>
    </xf>
    <xf numFmtId="4" fontId="3" fillId="7" borderId="17" xfId="0" applyNumberFormat="1" applyFont="1" applyFill="1" applyBorder="1" applyAlignment="1">
      <alignment horizontal="center" vertical="top" wrapText="1"/>
    </xf>
    <xf numFmtId="4" fontId="8" fillId="7" borderId="17" xfId="0" applyNumberFormat="1" applyFont="1" applyFill="1" applyBorder="1" applyAlignment="1">
      <alignment horizontal="center" vertical="top" wrapText="1"/>
    </xf>
    <xf numFmtId="4" fontId="0" fillId="7" borderId="36" xfId="0" applyNumberFormat="1" applyFill="1" applyBorder="1" applyAlignment="1">
      <alignment horizontal="center" vertical="top" wrapText="1"/>
    </xf>
    <xf numFmtId="4" fontId="0" fillId="7" borderId="34" xfId="0" applyNumberForma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 wrapText="1"/>
    </xf>
    <xf numFmtId="4" fontId="0" fillId="7" borderId="17" xfId="0" applyNumberFormat="1" applyFont="1" applyFill="1" applyBorder="1" applyAlignment="1">
      <alignment horizontal="center" vertical="top" wrapText="1"/>
    </xf>
    <xf numFmtId="4" fontId="12" fillId="0" borderId="5" xfId="0" applyNumberFormat="1" applyFont="1" applyFill="1" applyBorder="1" applyAlignment="1">
      <alignment horizontal="center" vertical="top" wrapText="1"/>
    </xf>
    <xf numFmtId="4" fontId="14" fillId="0" borderId="5" xfId="0" applyNumberFormat="1" applyFont="1" applyFill="1" applyBorder="1" applyAlignment="1">
      <alignment horizontal="center" vertical="top" wrapText="1"/>
    </xf>
    <xf numFmtId="4" fontId="21" fillId="0" borderId="5" xfId="0" applyNumberFormat="1" applyFont="1" applyFill="1" applyBorder="1" applyAlignment="1">
      <alignment horizontal="center" vertical="top" wrapText="1"/>
    </xf>
    <xf numFmtId="4" fontId="0" fillId="0" borderId="5" xfId="0" applyNumberFormat="1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4" fontId="2" fillId="0" borderId="5" xfId="0" applyNumberFormat="1" applyFont="1" applyFill="1" applyBorder="1" applyAlignment="1">
      <alignment horizontal="center" vertical="top" wrapText="1"/>
    </xf>
    <xf numFmtId="4" fontId="8" fillId="0" borderId="5" xfId="0" applyNumberFormat="1" applyFont="1" applyFill="1" applyBorder="1" applyAlignment="1">
      <alignment horizontal="center" vertical="top" wrapText="1"/>
    </xf>
    <xf numFmtId="4" fontId="33" fillId="7" borderId="2" xfId="0" applyNumberFormat="1" applyFont="1" applyFill="1" applyBorder="1" applyAlignment="1">
      <alignment horizontal="center" vertical="top" wrapText="1"/>
    </xf>
    <xf numFmtId="4" fontId="26" fillId="7" borderId="2" xfId="0" applyNumberFormat="1" applyFont="1" applyFill="1" applyBorder="1" applyAlignment="1">
      <alignment horizontal="center" vertical="top" wrapText="1"/>
    </xf>
    <xf numFmtId="4" fontId="25" fillId="7" borderId="2" xfId="0" applyNumberFormat="1" applyFont="1" applyFill="1" applyBorder="1" applyAlignment="1">
      <alignment horizontal="center" vertical="top" wrapText="1"/>
    </xf>
    <xf numFmtId="4" fontId="3" fillId="7" borderId="10" xfId="1" applyNumberFormat="1" applyFont="1" applyFill="1" applyBorder="1" applyAlignment="1">
      <alignment horizontal="center" vertical="top" wrapText="1"/>
    </xf>
    <xf numFmtId="4" fontId="3" fillId="7" borderId="41" xfId="0" applyNumberFormat="1" applyFont="1" applyFill="1" applyBorder="1" applyAlignment="1">
      <alignment horizontal="center" vertical="top" wrapText="1"/>
    </xf>
    <xf numFmtId="4" fontId="3" fillId="7" borderId="8" xfId="0" applyNumberFormat="1" applyFont="1" applyFill="1" applyBorder="1" applyAlignment="1">
      <alignment horizontal="center" vertical="top" wrapText="1"/>
    </xf>
    <xf numFmtId="4" fontId="7" fillId="7" borderId="10" xfId="0" applyNumberFormat="1" applyFont="1" applyFill="1" applyBorder="1" applyAlignment="1">
      <alignment horizontal="center" vertical="top" wrapText="1"/>
    </xf>
    <xf numFmtId="4" fontId="27" fillId="0" borderId="37" xfId="0" applyNumberFormat="1" applyFont="1" applyBorder="1" applyAlignment="1">
      <alignment vertical="top" wrapText="1"/>
    </xf>
    <xf numFmtId="4" fontId="27" fillId="0" borderId="26" xfId="0" applyNumberFormat="1" applyFont="1" applyBorder="1" applyAlignment="1">
      <alignment vertical="top" wrapText="1"/>
    </xf>
    <xf numFmtId="4" fontId="3" fillId="7" borderId="12" xfId="1" applyNumberFormat="1" applyFont="1" applyFill="1" applyBorder="1" applyAlignment="1">
      <alignment horizontal="center" vertical="top" wrapText="1"/>
    </xf>
    <xf numFmtId="4" fontId="3" fillId="3" borderId="29" xfId="0" applyNumberFormat="1" applyFont="1" applyFill="1" applyBorder="1" applyAlignment="1">
      <alignment horizontal="center" vertical="top" wrapText="1"/>
    </xf>
    <xf numFmtId="4" fontId="1" fillId="3" borderId="17" xfId="1" applyNumberFormat="1" applyFont="1" applyFill="1" applyBorder="1" applyAlignment="1">
      <alignment horizontal="center" vertical="top" wrapText="1"/>
    </xf>
    <xf numFmtId="4" fontId="0" fillId="3" borderId="17" xfId="0" applyNumberFormat="1" applyFont="1" applyFill="1" applyBorder="1" applyAlignment="1">
      <alignment horizontal="center" vertical="top" wrapText="1"/>
    </xf>
    <xf numFmtId="4" fontId="3" fillId="3" borderId="17" xfId="0" applyNumberFormat="1" applyFont="1" applyFill="1" applyBorder="1" applyAlignment="1">
      <alignment horizontal="center" vertical="top" wrapText="1"/>
    </xf>
    <xf numFmtId="4" fontId="0" fillId="3" borderId="36" xfId="0" applyNumberFormat="1" applyFont="1" applyFill="1" applyBorder="1" applyAlignment="1">
      <alignment horizontal="center" vertical="top" wrapText="1"/>
    </xf>
    <xf numFmtId="4" fontId="0" fillId="3" borderId="34" xfId="0" applyNumberFormat="1" applyFont="1" applyFill="1" applyBorder="1" applyAlignment="1">
      <alignment horizontal="center" vertical="top" wrapText="1"/>
    </xf>
    <xf numFmtId="4" fontId="8" fillId="3" borderId="17" xfId="0" applyNumberFormat="1" applyFont="1" applyFill="1" applyBorder="1" applyAlignment="1">
      <alignment horizontal="center" vertical="top" wrapText="1"/>
    </xf>
    <xf numFmtId="4" fontId="1" fillId="15" borderId="17" xfId="1" applyNumberFormat="1" applyFont="1" applyFill="1" applyBorder="1" applyAlignment="1">
      <alignment horizontal="center" vertical="top" wrapText="1"/>
    </xf>
    <xf numFmtId="4" fontId="1" fillId="0" borderId="17" xfId="1" applyNumberFormat="1" applyFont="1" applyFill="1" applyBorder="1" applyAlignment="1">
      <alignment horizontal="center" vertical="top" wrapText="1"/>
    </xf>
    <xf numFmtId="4" fontId="8" fillId="3" borderId="17" xfId="1" applyNumberFormat="1" applyFont="1" applyFill="1" applyBorder="1" applyAlignment="1">
      <alignment horizontal="center" vertical="top" wrapText="1"/>
    </xf>
    <xf numFmtId="4" fontId="27" fillId="0" borderId="5" xfId="0" applyNumberFormat="1" applyFont="1" applyBorder="1" applyAlignment="1">
      <alignment horizontal="center" vertical="top" wrapText="1"/>
    </xf>
    <xf numFmtId="4" fontId="24" fillId="0" borderId="5" xfId="0" applyNumberFormat="1" applyFont="1" applyFill="1" applyBorder="1" applyAlignment="1">
      <alignment horizontal="center" vertical="top" wrapText="1"/>
    </xf>
    <xf numFmtId="4" fontId="3" fillId="14" borderId="5" xfId="1" applyNumberFormat="1" applyFont="1" applyFill="1" applyBorder="1" applyAlignment="1">
      <alignment horizontal="center" vertical="top" wrapText="1"/>
    </xf>
    <xf numFmtId="4" fontId="3" fillId="2" borderId="5" xfId="1" applyNumberFormat="1" applyFont="1" applyFill="1" applyBorder="1" applyAlignment="1">
      <alignment horizontal="center" vertical="top" wrapText="1"/>
    </xf>
    <xf numFmtId="4" fontId="0" fillId="9" borderId="5" xfId="0" applyNumberFormat="1" applyFont="1" applyFill="1" applyBorder="1" applyAlignment="1">
      <alignment horizontal="center" vertical="top" wrapText="1"/>
    </xf>
    <xf numFmtId="4" fontId="3" fillId="2" borderId="5" xfId="0" applyNumberFormat="1" applyFont="1" applyFill="1" applyBorder="1" applyAlignment="1">
      <alignment horizontal="center" vertical="top" wrapText="1"/>
    </xf>
    <xf numFmtId="4" fontId="0" fillId="15" borderId="5" xfId="0" applyNumberFormat="1" applyFont="1" applyFill="1" applyBorder="1" applyAlignment="1">
      <alignment horizontal="center" vertical="top" wrapText="1"/>
    </xf>
    <xf numFmtId="4" fontId="8" fillId="5" borderId="5" xfId="0" applyNumberFormat="1" applyFont="1" applyFill="1" applyBorder="1" applyAlignment="1">
      <alignment horizontal="center" vertical="top" wrapText="1"/>
    </xf>
    <xf numFmtId="4" fontId="11" fillId="7" borderId="10" xfId="1" applyNumberFormat="1" applyFont="1" applyFill="1" applyBorder="1" applyAlignment="1">
      <alignment horizontal="center" vertical="top" wrapText="1"/>
    </xf>
    <xf numFmtId="4" fontId="22" fillId="0" borderId="5" xfId="0" applyNumberFormat="1" applyFont="1" applyFill="1" applyBorder="1" applyAlignment="1">
      <alignment horizontal="center" vertical="top" wrapText="1"/>
    </xf>
    <xf numFmtId="4" fontId="11" fillId="0" borderId="5" xfId="0" applyNumberFormat="1" applyFont="1" applyFill="1" applyBorder="1" applyAlignment="1">
      <alignment horizontal="center" vertical="top" wrapText="1"/>
    </xf>
    <xf numFmtId="4" fontId="11" fillId="0" borderId="5" xfId="1" applyNumberFormat="1" applyFont="1" applyFill="1" applyBorder="1" applyAlignment="1">
      <alignment horizontal="center" vertical="top" wrapText="1"/>
    </xf>
    <xf numFmtId="4" fontId="1" fillId="7" borderId="34" xfId="1" applyNumberFormat="1" applyFont="1" applyFill="1" applyBorder="1" applyAlignment="1">
      <alignment horizontal="center" vertical="top" wrapText="1"/>
    </xf>
    <xf numFmtId="4" fontId="0" fillId="7" borderId="36" xfId="0" applyNumberFormat="1" applyFont="1" applyFill="1" applyBorder="1" applyAlignment="1">
      <alignment horizontal="center" vertical="top" wrapText="1"/>
    </xf>
    <xf numFmtId="4" fontId="0" fillId="7" borderId="34" xfId="0" applyNumberFormat="1" applyFont="1" applyFill="1" applyBorder="1" applyAlignment="1">
      <alignment horizontal="center" vertical="top" wrapText="1"/>
    </xf>
    <xf numFmtId="4" fontId="2" fillId="7" borderId="17" xfId="0" applyNumberFormat="1" applyFont="1" applyFill="1" applyBorder="1" applyAlignment="1">
      <alignment horizontal="center" vertical="top" wrapText="1"/>
    </xf>
    <xf numFmtId="4" fontId="22" fillId="16" borderId="9" xfId="0" applyNumberFormat="1" applyFont="1" applyFill="1" applyBorder="1" applyAlignment="1">
      <alignment horizontal="center" vertical="top" wrapText="1"/>
    </xf>
    <xf numFmtId="4" fontId="0" fillId="18" borderId="2" xfId="0" applyNumberFormat="1" applyFont="1" applyFill="1" applyBorder="1" applyAlignment="1">
      <alignment horizontal="center" vertical="top" wrapText="1"/>
    </xf>
    <xf numFmtId="4" fontId="3" fillId="18" borderId="2" xfId="0" applyNumberFormat="1" applyFont="1" applyFill="1" applyBorder="1" applyAlignment="1">
      <alignment horizontal="center" vertical="top" wrapText="1"/>
    </xf>
    <xf numFmtId="4" fontId="3" fillId="18" borderId="28" xfId="0" applyNumberFormat="1" applyFont="1" applyFill="1" applyBorder="1" applyAlignment="1">
      <alignment horizontal="center" vertical="top" wrapText="1"/>
    </xf>
    <xf numFmtId="0" fontId="3" fillId="18" borderId="28" xfId="0" applyFont="1" applyFill="1" applyBorder="1" applyAlignment="1">
      <alignment horizontal="center" vertical="top" wrapText="1"/>
    </xf>
    <xf numFmtId="4" fontId="3" fillId="16" borderId="9" xfId="0" applyNumberFormat="1" applyFont="1" applyFill="1" applyBorder="1" applyAlignment="1">
      <alignment horizontal="center" vertical="top" wrapText="1"/>
    </xf>
    <xf numFmtId="4" fontId="0" fillId="17" borderId="9" xfId="0" applyNumberFormat="1" applyFont="1" applyFill="1" applyBorder="1" applyAlignment="1">
      <alignment horizontal="center" vertical="top" wrapText="1"/>
    </xf>
    <xf numFmtId="4" fontId="21" fillId="17" borderId="9" xfId="0" applyNumberFormat="1" applyFont="1" applyFill="1" applyBorder="1" applyAlignment="1">
      <alignment horizontal="center" vertical="top" wrapText="1"/>
    </xf>
    <xf numFmtId="4" fontId="22" fillId="16" borderId="2" xfId="0" applyNumberFormat="1" applyFont="1" applyFill="1" applyBorder="1" applyAlignment="1">
      <alignment horizontal="center" vertical="top" wrapText="1"/>
    </xf>
    <xf numFmtId="4" fontId="3" fillId="16" borderId="29" xfId="0" applyNumberFormat="1" applyFont="1" applyFill="1" applyBorder="1" applyAlignment="1">
      <alignment horizontal="center" vertical="top" wrapText="1"/>
    </xf>
    <xf numFmtId="4" fontId="3" fillId="16" borderId="2" xfId="0" applyNumberFormat="1" applyFont="1" applyFill="1" applyBorder="1" applyAlignment="1">
      <alignment horizontal="center" vertical="top" wrapText="1"/>
    </xf>
    <xf numFmtId="4" fontId="3" fillId="17" borderId="9" xfId="0" applyNumberFormat="1" applyFont="1" applyFill="1" applyBorder="1" applyAlignment="1">
      <alignment horizontal="center" vertical="top" wrapText="1"/>
    </xf>
    <xf numFmtId="4" fontId="22" fillId="12" borderId="2" xfId="0" applyNumberFormat="1" applyFont="1" applyFill="1" applyBorder="1" applyAlignment="1">
      <alignment horizontal="center" vertical="top" wrapText="1"/>
    </xf>
    <xf numFmtId="4" fontId="0" fillId="12" borderId="2" xfId="0" applyNumberFormat="1" applyFont="1" applyFill="1" applyBorder="1" applyAlignment="1">
      <alignment horizontal="center" vertical="top" wrapText="1"/>
    </xf>
    <xf numFmtId="4" fontId="26" fillId="12" borderId="29" xfId="0" applyNumberFormat="1" applyFont="1" applyFill="1" applyBorder="1" applyAlignment="1">
      <alignment vertical="top" wrapText="1"/>
    </xf>
    <xf numFmtId="4" fontId="26" fillId="12" borderId="2" xfId="0" applyNumberFormat="1" applyFont="1" applyFill="1" applyBorder="1" applyAlignment="1">
      <alignment vertical="top" wrapText="1"/>
    </xf>
    <xf numFmtId="4" fontId="28" fillId="12" borderId="2" xfId="0" applyNumberFormat="1" applyFont="1" applyFill="1" applyBorder="1" applyAlignment="1">
      <alignment horizontal="center" vertical="top" wrapText="1"/>
    </xf>
    <xf numFmtId="4" fontId="22" fillId="12" borderId="28" xfId="0" applyNumberFormat="1" applyFont="1" applyFill="1" applyBorder="1" applyAlignment="1">
      <alignment horizontal="center" vertical="top" wrapText="1"/>
    </xf>
    <xf numFmtId="4" fontId="3" fillId="12" borderId="29" xfId="0" applyNumberFormat="1" applyFont="1" applyFill="1" applyBorder="1" applyAlignment="1">
      <alignment horizontal="center" vertical="top" wrapText="1"/>
    </xf>
    <xf numFmtId="4" fontId="3" fillId="12" borderId="28" xfId="0" applyNumberFormat="1" applyFont="1" applyFill="1" applyBorder="1" applyAlignment="1">
      <alignment horizontal="center" vertical="top" wrapText="1"/>
    </xf>
    <xf numFmtId="4" fontId="21" fillId="7" borderId="2" xfId="0" applyNumberFormat="1" applyFont="1" applyFill="1" applyBorder="1" applyAlignment="1">
      <alignment horizontal="center" vertical="top" wrapText="1"/>
    </xf>
    <xf numFmtId="4" fontId="3" fillId="14" borderId="8" xfId="1" applyNumberFormat="1" applyFont="1" applyFill="1" applyBorder="1" applyAlignment="1">
      <alignment horizontal="center" vertical="top" wrapText="1"/>
    </xf>
    <xf numFmtId="0" fontId="3" fillId="14" borderId="0" xfId="0" applyFont="1" applyFill="1" applyAlignment="1">
      <alignment horizontal="center" vertical="top" wrapText="1"/>
    </xf>
    <xf numFmtId="3" fontId="3" fillId="14" borderId="0" xfId="0" applyNumberFormat="1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3" fillId="14" borderId="22" xfId="1" applyNumberFormat="1" applyFont="1" applyFill="1" applyBorder="1" applyAlignment="1">
      <alignment horizontal="left" vertical="top" wrapText="1"/>
    </xf>
    <xf numFmtId="49" fontId="0" fillId="0" borderId="17" xfId="0" applyNumberFormat="1" applyFont="1" applyBorder="1" applyAlignment="1">
      <alignment horizontal="left" vertical="top" wrapText="1"/>
    </xf>
    <xf numFmtId="49" fontId="3" fillId="15" borderId="9" xfId="0" applyNumberFormat="1" applyFont="1" applyFill="1" applyBorder="1" applyAlignment="1">
      <alignment horizontal="left" vertical="top" wrapText="1"/>
    </xf>
    <xf numFmtId="49" fontId="11" fillId="5" borderId="9" xfId="0" applyNumberFormat="1" applyFont="1" applyFill="1" applyBorder="1" applyAlignment="1">
      <alignment horizontal="left" vertical="top" wrapText="1"/>
    </xf>
    <xf numFmtId="3" fontId="0" fillId="0" borderId="0" xfId="0" applyNumberFormat="1" applyBorder="1" applyAlignment="1">
      <alignment horizontal="center" vertical="top" wrapText="1"/>
    </xf>
    <xf numFmtId="3" fontId="7" fillId="0" borderId="0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4" fontId="0" fillId="7" borderId="0" xfId="0" applyNumberFormat="1" applyFont="1" applyFill="1" applyBorder="1" applyAlignment="1">
      <alignment horizontal="center" vertical="top" wrapText="1"/>
    </xf>
    <xf numFmtId="4" fontId="27" fillId="0" borderId="26" xfId="0" applyNumberFormat="1" applyFont="1" applyFill="1" applyBorder="1" applyAlignment="1">
      <alignment vertical="top" wrapText="1"/>
    </xf>
    <xf numFmtId="4" fontId="1" fillId="8" borderId="11" xfId="1" applyNumberFormat="1" applyFont="1" applyFill="1" applyBorder="1" applyAlignment="1">
      <alignment horizontal="center" vertical="top" wrapText="1"/>
    </xf>
    <xf numFmtId="4" fontId="0" fillId="3" borderId="17" xfId="1" applyNumberFormat="1" applyFont="1" applyFill="1" applyBorder="1" applyAlignment="1">
      <alignment horizontal="center" vertical="top" wrapText="1"/>
    </xf>
    <xf numFmtId="4" fontId="3" fillId="7" borderId="4" xfId="0" applyNumberFormat="1" applyFont="1" applyFill="1" applyBorder="1" applyAlignment="1">
      <alignment horizontal="center" vertical="top" wrapText="1"/>
    </xf>
    <xf numFmtId="4" fontId="34" fillId="0" borderId="0" xfId="2" applyNumberFormat="1" applyFont="1" applyBorder="1"/>
    <xf numFmtId="4" fontId="16" fillId="0" borderId="0" xfId="2" applyNumberFormat="1" applyFont="1" applyBorder="1"/>
    <xf numFmtId="4" fontId="16" fillId="0" borderId="0" xfId="2" applyNumberFormat="1" applyFont="1" applyAlignment="1"/>
    <xf numFmtId="0" fontId="3" fillId="0" borderId="11" xfId="0" applyFont="1" applyBorder="1" applyAlignment="1">
      <alignment horizontal="center" vertical="top" wrapText="1"/>
    </xf>
    <xf numFmtId="4" fontId="34" fillId="0" borderId="0" xfId="0" applyNumberFormat="1" applyFont="1" applyFill="1" applyBorder="1" applyAlignment="1">
      <alignment horizontal="left" vertical="top" wrapText="1"/>
    </xf>
    <xf numFmtId="4" fontId="34" fillId="0" borderId="0" xfId="0" applyNumberFormat="1" applyFont="1" applyFill="1" applyBorder="1" applyAlignment="1">
      <alignment horizontal="center" vertical="top" wrapText="1"/>
    </xf>
    <xf numFmtId="4" fontId="34" fillId="2" borderId="0" xfId="0" applyNumberFormat="1" applyFont="1" applyFill="1" applyBorder="1" applyAlignment="1">
      <alignment horizontal="center" vertical="top" wrapText="1"/>
    </xf>
    <xf numFmtId="4" fontId="34" fillId="11" borderId="0" xfId="0" applyNumberFormat="1" applyFont="1" applyFill="1" applyBorder="1" applyAlignment="1">
      <alignment horizontal="center" vertical="top" wrapText="1"/>
    </xf>
    <xf numFmtId="4" fontId="34" fillId="13" borderId="0" xfId="0" applyNumberFormat="1" applyFont="1" applyFill="1" applyBorder="1" applyAlignment="1">
      <alignment horizontal="center" vertical="top" wrapText="1"/>
    </xf>
    <xf numFmtId="4" fontId="8" fillId="5" borderId="7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left" vertical="top" wrapText="1"/>
    </xf>
    <xf numFmtId="4" fontId="34" fillId="0" borderId="11" xfId="0" applyNumberFormat="1" applyFont="1" applyFill="1" applyBorder="1" applyAlignment="1">
      <alignment horizontal="right" vertical="top" wrapText="1"/>
    </xf>
    <xf numFmtId="4" fontId="24" fillId="0" borderId="11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right" vertical="top" wrapText="1"/>
    </xf>
    <xf numFmtId="4" fontId="24" fillId="2" borderId="11" xfId="0" applyNumberFormat="1" applyFont="1" applyFill="1" applyBorder="1" applyAlignment="1">
      <alignment horizontal="center" vertical="top" wrapText="1"/>
    </xf>
    <xf numFmtId="4" fontId="34" fillId="2" borderId="11" xfId="1" applyNumberFormat="1" applyFont="1" applyFill="1" applyBorder="1" applyAlignment="1">
      <alignment horizontal="center" vertical="top" wrapText="1"/>
    </xf>
    <xf numFmtId="4" fontId="34" fillId="2" borderId="11" xfId="1" applyNumberFormat="1" applyFont="1" applyFill="1" applyBorder="1" applyAlignment="1">
      <alignment horizontal="right" vertical="top" wrapText="1"/>
    </xf>
    <xf numFmtId="4" fontId="34" fillId="0" borderId="11" xfId="1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left" vertical="top" wrapText="1"/>
    </xf>
    <xf numFmtId="4" fontId="34" fillId="11" borderId="11" xfId="0" applyNumberFormat="1" applyFont="1" applyFill="1" applyBorder="1" applyAlignment="1">
      <alignment horizontal="center" vertical="top" wrapText="1"/>
    </xf>
    <xf numFmtId="4" fontId="34" fillId="11" borderId="11" xfId="0" applyNumberFormat="1" applyFont="1" applyFill="1" applyBorder="1" applyAlignment="1">
      <alignment horizontal="left" vertical="top" wrapText="1"/>
    </xf>
    <xf numFmtId="4" fontId="34" fillId="11" borderId="11" xfId="0" applyNumberFormat="1" applyFont="1" applyFill="1" applyBorder="1" applyAlignment="1">
      <alignment horizontal="right" vertical="top" wrapText="1"/>
    </xf>
    <xf numFmtId="4" fontId="34" fillId="11" borderId="11" xfId="1" applyNumberFormat="1" applyFont="1" applyFill="1" applyBorder="1" applyAlignment="1">
      <alignment horizontal="center" vertical="top" wrapText="1"/>
    </xf>
    <xf numFmtId="4" fontId="34" fillId="11" borderId="11" xfId="1" applyNumberFormat="1" applyFont="1" applyFill="1" applyBorder="1" applyAlignment="1">
      <alignment horizontal="right" vertical="top" wrapText="1"/>
    </xf>
    <xf numFmtId="4" fontId="34" fillId="0" borderId="11" xfId="1" applyNumberFormat="1" applyFont="1" applyFill="1" applyBorder="1" applyAlignment="1">
      <alignment horizontal="right" vertical="top" wrapText="1"/>
    </xf>
    <xf numFmtId="4" fontId="34" fillId="13" borderId="11" xfId="0" applyNumberFormat="1" applyFont="1" applyFill="1" applyBorder="1" applyAlignment="1">
      <alignment horizontal="center" vertical="top" wrapText="1"/>
    </xf>
    <xf numFmtId="4" fontId="34" fillId="13" borderId="11" xfId="0" applyNumberFormat="1" applyFont="1" applyFill="1" applyBorder="1" applyAlignment="1">
      <alignment horizontal="left" vertical="top" wrapText="1"/>
    </xf>
    <xf numFmtId="4" fontId="34" fillId="13" borderId="11" xfId="0" applyNumberFormat="1" applyFont="1" applyFill="1" applyBorder="1" applyAlignment="1">
      <alignment horizontal="right" vertical="top" wrapText="1"/>
    </xf>
    <xf numFmtId="4" fontId="34" fillId="13" borderId="11" xfId="1" applyNumberFormat="1" applyFont="1" applyFill="1" applyBorder="1" applyAlignment="1">
      <alignment horizontal="right" vertical="top" wrapText="1"/>
    </xf>
    <xf numFmtId="4" fontId="34" fillId="3" borderId="11" xfId="0" applyNumberFormat="1" applyFont="1" applyFill="1" applyBorder="1" applyAlignment="1">
      <alignment horizontal="center" vertical="top" wrapText="1"/>
    </xf>
    <xf numFmtId="4" fontId="34" fillId="3" borderId="11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19" borderId="0" xfId="0" applyFill="1" applyAlignment="1">
      <alignment horizontal="center" vertical="top" wrapText="1"/>
    </xf>
    <xf numFmtId="0" fontId="0" fillId="19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19" borderId="2" xfId="0" applyFill="1" applyBorder="1" applyAlignment="1">
      <alignment horizontal="center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4" fontId="3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center" vertical="top" wrapText="1"/>
    </xf>
    <xf numFmtId="49" fontId="19" fillId="0" borderId="2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19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19" borderId="2" xfId="0" applyFont="1" applyFill="1" applyBorder="1" applyAlignment="1">
      <alignment horizontal="center" vertical="top" wrapText="1"/>
    </xf>
    <xf numFmtId="4" fontId="3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left" vertical="top" wrapText="1"/>
    </xf>
    <xf numFmtId="0" fontId="0" fillId="19" borderId="0" xfId="0" applyFont="1" applyFill="1" applyAlignment="1">
      <alignment horizontal="center" vertical="top" wrapText="1"/>
    </xf>
    <xf numFmtId="4" fontId="3" fillId="0" borderId="0" xfId="0" applyNumberFormat="1" applyFont="1" applyFill="1" applyAlignment="1">
      <alignment horizontal="left" vertical="top" wrapText="1"/>
    </xf>
    <xf numFmtId="4" fontId="3" fillId="19" borderId="0" xfId="0" applyNumberFormat="1" applyFont="1" applyFill="1" applyAlignment="1">
      <alignment horizontal="center" vertical="top" wrapText="1"/>
    </xf>
    <xf numFmtId="4" fontId="3" fillId="0" borderId="11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left" vertical="top" wrapText="1"/>
    </xf>
    <xf numFmtId="0" fontId="8" fillId="19" borderId="0" xfId="0" applyFont="1" applyFill="1" applyAlignment="1">
      <alignment horizontal="center" vertical="top" wrapText="1"/>
    </xf>
    <xf numFmtId="0" fontId="0" fillId="19" borderId="0" xfId="0" applyFill="1" applyAlignment="1">
      <alignment horizontal="left" vertical="top" wrapText="1"/>
    </xf>
    <xf numFmtId="0" fontId="3" fillId="19" borderId="0" xfId="0" applyFont="1" applyFill="1" applyAlignment="1">
      <alignment horizontal="center" vertical="top" wrapText="1"/>
    </xf>
    <xf numFmtId="49" fontId="3" fillId="19" borderId="0" xfId="0" applyNumberFormat="1" applyFont="1" applyFill="1" applyAlignment="1">
      <alignment horizontal="center" vertical="top" wrapText="1"/>
    </xf>
    <xf numFmtId="4" fontId="0" fillId="19" borderId="0" xfId="0" applyNumberFormat="1" applyFill="1" applyAlignment="1">
      <alignment horizontal="center" vertical="top" wrapText="1"/>
    </xf>
    <xf numFmtId="49" fontId="0" fillId="19" borderId="0" xfId="0" applyNumberFormat="1" applyFill="1" applyAlignment="1">
      <alignment horizontal="center" vertical="top" wrapText="1"/>
    </xf>
    <xf numFmtId="4" fontId="0" fillId="19" borderId="24" xfId="0" applyNumberFormat="1" applyFill="1" applyBorder="1" applyAlignment="1">
      <alignment horizontal="center" vertical="top" wrapText="1"/>
    </xf>
    <xf numFmtId="0" fontId="0" fillId="19" borderId="0" xfId="0" applyFill="1" applyAlignment="1">
      <alignment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Fill="1" applyAlignment="1">
      <alignment horizontal="left" vertical="top" wrapText="1"/>
    </xf>
    <xf numFmtId="0" fontId="11" fillId="19" borderId="0" xfId="0" applyFont="1" applyFill="1" applyAlignment="1">
      <alignment horizontal="center" vertical="top" wrapText="1"/>
    </xf>
    <xf numFmtId="49" fontId="3" fillId="0" borderId="0" xfId="0" applyNumberFormat="1" applyFont="1" applyFill="1" applyAlignment="1">
      <alignment horizontal="center" vertical="top" wrapText="1"/>
    </xf>
    <xf numFmtId="0" fontId="34" fillId="0" borderId="0" xfId="2" applyFont="1" applyAlignment="1"/>
    <xf numFmtId="0" fontId="40" fillId="0" borderId="0" xfId="2" applyFont="1" applyAlignment="1"/>
    <xf numFmtId="4" fontId="34" fillId="0" borderId="0" xfId="2" applyNumberFormat="1" applyFont="1" applyAlignment="1"/>
    <xf numFmtId="0" fontId="40" fillId="0" borderId="0" xfId="2" applyFont="1" applyBorder="1"/>
    <xf numFmtId="49" fontId="0" fillId="0" borderId="0" xfId="0" applyNumberFormat="1" applyFill="1" applyAlignment="1">
      <alignment horizontal="center" vertical="top" wrapText="1"/>
    </xf>
    <xf numFmtId="4" fontId="0" fillId="0" borderId="24" xfId="0" applyNumberFormat="1" applyFill="1" applyBorder="1" applyAlignment="1">
      <alignment horizontal="center" vertical="top" wrapText="1"/>
    </xf>
    <xf numFmtId="4" fontId="34" fillId="0" borderId="2" xfId="2" applyNumberFormat="1" applyFont="1" applyBorder="1"/>
    <xf numFmtId="0" fontId="0" fillId="0" borderId="0" xfId="0" applyFill="1" applyAlignment="1">
      <alignment vertical="top" wrapText="1"/>
    </xf>
    <xf numFmtId="4" fontId="21" fillId="0" borderId="11" xfId="0" applyNumberFormat="1" applyFont="1" applyFill="1" applyBorder="1" applyAlignment="1">
      <alignment horizontal="center" vertical="center" wrapText="1"/>
    </xf>
    <xf numFmtId="4" fontId="34" fillId="2" borderId="1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vertical="top" wrapText="1"/>
    </xf>
    <xf numFmtId="4" fontId="34" fillId="0" borderId="0" xfId="0" applyNumberFormat="1" applyFont="1" applyFill="1" applyBorder="1" applyAlignment="1">
      <alignment vertical="top" wrapText="1"/>
    </xf>
    <xf numFmtId="4" fontId="21" fillId="0" borderId="11" xfId="0" applyNumberFormat="1" applyFont="1" applyFill="1" applyBorder="1" applyAlignment="1">
      <alignment horizontal="center" vertical="top" wrapText="1"/>
    </xf>
    <xf numFmtId="4" fontId="24" fillId="3" borderId="11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14" fillId="0" borderId="26" xfId="0" applyNumberFormat="1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4" fontId="14" fillId="0" borderId="9" xfId="0" applyNumberFormat="1" applyFont="1" applyFill="1" applyBorder="1" applyAlignment="1">
      <alignment horizontal="center" vertical="center" wrapText="1"/>
    </xf>
    <xf numFmtId="4" fontId="1" fillId="0" borderId="9" xfId="1" applyNumberFormat="1" applyFont="1" applyFill="1" applyBorder="1" applyAlignment="1">
      <alignment horizontal="right" vertical="top" wrapText="1"/>
    </xf>
    <xf numFmtId="4" fontId="34" fillId="20" borderId="11" xfId="0" applyNumberFormat="1" applyFont="1" applyFill="1" applyBorder="1" applyAlignment="1">
      <alignment horizontal="center" vertical="top" wrapText="1"/>
    </xf>
    <xf numFmtId="4" fontId="34" fillId="20" borderId="11" xfId="0" applyNumberFormat="1" applyFont="1" applyFill="1" applyBorder="1" applyAlignment="1">
      <alignment horizontal="left" vertical="top" wrapText="1"/>
    </xf>
    <xf numFmtId="4" fontId="34" fillId="20" borderId="11" xfId="0" applyNumberFormat="1" applyFont="1" applyFill="1" applyBorder="1" applyAlignment="1">
      <alignment horizontal="right" vertical="top" wrapText="1"/>
    </xf>
    <xf numFmtId="4" fontId="34" fillId="20" borderId="11" xfId="1" applyNumberFormat="1" applyFont="1" applyFill="1" applyBorder="1" applyAlignment="1">
      <alignment horizontal="right" vertical="top" wrapText="1"/>
    </xf>
    <xf numFmtId="4" fontId="34" fillId="20" borderId="0" xfId="0" applyNumberFormat="1" applyFont="1" applyFill="1" applyBorder="1" applyAlignment="1">
      <alignment horizontal="center" vertical="top" wrapText="1"/>
    </xf>
    <xf numFmtId="4" fontId="34" fillId="21" borderId="11" xfId="0" applyNumberFormat="1" applyFont="1" applyFill="1" applyBorder="1" applyAlignment="1">
      <alignment horizontal="center" vertical="top" wrapText="1"/>
    </xf>
    <xf numFmtId="4" fontId="34" fillId="21" borderId="11" xfId="0" applyNumberFormat="1" applyFont="1" applyFill="1" applyBorder="1" applyAlignment="1">
      <alignment horizontal="left" vertical="top" wrapText="1"/>
    </xf>
    <xf numFmtId="4" fontId="34" fillId="21" borderId="11" xfId="0" applyNumberFormat="1" applyFont="1" applyFill="1" applyBorder="1" applyAlignment="1">
      <alignment horizontal="right" vertical="top" wrapText="1"/>
    </xf>
    <xf numFmtId="4" fontId="34" fillId="21" borderId="11" xfId="1" applyNumberFormat="1" applyFont="1" applyFill="1" applyBorder="1" applyAlignment="1">
      <alignment horizontal="center" vertical="top" wrapText="1"/>
    </xf>
    <xf numFmtId="4" fontId="34" fillId="21" borderId="11" xfId="1" applyNumberFormat="1" applyFont="1" applyFill="1" applyBorder="1" applyAlignment="1">
      <alignment horizontal="right" vertical="top" wrapText="1"/>
    </xf>
    <xf numFmtId="4" fontId="34" fillId="21" borderId="0" xfId="0" applyNumberFormat="1" applyFont="1" applyFill="1" applyBorder="1" applyAlignment="1">
      <alignment horizontal="center" vertical="top" wrapText="1"/>
    </xf>
    <xf numFmtId="0" fontId="0" fillId="0" borderId="41" xfId="0" applyFill="1" applyBorder="1" applyAlignment="1">
      <alignment horizontal="center" vertical="top" wrapText="1"/>
    </xf>
    <xf numFmtId="0" fontId="3" fillId="0" borderId="35" xfId="0" applyFont="1" applyFill="1" applyBorder="1" applyAlignment="1">
      <alignment horizontal="center" vertical="top" wrapText="1"/>
    </xf>
    <xf numFmtId="0" fontId="11" fillId="0" borderId="35" xfId="0" applyFont="1" applyFill="1" applyBorder="1" applyAlignment="1">
      <alignment horizontal="center" vertical="top" wrapText="1"/>
    </xf>
    <xf numFmtId="0" fontId="0" fillId="4" borderId="35" xfId="0" applyFill="1" applyBorder="1" applyAlignment="1">
      <alignment horizontal="left" vertical="top" wrapText="1"/>
    </xf>
    <xf numFmtId="0" fontId="0" fillId="0" borderId="35" xfId="0" applyFill="1" applyBorder="1" applyAlignment="1">
      <alignment horizontal="center" vertical="top" wrapText="1"/>
    </xf>
    <xf numFmtId="0" fontId="0" fillId="0" borderId="35" xfId="0" applyFont="1" applyFill="1" applyBorder="1" applyAlignment="1">
      <alignment horizontal="center" vertical="top" wrapText="1"/>
    </xf>
    <xf numFmtId="0" fontId="0" fillId="0" borderId="14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center" vertical="top" wrapText="1"/>
    </xf>
    <xf numFmtId="49" fontId="3" fillId="0" borderId="18" xfId="0" applyNumberFormat="1" applyFont="1" applyFill="1" applyBorder="1" applyAlignment="1">
      <alignment horizontal="center" vertical="top" wrapText="1"/>
    </xf>
    <xf numFmtId="4" fontId="3" fillId="0" borderId="35" xfId="0" applyNumberFormat="1" applyFont="1" applyFill="1" applyBorder="1" applyAlignment="1">
      <alignment horizontal="center" vertical="top" wrapText="1"/>
    </xf>
    <xf numFmtId="49" fontId="3" fillId="0" borderId="35" xfId="0" applyNumberFormat="1" applyFont="1" applyFill="1" applyBorder="1" applyAlignment="1">
      <alignment horizontal="center" vertical="top" wrapText="1"/>
    </xf>
    <xf numFmtId="4" fontId="0" fillId="0" borderId="14" xfId="0" applyNumberFormat="1" applyFill="1" applyBorder="1" applyAlignment="1">
      <alignment horizontal="center" vertical="top" wrapText="1"/>
    </xf>
    <xf numFmtId="4" fontId="0" fillId="7" borderId="35" xfId="0" applyNumberFormat="1" applyFill="1" applyBorder="1" applyAlignment="1">
      <alignment horizontal="center" vertical="top" wrapText="1"/>
    </xf>
    <xf numFmtId="4" fontId="1" fillId="0" borderId="35" xfId="1" applyNumberFormat="1" applyFont="1" applyFill="1" applyBorder="1" applyAlignment="1">
      <alignment horizontal="center" vertical="top" wrapText="1"/>
    </xf>
    <xf numFmtId="4" fontId="3" fillId="7" borderId="35" xfId="1" applyNumberFormat="1" applyFont="1" applyFill="1" applyBorder="1" applyAlignment="1">
      <alignment horizontal="center" vertical="top" wrapText="1"/>
    </xf>
    <xf numFmtId="4" fontId="8" fillId="0" borderId="5" xfId="1" applyNumberFormat="1" applyFont="1" applyFill="1" applyBorder="1" applyAlignment="1">
      <alignment horizontal="center" vertical="top" wrapText="1"/>
    </xf>
    <xf numFmtId="4" fontId="1" fillId="3" borderId="36" xfId="1" applyNumberFormat="1" applyFont="1" applyFill="1" applyBorder="1" applyAlignment="1">
      <alignment horizontal="center" vertical="top" wrapText="1"/>
    </xf>
    <xf numFmtId="4" fontId="1" fillId="3" borderId="35" xfId="1" applyNumberFormat="1" applyFont="1" applyFill="1" applyBorder="1" applyAlignment="1">
      <alignment horizontal="center" vertical="top" wrapText="1"/>
    </xf>
    <xf numFmtId="4" fontId="3" fillId="3" borderId="35" xfId="1" applyNumberFormat="1" applyFont="1" applyFill="1" applyBorder="1" applyAlignment="1">
      <alignment horizontal="center" vertical="top" wrapText="1"/>
    </xf>
    <xf numFmtId="4" fontId="3" fillId="7" borderId="41" xfId="1" applyNumberFormat="1" applyFont="1" applyFill="1" applyBorder="1" applyAlignment="1">
      <alignment horizontal="center" vertical="top" wrapText="1"/>
    </xf>
    <xf numFmtId="4" fontId="1" fillId="0" borderId="35" xfId="1" applyNumberFormat="1" applyFont="1" applyFill="1" applyBorder="1" applyAlignment="1">
      <alignment horizontal="right" vertical="top" wrapText="1"/>
    </xf>
    <xf numFmtId="49" fontId="3" fillId="0" borderId="35" xfId="0" applyNumberFormat="1" applyFont="1" applyFill="1" applyBorder="1" applyAlignment="1">
      <alignment horizontal="left" vertical="top" wrapText="1"/>
    </xf>
    <xf numFmtId="49" fontId="0" fillId="0" borderId="9" xfId="0" applyNumberFormat="1" applyBorder="1" applyAlignment="1">
      <alignment horizontal="center" vertical="top" wrapText="1"/>
    </xf>
    <xf numFmtId="49" fontId="0" fillId="0" borderId="9" xfId="0" applyNumberFormat="1" applyBorder="1" applyAlignment="1">
      <alignment horizontal="left" vertical="top" wrapText="1"/>
    </xf>
    <xf numFmtId="4" fontId="34" fillId="2" borderId="11" xfId="1" applyNumberFormat="1" applyFont="1" applyFill="1" applyBorder="1" applyAlignment="1">
      <alignment vertical="top" wrapText="1"/>
    </xf>
    <xf numFmtId="4" fontId="34" fillId="11" borderId="11" xfId="1" applyNumberFormat="1" applyFont="1" applyFill="1" applyBorder="1" applyAlignment="1">
      <alignment vertical="top" wrapText="1"/>
    </xf>
    <xf numFmtId="4" fontId="34" fillId="0" borderId="11" xfId="1" applyNumberFormat="1" applyFont="1" applyFill="1" applyBorder="1" applyAlignment="1">
      <alignment vertical="top" wrapText="1"/>
    </xf>
    <xf numFmtId="4" fontId="34" fillId="11" borderId="11" xfId="0" applyNumberFormat="1" applyFont="1" applyFill="1" applyBorder="1" applyAlignment="1">
      <alignment vertical="top" wrapText="1"/>
    </xf>
    <xf numFmtId="4" fontId="34" fillId="13" borderId="11" xfId="1" applyNumberFormat="1" applyFont="1" applyFill="1" applyBorder="1" applyAlignment="1">
      <alignment vertical="top" wrapText="1"/>
    </xf>
    <xf numFmtId="4" fontId="34" fillId="20" borderId="11" xfId="1" applyNumberFormat="1" applyFont="1" applyFill="1" applyBorder="1" applyAlignment="1">
      <alignment vertical="top" wrapText="1"/>
    </xf>
    <xf numFmtId="4" fontId="34" fillId="13" borderId="11" xfId="0" applyNumberFormat="1" applyFont="1" applyFill="1" applyBorder="1" applyAlignment="1">
      <alignment vertical="top" wrapText="1"/>
    </xf>
    <xf numFmtId="4" fontId="34" fillId="20" borderId="11" xfId="0" applyNumberFormat="1" applyFont="1" applyFill="1" applyBorder="1" applyAlignment="1">
      <alignment vertical="top" wrapText="1"/>
    </xf>
    <xf numFmtId="4" fontId="34" fillId="5" borderId="11" xfId="0" applyNumberFormat="1" applyFont="1" applyFill="1" applyBorder="1" applyAlignment="1">
      <alignment horizontal="left" vertical="top" wrapText="1"/>
    </xf>
    <xf numFmtId="4" fontId="34" fillId="5" borderId="0" xfId="0" applyNumberFormat="1" applyFont="1" applyFill="1" applyBorder="1" applyAlignment="1">
      <alignment horizontal="center" vertical="top" wrapText="1"/>
    </xf>
    <xf numFmtId="4" fontId="34" fillId="0" borderId="0" xfId="0" applyNumberFormat="1" applyFont="1" applyFill="1" applyBorder="1" applyAlignment="1">
      <alignment horizontal="right" vertical="top" wrapText="1"/>
    </xf>
    <xf numFmtId="4" fontId="16" fillId="0" borderId="11" xfId="1" applyNumberFormat="1" applyFont="1" applyFill="1" applyBorder="1" applyAlignment="1">
      <alignment horizontal="center" vertical="top" wrapText="1"/>
    </xf>
    <xf numFmtId="4" fontId="16" fillId="0" borderId="11" xfId="0" applyNumberFormat="1" applyFont="1" applyFill="1" applyBorder="1" applyAlignment="1">
      <alignment horizontal="center" vertical="top" wrapText="1"/>
    </xf>
    <xf numFmtId="4" fontId="16" fillId="0" borderId="0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3" borderId="11" xfId="0" applyNumberFormat="1" applyFont="1" applyFill="1" applyBorder="1" applyAlignment="1">
      <alignment horizontal="center" vertical="top" wrapText="1"/>
    </xf>
    <xf numFmtId="3" fontId="34" fillId="2" borderId="11" xfId="0" applyNumberFormat="1" applyFont="1" applyFill="1" applyBorder="1" applyAlignment="1">
      <alignment horizontal="center" vertical="top" wrapText="1"/>
    </xf>
    <xf numFmtId="3" fontId="34" fillId="3" borderId="11" xfId="1" applyNumberFormat="1" applyFont="1" applyFill="1" applyBorder="1" applyAlignment="1">
      <alignment horizontal="center" vertical="top" wrapText="1"/>
    </xf>
    <xf numFmtId="3" fontId="34" fillId="2" borderId="11" xfId="1" applyNumberFormat="1" applyFont="1" applyFill="1" applyBorder="1" applyAlignment="1">
      <alignment horizontal="center" vertical="top" wrapText="1"/>
    </xf>
    <xf numFmtId="3" fontId="34" fillId="3" borderId="0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3" borderId="18" xfId="0" applyNumberFormat="1" applyFont="1" applyFill="1" applyBorder="1" applyAlignment="1">
      <alignment vertical="top" wrapText="1"/>
    </xf>
    <xf numFmtId="3" fontId="24" fillId="3" borderId="11" xfId="0" applyNumberFormat="1" applyFont="1" applyFill="1" applyBorder="1" applyAlignment="1">
      <alignment horizontal="center" vertical="top" wrapText="1"/>
    </xf>
    <xf numFmtId="3" fontId="24" fillId="2" borderId="11" xfId="0" applyNumberFormat="1" applyFont="1" applyFill="1" applyBorder="1" applyAlignment="1">
      <alignment horizontal="center" vertical="top" wrapText="1"/>
    </xf>
    <xf numFmtId="3" fontId="34" fillId="2" borderId="11" xfId="1" applyNumberFormat="1" applyFont="1" applyFill="1" applyBorder="1" applyAlignment="1">
      <alignment horizontal="right" vertical="top" wrapText="1"/>
    </xf>
    <xf numFmtId="3" fontId="34" fillId="3" borderId="18" xfId="0" applyNumberFormat="1" applyFont="1" applyFill="1" applyBorder="1" applyAlignment="1">
      <alignment vertical="center" wrapText="1"/>
    </xf>
    <xf numFmtId="3" fontId="34" fillId="2" borderId="18" xfId="0" applyNumberFormat="1" applyFont="1" applyFill="1" applyBorder="1" applyAlignment="1">
      <alignment vertical="center" wrapText="1"/>
    </xf>
    <xf numFmtId="4" fontId="34" fillId="2" borderId="13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2" borderId="9" xfId="0" applyNumberFormat="1" applyFont="1" applyFill="1" applyBorder="1" applyAlignment="1">
      <alignment horizontal="center" vertical="top" wrapText="1"/>
    </xf>
    <xf numFmtId="4" fontId="34" fillId="11" borderId="9" xfId="0" applyNumberFormat="1" applyFont="1" applyFill="1" applyBorder="1" applyAlignment="1">
      <alignment horizontal="center" vertical="top" wrapText="1"/>
    </xf>
    <xf numFmtId="4" fontId="34" fillId="13" borderId="9" xfId="0" applyNumberFormat="1" applyFont="1" applyFill="1" applyBorder="1" applyAlignment="1">
      <alignment horizontal="center" vertical="top" wrapText="1"/>
    </xf>
    <xf numFmtId="4" fontId="34" fillId="20" borderId="9" xfId="0" applyNumberFormat="1" applyFont="1" applyFill="1" applyBorder="1" applyAlignment="1">
      <alignment horizontal="center" vertical="top" wrapText="1"/>
    </xf>
    <xf numFmtId="4" fontId="34" fillId="0" borderId="44" xfId="0" applyNumberFormat="1" applyFont="1" applyFill="1" applyBorder="1" applyAlignment="1">
      <alignment horizontal="center" vertical="top" wrapText="1"/>
    </xf>
    <xf numFmtId="3" fontId="34" fillId="0" borderId="9" xfId="0" applyNumberFormat="1" applyFont="1" applyFill="1" applyBorder="1" applyAlignment="1">
      <alignment horizontal="center" vertical="top" wrapText="1"/>
    </xf>
    <xf numFmtId="3" fontId="34" fillId="0" borderId="44" xfId="0" applyNumberFormat="1" applyFont="1" applyFill="1" applyBorder="1" applyAlignment="1">
      <alignment horizontal="center" vertical="top" wrapText="1"/>
    </xf>
    <xf numFmtId="3" fontId="34" fillId="0" borderId="0" xfId="0" applyNumberFormat="1" applyFont="1" applyFill="1" applyBorder="1" applyAlignment="1">
      <alignment horizontal="center" vertical="top" wrapText="1"/>
    </xf>
    <xf numFmtId="4" fontId="34" fillId="0" borderId="10" xfId="0" applyNumberFormat="1" applyFont="1" applyFill="1" applyBorder="1" applyAlignment="1">
      <alignment horizontal="center" vertical="top" wrapText="1"/>
    </xf>
    <xf numFmtId="4" fontId="34" fillId="21" borderId="13" xfId="1" applyNumberFormat="1" applyFont="1" applyFill="1" applyBorder="1" applyAlignment="1">
      <alignment horizontal="center" vertical="top" wrapText="1"/>
    </xf>
    <xf numFmtId="4" fontId="34" fillId="2" borderId="13" xfId="1" applyNumberFormat="1" applyFont="1" applyFill="1" applyBorder="1" applyAlignment="1">
      <alignment horizontal="center" vertical="top" wrapText="1"/>
    </xf>
    <xf numFmtId="4" fontId="34" fillId="11" borderId="10" xfId="0" applyNumberFormat="1" applyFont="1" applyFill="1" applyBorder="1" applyAlignment="1">
      <alignment horizontal="center" vertical="top" wrapText="1"/>
    </xf>
    <xf numFmtId="4" fontId="34" fillId="2" borderId="10" xfId="0" applyNumberFormat="1" applyFont="1" applyFill="1" applyBorder="1" applyAlignment="1">
      <alignment horizontal="center" vertical="top" wrapText="1"/>
    </xf>
    <xf numFmtId="4" fontId="34" fillId="13" borderId="10" xfId="0" applyNumberFormat="1" applyFont="1" applyFill="1" applyBorder="1" applyAlignment="1">
      <alignment horizontal="center" vertical="top" wrapText="1"/>
    </xf>
    <xf numFmtId="4" fontId="34" fillId="20" borderId="10" xfId="0" applyNumberFormat="1" applyFont="1" applyFill="1" applyBorder="1" applyAlignment="1">
      <alignment horizontal="center" vertical="top" wrapText="1"/>
    </xf>
    <xf numFmtId="4" fontId="34" fillId="0" borderId="45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right" vertical="top" wrapText="1"/>
    </xf>
    <xf numFmtId="4" fontId="34" fillId="21" borderId="9" xfId="1" applyNumberFormat="1" applyFont="1" applyFill="1" applyBorder="1" applyAlignment="1">
      <alignment horizontal="center" vertical="top" wrapText="1"/>
    </xf>
    <xf numFmtId="4" fontId="34" fillId="21" borderId="9" xfId="1" applyNumberFormat="1" applyFont="1" applyFill="1" applyBorder="1" applyAlignment="1">
      <alignment horizontal="right" vertical="top" wrapText="1"/>
    </xf>
    <xf numFmtId="4" fontId="34" fillId="21" borderId="9" xfId="0" applyNumberFormat="1" applyFont="1" applyFill="1" applyBorder="1" applyAlignment="1">
      <alignment horizontal="center" vertical="top" wrapText="1"/>
    </xf>
    <xf numFmtId="4" fontId="34" fillId="2" borderId="9" xfId="1" applyNumberFormat="1" applyFont="1" applyFill="1" applyBorder="1" applyAlignment="1">
      <alignment horizontal="center" vertical="top" wrapText="1"/>
    </xf>
    <xf numFmtId="4" fontId="34" fillId="2" borderId="9" xfId="1" applyNumberFormat="1" applyFont="1" applyFill="1" applyBorder="1" applyAlignment="1">
      <alignment horizontal="right" vertical="top" wrapText="1"/>
    </xf>
    <xf numFmtId="4" fontId="34" fillId="11" borderId="9" xfId="0" applyNumberFormat="1" applyFont="1" applyFill="1" applyBorder="1" applyAlignment="1">
      <alignment horizontal="right" vertical="top" wrapText="1"/>
    </xf>
    <xf numFmtId="4" fontId="34" fillId="13" borderId="9" xfId="0" applyNumberFormat="1" applyFont="1" applyFill="1" applyBorder="1" applyAlignment="1">
      <alignment horizontal="right" vertical="top" wrapText="1"/>
    </xf>
    <xf numFmtId="4" fontId="34" fillId="20" borderId="9" xfId="0" applyNumberFormat="1" applyFont="1" applyFill="1" applyBorder="1" applyAlignment="1">
      <alignment horizontal="right" vertical="top" wrapText="1"/>
    </xf>
    <xf numFmtId="4" fontId="34" fillId="0" borderId="44" xfId="0" applyNumberFormat="1" applyFont="1" applyFill="1" applyBorder="1" applyAlignment="1">
      <alignment horizontal="right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3" fontId="34" fillId="0" borderId="0" xfId="2" applyNumberFormat="1" applyFont="1" applyBorder="1"/>
    <xf numFmtId="3" fontId="34" fillId="0" borderId="0" xfId="2" applyNumberFormat="1" applyFont="1" applyAlignment="1"/>
    <xf numFmtId="3" fontId="34" fillId="0" borderId="0" xfId="2" applyNumberFormat="1" applyFont="1"/>
    <xf numFmtId="3" fontId="16" fillId="0" borderId="0" xfId="2" applyNumberFormat="1" applyFont="1" applyBorder="1"/>
    <xf numFmtId="3" fontId="16" fillId="0" borderId="0" xfId="2" applyNumberFormat="1" applyFont="1" applyAlignment="1"/>
    <xf numFmtId="4" fontId="21" fillId="0" borderId="11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3" fontId="34" fillId="0" borderId="9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21" fillId="0" borderId="13" xfId="0" applyNumberFormat="1" applyFont="1" applyFill="1" applyBorder="1" applyAlignment="1">
      <alignment horizontal="left" vertical="top" wrapText="1"/>
    </xf>
    <xf numFmtId="4" fontId="43" fillId="0" borderId="26" xfId="0" applyNumberFormat="1" applyFont="1" applyFill="1" applyBorder="1" applyAlignment="1">
      <alignment vertical="top" wrapText="1"/>
    </xf>
    <xf numFmtId="4" fontId="17" fillId="0" borderId="26" xfId="0" applyNumberFormat="1" applyFont="1" applyFill="1" applyBorder="1" applyAlignment="1">
      <alignment vertical="top" wrapText="1"/>
    </xf>
    <xf numFmtId="4" fontId="17" fillId="0" borderId="26" xfId="0" applyNumberFormat="1" applyFont="1" applyBorder="1" applyAlignment="1">
      <alignment vertical="top" wrapText="1"/>
    </xf>
    <xf numFmtId="0" fontId="11" fillId="2" borderId="10" xfId="0" applyFont="1" applyFill="1" applyBorder="1" applyAlignment="1">
      <alignment horizontal="center" vertical="top" wrapText="1"/>
    </xf>
    <xf numFmtId="4" fontId="13" fillId="0" borderId="26" xfId="0" applyNumberFormat="1" applyFont="1" applyBorder="1" applyAlignment="1">
      <alignment vertical="top" wrapText="1"/>
    </xf>
    <xf numFmtId="4" fontId="3" fillId="2" borderId="0" xfId="0" applyNumberFormat="1" applyFont="1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" fontId="13" fillId="0" borderId="26" xfId="0" applyNumberFormat="1" applyFont="1" applyFill="1" applyBorder="1" applyAlignment="1">
      <alignment vertical="top" wrapText="1"/>
    </xf>
    <xf numFmtId="1" fontId="13" fillId="0" borderId="0" xfId="0" applyNumberFormat="1" applyFont="1" applyFill="1" applyBorder="1" applyAlignment="1">
      <alignment horizontal="center" vertical="top" wrapText="1"/>
    </xf>
    <xf numFmtId="1" fontId="13" fillId="7" borderId="0" xfId="0" applyNumberFormat="1" applyFont="1" applyFill="1" applyBorder="1" applyAlignment="1">
      <alignment horizontal="center" vertical="top" wrapText="1"/>
    </xf>
    <xf numFmtId="1" fontId="19" fillId="0" borderId="0" xfId="0" applyNumberFormat="1" applyFont="1" applyFill="1" applyBorder="1" applyAlignment="1">
      <alignment horizontal="center" vertical="top" wrapText="1"/>
    </xf>
    <xf numFmtId="1" fontId="19" fillId="3" borderId="0" xfId="0" applyNumberFormat="1" applyFont="1" applyFill="1" applyBorder="1" applyAlignment="1">
      <alignment horizontal="center" vertical="top" wrapText="1"/>
    </xf>
    <xf numFmtId="1" fontId="13" fillId="3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ont="1" applyAlignment="1">
      <alignment horizontal="center" vertical="top" wrapText="1"/>
    </xf>
    <xf numFmtId="1" fontId="13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0" fontId="0" fillId="19" borderId="0" xfId="0" applyFont="1" applyFill="1" applyAlignment="1">
      <alignment vertical="top" wrapText="1"/>
    </xf>
    <xf numFmtId="49" fontId="0" fillId="0" borderId="0" xfId="0" applyNumberFormat="1" applyFont="1" applyFill="1" applyAlignment="1">
      <alignment horizontal="center" vertical="top" wrapText="1"/>
    </xf>
    <xf numFmtId="49" fontId="0" fillId="19" borderId="0" xfId="0" applyNumberFormat="1" applyFont="1" applyFill="1" applyAlignment="1">
      <alignment horizontal="center" vertical="top" wrapText="1"/>
    </xf>
    <xf numFmtId="0" fontId="0" fillId="19" borderId="0" xfId="0" applyFont="1" applyFill="1" applyAlignment="1">
      <alignment horizontal="left" vertical="top" wrapText="1"/>
    </xf>
    <xf numFmtId="4" fontId="0" fillId="3" borderId="46" xfId="0" applyNumberFormat="1" applyFill="1" applyBorder="1" applyAlignment="1">
      <alignment vertical="top" wrapText="1"/>
    </xf>
    <xf numFmtId="4" fontId="0" fillId="3" borderId="39" xfId="0" applyNumberFormat="1" applyFill="1" applyBorder="1" applyAlignment="1">
      <alignment vertical="top" wrapText="1"/>
    </xf>
    <xf numFmtId="4" fontId="0" fillId="3" borderId="47" xfId="0" applyNumberFormat="1" applyFill="1" applyBorder="1" applyAlignment="1">
      <alignment vertical="top" wrapText="1"/>
    </xf>
    <xf numFmtId="0" fontId="3" fillId="3" borderId="11" xfId="0" applyFont="1" applyFill="1" applyBorder="1" applyAlignment="1">
      <alignment horizontal="center" vertical="top"/>
    </xf>
    <xf numFmtId="4" fontId="14" fillId="3" borderId="11" xfId="0" applyNumberFormat="1" applyFont="1" applyFill="1" applyBorder="1" applyAlignment="1">
      <alignment horizontal="right" vertical="top" wrapText="1"/>
    </xf>
    <xf numFmtId="4" fontId="19" fillId="3" borderId="11" xfId="0" applyNumberFormat="1" applyFont="1" applyFill="1" applyBorder="1" applyAlignment="1">
      <alignment horizontal="right" vertical="top" wrapText="1"/>
    </xf>
    <xf numFmtId="4" fontId="43" fillId="3" borderId="11" xfId="0" applyNumberFormat="1" applyFont="1" applyFill="1" applyBorder="1" applyAlignment="1">
      <alignment horizontal="right" vertical="top" wrapText="1"/>
    </xf>
    <xf numFmtId="4" fontId="0" fillId="3" borderId="11" xfId="0" applyNumberFormat="1" applyFill="1" applyBorder="1" applyAlignment="1">
      <alignment horizontal="center" vertical="top"/>
    </xf>
    <xf numFmtId="4" fontId="0" fillId="3" borderId="11" xfId="0" applyNumberFormat="1" applyFill="1" applyBorder="1" applyAlignment="1">
      <alignment vertical="top"/>
    </xf>
    <xf numFmtId="49" fontId="3" fillId="3" borderId="11" xfId="0" applyNumberFormat="1" applyFont="1" applyFill="1" applyBorder="1" applyAlignment="1">
      <alignment horizontal="right" vertical="top" wrapText="1"/>
    </xf>
    <xf numFmtId="4" fontId="20" fillId="11" borderId="0" xfId="0" applyNumberFormat="1" applyFont="1" applyFill="1" applyBorder="1" applyAlignment="1">
      <alignment horizontal="center" vertical="top" wrapText="1"/>
    </xf>
    <xf numFmtId="4" fontId="24" fillId="11" borderId="0" xfId="0" applyNumberFormat="1" applyFont="1" applyFill="1" applyBorder="1" applyAlignment="1">
      <alignment horizontal="center" vertical="top" wrapText="1"/>
    </xf>
    <xf numFmtId="4" fontId="34" fillId="11" borderId="0" xfId="1" applyNumberFormat="1" applyFont="1" applyFill="1" applyBorder="1" applyAlignment="1">
      <alignment horizontal="center" vertical="top" wrapText="1"/>
    </xf>
    <xf numFmtId="3" fontId="34" fillId="0" borderId="2" xfId="2" applyNumberFormat="1" applyFont="1" applyBorder="1"/>
    <xf numFmtId="0" fontId="0" fillId="22" borderId="0" xfId="0" applyFill="1" applyAlignment="1">
      <alignment horizontal="center" vertical="top" wrapText="1"/>
    </xf>
    <xf numFmtId="0" fontId="0" fillId="22" borderId="0" xfId="0" applyFill="1" applyAlignment="1">
      <alignment horizontal="left" vertical="top" wrapText="1"/>
    </xf>
    <xf numFmtId="0" fontId="16" fillId="0" borderId="0" xfId="2" applyFont="1" applyBorder="1" applyAlignment="1"/>
    <xf numFmtId="0" fontId="34" fillId="0" borderId="2" xfId="2" applyFont="1" applyBorder="1" applyAlignment="1">
      <alignment vertical="center"/>
    </xf>
    <xf numFmtId="1" fontId="34" fillId="0" borderId="0" xfId="2" applyNumberFormat="1" applyFont="1" applyBorder="1"/>
    <xf numFmtId="1" fontId="34" fillId="0" borderId="0" xfId="2" applyNumberFormat="1" applyFont="1" applyAlignment="1"/>
    <xf numFmtId="1" fontId="34" fillId="0" borderId="2" xfId="2" applyNumberFormat="1" applyFont="1" applyBorder="1"/>
    <xf numFmtId="1" fontId="16" fillId="0" borderId="0" xfId="2" applyNumberFormat="1" applyFont="1" applyBorder="1"/>
    <xf numFmtId="1" fontId="16" fillId="0" borderId="0" xfId="2" applyNumberFormat="1" applyFont="1" applyAlignment="1"/>
    <xf numFmtId="1" fontId="34" fillId="0" borderId="0" xfId="2" applyNumberFormat="1" applyFont="1"/>
    <xf numFmtId="3" fontId="34" fillId="0" borderId="2" xfId="2" applyNumberFormat="1" applyFont="1" applyFill="1" applyBorder="1"/>
    <xf numFmtId="0" fontId="34" fillId="0" borderId="2" xfId="2" applyFont="1" applyBorder="1" applyAlignment="1">
      <alignment horizontal="center" vertical="center" wrapText="1"/>
    </xf>
    <xf numFmtId="2" fontId="34" fillId="0" borderId="2" xfId="2" applyNumberFormat="1" applyFont="1" applyBorder="1"/>
    <xf numFmtId="0" fontId="34" fillId="0" borderId="2" xfId="2" applyFont="1" applyFill="1" applyBorder="1" applyAlignment="1">
      <alignment horizontal="center" vertical="center"/>
    </xf>
    <xf numFmtId="3" fontId="34" fillId="2" borderId="13" xfId="0" applyNumberFormat="1" applyFont="1" applyFill="1" applyBorder="1" applyAlignment="1">
      <alignment horizontal="center" vertical="top" wrapText="1"/>
    </xf>
    <xf numFmtId="3" fontId="34" fillId="3" borderId="13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4" fontId="11" fillId="7" borderId="2" xfId="0" applyNumberFormat="1" applyFont="1" applyFill="1" applyBorder="1" applyAlignment="1">
      <alignment horizontal="center" vertical="top" wrapText="1"/>
    </xf>
    <xf numFmtId="0" fontId="0" fillId="8" borderId="2" xfId="0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3" fontId="34" fillId="0" borderId="9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4" fontId="0" fillId="8" borderId="2" xfId="0" applyNumberFormat="1" applyFill="1" applyBorder="1" applyAlignment="1">
      <alignment horizontal="center" vertical="top" wrapText="1"/>
    </xf>
    <xf numFmtId="4" fontId="0" fillId="7" borderId="2" xfId="0" applyNumberForma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3" fontId="34" fillId="3" borderId="2" xfId="0" applyNumberFormat="1" applyFont="1" applyFill="1" applyBorder="1" applyAlignment="1">
      <alignment vertical="top" wrapText="1"/>
    </xf>
    <xf numFmtId="3" fontId="34" fillId="2" borderId="2" xfId="0" applyNumberFormat="1" applyFont="1" applyFill="1" applyBorder="1" applyAlignment="1">
      <alignment horizontal="center" vertical="top" wrapText="1"/>
    </xf>
    <xf numFmtId="4" fontId="24" fillId="2" borderId="2" xfId="0" applyNumberFormat="1" applyFont="1" applyFill="1" applyBorder="1" applyAlignment="1">
      <alignment horizontal="center" vertical="top" wrapText="1"/>
    </xf>
    <xf numFmtId="4" fontId="5" fillId="0" borderId="2" xfId="0" applyNumberFormat="1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 vertical="top" wrapText="1"/>
    </xf>
    <xf numFmtId="3" fontId="24" fillId="3" borderId="2" xfId="0" applyNumberFormat="1" applyFont="1" applyFill="1" applyBorder="1" applyAlignment="1">
      <alignment horizontal="center" vertical="top" wrapText="1"/>
    </xf>
    <xf numFmtId="3" fontId="24" fillId="2" borderId="2" xfId="0" applyNumberFormat="1" applyFont="1" applyFill="1" applyBorder="1" applyAlignment="1">
      <alignment horizontal="center" vertical="top" wrapText="1"/>
    </xf>
    <xf numFmtId="4" fontId="24" fillId="3" borderId="2" xfId="0" applyNumberFormat="1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 vertical="top" wrapText="1"/>
    </xf>
    <xf numFmtId="164" fontId="3" fillId="3" borderId="2" xfId="1" applyNumberFormat="1" applyFont="1" applyFill="1" applyBorder="1" applyAlignment="1">
      <alignment horizontal="center"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" fontId="3" fillId="3" borderId="2" xfId="1" applyNumberFormat="1" applyFont="1" applyFill="1" applyBorder="1" applyAlignment="1">
      <alignment horizontal="center" vertical="top" wrapText="1"/>
    </xf>
    <xf numFmtId="49" fontId="3" fillId="3" borderId="2" xfId="1" applyNumberFormat="1" applyFont="1" applyFill="1" applyBorder="1" applyAlignment="1">
      <alignment horizontal="center" vertical="top" wrapText="1"/>
    </xf>
    <xf numFmtId="49" fontId="19" fillId="3" borderId="2" xfId="0" applyNumberFormat="1" applyFont="1" applyFill="1" applyBorder="1" applyAlignment="1">
      <alignment horizontal="center" vertical="top" wrapText="1"/>
    </xf>
    <xf numFmtId="3" fontId="3" fillId="3" borderId="2" xfId="1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6" fontId="3" fillId="3" borderId="2" xfId="0" applyNumberFormat="1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left" vertical="top" wrapText="1"/>
    </xf>
    <xf numFmtId="164" fontId="3" fillId="2" borderId="2" xfId="1" applyNumberFormat="1" applyFont="1" applyFill="1" applyBorder="1" applyAlignment="1">
      <alignment horizontal="center" vertical="top" wrapText="1"/>
    </xf>
    <xf numFmtId="49" fontId="3" fillId="2" borderId="2" xfId="0" applyNumberFormat="1" applyFont="1" applyFill="1" applyBorder="1" applyAlignment="1">
      <alignment horizontal="center" vertical="top" wrapText="1"/>
    </xf>
    <xf numFmtId="49" fontId="3" fillId="2" borderId="2" xfId="1" applyNumberFormat="1" applyFont="1" applyFill="1" applyBorder="1" applyAlignment="1">
      <alignment horizontal="center" vertical="top" wrapText="1"/>
    </xf>
    <xf numFmtId="49" fontId="1" fillId="2" borderId="2" xfId="1" applyNumberFormat="1" applyFont="1" applyFill="1" applyBorder="1" applyAlignment="1">
      <alignment horizontal="center" vertical="top" wrapText="1"/>
    </xf>
    <xf numFmtId="3" fontId="3" fillId="2" borderId="2" xfId="1" applyNumberFormat="1" applyFont="1" applyFill="1" applyBorder="1" applyAlignment="1">
      <alignment horizontal="center" vertical="top" wrapText="1"/>
    </xf>
    <xf numFmtId="164" fontId="3" fillId="0" borderId="2" xfId="1" applyNumberFormat="1" applyFont="1" applyFill="1" applyBorder="1" applyAlignment="1">
      <alignment horizontal="center" vertical="top" wrapText="1"/>
    </xf>
    <xf numFmtId="4" fontId="3" fillId="0" borderId="2" xfId="1" applyNumberFormat="1" applyFont="1" applyFill="1" applyBorder="1" applyAlignment="1">
      <alignment horizontal="center" vertical="top" wrapText="1"/>
    </xf>
    <xf numFmtId="49" fontId="3" fillId="0" borderId="2" xfId="1" applyNumberFormat="1" applyFont="1" applyFill="1" applyBorder="1" applyAlignment="1">
      <alignment horizontal="center" vertical="top" wrapText="1"/>
    </xf>
    <xf numFmtId="49" fontId="1" fillId="0" borderId="2" xfId="1" applyNumberFormat="1" applyFont="1" applyFill="1" applyBorder="1" applyAlignment="1">
      <alignment horizontal="center" vertical="top" wrapText="1"/>
    </xf>
    <xf numFmtId="3" fontId="3" fillId="7" borderId="2" xfId="0" applyNumberFormat="1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49" fontId="0" fillId="0" borderId="2" xfId="1" applyNumberFormat="1" applyFont="1" applyFill="1" applyBorder="1" applyAlignment="1">
      <alignment horizontal="center" vertical="top" wrapText="1"/>
    </xf>
    <xf numFmtId="3" fontId="0" fillId="7" borderId="2" xfId="0" applyNumberFormat="1" applyFill="1" applyBorder="1" applyAlignment="1">
      <alignment horizontal="center" vertical="top" wrapText="1"/>
    </xf>
    <xf numFmtId="4" fontId="0" fillId="0" borderId="2" xfId="0" applyNumberFormat="1" applyFill="1" applyBorder="1" applyAlignment="1">
      <alignment horizontal="center" vertical="top" wrapText="1"/>
    </xf>
    <xf numFmtId="4" fontId="0" fillId="8" borderId="2" xfId="0" applyNumberFormat="1" applyFont="1" applyFill="1" applyBorder="1" applyAlignment="1">
      <alignment horizontal="center" vertical="top" wrapText="1"/>
    </xf>
    <xf numFmtId="0" fontId="0" fillId="8" borderId="2" xfId="0" applyFont="1" applyFill="1" applyBorder="1" applyAlignment="1">
      <alignment horizontal="center" vertical="top" wrapText="1"/>
    </xf>
    <xf numFmtId="0" fontId="0" fillId="7" borderId="2" xfId="0" applyFont="1" applyFill="1" applyBorder="1" applyAlignment="1">
      <alignment horizontal="center" vertical="top" wrapText="1"/>
    </xf>
    <xf numFmtId="164" fontId="0" fillId="0" borderId="2" xfId="1" applyNumberFormat="1" applyFont="1" applyFill="1" applyBorder="1" applyAlignment="1">
      <alignment horizontal="center" vertical="top" wrapText="1"/>
    </xf>
    <xf numFmtId="4" fontId="1" fillId="0" borderId="2" xfId="1" applyNumberFormat="1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49" fontId="11" fillId="0" borderId="2" xfId="0" applyNumberFormat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4" fontId="3" fillId="2" borderId="2" xfId="0" applyNumberFormat="1" applyFont="1" applyFill="1" applyBorder="1" applyAlignment="1">
      <alignment horizontal="center" vertical="top" wrapText="1"/>
    </xf>
    <xf numFmtId="4" fontId="11" fillId="2" borderId="2" xfId="0" applyNumberFormat="1" applyFont="1" applyFill="1" applyBorder="1" applyAlignment="1">
      <alignment horizontal="center" vertical="top" wrapText="1"/>
    </xf>
    <xf numFmtId="4" fontId="0" fillId="2" borderId="2" xfId="0" applyNumberFormat="1" applyFont="1" applyFill="1" applyBorder="1" applyAlignment="1">
      <alignment horizontal="left" vertical="top" wrapText="1"/>
    </xf>
    <xf numFmtId="4" fontId="0" fillId="2" borderId="2" xfId="0" applyNumberFormat="1" applyFont="1" applyFill="1" applyBorder="1" applyAlignment="1">
      <alignment horizontal="center" vertical="top" wrapText="1"/>
    </xf>
    <xf numFmtId="4" fontId="0" fillId="0" borderId="2" xfId="0" applyNumberFormat="1" applyFont="1" applyFill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center" vertical="top" wrapText="1"/>
    </xf>
    <xf numFmtId="49" fontId="0" fillId="19" borderId="2" xfId="0" applyNumberFormat="1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 wrapText="1"/>
    </xf>
    <xf numFmtId="3" fontId="8" fillId="7" borderId="2" xfId="0" applyNumberFormat="1" applyFont="1" applyFill="1" applyBorder="1" applyAlignment="1">
      <alignment horizontal="center" vertical="top" wrapText="1"/>
    </xf>
    <xf numFmtId="4" fontId="8" fillId="7" borderId="2" xfId="0" applyNumberFormat="1" applyFont="1" applyFill="1" applyBorder="1" applyAlignment="1">
      <alignment horizontal="center" vertical="top" wrapText="1"/>
    </xf>
    <xf numFmtId="4" fontId="8" fillId="8" borderId="2" xfId="0" applyNumberFormat="1" applyFont="1" applyFill="1" applyBorder="1" applyAlignment="1">
      <alignment horizontal="center" vertical="top" wrapText="1"/>
    </xf>
    <xf numFmtId="0" fontId="11" fillId="8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horizontal="center" vertical="top" wrapText="1"/>
    </xf>
    <xf numFmtId="0" fontId="11" fillId="7" borderId="2" xfId="0" applyFont="1" applyFill="1" applyBorder="1" applyAlignment="1">
      <alignment horizontal="center" vertical="top" wrapText="1"/>
    </xf>
    <xf numFmtId="49" fontId="8" fillId="0" borderId="2" xfId="0" applyNumberFormat="1" applyFont="1" applyFill="1" applyBorder="1" applyAlignment="1">
      <alignment horizontal="center" vertical="top" wrapText="1"/>
    </xf>
    <xf numFmtId="3" fontId="11" fillId="7" borderId="2" xfId="0" applyNumberFormat="1" applyFont="1" applyFill="1" applyBorder="1" applyAlignment="1">
      <alignment horizontal="center" vertical="top" wrapText="1"/>
    </xf>
    <xf numFmtId="4" fontId="2" fillId="7" borderId="2" xfId="0" applyNumberFormat="1" applyFont="1" applyFill="1" applyBorder="1" applyAlignment="1">
      <alignment horizontal="center" vertical="top" wrapText="1"/>
    </xf>
    <xf numFmtId="4" fontId="11" fillId="8" borderId="2" xfId="0" applyNumberFormat="1" applyFont="1" applyFill="1" applyBorder="1" applyAlignment="1">
      <alignment horizontal="center" vertical="top" wrapText="1"/>
    </xf>
    <xf numFmtId="14" fontId="0" fillId="0" borderId="2" xfId="0" applyNumberFormat="1" applyFont="1" applyFill="1" applyBorder="1" applyAlignment="1">
      <alignment horizontal="center" vertical="top" wrapText="1"/>
    </xf>
    <xf numFmtId="0" fontId="0" fillId="22" borderId="2" xfId="0" applyFill="1" applyBorder="1" applyAlignment="1">
      <alignment horizontal="center" vertical="top" wrapText="1"/>
    </xf>
    <xf numFmtId="0" fontId="11" fillId="22" borderId="2" xfId="0" applyFont="1" applyFill="1" applyBorder="1" applyAlignment="1">
      <alignment horizontal="center" vertical="top" wrapText="1"/>
    </xf>
    <xf numFmtId="0" fontId="0" fillId="22" borderId="2" xfId="0" applyFont="1" applyFill="1" applyBorder="1" applyAlignment="1">
      <alignment horizontal="left" vertical="top" wrapText="1"/>
    </xf>
    <xf numFmtId="0" fontId="3" fillId="22" borderId="2" xfId="0" applyFont="1" applyFill="1" applyBorder="1" applyAlignment="1">
      <alignment horizontal="center" vertical="top" wrapText="1"/>
    </xf>
    <xf numFmtId="49" fontId="3" fillId="22" borderId="2" xfId="0" applyNumberFormat="1" applyFont="1" applyFill="1" applyBorder="1" applyAlignment="1">
      <alignment horizontal="center" vertical="top" wrapText="1"/>
    </xf>
    <xf numFmtId="4" fontId="3" fillId="22" borderId="2" xfId="0" applyNumberFormat="1" applyFont="1" applyFill="1" applyBorder="1" applyAlignment="1">
      <alignment horizontal="center" vertical="top" wrapText="1"/>
    </xf>
    <xf numFmtId="49" fontId="0" fillId="22" borderId="2" xfId="0" applyNumberFormat="1" applyFont="1" applyFill="1" applyBorder="1" applyAlignment="1">
      <alignment horizontal="center" vertical="top" wrapText="1"/>
    </xf>
    <xf numFmtId="3" fontId="0" fillId="22" borderId="2" xfId="0" applyNumberFormat="1" applyFill="1" applyBorder="1" applyAlignment="1">
      <alignment horizontal="center" vertical="top" wrapText="1"/>
    </xf>
    <xf numFmtId="4" fontId="0" fillId="22" borderId="2" xfId="0" applyNumberFormat="1" applyFill="1" applyBorder="1" applyAlignment="1">
      <alignment horizontal="center" vertical="top" wrapText="1"/>
    </xf>
    <xf numFmtId="4" fontId="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ill="1" applyBorder="1" applyAlignment="1">
      <alignment horizontal="center" vertical="top" wrapText="1"/>
    </xf>
    <xf numFmtId="3" fontId="0" fillId="0" borderId="2" xfId="0" applyNumberFormat="1" applyFill="1" applyBorder="1" applyAlignment="1">
      <alignment horizontal="center" vertical="top" wrapText="1"/>
    </xf>
    <xf numFmtId="4" fontId="34" fillId="23" borderId="2" xfId="2" applyNumberFormat="1" applyFont="1" applyFill="1" applyBorder="1"/>
    <xf numFmtId="0" fontId="34" fillId="23" borderId="2" xfId="2" applyFont="1" applyFill="1" applyBorder="1"/>
    <xf numFmtId="4" fontId="45" fillId="23" borderId="2" xfId="2" applyNumberFormat="1" applyFont="1" applyFill="1" applyBorder="1"/>
    <xf numFmtId="4" fontId="41" fillId="23" borderId="2" xfId="2" applyNumberFormat="1" applyFont="1" applyFill="1" applyBorder="1"/>
    <xf numFmtId="4" fontId="16" fillId="2" borderId="11" xfId="1" applyNumberFormat="1" applyFont="1" applyFill="1" applyBorder="1" applyAlignment="1">
      <alignment horizontal="center" vertical="top" wrapText="1"/>
    </xf>
    <xf numFmtId="4" fontId="16" fillId="2" borderId="11" xfId="0" applyNumberFormat="1" applyFont="1" applyFill="1" applyBorder="1" applyAlignment="1">
      <alignment horizontal="center" vertical="top" wrapText="1"/>
    </xf>
    <xf numFmtId="4" fontId="16" fillId="20" borderId="11" xfId="0" applyNumberFormat="1" applyFont="1" applyFill="1" applyBorder="1" applyAlignment="1">
      <alignment horizontal="center" vertical="top" wrapText="1"/>
    </xf>
    <xf numFmtId="4" fontId="25" fillId="2" borderId="11" xfId="0" applyNumberFormat="1" applyFont="1" applyFill="1" applyBorder="1" applyAlignment="1">
      <alignment horizontal="center" vertical="top" wrapText="1"/>
    </xf>
    <xf numFmtId="3" fontId="42" fillId="2" borderId="20" xfId="0" applyNumberFormat="1" applyFont="1" applyFill="1" applyBorder="1" applyAlignment="1">
      <alignment horizontal="center" vertical="center" wrapText="1"/>
    </xf>
    <xf numFmtId="4" fontId="25" fillId="0" borderId="13" xfId="0" applyNumberFormat="1" applyFont="1" applyFill="1" applyBorder="1" applyAlignment="1">
      <alignment horizontal="center" vertical="top" wrapText="1"/>
    </xf>
    <xf numFmtId="3" fontId="16" fillId="0" borderId="0" xfId="0" applyNumberFormat="1" applyFont="1" applyFill="1" applyBorder="1" applyAlignment="1">
      <alignment horizontal="center" vertical="top" wrapText="1"/>
    </xf>
    <xf numFmtId="3" fontId="16" fillId="2" borderId="11" xfId="0" applyNumberFormat="1" applyFont="1" applyFill="1" applyBorder="1" applyAlignment="1">
      <alignment horizontal="center" vertical="top" wrapText="1"/>
    </xf>
    <xf numFmtId="3" fontId="16" fillId="2" borderId="11" xfId="1" applyNumberFormat="1" applyFont="1" applyFill="1" applyBorder="1" applyAlignment="1">
      <alignment horizontal="center" vertical="top" wrapText="1"/>
    </xf>
    <xf numFmtId="4" fontId="24" fillId="15" borderId="11" xfId="0" applyNumberFormat="1" applyFont="1" applyFill="1" applyBorder="1" applyAlignment="1">
      <alignment horizontal="center" vertical="top" wrapText="1"/>
    </xf>
    <xf numFmtId="3" fontId="42" fillId="2" borderId="20" xfId="0" applyNumberFormat="1" applyFont="1" applyFill="1" applyBorder="1" applyAlignment="1">
      <alignment horizontal="center" vertical="top" wrapText="1"/>
    </xf>
    <xf numFmtId="3" fontId="42" fillId="2" borderId="18" xfId="0" applyNumberFormat="1" applyFont="1" applyFill="1" applyBorder="1" applyAlignment="1">
      <alignment horizontal="center" vertical="top" wrapText="1"/>
    </xf>
    <xf numFmtId="3" fontId="21" fillId="2" borderId="11" xfId="0" applyNumberFormat="1" applyFont="1" applyFill="1" applyBorder="1" applyAlignment="1">
      <alignment horizontal="center" vertical="top" wrapText="1"/>
    </xf>
    <xf numFmtId="3" fontId="34" fillId="3" borderId="11" xfId="1" applyNumberFormat="1" applyFont="1" applyFill="1" applyBorder="1" applyAlignment="1">
      <alignment horizontal="right" vertical="top" wrapText="1"/>
    </xf>
    <xf numFmtId="4" fontId="34" fillId="3" borderId="11" xfId="1" applyNumberFormat="1" applyFont="1" applyFill="1" applyBorder="1" applyAlignment="1">
      <alignment horizontal="right" vertical="top" wrapText="1"/>
    </xf>
    <xf numFmtId="4" fontId="25" fillId="15" borderId="11" xfId="0" applyNumberFormat="1" applyFont="1" applyFill="1" applyBorder="1" applyAlignment="1">
      <alignment horizontal="center" vertical="top" wrapText="1"/>
    </xf>
    <xf numFmtId="4" fontId="16" fillId="15" borderId="11" xfId="1" applyNumberFormat="1" applyFont="1" applyFill="1" applyBorder="1" applyAlignment="1">
      <alignment horizontal="center" vertical="top" wrapText="1"/>
    </xf>
    <xf numFmtId="4" fontId="16" fillId="15" borderId="11" xfId="0" applyNumberFormat="1" applyFont="1" applyFill="1" applyBorder="1" applyAlignment="1">
      <alignment horizontal="center" vertical="top" wrapText="1"/>
    </xf>
    <xf numFmtId="0" fontId="34" fillId="0" borderId="0" xfId="2" applyFont="1" applyFill="1" applyAlignment="1"/>
    <xf numFmtId="0" fontId="16" fillId="0" borderId="0" xfId="2" applyFont="1" applyFill="1" applyAlignment="1"/>
    <xf numFmtId="3" fontId="42" fillId="2" borderId="13" xfId="0" applyNumberFormat="1" applyFont="1" applyFill="1" applyBorder="1" applyAlignment="1">
      <alignment horizontal="center" vertical="top" wrapText="1"/>
    </xf>
    <xf numFmtId="4" fontId="21" fillId="8" borderId="11" xfId="0" applyNumberFormat="1" applyFont="1" applyFill="1" applyBorder="1" applyAlignment="1">
      <alignment horizontal="center" vertical="top" wrapText="1"/>
    </xf>
    <xf numFmtId="4" fontId="16" fillId="8" borderId="11" xfId="1" applyNumberFormat="1" applyFont="1" applyFill="1" applyBorder="1" applyAlignment="1">
      <alignment horizontal="center" vertical="top" wrapText="1"/>
    </xf>
    <xf numFmtId="4" fontId="16" fillId="8" borderId="11" xfId="0" applyNumberFormat="1" applyFont="1" applyFill="1" applyBorder="1" applyAlignment="1">
      <alignment horizontal="center" vertical="top" wrapText="1"/>
    </xf>
    <xf numFmtId="4" fontId="16" fillId="8" borderId="0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2" borderId="13" xfId="0" applyNumberFormat="1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4" fontId="34" fillId="6" borderId="11" xfId="0" applyNumberFormat="1" applyFont="1" applyFill="1" applyBorder="1" applyAlignment="1">
      <alignment horizontal="center" vertical="top" wrapText="1"/>
    </xf>
    <xf numFmtId="4" fontId="34" fillId="6" borderId="11" xfId="0" applyNumberFormat="1" applyFont="1" applyFill="1" applyBorder="1" applyAlignment="1">
      <alignment vertical="top" wrapText="1"/>
    </xf>
    <xf numFmtId="4" fontId="25" fillId="8" borderId="11" xfId="0" applyNumberFormat="1" applyFont="1" applyFill="1" applyBorder="1" applyAlignment="1">
      <alignment horizontal="center" vertical="top" wrapText="1"/>
    </xf>
    <xf numFmtId="4" fontId="34" fillId="24" borderId="2" xfId="2" applyNumberFormat="1" applyFont="1" applyFill="1" applyBorder="1"/>
    <xf numFmtId="0" fontId="34" fillId="24" borderId="2" xfId="2" applyFont="1" applyFill="1" applyBorder="1"/>
    <xf numFmtId="4" fontId="34" fillId="25" borderId="2" xfId="2" applyNumberFormat="1" applyFont="1" applyFill="1" applyBorder="1"/>
    <xf numFmtId="0" fontId="34" fillId="25" borderId="2" xfId="2" applyFont="1" applyFill="1" applyBorder="1"/>
    <xf numFmtId="3" fontId="34" fillId="0" borderId="5" xfId="2" applyNumberFormat="1" applyFont="1" applyBorder="1"/>
    <xf numFmtId="3" fontId="34" fillId="0" borderId="27" xfId="2" applyNumberFormat="1" applyFont="1" applyBorder="1" applyAlignment="1">
      <alignment horizontal="center" vertical="center" wrapText="1"/>
    </xf>
    <xf numFmtId="0" fontId="34" fillId="0" borderId="5" xfId="2" applyFont="1" applyBorder="1" applyAlignment="1">
      <alignment horizontal="center" vertical="center" wrapText="1"/>
    </xf>
    <xf numFmtId="3" fontId="42" fillId="2" borderId="2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0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3" fillId="26" borderId="2" xfId="0" applyFont="1" applyFill="1" applyBorder="1" applyAlignment="1">
      <alignment horizontal="center" vertical="top" wrapText="1"/>
    </xf>
    <xf numFmtId="4" fontId="3" fillId="26" borderId="2" xfId="0" applyNumberFormat="1" applyFont="1" applyFill="1" applyBorder="1" applyAlignment="1">
      <alignment horizontal="center" vertical="top" wrapText="1"/>
    </xf>
    <xf numFmtId="0" fontId="11" fillId="26" borderId="2" xfId="0" applyFont="1" applyFill="1" applyBorder="1" applyAlignment="1">
      <alignment horizontal="center" vertical="top" wrapText="1"/>
    </xf>
    <xf numFmtId="3" fontId="45" fillId="0" borderId="2" xfId="2" applyNumberFormat="1" applyFont="1" applyBorder="1"/>
    <xf numFmtId="4" fontId="45" fillId="24" borderId="2" xfId="2" applyNumberFormat="1" applyFont="1" applyFill="1" applyBorder="1"/>
    <xf numFmtId="4" fontId="34" fillId="2" borderId="11" xfId="0" applyNumberFormat="1" applyFont="1" applyFill="1" applyBorder="1" applyAlignment="1">
      <alignment horizontal="center" vertical="top" wrapText="1"/>
    </xf>
    <xf numFmtId="4" fontId="34" fillId="15" borderId="11" xfId="1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3" fontId="34" fillId="2" borderId="13" xfId="0" applyNumberFormat="1" applyFont="1" applyFill="1" applyBorder="1" applyAlignment="1">
      <alignment horizontal="center" vertical="top" wrapText="1"/>
    </xf>
    <xf numFmtId="3" fontId="34" fillId="0" borderId="0" xfId="2" applyNumberFormat="1" applyFont="1" applyFill="1" applyBorder="1"/>
    <xf numFmtId="3" fontId="34" fillId="0" borderId="0" xfId="2" applyNumberFormat="1" applyFont="1" applyFill="1" applyAlignment="1"/>
    <xf numFmtId="3" fontId="16" fillId="0" borderId="0" xfId="2" applyNumberFormat="1" applyFont="1" applyFill="1" applyAlignment="1"/>
    <xf numFmtId="3" fontId="34" fillId="0" borderId="0" xfId="2" applyNumberFormat="1" applyFont="1" applyFill="1"/>
    <xf numFmtId="1" fontId="34" fillId="0" borderId="2" xfId="2" applyNumberFormat="1" applyFont="1" applyFill="1" applyBorder="1"/>
    <xf numFmtId="3" fontId="16" fillId="0" borderId="5" xfId="2" applyNumberFormat="1" applyFont="1" applyBorder="1" applyAlignment="1">
      <alignment horizontal="center" vertical="center" wrapText="1"/>
    </xf>
    <xf numFmtId="3" fontId="45" fillId="0" borderId="5" xfId="2" applyNumberFormat="1" applyFont="1" applyBorder="1"/>
    <xf numFmtId="0" fontId="34" fillId="0" borderId="2" xfId="2" applyFont="1" applyFill="1" applyBorder="1"/>
    <xf numFmtId="0" fontId="34" fillId="0" borderId="2" xfId="2" applyFont="1" applyFill="1" applyBorder="1" applyAlignment="1">
      <alignment horizontal="center"/>
    </xf>
    <xf numFmtId="4" fontId="34" fillId="0" borderId="2" xfId="2" applyNumberFormat="1" applyFont="1" applyFill="1" applyBorder="1"/>
    <xf numFmtId="3" fontId="45" fillId="0" borderId="5" xfId="2" applyNumberFormat="1" applyFont="1" applyFill="1" applyBorder="1"/>
    <xf numFmtId="3" fontId="34" fillId="0" borderId="5" xfId="2" applyNumberFormat="1" applyFont="1" applyFill="1" applyBorder="1"/>
    <xf numFmtId="4" fontId="34" fillId="0" borderId="0" xfId="2" applyNumberFormat="1" applyFont="1" applyFill="1"/>
    <xf numFmtId="49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4" fontId="24" fillId="2" borderId="2" xfId="0" applyNumberFormat="1" applyFont="1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4" fontId="6" fillId="0" borderId="0" xfId="0" applyNumberFormat="1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right" vertical="top" wrapText="1"/>
    </xf>
    <xf numFmtId="4" fontId="18" fillId="0" borderId="0" xfId="0" applyNumberFormat="1" applyFont="1" applyFill="1" applyAlignment="1">
      <alignment horizontal="right" vertical="top" wrapText="1"/>
    </xf>
    <xf numFmtId="4" fontId="6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left" vertical="top" wrapText="1"/>
    </xf>
    <xf numFmtId="0" fontId="0" fillId="0" borderId="0" xfId="0" applyFill="1"/>
    <xf numFmtId="0" fontId="3" fillId="0" borderId="6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horizontal="center" vertical="top"/>
    </xf>
    <xf numFmtId="0" fontId="12" fillId="0" borderId="0" xfId="0" applyFont="1" applyFill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49" fontId="14" fillId="0" borderId="43" xfId="0" applyNumberFormat="1" applyFont="1" applyFill="1" applyBorder="1" applyAlignment="1">
      <alignment horizontal="right" vertical="top" wrapText="1"/>
    </xf>
    <xf numFmtId="4" fontId="14" fillId="0" borderId="43" xfId="0" applyNumberFormat="1" applyFont="1" applyFill="1" applyBorder="1" applyAlignment="1">
      <alignment horizontal="right" vertical="top" wrapText="1"/>
    </xf>
    <xf numFmtId="0" fontId="0" fillId="0" borderId="11" xfId="0" applyFill="1" applyBorder="1" applyAlignment="1">
      <alignment vertical="top"/>
    </xf>
    <xf numFmtId="4" fontId="0" fillId="0" borderId="11" xfId="0" applyNumberFormat="1" applyFill="1" applyBorder="1" applyAlignment="1">
      <alignment horizontal="center" vertical="top"/>
    </xf>
    <xf numFmtId="49" fontId="14" fillId="0" borderId="22" xfId="0" applyNumberFormat="1" applyFont="1" applyFill="1" applyBorder="1" applyAlignment="1">
      <alignment horizontal="right" vertical="top" wrapText="1"/>
    </xf>
    <xf numFmtId="4" fontId="14" fillId="0" borderId="22" xfId="0" applyNumberFormat="1" applyFont="1" applyFill="1" applyBorder="1" applyAlignment="1">
      <alignment horizontal="right" vertical="top" wrapText="1"/>
    </xf>
    <xf numFmtId="4" fontId="3" fillId="0" borderId="11" xfId="0" applyNumberFormat="1" applyFont="1" applyFill="1" applyBorder="1" applyAlignment="1">
      <alignment horizontal="center" vertical="top"/>
    </xf>
    <xf numFmtId="49" fontId="3" fillId="0" borderId="11" xfId="0" applyNumberFormat="1" applyFont="1" applyFill="1" applyBorder="1" applyAlignment="1">
      <alignment horizontal="center" vertical="top"/>
    </xf>
    <xf numFmtId="3" fontId="0" fillId="0" borderId="11" xfId="0" applyNumberFormat="1" applyFill="1" applyBorder="1" applyAlignment="1">
      <alignment horizontal="center" vertical="top"/>
    </xf>
    <xf numFmtId="4" fontId="0" fillId="0" borderId="11" xfId="0" applyNumberFormat="1" applyFill="1" applyBorder="1" applyAlignment="1">
      <alignment vertical="top"/>
    </xf>
    <xf numFmtId="4" fontId="0" fillId="0" borderId="11" xfId="0" applyNumberFormat="1" applyFill="1" applyBorder="1" applyAlignment="1">
      <alignment horizontal="right" vertical="top"/>
    </xf>
    <xf numFmtId="49" fontId="3" fillId="0" borderId="11" xfId="0" applyNumberFormat="1" applyFont="1" applyFill="1" applyBorder="1" applyAlignment="1">
      <alignment horizontal="right" vertical="top" wrapText="1"/>
    </xf>
    <xf numFmtId="49" fontId="3" fillId="0" borderId="15" xfId="0" applyNumberFormat="1" applyFont="1" applyFill="1" applyBorder="1" applyAlignment="1">
      <alignment horizontal="right" vertical="top" wrapText="1"/>
    </xf>
    <xf numFmtId="4" fontId="3" fillId="0" borderId="15" xfId="0" applyNumberFormat="1" applyFont="1" applyFill="1" applyBorder="1" applyAlignment="1">
      <alignment horizontal="right" vertical="top" wrapText="1"/>
    </xf>
    <xf numFmtId="49" fontId="3" fillId="0" borderId="15" xfId="0" applyNumberFormat="1" applyFont="1" applyFill="1" applyBorder="1" applyAlignment="1">
      <alignment horizontal="left" vertical="top" wrapText="1"/>
    </xf>
    <xf numFmtId="4" fontId="3" fillId="0" borderId="11" xfId="1" applyNumberFormat="1" applyFont="1" applyFill="1" applyBorder="1" applyAlignment="1">
      <alignment horizontal="right" vertical="top"/>
    </xf>
    <xf numFmtId="4" fontId="3" fillId="0" borderId="11" xfId="1" applyNumberFormat="1" applyFont="1" applyFill="1" applyBorder="1" applyAlignment="1">
      <alignment horizontal="right" vertical="top" wrapText="1"/>
    </xf>
    <xf numFmtId="0" fontId="0" fillId="0" borderId="8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4" fontId="1" fillId="0" borderId="11" xfId="1" applyNumberFormat="1" applyFont="1" applyFill="1" applyBorder="1" applyAlignment="1">
      <alignment horizontal="left" vertical="top"/>
    </xf>
    <xf numFmtId="164" fontId="3" fillId="0" borderId="11" xfId="1" applyNumberFormat="1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4" fontId="1" fillId="0" borderId="11" xfId="1" applyNumberFormat="1" applyFont="1" applyFill="1" applyBorder="1" applyAlignment="1">
      <alignment horizontal="right" vertical="top"/>
    </xf>
    <xf numFmtId="4" fontId="1" fillId="0" borderId="11" xfId="1" applyNumberFormat="1" applyFont="1" applyFill="1" applyBorder="1" applyAlignment="1">
      <alignment horizontal="right" vertical="top" wrapText="1"/>
    </xf>
    <xf numFmtId="4" fontId="1" fillId="0" borderId="16" xfId="1" applyNumberFormat="1" applyFont="1" applyFill="1" applyBorder="1" applyAlignment="1">
      <alignment horizontal="right" vertical="top" wrapText="1"/>
    </xf>
    <xf numFmtId="4" fontId="0" fillId="0" borderId="16" xfId="1" applyNumberFormat="1" applyFont="1" applyFill="1" applyBorder="1" applyAlignment="1">
      <alignment horizontal="right" vertical="top" wrapText="1"/>
    </xf>
    <xf numFmtId="49" fontId="1" fillId="0" borderId="17" xfId="1" applyNumberFormat="1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10" xfId="0" applyFill="1" applyBorder="1" applyAlignment="1">
      <alignment horizontal="center" vertical="top"/>
    </xf>
    <xf numFmtId="4" fontId="3" fillId="0" borderId="11" xfId="0" applyNumberFormat="1" applyFont="1" applyFill="1" applyBorder="1" applyAlignment="1">
      <alignment horizontal="right" vertical="top" wrapText="1"/>
    </xf>
    <xf numFmtId="4" fontId="3" fillId="0" borderId="16" xfId="0" applyNumberFormat="1" applyFont="1" applyFill="1" applyBorder="1" applyAlignment="1">
      <alignment horizontal="right" vertical="top" wrapText="1"/>
    </xf>
    <xf numFmtId="49" fontId="3" fillId="0" borderId="17" xfId="0" applyNumberFormat="1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vertical="top"/>
    </xf>
    <xf numFmtId="0" fontId="2" fillId="0" borderId="11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center" vertical="top"/>
    </xf>
    <xf numFmtId="0" fontId="3" fillId="0" borderId="11" xfId="0" applyNumberFormat="1" applyFont="1" applyFill="1" applyBorder="1" applyAlignment="1">
      <alignment horizontal="right" vertical="top" wrapText="1"/>
    </xf>
    <xf numFmtId="4" fontId="0" fillId="0" borderId="11" xfId="0" applyNumberFormat="1" applyFont="1" applyFill="1" applyBorder="1" applyAlignment="1">
      <alignment horizontal="right" vertical="top" wrapText="1"/>
    </xf>
    <xf numFmtId="4" fontId="0" fillId="0" borderId="16" xfId="0" applyNumberFormat="1" applyFont="1" applyFill="1" applyBorder="1" applyAlignment="1">
      <alignment horizontal="right" vertical="top" wrapText="1"/>
    </xf>
    <xf numFmtId="49" fontId="0" fillId="0" borderId="17" xfId="0" applyNumberFormat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4" fontId="11" fillId="0" borderId="11" xfId="0" applyNumberFormat="1" applyFont="1" applyFill="1" applyBorder="1" applyAlignment="1">
      <alignment horizontal="center" vertical="top"/>
    </xf>
    <xf numFmtId="0" fontId="11" fillId="0" borderId="11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vertical="top"/>
    </xf>
    <xf numFmtId="4" fontId="0" fillId="0" borderId="11" xfId="0" applyNumberFormat="1" applyFill="1" applyBorder="1" applyAlignment="1">
      <alignment horizontal="right" vertical="top" wrapText="1"/>
    </xf>
    <xf numFmtId="49" fontId="0" fillId="0" borderId="0" xfId="0" applyNumberFormat="1" applyFill="1" applyAlignment="1">
      <alignment horizontal="left" vertical="top" wrapText="1"/>
    </xf>
    <xf numFmtId="0" fontId="3" fillId="0" borderId="0" xfId="0" applyFont="1" applyFill="1" applyAlignment="1">
      <alignment horizontal="center" vertical="top"/>
    </xf>
    <xf numFmtId="4" fontId="0" fillId="0" borderId="0" xfId="0" applyNumberFormat="1" applyFill="1" applyAlignment="1">
      <alignment horizontal="center" vertical="top"/>
    </xf>
    <xf numFmtId="49" fontId="0" fillId="0" borderId="0" xfId="0" applyNumberFormat="1" applyFill="1" applyAlignment="1">
      <alignment horizontal="center" vertical="top"/>
    </xf>
    <xf numFmtId="4" fontId="0" fillId="0" borderId="19" xfId="0" applyNumberFormat="1" applyFill="1" applyBorder="1" applyAlignment="1">
      <alignment vertical="top"/>
    </xf>
    <xf numFmtId="49" fontId="0" fillId="0" borderId="0" xfId="0" applyNumberFormat="1" applyFill="1" applyAlignment="1">
      <alignment horizontal="right" vertical="top" wrapText="1"/>
    </xf>
    <xf numFmtId="4" fontId="0" fillId="0" borderId="0" xfId="0" applyNumberFormat="1" applyFill="1" applyAlignment="1">
      <alignment horizontal="right" vertical="top" wrapText="1"/>
    </xf>
    <xf numFmtId="3" fontId="0" fillId="0" borderId="0" xfId="0" applyNumberFormat="1" applyFill="1" applyAlignment="1">
      <alignment horizontal="right" vertical="top"/>
    </xf>
    <xf numFmtId="0" fontId="0" fillId="0" borderId="0" xfId="0" applyFill="1" applyAlignment="1">
      <alignment horizontal="right" vertical="top"/>
    </xf>
    <xf numFmtId="4" fontId="0" fillId="0" borderId="0" xfId="0" applyNumberFormat="1" applyFill="1" applyBorder="1" applyAlignment="1">
      <alignment vertical="top"/>
    </xf>
    <xf numFmtId="4" fontId="0" fillId="0" borderId="0" xfId="0" applyNumberFormat="1" applyFill="1" applyBorder="1" applyAlignment="1">
      <alignment horizontal="right" vertical="top"/>
    </xf>
    <xf numFmtId="0" fontId="11" fillId="0" borderId="2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3" fontId="34" fillId="2" borderId="2" xfId="2" applyNumberFormat="1" applyFont="1" applyFill="1" applyBorder="1"/>
    <xf numFmtId="0" fontId="8" fillId="19" borderId="0" xfId="0" applyFont="1" applyFill="1" applyAlignment="1">
      <alignment vertical="top" wrapText="1"/>
    </xf>
    <xf numFmtId="0" fontId="3" fillId="0" borderId="1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left" vertical="top" wrapText="1"/>
    </xf>
    <xf numFmtId="49" fontId="0" fillId="0" borderId="42" xfId="0" applyNumberForma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4" fontId="34" fillId="2" borderId="11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0" fillId="2" borderId="9" xfId="0" applyNumberForma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3" fontId="34" fillId="0" borderId="11" xfId="0" applyNumberFormat="1" applyFont="1" applyFill="1" applyBorder="1" applyAlignment="1">
      <alignment horizontal="center" vertical="top" wrapText="1"/>
    </xf>
    <xf numFmtId="3" fontId="34" fillId="0" borderId="11" xfId="1" applyNumberFormat="1" applyFont="1" applyFill="1" applyBorder="1" applyAlignment="1">
      <alignment horizontal="center" vertical="top" wrapText="1"/>
    </xf>
    <xf numFmtId="3" fontId="16" fillId="0" borderId="11" xfId="1" applyNumberFormat="1" applyFont="1" applyFill="1" applyBorder="1" applyAlignment="1">
      <alignment horizontal="center" vertical="top" wrapText="1"/>
    </xf>
    <xf numFmtId="3" fontId="16" fillId="0" borderId="11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3" fillId="0" borderId="9" xfId="1" applyNumberFormat="1" applyFont="1" applyFill="1" applyBorder="1" applyAlignment="1">
      <alignment horizontal="right" vertical="top" wrapText="1"/>
    </xf>
    <xf numFmtId="4" fontId="3" fillId="0" borderId="35" xfId="1" applyNumberFormat="1" applyFont="1" applyFill="1" applyBorder="1" applyAlignment="1">
      <alignment horizontal="right" vertical="top" wrapText="1"/>
    </xf>
    <xf numFmtId="4" fontId="3" fillId="7" borderId="4" xfId="1" applyNumberFormat="1" applyFont="1" applyFill="1" applyBorder="1" applyAlignment="1">
      <alignment horizontal="center" vertical="top" wrapText="1"/>
    </xf>
    <xf numFmtId="4" fontId="3" fillId="0" borderId="17" xfId="0" applyNumberFormat="1" applyFont="1" applyFill="1" applyBorder="1" applyAlignment="1">
      <alignment horizontal="center" vertical="top" wrapText="1"/>
    </xf>
    <xf numFmtId="4" fontId="14" fillId="0" borderId="9" xfId="0" applyNumberFormat="1" applyFont="1" applyBorder="1" applyAlignment="1">
      <alignment horizontal="center" vertical="center" wrapText="1"/>
    </xf>
    <xf numFmtId="4" fontId="7" fillId="7" borderId="9" xfId="1" applyNumberFormat="1" applyFont="1" applyFill="1" applyBorder="1" applyAlignment="1">
      <alignment horizontal="center" vertical="top" wrapText="1"/>
    </xf>
    <xf numFmtId="4" fontId="12" fillId="0" borderId="0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4" fontId="14" fillId="0" borderId="7" xfId="0" applyNumberFormat="1" applyFont="1" applyBorder="1" applyAlignment="1">
      <alignment vertical="center" wrapText="1"/>
    </xf>
    <xf numFmtId="0" fontId="12" fillId="0" borderId="27" xfId="0" applyFont="1" applyFill="1" applyBorder="1" applyAlignment="1">
      <alignment horizontal="center" vertical="top" wrapText="1"/>
    </xf>
    <xf numFmtId="4" fontId="35" fillId="0" borderId="0" xfId="0" applyNumberFormat="1" applyFont="1" applyFill="1" applyBorder="1" applyAlignment="1">
      <alignment horizontal="center" vertical="top" wrapText="1"/>
    </xf>
    <xf numFmtId="4" fontId="21" fillId="0" borderId="4" xfId="0" applyNumberFormat="1" applyFont="1" applyFill="1" applyBorder="1" applyAlignment="1">
      <alignment horizontal="center" vertical="top" wrapText="1"/>
    </xf>
    <xf numFmtId="4" fontId="3" fillId="0" borderId="8" xfId="1" applyNumberFormat="1" applyFont="1" applyFill="1" applyBorder="1" applyAlignment="1">
      <alignment horizontal="center" vertical="top" wrapText="1"/>
    </xf>
    <xf numFmtId="4" fontId="3" fillId="0" borderId="10" xfId="0" applyNumberFormat="1" applyFont="1" applyFill="1" applyBorder="1" applyAlignment="1">
      <alignment horizontal="center" vertical="top" wrapText="1"/>
    </xf>
    <xf numFmtId="4" fontId="3" fillId="0" borderId="12" xfId="1" applyNumberFormat="1" applyFont="1" applyFill="1" applyBorder="1" applyAlignment="1">
      <alignment horizontal="center" vertical="top" wrapText="1"/>
    </xf>
    <xf numFmtId="4" fontId="3" fillId="0" borderId="4" xfId="1" applyNumberFormat="1" applyFont="1" applyFill="1" applyBorder="1" applyAlignment="1">
      <alignment horizontal="center" vertical="top" wrapText="1"/>
    </xf>
    <xf numFmtId="4" fontId="3" fillId="0" borderId="10" xfId="1" applyNumberFormat="1" applyFont="1" applyFill="1" applyBorder="1" applyAlignment="1">
      <alignment horizontal="center" vertical="top" wrapText="1"/>
    </xf>
    <xf numFmtId="4" fontId="3" fillId="0" borderId="41" xfId="0" applyNumberFormat="1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4" fontId="14" fillId="0" borderId="7" xfId="0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center" vertical="center" wrapText="1"/>
    </xf>
    <xf numFmtId="4" fontId="13" fillId="0" borderId="5" xfId="0" applyNumberFormat="1" applyFont="1" applyFill="1" applyBorder="1" applyAlignment="1">
      <alignment horizontal="center" vertical="center" wrapText="1"/>
    </xf>
    <xf numFmtId="4" fontId="34" fillId="0" borderId="9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4" fontId="3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 wrapText="1"/>
    </xf>
    <xf numFmtId="49" fontId="19" fillId="0" borderId="0" xfId="0" applyNumberFormat="1" applyFont="1" applyBorder="1" applyAlignment="1">
      <alignment horizontal="center" vertical="top" wrapText="1"/>
    </xf>
    <xf numFmtId="3" fontId="0" fillId="8" borderId="0" xfId="0" applyNumberForma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 vertical="top" wrapText="1"/>
    </xf>
    <xf numFmtId="4" fontId="5" fillId="8" borderId="0" xfId="0" applyNumberFormat="1" applyFont="1" applyFill="1" applyBorder="1" applyAlignment="1">
      <alignment horizontal="center" vertical="top" wrapText="1"/>
    </xf>
    <xf numFmtId="4" fontId="5" fillId="0" borderId="0" xfId="0" applyNumberFormat="1" applyFont="1" applyBorder="1" applyAlignment="1">
      <alignment horizontal="center" vertical="top" wrapText="1"/>
    </xf>
    <xf numFmtId="3" fontId="0" fillId="7" borderId="0" xfId="0" applyNumberFormat="1" applyFont="1" applyFill="1" applyBorder="1" applyAlignment="1">
      <alignment horizontal="center" vertical="top" wrapText="1"/>
    </xf>
    <xf numFmtId="4" fontId="5" fillId="7" borderId="0" xfId="0" applyNumberFormat="1" applyFont="1" applyFill="1" applyBorder="1" applyAlignment="1">
      <alignment horizontal="center" vertical="top" wrapText="1"/>
    </xf>
    <xf numFmtId="4" fontId="3" fillId="7" borderId="5" xfId="0" applyNumberFormat="1" applyFont="1" applyFill="1" applyBorder="1" applyAlignment="1">
      <alignment horizontal="center" vertical="top" wrapText="1"/>
    </xf>
    <xf numFmtId="4" fontId="3" fillId="7" borderId="0" xfId="0" applyNumberFormat="1" applyFont="1" applyFill="1" applyBorder="1" applyAlignment="1">
      <alignment horizontal="center" vertical="top" wrapText="1"/>
    </xf>
    <xf numFmtId="4" fontId="3" fillId="8" borderId="0" xfId="0" applyNumberFormat="1" applyFont="1" applyFill="1" applyBorder="1" applyAlignment="1">
      <alignment horizontal="center" vertical="top" wrapText="1"/>
    </xf>
    <xf numFmtId="4" fontId="3" fillId="7" borderId="3" xfId="0" applyNumberFormat="1" applyFont="1" applyFill="1" applyBorder="1" applyAlignment="1">
      <alignment horizontal="center" vertical="top" wrapText="1"/>
    </xf>
    <xf numFmtId="4" fontId="0" fillId="7" borderId="3" xfId="0" applyNumberFormat="1" applyFont="1" applyFill="1" applyBorder="1" applyAlignment="1">
      <alignment horizontal="center" vertical="top" wrapText="1"/>
    </xf>
    <xf numFmtId="4" fontId="0" fillId="3" borderId="3" xfId="0" applyNumberFormat="1" applyFont="1" applyFill="1" applyBorder="1" applyAlignment="1">
      <alignment horizontal="center" vertical="top" wrapText="1"/>
    </xf>
    <xf numFmtId="4" fontId="3" fillId="3" borderId="3" xfId="0" applyNumberFormat="1" applyFont="1" applyFill="1" applyBorder="1" applyAlignment="1">
      <alignment horizontal="center" vertical="top" wrapText="1"/>
    </xf>
    <xf numFmtId="4" fontId="8" fillId="0" borderId="3" xfId="0" applyNumberFormat="1" applyFont="1" applyFill="1" applyBorder="1" applyAlignment="1">
      <alignment horizontal="center" vertical="top" wrapText="1"/>
    </xf>
    <xf numFmtId="4" fontId="11" fillId="0" borderId="3" xfId="0" applyNumberFormat="1" applyFont="1" applyFill="1" applyBorder="1" applyAlignment="1">
      <alignment horizontal="center" vertical="top" wrapText="1"/>
    </xf>
    <xf numFmtId="4" fontId="3" fillId="3" borderId="0" xfId="0" applyNumberFormat="1" applyFont="1" applyFill="1" applyBorder="1" applyAlignment="1">
      <alignment horizontal="center" vertical="top" wrapText="1"/>
    </xf>
    <xf numFmtId="4" fontId="0" fillId="3" borderId="0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0" fontId="34" fillId="0" borderId="0" xfId="2" applyFont="1" applyFill="1" applyAlignment="1">
      <alignment vertical="top"/>
    </xf>
    <xf numFmtId="0" fontId="34" fillId="0" borderId="0" xfId="2" applyFont="1" applyBorder="1" applyAlignment="1">
      <alignment vertical="top"/>
    </xf>
    <xf numFmtId="4" fontId="34" fillId="0" borderId="0" xfId="2" applyNumberFormat="1" applyFont="1" applyAlignment="1">
      <alignment vertical="top"/>
    </xf>
    <xf numFmtId="3" fontId="34" fillId="0" borderId="0" xfId="2" applyNumberFormat="1" applyFont="1" applyFill="1" applyAlignment="1">
      <alignment vertical="top"/>
    </xf>
    <xf numFmtId="3" fontId="34" fillId="0" borderId="0" xfId="2" applyNumberFormat="1" applyFont="1" applyAlignment="1">
      <alignment vertical="top"/>
    </xf>
    <xf numFmtId="1" fontId="34" fillId="0" borderId="0" xfId="2" applyNumberFormat="1" applyFont="1" applyAlignment="1">
      <alignment vertical="top"/>
    </xf>
    <xf numFmtId="2" fontId="16" fillId="0" borderId="23" xfId="2" applyNumberFormat="1" applyFont="1" applyFill="1" applyBorder="1" applyAlignment="1">
      <alignment horizontal="center" vertical="top"/>
    </xf>
    <xf numFmtId="2" fontId="16" fillId="0" borderId="23" xfId="2" applyNumberFormat="1" applyFont="1" applyBorder="1" applyAlignment="1">
      <alignment horizontal="center" vertical="top" wrapText="1"/>
    </xf>
    <xf numFmtId="2" fontId="16" fillId="0" borderId="23" xfId="2" applyNumberFormat="1" applyFont="1" applyBorder="1" applyAlignment="1">
      <alignment horizontal="center" vertical="top"/>
    </xf>
    <xf numFmtId="2" fontId="34" fillId="0" borderId="2" xfId="2" applyNumberFormat="1" applyFont="1" applyFill="1" applyBorder="1" applyAlignment="1">
      <alignment horizontal="left" vertical="top"/>
    </xf>
    <xf numFmtId="2" fontId="34" fillId="0" borderId="2" xfId="2" applyNumberFormat="1" applyFont="1" applyBorder="1" applyAlignment="1">
      <alignment horizontal="left" vertical="top"/>
    </xf>
    <xf numFmtId="2" fontId="34" fillId="0" borderId="2" xfId="2" applyNumberFormat="1" applyFont="1" applyBorder="1" applyAlignment="1">
      <alignment horizontal="left" vertical="top" wrapText="1"/>
    </xf>
    <xf numFmtId="2" fontId="16" fillId="0" borderId="2" xfId="2" applyNumberFormat="1" applyFont="1" applyBorder="1" applyAlignment="1">
      <alignment horizontal="left" vertical="top"/>
    </xf>
    <xf numFmtId="0" fontId="16" fillId="0" borderId="0" xfId="2" applyFont="1" applyAlignment="1">
      <alignment horizontal="right"/>
    </xf>
    <xf numFmtId="0" fontId="11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center" vertical="top" wrapText="1"/>
    </xf>
    <xf numFmtId="49" fontId="8" fillId="2" borderId="2" xfId="0" applyNumberFormat="1" applyFont="1" applyFill="1" applyBorder="1" applyAlignment="1">
      <alignment horizontal="center" vertical="top" wrapText="1"/>
    </xf>
    <xf numFmtId="3" fontId="8" fillId="2" borderId="2" xfId="0" applyNumberFormat="1" applyFont="1" applyFill="1" applyBorder="1" applyAlignment="1">
      <alignment horizontal="center" vertical="top" wrapText="1"/>
    </xf>
    <xf numFmtId="3" fontId="0" fillId="2" borderId="2" xfId="0" applyNumberFormat="1" applyFill="1" applyBorder="1" applyAlignment="1">
      <alignment horizontal="center" vertical="top" wrapText="1"/>
    </xf>
    <xf numFmtId="4" fontId="8" fillId="2" borderId="2" xfId="0" applyNumberFormat="1" applyFont="1" applyFill="1" applyBorder="1" applyAlignment="1">
      <alignment horizontal="center" vertical="top" wrapText="1"/>
    </xf>
    <xf numFmtId="4" fontId="0" fillId="2" borderId="2" xfId="0" applyNumberFormat="1" applyFill="1" applyBorder="1" applyAlignment="1">
      <alignment horizontal="center" vertical="top" wrapText="1"/>
    </xf>
    <xf numFmtId="0" fontId="8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4" fontId="34" fillId="0" borderId="11" xfId="0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9" borderId="9" xfId="0" applyFont="1" applyFill="1" applyBorder="1" applyAlignment="1">
      <alignment horizontal="left" vertical="top" wrapText="1"/>
    </xf>
    <xf numFmtId="4" fontId="1" fillId="9" borderId="7" xfId="1" applyNumberFormat="1" applyFont="1" applyFill="1" applyBorder="1" applyAlignment="1">
      <alignment horizontal="center" vertical="top" wrapText="1"/>
    </xf>
    <xf numFmtId="4" fontId="3" fillId="9" borderId="9" xfId="1" applyNumberFormat="1" applyFont="1" applyFill="1" applyBorder="1" applyAlignment="1">
      <alignment horizontal="center" vertical="top" wrapText="1"/>
    </xf>
    <xf numFmtId="4" fontId="8" fillId="9" borderId="7" xfId="1" applyNumberFormat="1" applyFont="1" applyFill="1" applyBorder="1" applyAlignment="1">
      <alignment horizontal="center" vertical="top" wrapText="1"/>
    </xf>
    <xf numFmtId="4" fontId="0" fillId="9" borderId="17" xfId="0" applyNumberFormat="1" applyFont="1" applyFill="1" applyBorder="1" applyAlignment="1">
      <alignment horizontal="center" vertical="top" wrapText="1"/>
    </xf>
    <xf numFmtId="4" fontId="3" fillId="9" borderId="10" xfId="1" applyNumberFormat="1" applyFont="1" applyFill="1" applyBorder="1" applyAlignment="1">
      <alignment horizontal="center" vertical="top" wrapText="1"/>
    </xf>
    <xf numFmtId="4" fontId="3" fillId="9" borderId="5" xfId="1" applyNumberFormat="1" applyFont="1" applyFill="1" applyBorder="1" applyAlignment="1">
      <alignment horizontal="center" vertical="top" wrapText="1"/>
    </xf>
    <xf numFmtId="4" fontId="3" fillId="9" borderId="8" xfId="1" applyNumberFormat="1" applyFont="1" applyFill="1" applyBorder="1" applyAlignment="1">
      <alignment horizontal="center" vertical="top" wrapText="1"/>
    </xf>
    <xf numFmtId="4" fontId="1" fillId="9" borderId="9" xfId="1" applyNumberFormat="1" applyFont="1" applyFill="1" applyBorder="1" applyAlignment="1">
      <alignment horizontal="right" vertical="top" wrapText="1"/>
    </xf>
    <xf numFmtId="4" fontId="3" fillId="9" borderId="9" xfId="1" applyNumberFormat="1" applyFont="1" applyFill="1" applyBorder="1" applyAlignment="1">
      <alignment horizontal="right" vertical="top" wrapText="1"/>
    </xf>
    <xf numFmtId="4" fontId="3" fillId="9" borderId="0" xfId="1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left" vertical="top" wrapText="1"/>
    </xf>
    <xf numFmtId="1" fontId="0" fillId="0" borderId="11" xfId="0" applyNumberFormat="1" applyFill="1" applyBorder="1" applyAlignment="1">
      <alignment horizontal="center" vertical="top"/>
    </xf>
    <xf numFmtId="1" fontId="1" fillId="0" borderId="11" xfId="1" applyNumberFormat="1" applyFont="1" applyFill="1" applyBorder="1" applyAlignment="1">
      <alignment horizontal="left" vertical="top"/>
    </xf>
    <xf numFmtId="1" fontId="0" fillId="0" borderId="11" xfId="0" applyNumberFormat="1" applyFill="1" applyBorder="1" applyAlignment="1">
      <alignment vertical="top"/>
    </xf>
    <xf numFmtId="1" fontId="0" fillId="0" borderId="0" xfId="0" applyNumberFormat="1" applyFill="1" applyAlignment="1">
      <alignment vertical="top"/>
    </xf>
    <xf numFmtId="0" fontId="16" fillId="27" borderId="2" xfId="2" applyFont="1" applyFill="1" applyBorder="1" applyAlignment="1">
      <alignment horizontal="center"/>
    </xf>
    <xf numFmtId="0" fontId="16" fillId="27" borderId="2" xfId="2" applyFont="1" applyFill="1" applyBorder="1"/>
    <xf numFmtId="3" fontId="16" fillId="27" borderId="2" xfId="2" applyNumberFormat="1" applyFont="1" applyFill="1" applyBorder="1" applyAlignment="1">
      <alignment horizontal="center"/>
    </xf>
    <xf numFmtId="4" fontId="16" fillId="27" borderId="2" xfId="2" applyNumberFormat="1" applyFont="1" applyFill="1" applyBorder="1"/>
    <xf numFmtId="3" fontId="16" fillId="27" borderId="2" xfId="2" applyNumberFormat="1" applyFont="1" applyFill="1" applyBorder="1"/>
    <xf numFmtId="1" fontId="16" fillId="27" borderId="2" xfId="2" applyNumberFormat="1" applyFont="1" applyFill="1" applyBorder="1"/>
    <xf numFmtId="3" fontId="16" fillId="27" borderId="5" xfId="2" applyNumberFormat="1" applyFont="1" applyFill="1" applyBorder="1"/>
    <xf numFmtId="2" fontId="16" fillId="27" borderId="2" xfId="2" applyNumberFormat="1" applyFont="1" applyFill="1" applyBorder="1"/>
    <xf numFmtId="0" fontId="16" fillId="27" borderId="0" xfId="2" applyFont="1" applyFill="1"/>
    <xf numFmtId="0" fontId="16" fillId="12" borderId="2" xfId="2" applyFont="1" applyFill="1" applyBorder="1"/>
    <xf numFmtId="0" fontId="16" fillId="12" borderId="2" xfId="2" applyFont="1" applyFill="1" applyBorder="1" applyAlignment="1">
      <alignment horizontal="center"/>
    </xf>
    <xf numFmtId="3" fontId="16" fillId="12" borderId="2" xfId="2" applyNumberFormat="1" applyFont="1" applyFill="1" applyBorder="1" applyAlignment="1">
      <alignment horizontal="center"/>
    </xf>
    <xf numFmtId="4" fontId="16" fillId="12" borderId="2" xfId="2" applyNumberFormat="1" applyFont="1" applyFill="1" applyBorder="1"/>
    <xf numFmtId="3" fontId="16" fillId="12" borderId="2" xfId="2" applyNumberFormat="1" applyFont="1" applyFill="1" applyBorder="1"/>
    <xf numFmtId="1" fontId="16" fillId="12" borderId="2" xfId="2" applyNumberFormat="1" applyFont="1" applyFill="1" applyBorder="1"/>
    <xf numFmtId="3" fontId="16" fillId="12" borderId="5" xfId="2" applyNumberFormat="1" applyFont="1" applyFill="1" applyBorder="1"/>
    <xf numFmtId="2" fontId="16" fillId="12" borderId="2" xfId="2" applyNumberFormat="1" applyFont="1" applyFill="1" applyBorder="1"/>
    <xf numFmtId="0" fontId="16" fillId="12" borderId="0" xfId="2" applyFont="1" applyFill="1"/>
    <xf numFmtId="3" fontId="1" fillId="0" borderId="11" xfId="1" applyNumberFormat="1" applyFont="1" applyFill="1" applyBorder="1" applyAlignment="1">
      <alignment horizontal="right" vertical="top"/>
    </xf>
    <xf numFmtId="3" fontId="0" fillId="0" borderId="11" xfId="0" applyNumberFormat="1" applyFill="1" applyBorder="1" applyAlignment="1">
      <alignment horizontal="right" vertical="top"/>
    </xf>
    <xf numFmtId="0" fontId="0" fillId="0" borderId="11" xfId="0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vertical="top"/>
    </xf>
    <xf numFmtId="0" fontId="3" fillId="0" borderId="11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/>
    </xf>
    <xf numFmtId="49" fontId="0" fillId="0" borderId="11" xfId="0" applyNumberFormat="1" applyFont="1" applyFill="1" applyBorder="1" applyAlignment="1">
      <alignment horizontal="center" vertical="top"/>
    </xf>
    <xf numFmtId="49" fontId="1" fillId="0" borderId="11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vertical="top"/>
    </xf>
    <xf numFmtId="4" fontId="1" fillId="5" borderId="11" xfId="1" applyNumberFormat="1" applyFont="1" applyFill="1" applyBorder="1" applyAlignment="1">
      <alignment horizontal="left" vertical="top"/>
    </xf>
    <xf numFmtId="0" fontId="0" fillId="9" borderId="10" xfId="0" applyFill="1" applyBorder="1" applyAlignment="1">
      <alignment horizontal="center" vertical="top"/>
    </xf>
    <xf numFmtId="0" fontId="3" fillId="9" borderId="11" xfId="0" applyFont="1" applyFill="1" applyBorder="1" applyAlignment="1">
      <alignment horizontal="left" vertical="top" wrapText="1"/>
    </xf>
    <xf numFmtId="0" fontId="0" fillId="9" borderId="11" xfId="0" applyFill="1" applyBorder="1" applyAlignment="1">
      <alignment horizontal="left" vertical="top" wrapText="1"/>
    </xf>
    <xf numFmtId="0" fontId="3" fillId="9" borderId="11" xfId="0" applyFont="1" applyFill="1" applyBorder="1" applyAlignment="1">
      <alignment horizontal="center" vertical="top"/>
    </xf>
    <xf numFmtId="4" fontId="3" fillId="9" borderId="11" xfId="0" applyNumberFormat="1" applyFont="1" applyFill="1" applyBorder="1" applyAlignment="1">
      <alignment horizontal="center" vertical="top"/>
    </xf>
    <xf numFmtId="49" fontId="3" fillId="9" borderId="11" xfId="0" applyNumberFormat="1" applyFont="1" applyFill="1" applyBorder="1" applyAlignment="1">
      <alignment horizontal="center" vertical="top"/>
    </xf>
    <xf numFmtId="49" fontId="0" fillId="9" borderId="11" xfId="0" applyNumberFormat="1" applyFont="1" applyFill="1" applyBorder="1" applyAlignment="1">
      <alignment vertical="top"/>
    </xf>
    <xf numFmtId="1" fontId="0" fillId="9" borderId="11" xfId="0" applyNumberFormat="1" applyFill="1" applyBorder="1" applyAlignment="1">
      <alignment vertical="top"/>
    </xf>
    <xf numFmtId="4" fontId="0" fillId="9" borderId="11" xfId="0" applyNumberFormat="1" applyFill="1" applyBorder="1" applyAlignment="1">
      <alignment vertical="top"/>
    </xf>
    <xf numFmtId="4" fontId="1" fillId="9" borderId="11" xfId="1" applyNumberFormat="1" applyFont="1" applyFill="1" applyBorder="1" applyAlignment="1">
      <alignment horizontal="left" vertical="top"/>
    </xf>
    <xf numFmtId="3" fontId="1" fillId="9" borderId="11" xfId="1" applyNumberFormat="1" applyFont="1" applyFill="1" applyBorder="1" applyAlignment="1">
      <alignment horizontal="right" vertical="top"/>
    </xf>
    <xf numFmtId="4" fontId="1" fillId="9" borderId="11" xfId="1" applyNumberFormat="1" applyFont="1" applyFill="1" applyBorder="1" applyAlignment="1">
      <alignment horizontal="right" vertical="top"/>
    </xf>
    <xf numFmtId="4" fontId="3" fillId="9" borderId="11" xfId="1" applyNumberFormat="1" applyFont="1" applyFill="1" applyBorder="1" applyAlignment="1">
      <alignment horizontal="right" vertical="top"/>
    </xf>
    <xf numFmtId="4" fontId="3" fillId="9" borderId="11" xfId="0" applyNumberFormat="1" applyFont="1" applyFill="1" applyBorder="1" applyAlignment="1">
      <alignment horizontal="right" vertical="top" wrapText="1"/>
    </xf>
    <xf numFmtId="4" fontId="3" fillId="9" borderId="16" xfId="0" applyNumberFormat="1" applyFont="1" applyFill="1" applyBorder="1" applyAlignment="1">
      <alignment horizontal="right" vertical="top" wrapText="1"/>
    </xf>
    <xf numFmtId="49" fontId="3" fillId="9" borderId="17" xfId="0" applyNumberFormat="1" applyFont="1" applyFill="1" applyBorder="1" applyAlignment="1">
      <alignment horizontal="left" vertical="top" wrapText="1"/>
    </xf>
    <xf numFmtId="0" fontId="0" fillId="9" borderId="11" xfId="0" applyFill="1" applyBorder="1" applyAlignment="1">
      <alignment vertical="top"/>
    </xf>
    <xf numFmtId="0" fontId="0" fillId="9" borderId="0" xfId="0" applyFill="1"/>
    <xf numFmtId="0" fontId="0" fillId="9" borderId="0" xfId="0" applyFill="1" applyAlignment="1">
      <alignment vertical="top"/>
    </xf>
    <xf numFmtId="0" fontId="0" fillId="28" borderId="10" xfId="0" applyFill="1" applyBorder="1" applyAlignment="1">
      <alignment horizontal="center" vertical="top"/>
    </xf>
    <xf numFmtId="0" fontId="3" fillId="28" borderId="11" xfId="0" applyFont="1" applyFill="1" applyBorder="1" applyAlignment="1">
      <alignment horizontal="left" vertical="top" wrapText="1"/>
    </xf>
    <xf numFmtId="0" fontId="0" fillId="28" borderId="11" xfId="0" applyFill="1" applyBorder="1" applyAlignment="1">
      <alignment horizontal="left" vertical="top" wrapText="1"/>
    </xf>
    <xf numFmtId="0" fontId="3" fillId="28" borderId="11" xfId="0" applyFont="1" applyFill="1" applyBorder="1" applyAlignment="1">
      <alignment horizontal="center" vertical="top"/>
    </xf>
    <xf numFmtId="4" fontId="3" fillId="28" borderId="11" xfId="0" applyNumberFormat="1" applyFont="1" applyFill="1" applyBorder="1" applyAlignment="1">
      <alignment horizontal="center" vertical="top"/>
    </xf>
    <xf numFmtId="49" fontId="3" fillId="28" borderId="11" xfId="0" applyNumberFormat="1" applyFont="1" applyFill="1" applyBorder="1" applyAlignment="1">
      <alignment horizontal="center" vertical="top"/>
    </xf>
    <xf numFmtId="49" fontId="0" fillId="28" borderId="11" xfId="0" applyNumberFormat="1" applyFont="1" applyFill="1" applyBorder="1" applyAlignment="1">
      <alignment vertical="top"/>
    </xf>
    <xf numFmtId="1" fontId="0" fillId="28" borderId="11" xfId="0" applyNumberFormat="1" applyFill="1" applyBorder="1" applyAlignment="1">
      <alignment vertical="top"/>
    </xf>
    <xf numFmtId="4" fontId="0" fillId="28" borderId="11" xfId="0" applyNumberFormat="1" applyFill="1" applyBorder="1" applyAlignment="1">
      <alignment vertical="top"/>
    </xf>
    <xf numFmtId="4" fontId="1" fillId="28" borderId="11" xfId="1" applyNumberFormat="1" applyFont="1" applyFill="1" applyBorder="1" applyAlignment="1">
      <alignment horizontal="left" vertical="top"/>
    </xf>
    <xf numFmtId="3" fontId="1" fillId="28" borderId="11" xfId="1" applyNumberFormat="1" applyFont="1" applyFill="1" applyBorder="1" applyAlignment="1">
      <alignment horizontal="right" vertical="top"/>
    </xf>
    <xf numFmtId="4" fontId="1" fillId="28" borderId="11" xfId="1" applyNumberFormat="1" applyFont="1" applyFill="1" applyBorder="1" applyAlignment="1">
      <alignment horizontal="right" vertical="top"/>
    </xf>
    <xf numFmtId="4" fontId="3" fillId="28" borderId="11" xfId="1" applyNumberFormat="1" applyFont="1" applyFill="1" applyBorder="1" applyAlignment="1">
      <alignment horizontal="right" vertical="top"/>
    </xf>
    <xf numFmtId="4" fontId="3" fillId="28" borderId="11" xfId="0" applyNumberFormat="1" applyFont="1" applyFill="1" applyBorder="1" applyAlignment="1">
      <alignment horizontal="right" vertical="top" wrapText="1"/>
    </xf>
    <xf numFmtId="4" fontId="3" fillId="28" borderId="16" xfId="0" applyNumberFormat="1" applyFont="1" applyFill="1" applyBorder="1" applyAlignment="1">
      <alignment horizontal="right" vertical="top" wrapText="1"/>
    </xf>
    <xf numFmtId="49" fontId="3" fillId="28" borderId="17" xfId="0" applyNumberFormat="1" applyFont="1" applyFill="1" applyBorder="1" applyAlignment="1">
      <alignment horizontal="left" vertical="top" wrapText="1"/>
    </xf>
    <xf numFmtId="0" fontId="0" fillId="28" borderId="11" xfId="0" applyFill="1" applyBorder="1" applyAlignment="1">
      <alignment vertical="top"/>
    </xf>
    <xf numFmtId="0" fontId="0" fillId="28" borderId="0" xfId="0" applyFill="1"/>
    <xf numFmtId="0" fontId="0" fillId="28" borderId="0" xfId="0" applyFill="1" applyAlignment="1">
      <alignment vertical="top"/>
    </xf>
    <xf numFmtId="3" fontId="1" fillId="0" borderId="24" xfId="1" applyNumberFormat="1" applyFont="1" applyFill="1" applyBorder="1" applyAlignment="1">
      <alignment horizontal="right" vertical="top"/>
    </xf>
    <xf numFmtId="0" fontId="0" fillId="0" borderId="41" xfId="0" applyFill="1" applyBorder="1" applyAlignment="1">
      <alignment horizontal="center" vertical="top"/>
    </xf>
    <xf numFmtId="0" fontId="0" fillId="0" borderId="18" xfId="0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center" vertical="top"/>
    </xf>
    <xf numFmtId="4" fontId="3" fillId="0" borderId="18" xfId="0" applyNumberFormat="1" applyFont="1" applyFill="1" applyBorder="1" applyAlignment="1">
      <alignment horizontal="center" vertical="top"/>
    </xf>
    <xf numFmtId="1" fontId="0" fillId="0" borderId="18" xfId="0" applyNumberFormat="1" applyFill="1" applyBorder="1" applyAlignment="1">
      <alignment vertical="top"/>
    </xf>
    <xf numFmtId="4" fontId="0" fillId="0" borderId="18" xfId="0" applyNumberFormat="1" applyFill="1" applyBorder="1" applyAlignment="1">
      <alignment vertical="top"/>
    </xf>
    <xf numFmtId="4" fontId="1" fillId="0" borderId="18" xfId="1" applyNumberFormat="1" applyFont="1" applyFill="1" applyBorder="1" applyAlignment="1">
      <alignment horizontal="left" vertical="top"/>
    </xf>
    <xf numFmtId="3" fontId="1" fillId="0" borderId="18" xfId="1" applyNumberFormat="1" applyFont="1" applyFill="1" applyBorder="1" applyAlignment="1">
      <alignment horizontal="right" vertical="top"/>
    </xf>
    <xf numFmtId="4" fontId="1" fillId="0" borderId="18" xfId="1" applyNumberFormat="1" applyFont="1" applyFill="1" applyBorder="1" applyAlignment="1">
      <alignment horizontal="right" vertical="top"/>
    </xf>
    <xf numFmtId="4" fontId="3" fillId="0" borderId="18" xfId="1" applyNumberFormat="1" applyFont="1" applyFill="1" applyBorder="1" applyAlignment="1">
      <alignment horizontal="right" vertical="top"/>
    </xf>
    <xf numFmtId="4" fontId="3" fillId="0" borderId="18" xfId="0" applyNumberFormat="1" applyFont="1" applyFill="1" applyBorder="1" applyAlignment="1">
      <alignment horizontal="right" vertical="top" wrapText="1"/>
    </xf>
    <xf numFmtId="4" fontId="3" fillId="0" borderId="14" xfId="0" applyNumberFormat="1" applyFont="1" applyFill="1" applyBorder="1" applyAlignment="1">
      <alignment horizontal="right" vertical="top" wrapText="1"/>
    </xf>
    <xf numFmtId="49" fontId="3" fillId="0" borderId="36" xfId="0" applyNumberFormat="1" applyFont="1" applyFill="1" applyBorder="1" applyAlignment="1">
      <alignment horizontal="left" vertical="top" wrapText="1"/>
    </xf>
    <xf numFmtId="0" fontId="0" fillId="0" borderId="18" xfId="0" applyFill="1" applyBorder="1" applyAlignment="1">
      <alignment vertical="top"/>
    </xf>
    <xf numFmtId="49" fontId="0" fillId="0" borderId="11" xfId="0" applyNumberFormat="1" applyFill="1" applyBorder="1" applyAlignment="1">
      <alignment horizontal="right" vertical="top" wrapText="1"/>
    </xf>
    <xf numFmtId="49" fontId="0" fillId="0" borderId="11" xfId="0" applyNumberFormat="1" applyFill="1" applyBorder="1" applyAlignment="1">
      <alignment horizontal="left" vertical="top" wrapText="1"/>
    </xf>
    <xf numFmtId="0" fontId="0" fillId="0" borderId="11" xfId="0" applyFill="1" applyBorder="1"/>
    <xf numFmtId="0" fontId="0" fillId="9" borderId="8" xfId="0" applyFont="1" applyFill="1" applyBorder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0" fillId="9" borderId="11" xfId="0" applyFont="1" applyFill="1" applyBorder="1" applyAlignment="1">
      <alignment horizontal="left" vertical="top" wrapText="1"/>
    </xf>
    <xf numFmtId="164" fontId="3" fillId="9" borderId="11" xfId="1" applyNumberFormat="1" applyFont="1" applyFill="1" applyBorder="1" applyAlignment="1">
      <alignment horizontal="left" vertical="top"/>
    </xf>
    <xf numFmtId="0" fontId="0" fillId="9" borderId="11" xfId="0" applyFont="1" applyFill="1" applyBorder="1" applyAlignment="1">
      <alignment horizontal="left" vertical="top"/>
    </xf>
    <xf numFmtId="49" fontId="0" fillId="9" borderId="11" xfId="1" applyNumberFormat="1" applyFont="1" applyFill="1" applyBorder="1" applyAlignment="1">
      <alignment horizontal="left" vertical="top"/>
    </xf>
    <xf numFmtId="49" fontId="1" fillId="9" borderId="11" xfId="1" applyNumberFormat="1" applyFont="1" applyFill="1" applyBorder="1" applyAlignment="1">
      <alignment horizontal="left" vertical="top"/>
    </xf>
    <xf numFmtId="1" fontId="1" fillId="9" borderId="11" xfId="1" applyNumberFormat="1" applyFont="1" applyFill="1" applyBorder="1" applyAlignment="1">
      <alignment horizontal="left" vertical="top"/>
    </xf>
    <xf numFmtId="4" fontId="1" fillId="9" borderId="11" xfId="1" applyNumberFormat="1" applyFont="1" applyFill="1" applyBorder="1" applyAlignment="1">
      <alignment horizontal="right" vertical="top" wrapText="1"/>
    </xf>
    <xf numFmtId="4" fontId="3" fillId="9" borderId="11" xfId="1" applyNumberFormat="1" applyFont="1" applyFill="1" applyBorder="1" applyAlignment="1">
      <alignment horizontal="right" vertical="top" wrapText="1"/>
    </xf>
    <xf numFmtId="4" fontId="1" fillId="9" borderId="16" xfId="1" applyNumberFormat="1" applyFont="1" applyFill="1" applyBorder="1" applyAlignment="1">
      <alignment horizontal="right" vertical="top" wrapText="1"/>
    </xf>
    <xf numFmtId="49" fontId="1" fillId="9" borderId="17" xfId="1" applyNumberFormat="1" applyFont="1" applyFill="1" applyBorder="1" applyAlignment="1">
      <alignment horizontal="left" vertical="top" wrapText="1"/>
    </xf>
    <xf numFmtId="0" fontId="0" fillId="9" borderId="0" xfId="0" applyFont="1" applyFill="1" applyAlignment="1">
      <alignment horizontal="left" vertical="top"/>
    </xf>
    <xf numFmtId="0" fontId="3" fillId="9" borderId="11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vertical="top"/>
    </xf>
    <xf numFmtId="4" fontId="0" fillId="9" borderId="11" xfId="0" applyNumberFormat="1" applyFont="1" applyFill="1" applyBorder="1" applyAlignment="1">
      <alignment horizontal="right" vertical="top" wrapText="1"/>
    </xf>
    <xf numFmtId="4" fontId="0" fillId="9" borderId="16" xfId="0" applyNumberFormat="1" applyFont="1" applyFill="1" applyBorder="1" applyAlignment="1">
      <alignment horizontal="right" vertical="top" wrapText="1"/>
    </xf>
    <xf numFmtId="49" fontId="0" fillId="9" borderId="17" xfId="0" applyNumberFormat="1" applyFont="1" applyFill="1" applyBorder="1" applyAlignment="1">
      <alignment horizontal="left" vertical="top" wrapText="1"/>
    </xf>
    <xf numFmtId="0" fontId="2" fillId="9" borderId="11" xfId="0" applyFont="1" applyFill="1" applyBorder="1" applyAlignment="1">
      <alignment horizontal="left" vertical="top" wrapText="1"/>
    </xf>
    <xf numFmtId="4" fontId="39" fillId="9" borderId="11" xfId="1" applyNumberFormat="1" applyFont="1" applyFill="1" applyBorder="1" applyAlignment="1">
      <alignment horizontal="right" vertical="top"/>
    </xf>
    <xf numFmtId="0" fontId="11" fillId="9" borderId="11" xfId="0" applyFont="1" applyFill="1" applyBorder="1" applyAlignment="1">
      <alignment vertical="top"/>
    </xf>
    <xf numFmtId="0" fontId="8" fillId="9" borderId="11" xfId="0" applyFont="1" applyFill="1" applyBorder="1" applyAlignment="1">
      <alignment horizontal="left" vertical="top" wrapText="1"/>
    </xf>
    <xf numFmtId="4" fontId="0" fillId="9" borderId="11" xfId="0" applyNumberFormat="1" applyFill="1" applyBorder="1" applyAlignment="1">
      <alignment horizontal="center" vertical="top"/>
    </xf>
    <xf numFmtId="49" fontId="0" fillId="9" borderId="11" xfId="0" applyNumberFormat="1" applyFill="1" applyBorder="1" applyAlignment="1">
      <alignment horizontal="center" vertical="top"/>
    </xf>
    <xf numFmtId="3" fontId="0" fillId="9" borderId="11" xfId="0" applyNumberFormat="1" applyFill="1" applyBorder="1" applyAlignment="1">
      <alignment horizontal="right" vertical="top"/>
    </xf>
    <xf numFmtId="4" fontId="0" fillId="9" borderId="11" xfId="0" applyNumberFormat="1" applyFill="1" applyBorder="1" applyAlignment="1">
      <alignment horizontal="right" vertical="top"/>
    </xf>
    <xf numFmtId="4" fontId="0" fillId="9" borderId="11" xfId="0" applyNumberFormat="1" applyFill="1" applyBorder="1" applyAlignment="1">
      <alignment horizontal="right" vertical="top" wrapText="1"/>
    </xf>
    <xf numFmtId="4" fontId="0" fillId="9" borderId="0" xfId="0" applyNumberFormat="1" applyFill="1" applyBorder="1" applyAlignment="1">
      <alignment horizontal="right" vertical="top" wrapText="1"/>
    </xf>
    <xf numFmtId="49" fontId="0" fillId="9" borderId="0" xfId="0" applyNumberFormat="1" applyFill="1" applyAlignment="1">
      <alignment horizontal="left" vertical="top" wrapText="1"/>
    </xf>
    <xf numFmtId="0" fontId="3" fillId="9" borderId="11" xfId="0" applyNumberFormat="1" applyFont="1" applyFill="1" applyBorder="1" applyAlignment="1">
      <alignment horizontal="right" vertical="top" wrapText="1"/>
    </xf>
    <xf numFmtId="0" fontId="3" fillId="8" borderId="11" xfId="0" applyFont="1" applyFill="1" applyBorder="1" applyAlignment="1">
      <alignment horizontal="left" vertical="top" wrapText="1"/>
    </xf>
    <xf numFmtId="164" fontId="3" fillId="8" borderId="11" xfId="1" applyNumberFormat="1" applyFont="1" applyFill="1" applyBorder="1" applyAlignment="1">
      <alignment horizontal="center" vertical="top"/>
    </xf>
    <xf numFmtId="0" fontId="3" fillId="8" borderId="11" xfId="0" applyFont="1" applyFill="1" applyBorder="1" applyAlignment="1">
      <alignment horizontal="center" vertical="top"/>
    </xf>
    <xf numFmtId="4" fontId="3" fillId="8" borderId="11" xfId="1" applyNumberFormat="1" applyFont="1" applyFill="1" applyBorder="1" applyAlignment="1">
      <alignment horizontal="center" vertical="top"/>
    </xf>
    <xf numFmtId="49" fontId="3" fillId="8" borderId="11" xfId="1" applyNumberFormat="1" applyFont="1" applyFill="1" applyBorder="1" applyAlignment="1">
      <alignment horizontal="center" vertical="top"/>
    </xf>
    <xf numFmtId="4" fontId="3" fillId="8" borderId="11" xfId="1" applyNumberFormat="1" applyFont="1" applyFill="1" applyBorder="1" applyAlignment="1">
      <alignment horizontal="right" vertical="top"/>
    </xf>
    <xf numFmtId="3" fontId="3" fillId="8" borderId="11" xfId="1" applyNumberFormat="1" applyFont="1" applyFill="1" applyBorder="1" applyAlignment="1">
      <alignment horizontal="right" vertical="top"/>
    </xf>
    <xf numFmtId="4" fontId="3" fillId="8" borderId="11" xfId="1" applyNumberFormat="1" applyFont="1" applyFill="1" applyBorder="1" applyAlignment="1">
      <alignment horizontal="right" vertical="top" wrapText="1"/>
    </xf>
    <xf numFmtId="0" fontId="0" fillId="12" borderId="6" xfId="0" applyFont="1" applyFill="1" applyBorder="1" applyAlignment="1">
      <alignment horizontal="center" vertical="top"/>
    </xf>
    <xf numFmtId="0" fontId="3" fillId="12" borderId="7" xfId="0" applyFont="1" applyFill="1" applyBorder="1" applyAlignment="1">
      <alignment horizontal="left" vertical="top"/>
    </xf>
    <xf numFmtId="0" fontId="3" fillId="12" borderId="8" xfId="0" applyFont="1" applyFill="1" applyBorder="1" applyAlignment="1">
      <alignment horizontal="left" vertical="top"/>
    </xf>
    <xf numFmtId="0" fontId="3" fillId="12" borderId="11" xfId="0" applyFont="1" applyFill="1" applyBorder="1" applyAlignment="1">
      <alignment horizontal="left" vertical="top" wrapText="1"/>
    </xf>
    <xf numFmtId="164" fontId="3" fillId="12" borderId="11" xfId="1" applyNumberFormat="1" applyFont="1" applyFill="1" applyBorder="1" applyAlignment="1">
      <alignment horizontal="center" vertical="top"/>
    </xf>
    <xf numFmtId="0" fontId="3" fillId="12" borderId="11" xfId="0" applyFont="1" applyFill="1" applyBorder="1" applyAlignment="1">
      <alignment horizontal="center" vertical="top"/>
    </xf>
    <xf numFmtId="4" fontId="3" fillId="12" borderId="11" xfId="1" applyNumberFormat="1" applyFont="1" applyFill="1" applyBorder="1" applyAlignment="1">
      <alignment horizontal="center" vertical="top"/>
    </xf>
    <xf numFmtId="49" fontId="3" fillId="12" borderId="11" xfId="1" applyNumberFormat="1" applyFont="1" applyFill="1" applyBorder="1" applyAlignment="1">
      <alignment horizontal="center" vertical="top"/>
    </xf>
    <xf numFmtId="49" fontId="1" fillId="12" borderId="11" xfId="1" applyNumberFormat="1" applyFont="1" applyFill="1" applyBorder="1" applyAlignment="1">
      <alignment horizontal="right" vertical="top"/>
    </xf>
    <xf numFmtId="1" fontId="3" fillId="12" borderId="11" xfId="1" applyNumberFormat="1" applyFont="1" applyFill="1" applyBorder="1" applyAlignment="1">
      <alignment horizontal="right" vertical="top"/>
    </xf>
    <xf numFmtId="4" fontId="3" fillId="12" borderId="11" xfId="1" applyNumberFormat="1" applyFont="1" applyFill="1" applyBorder="1" applyAlignment="1">
      <alignment horizontal="right" vertical="top"/>
    </xf>
    <xf numFmtId="3" fontId="3" fillId="12" borderId="11" xfId="1" applyNumberFormat="1" applyFont="1" applyFill="1" applyBorder="1" applyAlignment="1">
      <alignment horizontal="right" vertical="top"/>
    </xf>
    <xf numFmtId="4" fontId="3" fillId="12" borderId="11" xfId="1" applyNumberFormat="1" applyFont="1" applyFill="1" applyBorder="1" applyAlignment="1">
      <alignment horizontal="right" vertical="top" wrapText="1"/>
    </xf>
    <xf numFmtId="4" fontId="3" fillId="12" borderId="15" xfId="1" applyNumberFormat="1" applyFont="1" applyFill="1" applyBorder="1" applyAlignment="1">
      <alignment horizontal="right" vertical="top" wrapText="1"/>
    </xf>
    <xf numFmtId="49" fontId="3" fillId="12" borderId="15" xfId="1" applyNumberFormat="1" applyFont="1" applyFill="1" applyBorder="1" applyAlignment="1">
      <alignment horizontal="left" vertical="top" wrapText="1"/>
    </xf>
    <xf numFmtId="0" fontId="0" fillId="12" borderId="11" xfId="0" applyFont="1" applyFill="1" applyBorder="1" applyAlignment="1">
      <alignment vertical="top"/>
    </xf>
    <xf numFmtId="0" fontId="0" fillId="12" borderId="0" xfId="0" applyFont="1" applyFill="1" applyAlignment="1">
      <alignment vertical="top"/>
    </xf>
    <xf numFmtId="0" fontId="0" fillId="8" borderId="8" xfId="0" applyFill="1" applyBorder="1" applyAlignment="1">
      <alignment horizontal="center" vertical="top"/>
    </xf>
    <xf numFmtId="49" fontId="1" fillId="8" borderId="11" xfId="1" applyNumberFormat="1" applyFont="1" applyFill="1" applyBorder="1" applyAlignment="1">
      <alignment horizontal="center" vertical="top"/>
    </xf>
    <xf numFmtId="1" fontId="3" fillId="8" borderId="11" xfId="1" applyNumberFormat="1" applyFont="1" applyFill="1" applyBorder="1" applyAlignment="1">
      <alignment vertical="top"/>
    </xf>
    <xf numFmtId="4" fontId="3" fillId="8" borderId="11" xfId="1" applyNumberFormat="1" applyFont="1" applyFill="1" applyBorder="1" applyAlignment="1">
      <alignment vertical="top"/>
    </xf>
    <xf numFmtId="3" fontId="3" fillId="8" borderId="11" xfId="1" applyNumberFormat="1" applyFont="1" applyFill="1" applyBorder="1" applyAlignment="1">
      <alignment vertical="top"/>
    </xf>
    <xf numFmtId="4" fontId="3" fillId="8" borderId="16" xfId="1" applyNumberFormat="1" applyFont="1" applyFill="1" applyBorder="1" applyAlignment="1">
      <alignment horizontal="right" vertical="top" wrapText="1"/>
    </xf>
    <xf numFmtId="49" fontId="3" fillId="8" borderId="17" xfId="1" applyNumberFormat="1" applyFont="1" applyFill="1" applyBorder="1" applyAlignment="1">
      <alignment horizontal="left" vertical="top" wrapText="1"/>
    </xf>
    <xf numFmtId="0" fontId="0" fillId="8" borderId="11" xfId="0" applyFill="1" applyBorder="1" applyAlignment="1">
      <alignment horizontal="center" vertical="top"/>
    </xf>
    <xf numFmtId="0" fontId="0" fillId="8" borderId="0" xfId="0" applyFill="1" applyAlignment="1">
      <alignment horizontal="center" vertical="top"/>
    </xf>
    <xf numFmtId="4" fontId="3" fillId="8" borderId="10" xfId="0" applyNumberFormat="1" applyFont="1" applyFill="1" applyBorder="1" applyAlignment="1">
      <alignment horizontal="center" vertical="top"/>
    </xf>
    <xf numFmtId="4" fontId="3" fillId="8" borderId="11" xfId="0" applyNumberFormat="1" applyFont="1" applyFill="1" applyBorder="1" applyAlignment="1">
      <alignment horizontal="center" vertical="top"/>
    </xf>
    <xf numFmtId="4" fontId="3" fillId="8" borderId="11" xfId="0" applyNumberFormat="1" applyFont="1" applyFill="1" applyBorder="1" applyAlignment="1">
      <alignment horizontal="left" vertical="top" wrapText="1"/>
    </xf>
    <xf numFmtId="49" fontId="3" fillId="8" borderId="11" xfId="0" applyNumberFormat="1" applyFont="1" applyFill="1" applyBorder="1" applyAlignment="1">
      <alignment horizontal="center" vertical="top"/>
    </xf>
    <xf numFmtId="49" fontId="0" fillId="8" borderId="11" xfId="0" applyNumberFormat="1" applyFont="1" applyFill="1" applyBorder="1" applyAlignment="1">
      <alignment vertical="top"/>
    </xf>
    <xf numFmtId="1" fontId="3" fillId="8" borderId="11" xfId="0" applyNumberFormat="1" applyFont="1" applyFill="1" applyBorder="1" applyAlignment="1">
      <alignment horizontal="center" vertical="top"/>
    </xf>
    <xf numFmtId="3" fontId="3" fillId="8" borderId="11" xfId="0" applyNumberFormat="1" applyFont="1" applyFill="1" applyBorder="1" applyAlignment="1">
      <alignment horizontal="center" vertical="top"/>
    </xf>
    <xf numFmtId="4" fontId="3" fillId="8" borderId="11" xfId="0" applyNumberFormat="1" applyFont="1" applyFill="1" applyBorder="1" applyAlignment="1">
      <alignment horizontal="right" vertical="top" wrapText="1"/>
    </xf>
    <xf numFmtId="4" fontId="3" fillId="8" borderId="16" xfId="0" applyNumberFormat="1" applyFont="1" applyFill="1" applyBorder="1" applyAlignment="1">
      <alignment horizontal="right" vertical="top" wrapText="1"/>
    </xf>
    <xf numFmtId="49" fontId="3" fillId="8" borderId="17" xfId="0" applyNumberFormat="1" applyFont="1" applyFill="1" applyBorder="1" applyAlignment="1">
      <alignment horizontal="left" vertical="top" wrapText="1"/>
    </xf>
    <xf numFmtId="4" fontId="3" fillId="8" borderId="11" xfId="0" applyNumberFormat="1" applyFont="1" applyFill="1" applyBorder="1" applyAlignment="1">
      <alignment vertical="top"/>
    </xf>
    <xf numFmtId="4" fontId="3" fillId="8" borderId="0" xfId="0" applyNumberFormat="1" applyFont="1" applyFill="1" applyAlignment="1">
      <alignment vertical="top"/>
    </xf>
    <xf numFmtId="49" fontId="0" fillId="8" borderId="11" xfId="0" applyNumberFormat="1" applyFont="1" applyFill="1" applyBorder="1" applyAlignment="1">
      <alignment horizontal="center" vertical="top"/>
    </xf>
    <xf numFmtId="4" fontId="3" fillId="8" borderId="0" xfId="0" applyNumberFormat="1" applyFont="1" applyFill="1" applyAlignment="1">
      <alignment horizontal="center" vertical="top"/>
    </xf>
    <xf numFmtId="3" fontId="34" fillId="0" borderId="2" xfId="2" applyNumberFormat="1" applyFont="1" applyBorder="1" applyAlignment="1">
      <alignment horizontal="center" vertical="center" wrapText="1"/>
    </xf>
    <xf numFmtId="3" fontId="8" fillId="0" borderId="2" xfId="2" applyNumberFormat="1" applyFont="1" applyFill="1" applyBorder="1" applyAlignment="1">
      <alignment horizontal="center" vertical="center" wrapText="1"/>
    </xf>
    <xf numFmtId="3" fontId="8" fillId="0" borderId="2" xfId="2" applyNumberFormat="1" applyFont="1" applyBorder="1" applyAlignment="1">
      <alignment horizontal="center" vertical="center" wrapText="1"/>
    </xf>
    <xf numFmtId="0" fontId="21" fillId="25" borderId="31" xfId="2" applyFont="1" applyFill="1" applyBorder="1" applyAlignment="1">
      <alignment horizontal="center"/>
    </xf>
    <xf numFmtId="0" fontId="21" fillId="25" borderId="32" xfId="2" applyFont="1" applyFill="1" applyBorder="1" applyAlignment="1">
      <alignment horizontal="center"/>
    </xf>
    <xf numFmtId="0" fontId="21" fillId="25" borderId="33" xfId="2" applyFont="1" applyFill="1" applyBorder="1" applyAlignment="1">
      <alignment horizontal="center"/>
    </xf>
    <xf numFmtId="0" fontId="34" fillId="25" borderId="23" xfId="2" applyFont="1" applyFill="1" applyBorder="1" applyAlignment="1">
      <alignment horizontal="center" vertical="center" wrapText="1"/>
    </xf>
    <xf numFmtId="0" fontId="34" fillId="25" borderId="3" xfId="2" applyFont="1" applyFill="1" applyBorder="1" applyAlignment="1">
      <alignment horizontal="center" vertical="center" wrapText="1"/>
    </xf>
    <xf numFmtId="1" fontId="8" fillId="0" borderId="2" xfId="2" applyNumberFormat="1" applyFont="1" applyBorder="1" applyAlignment="1">
      <alignment horizontal="center" vertical="center"/>
    </xf>
    <xf numFmtId="3" fontId="8" fillId="0" borderId="2" xfId="2" applyNumberFormat="1" applyFont="1" applyBorder="1" applyAlignment="1">
      <alignment horizontal="center" vertical="center"/>
    </xf>
    <xf numFmtId="0" fontId="34" fillId="0" borderId="2" xfId="2" applyFont="1" applyBorder="1" applyAlignment="1">
      <alignment horizontal="center" vertical="center" wrapText="1"/>
    </xf>
    <xf numFmtId="0" fontId="34" fillId="0" borderId="0" xfId="2" applyFont="1" applyBorder="1" applyAlignment="1">
      <alignment horizontal="center"/>
    </xf>
    <xf numFmtId="0" fontId="34" fillId="23" borderId="5" xfId="2" applyFont="1" applyFill="1" applyBorder="1" applyAlignment="1">
      <alignment horizontal="center" vertical="center"/>
    </xf>
    <xf numFmtId="0" fontId="34" fillId="23" borderId="3" xfId="2" applyFont="1" applyFill="1" applyBorder="1" applyAlignment="1">
      <alignment horizontal="center" vertical="center"/>
    </xf>
    <xf numFmtId="4" fontId="34" fillId="23" borderId="5" xfId="2" applyNumberFormat="1" applyFont="1" applyFill="1" applyBorder="1" applyAlignment="1">
      <alignment horizontal="center" vertical="center" wrapText="1"/>
    </xf>
    <xf numFmtId="4" fontId="34" fillId="23" borderId="3" xfId="2" applyNumberFormat="1" applyFont="1" applyFill="1" applyBorder="1" applyAlignment="1">
      <alignment horizontal="center" vertical="center" wrapText="1"/>
    </xf>
    <xf numFmtId="0" fontId="34" fillId="23" borderId="5" xfId="2" applyFont="1" applyFill="1" applyBorder="1" applyAlignment="1">
      <alignment horizontal="center" vertical="center" wrapText="1"/>
    </xf>
    <xf numFmtId="0" fontId="34" fillId="23" borderId="3" xfId="2" applyFont="1" applyFill="1" applyBorder="1" applyAlignment="1">
      <alignment horizontal="center" vertical="center" wrapText="1"/>
    </xf>
    <xf numFmtId="0" fontId="21" fillId="23" borderId="28" xfId="2" applyFont="1" applyFill="1" applyBorder="1" applyAlignment="1">
      <alignment horizontal="center"/>
    </xf>
    <xf numFmtId="0" fontId="21" fillId="23" borderId="30" xfId="2" applyFont="1" applyFill="1" applyBorder="1" applyAlignment="1">
      <alignment horizontal="center"/>
    </xf>
    <xf numFmtId="0" fontId="21" fillId="23" borderId="29" xfId="2" applyFont="1" applyFill="1" applyBorder="1" applyAlignment="1">
      <alignment horizontal="center"/>
    </xf>
    <xf numFmtId="0" fontId="34" fillId="0" borderId="28" xfId="2" applyFont="1" applyFill="1" applyBorder="1" applyAlignment="1">
      <alignment horizontal="center" vertical="center"/>
    </xf>
    <xf numFmtId="0" fontId="34" fillId="0" borderId="30" xfId="2" applyFont="1" applyFill="1" applyBorder="1" applyAlignment="1">
      <alignment horizontal="center" vertical="center"/>
    </xf>
    <xf numFmtId="0" fontId="34" fillId="0" borderId="29" xfId="2" applyFont="1" applyFill="1" applyBorder="1" applyAlignment="1">
      <alignment horizontal="center" vertical="center"/>
    </xf>
    <xf numFmtId="2" fontId="34" fillId="0" borderId="23" xfId="2" applyNumberFormat="1" applyFont="1" applyBorder="1" applyAlignment="1">
      <alignment horizontal="center" vertical="center"/>
    </xf>
    <xf numFmtId="2" fontId="34" fillId="0" borderId="5" xfId="2" applyNumberFormat="1" applyFont="1" applyBorder="1" applyAlignment="1">
      <alignment horizontal="center" vertical="center"/>
    </xf>
    <xf numFmtId="2" fontId="34" fillId="0" borderId="3" xfId="2" applyNumberFormat="1" applyFont="1" applyBorder="1" applyAlignment="1">
      <alignment horizontal="center" vertical="center"/>
    </xf>
    <xf numFmtId="0" fontId="21" fillId="24" borderId="28" xfId="2" applyFont="1" applyFill="1" applyBorder="1" applyAlignment="1">
      <alignment horizontal="center"/>
    </xf>
    <xf numFmtId="0" fontId="21" fillId="24" borderId="30" xfId="2" applyFont="1" applyFill="1" applyBorder="1" applyAlignment="1">
      <alignment horizontal="center"/>
    </xf>
    <xf numFmtId="0" fontId="21" fillId="24" borderId="29" xfId="2" applyFont="1" applyFill="1" applyBorder="1" applyAlignment="1">
      <alignment horizontal="center"/>
    </xf>
    <xf numFmtId="0" fontId="34" fillId="24" borderId="23" xfId="2" applyFont="1" applyFill="1" applyBorder="1" applyAlignment="1">
      <alignment horizontal="center" vertical="center" wrapText="1"/>
    </xf>
    <xf numFmtId="0" fontId="34" fillId="24" borderId="3" xfId="2" applyFont="1" applyFill="1" applyBorder="1" applyAlignment="1">
      <alignment horizontal="center" vertical="center" wrapText="1"/>
    </xf>
    <xf numFmtId="3" fontId="16" fillId="0" borderId="5" xfId="2" applyNumberFormat="1" applyFont="1" applyBorder="1" applyAlignment="1">
      <alignment horizontal="center" vertical="center" wrapText="1"/>
    </xf>
    <xf numFmtId="3" fontId="16" fillId="0" borderId="2" xfId="2" applyNumberFormat="1" applyFont="1" applyBorder="1" applyAlignment="1">
      <alignment horizontal="center" vertical="center" wrapText="1"/>
    </xf>
    <xf numFmtId="0" fontId="34" fillId="24" borderId="5" xfId="2" applyFont="1" applyFill="1" applyBorder="1" applyAlignment="1">
      <alignment horizontal="center" vertical="center"/>
    </xf>
    <xf numFmtId="0" fontId="34" fillId="24" borderId="3" xfId="2" applyFont="1" applyFill="1" applyBorder="1" applyAlignment="1">
      <alignment horizontal="center" vertical="center"/>
    </xf>
    <xf numFmtId="0" fontId="34" fillId="25" borderId="23" xfId="2" applyFont="1" applyFill="1" applyBorder="1" applyAlignment="1">
      <alignment horizontal="center" vertical="center"/>
    </xf>
    <xf numFmtId="0" fontId="34" fillId="25" borderId="3" xfId="2" applyFont="1" applyFill="1" applyBorder="1" applyAlignment="1">
      <alignment horizontal="center" vertical="center"/>
    </xf>
    <xf numFmtId="2" fontId="34" fillId="0" borderId="2" xfId="2" applyNumberFormat="1" applyFont="1" applyBorder="1" applyAlignment="1">
      <alignment horizontal="left" vertical="top"/>
    </xf>
    <xf numFmtId="2" fontId="16" fillId="0" borderId="23" xfId="2" applyNumberFormat="1" applyFont="1" applyBorder="1" applyAlignment="1">
      <alignment horizontal="center" vertical="top"/>
    </xf>
    <xf numFmtId="0" fontId="21" fillId="0" borderId="0" xfId="2" applyFont="1" applyBorder="1" applyAlignment="1">
      <alignment horizontal="center"/>
    </xf>
    <xf numFmtId="2" fontId="34" fillId="0" borderId="28" xfId="2" applyNumberFormat="1" applyFont="1" applyBorder="1" applyAlignment="1">
      <alignment horizontal="left" vertical="top"/>
    </xf>
    <xf numFmtId="2" fontId="34" fillId="0" borderId="30" xfId="2" applyNumberFormat="1" applyFont="1" applyBorder="1" applyAlignment="1">
      <alignment horizontal="left" vertical="top"/>
    </xf>
    <xf numFmtId="2" fontId="34" fillId="0" borderId="29" xfId="2" applyNumberFormat="1" applyFont="1" applyBorder="1" applyAlignment="1">
      <alignment horizontal="left" vertical="top"/>
    </xf>
    <xf numFmtId="4" fontId="34" fillId="8" borderId="20" xfId="0" applyNumberFormat="1" applyFont="1" applyFill="1" applyBorder="1" applyAlignment="1">
      <alignment horizontal="center" vertical="top" wrapText="1"/>
    </xf>
    <xf numFmtId="4" fontId="34" fillId="8" borderId="42" xfId="0" applyNumberFormat="1" applyFont="1" applyFill="1" applyBorder="1" applyAlignment="1">
      <alignment horizontal="center" vertical="top" wrapText="1"/>
    </xf>
    <xf numFmtId="4" fontId="34" fillId="8" borderId="21" xfId="0" applyNumberFormat="1" applyFont="1" applyFill="1" applyBorder="1" applyAlignment="1">
      <alignment horizontal="center" vertical="top" wrapText="1"/>
    </xf>
    <xf numFmtId="4" fontId="34" fillId="8" borderId="22" xfId="0" applyNumberFormat="1" applyFont="1" applyFill="1" applyBorder="1" applyAlignment="1">
      <alignment horizontal="center" vertical="top" wrapText="1"/>
    </xf>
    <xf numFmtId="3" fontId="34" fillId="2" borderId="13" xfId="0" applyNumberFormat="1" applyFont="1" applyFill="1" applyBorder="1" applyAlignment="1">
      <alignment horizontal="center" vertical="top" wrapText="1"/>
    </xf>
    <xf numFmtId="3" fontId="34" fillId="2" borderId="16" xfId="0" applyNumberFormat="1" applyFont="1" applyFill="1" applyBorder="1" applyAlignment="1">
      <alignment horizontal="center" vertical="top" wrapText="1"/>
    </xf>
    <xf numFmtId="3" fontId="34" fillId="2" borderId="15" xfId="0" applyNumberFormat="1" applyFont="1" applyFill="1" applyBorder="1" applyAlignment="1">
      <alignment horizontal="center" vertical="top" wrapText="1"/>
    </xf>
    <xf numFmtId="4" fontId="34" fillId="8" borderId="18" xfId="0" applyNumberFormat="1" applyFont="1" applyFill="1" applyBorder="1" applyAlignment="1">
      <alignment horizontal="center" vertical="top" wrapText="1"/>
    </xf>
    <xf numFmtId="4" fontId="34" fillId="8" borderId="19" xfId="0" applyNumberFormat="1" applyFont="1" applyFill="1" applyBorder="1" applyAlignment="1">
      <alignment horizontal="center" vertical="top" wrapText="1"/>
    </xf>
    <xf numFmtId="4" fontId="20" fillId="8" borderId="13" xfId="0" applyNumberFormat="1" applyFont="1" applyFill="1" applyBorder="1" applyAlignment="1">
      <alignment horizontal="center" vertical="top" wrapText="1"/>
    </xf>
    <xf numFmtId="4" fontId="20" fillId="8" borderId="16" xfId="0" applyNumberFormat="1" applyFont="1" applyFill="1" applyBorder="1" applyAlignment="1">
      <alignment horizontal="center" vertical="top" wrapText="1"/>
    </xf>
    <xf numFmtId="4" fontId="20" fillId="8" borderId="15" xfId="0" applyNumberFormat="1" applyFont="1" applyFill="1" applyBorder="1" applyAlignment="1">
      <alignment horizontal="center" vertical="top" wrapText="1"/>
    </xf>
    <xf numFmtId="4" fontId="34" fillId="8" borderId="18" xfId="0" applyNumberFormat="1" applyFont="1" applyFill="1" applyBorder="1" applyAlignment="1">
      <alignment horizontal="center" vertical="center" wrapText="1"/>
    </xf>
    <xf numFmtId="4" fontId="34" fillId="8" borderId="19" xfId="0" applyNumberFormat="1" applyFont="1" applyFill="1" applyBorder="1" applyAlignment="1">
      <alignment horizontal="center" vertical="center" wrapText="1"/>
    </xf>
    <xf numFmtId="4" fontId="34" fillId="2" borderId="13" xfId="0" applyNumberFormat="1" applyFont="1" applyFill="1" applyBorder="1" applyAlignment="1">
      <alignment horizontal="center" vertical="top" wrapText="1"/>
    </xf>
    <xf numFmtId="4" fontId="34" fillId="2" borderId="16" xfId="0" applyNumberFormat="1" applyFont="1" applyFill="1" applyBorder="1" applyAlignment="1">
      <alignment horizontal="center" vertical="top" wrapText="1"/>
    </xf>
    <xf numFmtId="4" fontId="34" fillId="2" borderId="15" xfId="0" applyNumberFormat="1" applyFont="1" applyFill="1" applyBorder="1" applyAlignment="1">
      <alignment horizontal="center" vertical="top" wrapText="1"/>
    </xf>
    <xf numFmtId="3" fontId="20" fillId="15" borderId="13" xfId="0" applyNumberFormat="1" applyFont="1" applyFill="1" applyBorder="1" applyAlignment="1">
      <alignment horizontal="center" vertical="top" wrapText="1"/>
    </xf>
    <xf numFmtId="3" fontId="20" fillId="15" borderId="16" xfId="0" applyNumberFormat="1" applyFont="1" applyFill="1" applyBorder="1" applyAlignment="1">
      <alignment horizontal="center" vertical="top" wrapText="1"/>
    </xf>
    <xf numFmtId="4" fontId="34" fillId="15" borderId="20" xfId="0" applyNumberFormat="1" applyFont="1" applyFill="1" applyBorder="1" applyAlignment="1">
      <alignment horizontal="center" vertical="top" wrapText="1"/>
    </xf>
    <xf numFmtId="4" fontId="34" fillId="15" borderId="14" xfId="0" applyNumberFormat="1" applyFont="1" applyFill="1" applyBorder="1" applyAlignment="1">
      <alignment horizontal="center" vertical="top" wrapText="1"/>
    </xf>
    <xf numFmtId="4" fontId="34" fillId="15" borderId="42" xfId="0" applyNumberFormat="1" applyFont="1" applyFill="1" applyBorder="1" applyAlignment="1">
      <alignment horizontal="center" vertical="top" wrapText="1"/>
    </xf>
    <xf numFmtId="4" fontId="34" fillId="15" borderId="21" xfId="0" applyNumberFormat="1" applyFont="1" applyFill="1" applyBorder="1" applyAlignment="1">
      <alignment horizontal="center" vertical="top" wrapText="1"/>
    </xf>
    <xf numFmtId="4" fontId="34" fillId="15" borderId="12" xfId="0" applyNumberFormat="1" applyFont="1" applyFill="1" applyBorder="1" applyAlignment="1">
      <alignment horizontal="center" vertical="top" wrapText="1"/>
    </xf>
    <xf numFmtId="4" fontId="34" fillId="15" borderId="22" xfId="0" applyNumberFormat="1" applyFont="1" applyFill="1" applyBorder="1" applyAlignment="1">
      <alignment horizontal="center" vertical="top" wrapText="1"/>
    </xf>
    <xf numFmtId="4" fontId="8" fillId="15" borderId="18" xfId="0" applyNumberFormat="1" applyFont="1" applyFill="1" applyBorder="1" applyAlignment="1">
      <alignment horizontal="center" vertical="top" wrapText="1"/>
    </xf>
    <xf numFmtId="4" fontId="8" fillId="15" borderId="19" xfId="0" applyNumberFormat="1" applyFont="1" applyFill="1" applyBorder="1" applyAlignment="1">
      <alignment horizontal="center" vertical="top" wrapText="1"/>
    </xf>
    <xf numFmtId="4" fontId="34" fillId="15" borderId="18" xfId="0" applyNumberFormat="1" applyFont="1" applyFill="1" applyBorder="1" applyAlignment="1">
      <alignment horizontal="center" vertical="top" wrapText="1"/>
    </xf>
    <xf numFmtId="4" fontId="34" fillId="15" borderId="19" xfId="0" applyNumberFormat="1" applyFont="1" applyFill="1" applyBorder="1" applyAlignment="1">
      <alignment horizontal="center" vertical="top" wrapText="1"/>
    </xf>
    <xf numFmtId="4" fontId="34" fillId="0" borderId="4" xfId="0" applyNumberFormat="1" applyFont="1" applyFill="1" applyBorder="1" applyAlignment="1">
      <alignment horizontal="center" vertical="top" wrapText="1"/>
    </xf>
    <xf numFmtId="4" fontId="20" fillId="6" borderId="11" xfId="0" applyNumberFormat="1" applyFont="1" applyFill="1" applyBorder="1" applyAlignment="1">
      <alignment horizontal="center" vertical="top" wrapText="1"/>
    </xf>
    <xf numFmtId="4" fontId="34" fillId="2" borderId="11" xfId="0" applyNumberFormat="1" applyFont="1" applyFill="1" applyBorder="1" applyAlignment="1">
      <alignment horizontal="center" vertical="top" wrapText="1"/>
    </xf>
    <xf numFmtId="4" fontId="21" fillId="0" borderId="11" xfId="0" applyNumberFormat="1" applyFont="1" applyFill="1" applyBorder="1" applyAlignment="1">
      <alignment horizontal="center" vertical="center" wrapText="1"/>
    </xf>
    <xf numFmtId="4" fontId="21" fillId="0" borderId="11" xfId="0" applyNumberFormat="1" applyFont="1" applyFill="1" applyBorder="1" applyAlignment="1">
      <alignment horizontal="left" vertical="top" wrapText="1"/>
    </xf>
    <xf numFmtId="4" fontId="34" fillId="0" borderId="13" xfId="0" applyNumberFormat="1" applyFont="1" applyFill="1" applyBorder="1" applyAlignment="1">
      <alignment horizontal="center" vertical="top" wrapText="1"/>
    </xf>
    <xf numFmtId="4" fontId="34" fillId="0" borderId="15" xfId="0" applyNumberFormat="1" applyFont="1" applyFill="1" applyBorder="1" applyAlignment="1">
      <alignment horizontal="center" vertical="top" wrapText="1"/>
    </xf>
    <xf numFmtId="4" fontId="24" fillId="2" borderId="13" xfId="0" applyNumberFormat="1" applyFont="1" applyFill="1" applyBorder="1" applyAlignment="1">
      <alignment horizontal="center" vertical="top" wrapText="1"/>
    </xf>
    <xf numFmtId="4" fontId="24" fillId="2" borderId="15" xfId="0" applyNumberFormat="1" applyFont="1" applyFill="1" applyBorder="1" applyAlignment="1">
      <alignment horizontal="center" vertical="top" wrapText="1"/>
    </xf>
    <xf numFmtId="4" fontId="34" fillId="2" borderId="21" xfId="0" applyNumberFormat="1" applyFont="1" applyFill="1" applyBorder="1" applyAlignment="1">
      <alignment horizontal="center" vertical="top" wrapText="1"/>
    </xf>
    <xf numFmtId="4" fontId="34" fillId="2" borderId="12" xfId="0" applyNumberFormat="1" applyFont="1" applyFill="1" applyBorder="1" applyAlignment="1">
      <alignment horizontal="center" vertical="top" wrapText="1"/>
    </xf>
    <xf numFmtId="4" fontId="34" fillId="2" borderId="22" xfId="0" applyNumberFormat="1" applyFont="1" applyFill="1" applyBorder="1" applyAlignment="1">
      <alignment horizontal="center" vertical="top" wrapText="1"/>
    </xf>
    <xf numFmtId="4" fontId="34" fillId="15" borderId="13" xfId="0" applyNumberFormat="1" applyFont="1" applyFill="1" applyBorder="1" applyAlignment="1">
      <alignment horizontal="center" vertical="top" wrapText="1"/>
    </xf>
    <xf numFmtId="4" fontId="34" fillId="15" borderId="16" xfId="0" applyNumberFormat="1" applyFont="1" applyFill="1" applyBorder="1" applyAlignment="1">
      <alignment horizontal="center" vertical="top" wrapText="1"/>
    </xf>
    <xf numFmtId="4" fontId="34" fillId="15" borderId="15" xfId="0" applyNumberFormat="1" applyFont="1" applyFill="1" applyBorder="1" applyAlignment="1">
      <alignment horizontal="center" vertical="top" wrapText="1"/>
    </xf>
    <xf numFmtId="4" fontId="34" fillId="6" borderId="20" xfId="0" applyNumberFormat="1" applyFont="1" applyFill="1" applyBorder="1" applyAlignment="1">
      <alignment horizontal="center" vertical="top" wrapText="1"/>
    </xf>
    <xf numFmtId="4" fontId="34" fillId="6" borderId="42" xfId="0" applyNumberFormat="1" applyFont="1" applyFill="1" applyBorder="1" applyAlignment="1">
      <alignment horizontal="center" vertical="top" wrapText="1"/>
    </xf>
    <xf numFmtId="4" fontId="34" fillId="6" borderId="21" xfId="0" applyNumberFormat="1" applyFont="1" applyFill="1" applyBorder="1" applyAlignment="1">
      <alignment horizontal="center" vertical="top" wrapText="1"/>
    </xf>
    <xf numFmtId="4" fontId="34" fillId="6" borderId="22" xfId="0" applyNumberFormat="1" applyFont="1" applyFill="1" applyBorder="1" applyAlignment="1">
      <alignment horizontal="center" vertical="top" wrapText="1"/>
    </xf>
    <xf numFmtId="4" fontId="34" fillId="0" borderId="9" xfId="0" applyNumberFormat="1" applyFont="1" applyFill="1" applyBorder="1" applyAlignment="1">
      <alignment horizontal="center" vertical="top" wrapText="1"/>
    </xf>
    <xf numFmtId="3" fontId="44" fillId="0" borderId="9" xfId="0" applyNumberFormat="1" applyFont="1" applyFill="1" applyBorder="1" applyAlignment="1">
      <alignment horizontal="center" vertical="center" wrapText="1"/>
    </xf>
    <xf numFmtId="4" fontId="20" fillId="0" borderId="6" xfId="0" applyNumberFormat="1" applyFont="1" applyFill="1" applyBorder="1" applyAlignment="1">
      <alignment horizontal="center" vertical="top" wrapText="1"/>
    </xf>
    <xf numFmtId="4" fontId="20" fillId="0" borderId="39" xfId="0" applyNumberFormat="1" applyFont="1" applyFill="1" applyBorder="1" applyAlignment="1">
      <alignment horizontal="center" vertical="top" wrapText="1"/>
    </xf>
    <xf numFmtId="4" fontId="20" fillId="0" borderId="40" xfId="0" applyNumberFormat="1" applyFont="1" applyFill="1" applyBorder="1" applyAlignment="1">
      <alignment horizontal="center" vertical="top" wrapText="1"/>
    </xf>
    <xf numFmtId="4" fontId="44" fillId="0" borderId="9" xfId="0" applyNumberFormat="1" applyFont="1" applyFill="1" applyBorder="1" applyAlignment="1">
      <alignment horizontal="center" vertical="center" wrapText="1"/>
    </xf>
    <xf numFmtId="4" fontId="44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wrapText="1"/>
    </xf>
    <xf numFmtId="4" fontId="12" fillId="0" borderId="0" xfId="0" applyNumberFormat="1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center" vertical="top" wrapText="1"/>
    </xf>
    <xf numFmtId="0" fontId="12" fillId="7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" fontId="13" fillId="0" borderId="2" xfId="0" applyNumberFormat="1" applyFont="1" applyFill="1" applyBorder="1" applyAlignment="1">
      <alignment horizontal="center" vertical="top" wrapText="1"/>
    </xf>
    <xf numFmtId="49" fontId="14" fillId="0" borderId="2" xfId="0" applyNumberFormat="1" applyFont="1" applyFill="1" applyBorder="1" applyAlignment="1">
      <alignment horizontal="center" vertical="top" wrapText="1"/>
    </xf>
    <xf numFmtId="0" fontId="12" fillId="8" borderId="2" xfId="0" applyFont="1" applyFill="1" applyBorder="1" applyAlignment="1">
      <alignment horizontal="center" vertical="top" wrapText="1"/>
    </xf>
    <xf numFmtId="0" fontId="12" fillId="26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wrapText="1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3" fontId="5" fillId="7" borderId="2" xfId="0" applyNumberFormat="1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4" fontId="34" fillId="2" borderId="2" xfId="0" applyNumberFormat="1" applyFont="1" applyFill="1" applyBorder="1" applyAlignment="1">
      <alignment horizontal="center" vertical="top" wrapText="1"/>
    </xf>
    <xf numFmtId="4" fontId="24" fillId="2" borderId="2" xfId="0" applyNumberFormat="1" applyFont="1" applyFill="1" applyBorder="1" applyAlignment="1">
      <alignment horizontal="center" vertical="top" wrapText="1"/>
    </xf>
    <xf numFmtId="3" fontId="34" fillId="2" borderId="28" xfId="0" applyNumberFormat="1" applyFont="1" applyFill="1" applyBorder="1" applyAlignment="1">
      <alignment horizontal="center" vertical="top" wrapText="1"/>
    </xf>
    <xf numFmtId="3" fontId="34" fillId="2" borderId="30" xfId="0" applyNumberFormat="1" applyFont="1" applyFill="1" applyBorder="1" applyAlignment="1">
      <alignment horizontal="center" vertical="top" wrapText="1"/>
    </xf>
    <xf numFmtId="3" fontId="34" fillId="2" borderId="29" xfId="0" applyNumberFormat="1" applyFont="1" applyFill="1" applyBorder="1" applyAlignment="1">
      <alignment horizontal="center" vertical="top" wrapText="1"/>
    </xf>
    <xf numFmtId="4" fontId="13" fillId="12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" fontId="13" fillId="0" borderId="2" xfId="0" applyNumberFormat="1" applyFont="1" applyBorder="1" applyAlignment="1">
      <alignment horizontal="center" vertical="top" wrapText="1"/>
    </xf>
    <xf numFmtId="49" fontId="14" fillId="0" borderId="2" xfId="0" applyNumberFormat="1" applyFont="1" applyBorder="1" applyAlignment="1">
      <alignment horizontal="center" vertical="top" wrapText="1"/>
    </xf>
    <xf numFmtId="3" fontId="5" fillId="8" borderId="2" xfId="0" applyNumberFormat="1" applyFont="1" applyFill="1" applyBorder="1" applyAlignment="1">
      <alignment horizontal="center" vertical="top" wrapText="1"/>
    </xf>
    <xf numFmtId="0" fontId="5" fillId="8" borderId="2" xfId="0" applyFont="1" applyFill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49" fontId="19" fillId="0" borderId="2" xfId="0" applyNumberFormat="1" applyFont="1" applyBorder="1" applyAlignment="1">
      <alignment horizontal="center" vertical="top" wrapText="1"/>
    </xf>
    <xf numFmtId="3" fontId="12" fillId="0" borderId="0" xfId="0" applyNumberFormat="1" applyFont="1" applyBorder="1" applyAlignment="1">
      <alignment horizontal="center" vertical="top" wrapText="1"/>
    </xf>
    <xf numFmtId="4" fontId="12" fillId="0" borderId="2" xfId="0" applyNumberFormat="1" applyFont="1" applyFill="1" applyBorder="1" applyAlignment="1">
      <alignment horizontal="center" vertical="top" wrapText="1"/>
    </xf>
    <xf numFmtId="4" fontId="26" fillId="12" borderId="29" xfId="0" applyNumberFormat="1" applyFont="1" applyFill="1" applyBorder="1" applyAlignment="1">
      <alignment horizontal="center" vertical="top" wrapText="1"/>
    </xf>
    <xf numFmtId="4" fontId="26" fillId="12" borderId="2" xfId="0" applyNumberFormat="1" applyFont="1" applyFill="1" applyBorder="1" applyAlignment="1">
      <alignment horizontal="center" vertical="top" wrapText="1"/>
    </xf>
    <xf numFmtId="4" fontId="21" fillId="12" borderId="28" xfId="0" applyNumberFormat="1" applyFont="1" applyFill="1" applyBorder="1" applyAlignment="1">
      <alignment horizontal="center" vertical="top" wrapText="1"/>
    </xf>
    <xf numFmtId="4" fontId="21" fillId="12" borderId="30" xfId="0" applyNumberFormat="1" applyFont="1" applyFill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0" fontId="12" fillId="0" borderId="30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4" fontId="12" fillId="18" borderId="37" xfId="0" applyNumberFormat="1" applyFont="1" applyFill="1" applyBorder="1" applyAlignment="1">
      <alignment horizontal="center" vertical="top" wrapText="1"/>
    </xf>
    <xf numFmtId="4" fontId="12" fillId="18" borderId="26" xfId="0" applyNumberFormat="1" applyFont="1" applyFill="1" applyBorder="1" applyAlignment="1">
      <alignment horizontal="center" vertical="top" wrapText="1"/>
    </xf>
    <xf numFmtId="4" fontId="35" fillId="18" borderId="28" xfId="0" applyNumberFormat="1" applyFont="1" applyFill="1" applyBorder="1" applyAlignment="1">
      <alignment horizontal="center" vertical="top" wrapText="1"/>
    </xf>
    <xf numFmtId="4" fontId="35" fillId="18" borderId="30" xfId="0" applyNumberFormat="1" applyFont="1" applyFill="1" applyBorder="1" applyAlignment="1">
      <alignment horizontal="center" vertical="top" wrapText="1"/>
    </xf>
    <xf numFmtId="4" fontId="27" fillId="0" borderId="28" xfId="0" applyNumberFormat="1" applyFont="1" applyBorder="1" applyAlignment="1">
      <alignment horizontal="center" vertical="top" wrapText="1"/>
    </xf>
    <xf numFmtId="4" fontId="27" fillId="0" borderId="30" xfId="0" applyNumberFormat="1" applyFont="1" applyBorder="1" applyAlignment="1">
      <alignment horizontal="center" vertical="top" wrapText="1"/>
    </xf>
    <xf numFmtId="4" fontId="27" fillId="0" borderId="29" xfId="0" applyNumberFormat="1" applyFont="1" applyBorder="1" applyAlignment="1">
      <alignment horizontal="center" vertical="top" wrapText="1"/>
    </xf>
    <xf numFmtId="4" fontId="25" fillId="3" borderId="2" xfId="0" applyNumberFormat="1" applyFont="1" applyFill="1" applyBorder="1" applyAlignment="1">
      <alignment horizontal="center" vertical="top" wrapText="1"/>
    </xf>
    <xf numFmtId="4" fontId="24" fillId="0" borderId="2" xfId="0" applyNumberFormat="1" applyFont="1" applyFill="1" applyBorder="1" applyAlignment="1">
      <alignment horizontal="center" vertical="top" wrapText="1"/>
    </xf>
    <xf numFmtId="4" fontId="21" fillId="0" borderId="2" xfId="0" applyNumberFormat="1" applyFont="1" applyFill="1" applyBorder="1" applyAlignment="1">
      <alignment horizontal="center" vertical="top" wrapText="1"/>
    </xf>
    <xf numFmtId="4" fontId="21" fillId="5" borderId="23" xfId="0" applyNumberFormat="1" applyFont="1" applyFill="1" applyBorder="1" applyAlignment="1">
      <alignment horizontal="center" vertical="top" wrapText="1"/>
    </xf>
    <xf numFmtId="4" fontId="21" fillId="5" borderId="5" xfId="0" applyNumberFormat="1" applyFont="1" applyFill="1" applyBorder="1" applyAlignment="1">
      <alignment horizontal="center" vertical="top" wrapText="1"/>
    </xf>
    <xf numFmtId="4" fontId="21" fillId="5" borderId="3" xfId="0" applyNumberFormat="1" applyFont="1" applyFill="1" applyBorder="1" applyAlignment="1">
      <alignment horizontal="center" vertical="top" wrapText="1"/>
    </xf>
    <xf numFmtId="4" fontId="11" fillId="7" borderId="2" xfId="0" applyNumberFormat="1" applyFont="1" applyFill="1" applyBorder="1" applyAlignment="1">
      <alignment horizontal="center" vertical="top" wrapText="1"/>
    </xf>
    <xf numFmtId="4" fontId="11" fillId="3" borderId="2" xfId="0" applyNumberFormat="1" applyFont="1" applyFill="1" applyBorder="1" applyAlignment="1">
      <alignment horizontal="center" vertical="top" wrapText="1"/>
    </xf>
    <xf numFmtId="0" fontId="5" fillId="18" borderId="2" xfId="0" applyFont="1" applyFill="1" applyBorder="1" applyAlignment="1">
      <alignment horizontal="center" vertical="top" wrapText="1"/>
    </xf>
    <xf numFmtId="4" fontId="24" fillId="18" borderId="28" xfId="0" applyNumberFormat="1" applyFont="1" applyFill="1" applyBorder="1" applyAlignment="1">
      <alignment horizontal="center" vertical="top" wrapText="1"/>
    </xf>
    <xf numFmtId="4" fontId="24" fillId="18" borderId="30" xfId="0" applyNumberFormat="1" applyFont="1" applyFill="1" applyBorder="1" applyAlignment="1">
      <alignment horizontal="center" vertical="top" wrapText="1"/>
    </xf>
    <xf numFmtId="4" fontId="24" fillId="18" borderId="29" xfId="0" applyNumberFormat="1" applyFont="1" applyFill="1" applyBorder="1" applyAlignment="1">
      <alignment horizontal="center" vertical="top" wrapText="1"/>
    </xf>
    <xf numFmtId="4" fontId="21" fillId="18" borderId="2" xfId="0" applyNumberFormat="1" applyFont="1" applyFill="1" applyBorder="1" applyAlignment="1">
      <alignment horizontal="center" vertical="top" wrapText="1"/>
    </xf>
    <xf numFmtId="4" fontId="21" fillId="18" borderId="28" xfId="0" applyNumberFormat="1" applyFont="1" applyFill="1" applyBorder="1" applyAlignment="1">
      <alignment horizontal="center" vertical="top" wrapText="1"/>
    </xf>
    <xf numFmtId="4" fontId="0" fillId="18" borderId="2" xfId="0" applyNumberFormat="1" applyFont="1" applyFill="1" applyBorder="1" applyAlignment="1">
      <alignment horizontal="center" vertical="top" wrapText="1"/>
    </xf>
    <xf numFmtId="4" fontId="5" fillId="18" borderId="2" xfId="0" applyNumberFormat="1" applyFont="1" applyFill="1" applyBorder="1" applyAlignment="1">
      <alignment horizontal="center" vertical="top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9" xfId="0" applyNumberFormat="1" applyFont="1" applyBorder="1" applyAlignment="1">
      <alignment horizontal="center" vertical="center" wrapText="1"/>
    </xf>
    <xf numFmtId="4" fontId="13" fillId="18" borderId="9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top" wrapText="1"/>
    </xf>
    <xf numFmtId="49" fontId="14" fillId="0" borderId="0" xfId="0" applyNumberFormat="1" applyFont="1" applyBorder="1" applyAlignment="1">
      <alignment horizontal="center" vertical="top" wrapText="1"/>
    </xf>
    <xf numFmtId="49" fontId="14" fillId="0" borderId="27" xfId="0" applyNumberFormat="1" applyFont="1" applyBorder="1" applyAlignment="1">
      <alignment horizontal="center" vertical="top" wrapText="1"/>
    </xf>
    <xf numFmtId="49" fontId="14" fillId="0" borderId="37" xfId="0" applyNumberFormat="1" applyFont="1" applyBorder="1" applyAlignment="1">
      <alignment horizontal="center" vertical="top" wrapText="1"/>
    </xf>
    <xf numFmtId="49" fontId="14" fillId="0" borderId="26" xfId="0" applyNumberFormat="1" applyFont="1" applyBorder="1" applyAlignment="1">
      <alignment horizontal="center" vertical="top" wrapText="1"/>
    </xf>
    <xf numFmtId="49" fontId="14" fillId="0" borderId="38" xfId="0" applyNumberFormat="1" applyFont="1" applyBorder="1" applyAlignment="1">
      <alignment horizontal="center" vertical="top" wrapText="1"/>
    </xf>
    <xf numFmtId="3" fontId="0" fillId="8" borderId="2" xfId="0" applyNumberFormat="1" applyFill="1" applyBorder="1" applyAlignment="1">
      <alignment horizontal="center" vertical="top" wrapText="1"/>
    </xf>
    <xf numFmtId="0" fontId="0" fillId="8" borderId="2" xfId="0" applyFill="1" applyBorder="1" applyAlignment="1">
      <alignment horizontal="center" vertical="top" wrapText="1"/>
    </xf>
    <xf numFmtId="3" fontId="5" fillId="18" borderId="29" xfId="0" applyNumberFormat="1" applyFont="1" applyFill="1" applyBorder="1" applyAlignment="1">
      <alignment horizontal="center" vertical="top" wrapText="1"/>
    </xf>
    <xf numFmtId="3" fontId="5" fillId="18" borderId="2" xfId="0" applyNumberFormat="1" applyFont="1" applyFill="1" applyBorder="1" applyAlignment="1">
      <alignment horizontal="center" vertical="top" wrapText="1"/>
    </xf>
    <xf numFmtId="3" fontId="0" fillId="18" borderId="29" xfId="0" applyNumberFormat="1" applyFont="1" applyFill="1" applyBorder="1" applyAlignment="1">
      <alignment horizontal="center" vertical="top" wrapText="1"/>
    </xf>
    <xf numFmtId="4" fontId="0" fillId="7" borderId="2" xfId="0" applyNumberFormat="1" applyFont="1" applyFill="1" applyBorder="1" applyAlignment="1">
      <alignment horizontal="center" vertical="top" wrapText="1"/>
    </xf>
    <xf numFmtId="4" fontId="5" fillId="7" borderId="2" xfId="0" applyNumberFormat="1" applyFont="1" applyFill="1" applyBorder="1" applyAlignment="1">
      <alignment horizontal="center" vertical="top" wrapText="1"/>
    </xf>
    <xf numFmtId="4" fontId="3" fillId="8" borderId="2" xfId="0" applyNumberFormat="1" applyFont="1" applyFill="1" applyBorder="1" applyAlignment="1">
      <alignment horizontal="center" vertical="top" wrapText="1"/>
    </xf>
    <xf numFmtId="4" fontId="5" fillId="8" borderId="2" xfId="0" applyNumberFormat="1" applyFont="1" applyFill="1" applyBorder="1" applyAlignment="1">
      <alignment horizontal="center" vertical="top" wrapText="1"/>
    </xf>
    <xf numFmtId="3" fontId="0" fillId="7" borderId="2" xfId="0" applyNumberFormat="1" applyFont="1" applyFill="1" applyBorder="1" applyAlignment="1">
      <alignment horizontal="center" vertical="top" wrapText="1"/>
    </xf>
    <xf numFmtId="4" fontId="15" fillId="0" borderId="23" xfId="0" applyNumberFormat="1" applyFont="1" applyFill="1" applyBorder="1" applyAlignment="1">
      <alignment horizontal="center" vertical="top" wrapText="1"/>
    </xf>
    <xf numFmtId="4" fontId="15" fillId="0" borderId="7" xfId="0" applyNumberFormat="1" applyFont="1" applyFill="1" applyBorder="1" applyAlignment="1">
      <alignment horizontal="center" vertical="top" wrapText="1"/>
    </xf>
    <xf numFmtId="4" fontId="21" fillId="16" borderId="30" xfId="0" applyNumberFormat="1" applyFont="1" applyFill="1" applyBorder="1" applyAlignment="1">
      <alignment horizontal="center" vertical="top" wrapText="1"/>
    </xf>
    <xf numFmtId="4" fontId="21" fillId="16" borderId="29" xfId="0" applyNumberFormat="1" applyFont="1" applyFill="1" applyBorder="1" applyAlignment="1">
      <alignment horizontal="center" vertical="top" wrapText="1"/>
    </xf>
    <xf numFmtId="4" fontId="31" fillId="12" borderId="28" xfId="0" applyNumberFormat="1" applyFont="1" applyFill="1" applyBorder="1" applyAlignment="1">
      <alignment horizontal="center" vertical="top" wrapText="1"/>
    </xf>
    <xf numFmtId="4" fontId="31" fillId="12" borderId="30" xfId="0" applyNumberFormat="1" applyFont="1" applyFill="1" applyBorder="1" applyAlignment="1">
      <alignment horizontal="center" vertical="top" wrapText="1"/>
    </xf>
    <xf numFmtId="4" fontId="31" fillId="12" borderId="29" xfId="0" applyNumberFormat="1" applyFont="1" applyFill="1" applyBorder="1" applyAlignment="1">
      <alignment horizontal="center" vertical="top" wrapText="1"/>
    </xf>
    <xf numFmtId="4" fontId="21" fillId="7" borderId="2" xfId="0" applyNumberFormat="1" applyFont="1" applyFill="1" applyBorder="1" applyAlignment="1">
      <alignment horizontal="center" vertical="top" wrapText="1"/>
    </xf>
    <xf numFmtId="4" fontId="20" fillId="7" borderId="2" xfId="0" applyNumberFormat="1" applyFont="1" applyFill="1" applyBorder="1" applyAlignment="1">
      <alignment horizontal="center" vertical="top" wrapText="1"/>
    </xf>
    <xf numFmtId="4" fontId="0" fillId="12" borderId="2" xfId="0" applyNumberFormat="1" applyFont="1" applyFill="1" applyBorder="1" applyAlignment="1">
      <alignment horizontal="center" vertical="top" wrapText="1"/>
    </xf>
    <xf numFmtId="4" fontId="5" fillId="12" borderId="2" xfId="0" applyNumberFormat="1" applyFont="1" applyFill="1" applyBorder="1" applyAlignment="1">
      <alignment horizontal="center" vertical="top" wrapText="1"/>
    </xf>
    <xf numFmtId="4" fontId="12" fillId="0" borderId="28" xfId="0" applyNumberFormat="1" applyFont="1" applyFill="1" applyBorder="1" applyAlignment="1">
      <alignment horizontal="center" vertical="top" wrapText="1"/>
    </xf>
    <xf numFmtId="4" fontId="12" fillId="0" borderId="30" xfId="0" applyNumberFormat="1" applyFont="1" applyFill="1" applyBorder="1" applyAlignment="1">
      <alignment horizontal="center" vertical="top" wrapText="1"/>
    </xf>
    <xf numFmtId="4" fontId="12" fillId="0" borderId="29" xfId="0" applyNumberFormat="1" applyFont="1" applyFill="1" applyBorder="1" applyAlignment="1">
      <alignment horizontal="center" vertical="top" wrapText="1"/>
    </xf>
    <xf numFmtId="4" fontId="14" fillId="18" borderId="28" xfId="0" applyNumberFormat="1" applyFont="1" applyFill="1" applyBorder="1" applyAlignment="1">
      <alignment horizontal="center" vertical="top" wrapText="1"/>
    </xf>
    <xf numFmtId="4" fontId="14" fillId="18" borderId="30" xfId="0" applyNumberFormat="1" applyFont="1" applyFill="1" applyBorder="1" applyAlignment="1">
      <alignment horizontal="center" vertical="top" wrapText="1"/>
    </xf>
    <xf numFmtId="4" fontId="21" fillId="0" borderId="6" xfId="0" applyNumberFormat="1" applyFont="1" applyFill="1" applyBorder="1" applyAlignment="1">
      <alignment horizontal="center" vertical="top" wrapText="1"/>
    </xf>
    <xf numFmtId="4" fontId="21" fillId="0" borderId="39" xfId="0" applyNumberFormat="1" applyFont="1" applyFill="1" applyBorder="1" applyAlignment="1">
      <alignment horizontal="center" vertical="top" wrapText="1"/>
    </xf>
    <xf numFmtId="4" fontId="21" fillId="0" borderId="40" xfId="0" applyNumberFormat="1" applyFont="1" applyFill="1" applyBorder="1" applyAlignment="1">
      <alignment horizontal="center" vertical="top" wrapText="1"/>
    </xf>
    <xf numFmtId="4" fontId="11" fillId="17" borderId="10" xfId="0" applyNumberFormat="1" applyFont="1" applyFill="1" applyBorder="1" applyAlignment="1">
      <alignment horizontal="center" vertical="top" wrapText="1"/>
    </xf>
    <xf numFmtId="4" fontId="11" fillId="17" borderId="16" xfId="0" applyNumberFormat="1" applyFont="1" applyFill="1" applyBorder="1" applyAlignment="1">
      <alignment horizontal="center" vertical="top" wrapText="1"/>
    </xf>
    <xf numFmtId="4" fontId="11" fillId="17" borderId="17" xfId="0" applyNumberFormat="1" applyFont="1" applyFill="1" applyBorder="1" applyAlignment="1">
      <alignment horizontal="center" vertical="top" wrapText="1"/>
    </xf>
    <xf numFmtId="4" fontId="12" fillId="16" borderId="30" xfId="0" applyNumberFormat="1" applyFont="1" applyFill="1" applyBorder="1" applyAlignment="1">
      <alignment horizontal="center" vertical="top" wrapText="1"/>
    </xf>
    <xf numFmtId="4" fontId="12" fillId="16" borderId="29" xfId="0" applyNumberFormat="1" applyFont="1" applyFill="1" applyBorder="1" applyAlignment="1">
      <alignment horizontal="center" vertical="top" wrapText="1"/>
    </xf>
    <xf numFmtId="4" fontId="33" fillId="16" borderId="10" xfId="0" applyNumberFormat="1" applyFont="1" applyFill="1" applyBorder="1" applyAlignment="1">
      <alignment horizontal="center" vertical="center" wrapText="1"/>
    </xf>
    <xf numFmtId="4" fontId="33" fillId="16" borderId="17" xfId="0" applyNumberFormat="1" applyFont="1" applyFill="1" applyBorder="1" applyAlignment="1">
      <alignment horizontal="center" vertical="center" wrapText="1"/>
    </xf>
    <xf numFmtId="4" fontId="32" fillId="16" borderId="10" xfId="0" applyNumberFormat="1" applyFont="1" applyFill="1" applyBorder="1" applyAlignment="1">
      <alignment horizontal="center" vertical="center" wrapText="1"/>
    </xf>
    <xf numFmtId="4" fontId="32" fillId="16" borderId="17" xfId="0" applyNumberFormat="1" applyFont="1" applyFill="1" applyBorder="1" applyAlignment="1">
      <alignment horizontal="center" vertical="center" wrapText="1"/>
    </xf>
    <xf numFmtId="4" fontId="3" fillId="16" borderId="30" xfId="0" applyNumberFormat="1" applyFont="1" applyFill="1" applyBorder="1" applyAlignment="1">
      <alignment horizontal="center" vertical="top" wrapText="1"/>
    </xf>
    <xf numFmtId="4" fontId="3" fillId="16" borderId="29" xfId="0" applyNumberFormat="1" applyFont="1" applyFill="1" applyBorder="1" applyAlignment="1">
      <alignment horizontal="center" vertical="top" wrapText="1"/>
    </xf>
    <xf numFmtId="4" fontId="21" fillId="18" borderId="30" xfId="0" applyNumberFormat="1" applyFont="1" applyFill="1" applyBorder="1" applyAlignment="1">
      <alignment horizontal="center" vertical="top" wrapText="1"/>
    </xf>
    <xf numFmtId="4" fontId="21" fillId="16" borderId="6" xfId="0" applyNumberFormat="1" applyFont="1" applyFill="1" applyBorder="1" applyAlignment="1">
      <alignment horizontal="center" vertical="top" wrapText="1"/>
    </xf>
    <xf numFmtId="4" fontId="21" fillId="16" borderId="39" xfId="0" applyNumberFormat="1" applyFont="1" applyFill="1" applyBorder="1" applyAlignment="1">
      <alignment horizontal="center" vertical="top" wrapText="1"/>
    </xf>
    <xf numFmtId="4" fontId="21" fillId="16" borderId="40" xfId="0" applyNumberFormat="1" applyFont="1" applyFill="1" applyBorder="1" applyAlignment="1">
      <alignment horizontal="center" vertical="top" wrapText="1"/>
    </xf>
    <xf numFmtId="4" fontId="12" fillId="12" borderId="28" xfId="0" applyNumberFormat="1" applyFont="1" applyFill="1" applyBorder="1" applyAlignment="1">
      <alignment horizontal="center" vertical="top" wrapText="1"/>
    </xf>
    <xf numFmtId="4" fontId="12" fillId="12" borderId="30" xfId="0" applyNumberFormat="1" applyFont="1" applyFill="1" applyBorder="1" applyAlignment="1">
      <alignment horizontal="center" vertical="top" wrapText="1"/>
    </xf>
    <xf numFmtId="4" fontId="12" fillId="12" borderId="29" xfId="0" applyNumberFormat="1" applyFont="1" applyFill="1" applyBorder="1" applyAlignment="1">
      <alignment horizontal="center" vertical="top" wrapText="1"/>
    </xf>
    <xf numFmtId="4" fontId="3" fillId="8" borderId="31" xfId="0" applyNumberFormat="1" applyFont="1" applyFill="1" applyBorder="1" applyAlignment="1">
      <alignment horizontal="center" vertical="center" wrapText="1"/>
    </xf>
    <xf numFmtId="4" fontId="3" fillId="8" borderId="33" xfId="0" applyNumberFormat="1" applyFont="1" applyFill="1" applyBorder="1" applyAlignment="1">
      <alignment horizontal="center" vertical="center" wrapText="1"/>
    </xf>
    <xf numFmtId="4" fontId="3" fillId="8" borderId="8" xfId="0" applyNumberFormat="1" applyFont="1" applyFill="1" applyBorder="1" applyAlignment="1">
      <alignment horizontal="center" vertical="center" wrapText="1"/>
    </xf>
    <xf numFmtId="4" fontId="3" fillId="8" borderId="34" xfId="0" applyNumberFormat="1" applyFont="1" applyFill="1" applyBorder="1" applyAlignment="1">
      <alignment horizontal="center" vertical="center" wrapText="1"/>
    </xf>
    <xf numFmtId="4" fontId="33" fillId="18" borderId="28" xfId="0" applyNumberFormat="1" applyFont="1" applyFill="1" applyBorder="1" applyAlignment="1">
      <alignment horizontal="center" vertical="top" wrapText="1"/>
    </xf>
    <xf numFmtId="4" fontId="33" fillId="18" borderId="30" xfId="0" applyNumberFormat="1" applyFont="1" applyFill="1" applyBorder="1" applyAlignment="1">
      <alignment horizontal="center" vertical="top" wrapText="1"/>
    </xf>
    <xf numFmtId="4" fontId="3" fillId="12" borderId="28" xfId="0" applyNumberFormat="1" applyFont="1" applyFill="1" applyBorder="1" applyAlignment="1">
      <alignment horizontal="center" vertical="top" wrapText="1"/>
    </xf>
    <xf numFmtId="4" fontId="3" fillId="12" borderId="29" xfId="0" applyNumberFormat="1" applyFont="1" applyFill="1" applyBorder="1" applyAlignment="1">
      <alignment horizontal="center" vertical="top" wrapText="1"/>
    </xf>
    <xf numFmtId="4" fontId="14" fillId="0" borderId="5" xfId="0" applyNumberFormat="1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top" wrapText="1"/>
    </xf>
    <xf numFmtId="0" fontId="12" fillId="0" borderId="32" xfId="0" applyFont="1" applyBorder="1" applyAlignment="1">
      <alignment horizontal="center" vertical="top" wrapText="1"/>
    </xf>
    <xf numFmtId="0" fontId="12" fillId="0" borderId="33" xfId="0" applyFont="1" applyBorder="1" applyAlignment="1">
      <alignment horizontal="center" vertical="top" wrapText="1"/>
    </xf>
    <xf numFmtId="0" fontId="12" fillId="0" borderId="37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0" fontId="12" fillId="0" borderId="38" xfId="0" applyFont="1" applyBorder="1" applyAlignment="1">
      <alignment horizontal="center" vertical="top" wrapText="1"/>
    </xf>
    <xf numFmtId="4" fontId="12" fillId="12" borderId="37" xfId="0" applyNumberFormat="1" applyFont="1" applyFill="1" applyBorder="1" applyAlignment="1">
      <alignment horizontal="center" vertical="top" wrapText="1"/>
    </xf>
    <xf numFmtId="4" fontId="12" fillId="12" borderId="26" xfId="0" applyNumberFormat="1" applyFont="1" applyFill="1" applyBorder="1" applyAlignment="1">
      <alignment horizontal="center" vertical="top" wrapText="1"/>
    </xf>
    <xf numFmtId="4" fontId="12" fillId="12" borderId="38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23" fillId="7" borderId="2" xfId="0" applyNumberFormat="1" applyFont="1" applyFill="1" applyBorder="1" applyAlignment="1">
      <alignment horizontal="center" vertical="top" wrapText="1"/>
    </xf>
    <xf numFmtId="4" fontId="23" fillId="7" borderId="28" xfId="0" applyNumberFormat="1" applyFont="1" applyFill="1" applyBorder="1" applyAlignment="1">
      <alignment horizontal="center" vertical="top" wrapText="1"/>
    </xf>
    <xf numFmtId="4" fontId="23" fillId="7" borderId="29" xfId="0" applyNumberFormat="1" applyFont="1" applyFill="1" applyBorder="1" applyAlignment="1">
      <alignment horizontal="center" vertical="top" wrapText="1"/>
    </xf>
    <xf numFmtId="3" fontId="0" fillId="18" borderId="2" xfId="0" applyNumberFormat="1" applyFont="1" applyFill="1" applyBorder="1" applyAlignment="1">
      <alignment horizontal="center" vertical="top" wrapText="1"/>
    </xf>
    <xf numFmtId="3" fontId="5" fillId="12" borderId="29" xfId="0" applyNumberFormat="1" applyFont="1" applyFill="1" applyBorder="1" applyAlignment="1">
      <alignment horizontal="center" vertical="top" wrapText="1"/>
    </xf>
    <xf numFmtId="3" fontId="5" fillId="12" borderId="2" xfId="0" applyNumberFormat="1" applyFont="1" applyFill="1" applyBorder="1" applyAlignment="1">
      <alignment horizontal="center" vertical="top" wrapText="1"/>
    </xf>
    <xf numFmtId="0" fontId="5" fillId="12" borderId="2" xfId="0" applyFont="1" applyFill="1" applyBorder="1" applyAlignment="1">
      <alignment horizontal="center" vertical="top" wrapText="1"/>
    </xf>
    <xf numFmtId="3" fontId="0" fillId="12" borderId="29" xfId="0" applyNumberFormat="1" applyFont="1" applyFill="1" applyBorder="1" applyAlignment="1">
      <alignment horizontal="center" vertical="top" wrapText="1"/>
    </xf>
    <xf numFmtId="3" fontId="0" fillId="12" borderId="2" xfId="0" applyNumberFormat="1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4" fontId="13" fillId="0" borderId="11" xfId="0" applyNumberFormat="1" applyFont="1" applyFill="1" applyBorder="1" applyAlignment="1">
      <alignment horizontal="center" vertical="top" wrapText="1"/>
    </xf>
    <xf numFmtId="49" fontId="17" fillId="0" borderId="11" xfId="0" applyNumberFormat="1" applyFont="1" applyFill="1" applyBorder="1" applyAlignment="1">
      <alignment horizontal="center" vertical="top" wrapText="1"/>
    </xf>
    <xf numFmtId="49" fontId="13" fillId="0" borderId="18" xfId="0" applyNumberFormat="1" applyFont="1" applyFill="1" applyBorder="1" applyAlignment="1">
      <alignment horizontal="center" vertical="center" wrapText="1"/>
    </xf>
    <xf numFmtId="49" fontId="13" fillId="0" borderId="24" xfId="0" applyNumberFormat="1" applyFont="1" applyFill="1" applyBorder="1" applyAlignment="1">
      <alignment horizontal="center" vertical="center" wrapText="1"/>
    </xf>
    <xf numFmtId="49" fontId="13" fillId="0" borderId="19" xfId="0" applyNumberFormat="1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49" fontId="14" fillId="0" borderId="11" xfId="0" applyNumberFormat="1" applyFont="1" applyFill="1" applyBorder="1" applyAlignment="1">
      <alignment horizontal="right" vertical="top" wrapText="1"/>
    </xf>
    <xf numFmtId="1" fontId="5" fillId="0" borderId="11" xfId="0" applyNumberFormat="1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3" fontId="5" fillId="0" borderId="11" xfId="0" applyNumberFormat="1" applyFont="1" applyFill="1" applyBorder="1" applyAlignment="1">
      <alignment horizontal="right" vertical="top"/>
    </xf>
    <xf numFmtId="49" fontId="14" fillId="3" borderId="24" xfId="0" applyNumberFormat="1" applyFont="1" applyFill="1" applyBorder="1" applyAlignment="1">
      <alignment horizontal="right" vertical="top" wrapText="1"/>
    </xf>
    <xf numFmtId="49" fontId="14" fillId="3" borderId="19" xfId="0" applyNumberFormat="1" applyFont="1" applyFill="1" applyBorder="1" applyAlignment="1">
      <alignment horizontal="right" vertical="top" wrapText="1"/>
    </xf>
    <xf numFmtId="49" fontId="0" fillId="0" borderId="20" xfId="0" applyNumberFormat="1" applyFill="1" applyBorder="1" applyAlignment="1">
      <alignment horizontal="center" vertical="top" wrapText="1"/>
    </xf>
    <xf numFmtId="49" fontId="0" fillId="0" borderId="42" xfId="0" applyNumberFormat="1" applyFill="1" applyBorder="1" applyAlignment="1">
      <alignment horizontal="center" vertical="top" wrapText="1"/>
    </xf>
    <xf numFmtId="49" fontId="14" fillId="0" borderId="42" xfId="0" applyNumberFormat="1" applyFont="1" applyFill="1" applyBorder="1" applyAlignment="1">
      <alignment horizontal="left" vertical="top" wrapText="1"/>
    </xf>
    <xf numFmtId="49" fontId="14" fillId="0" borderId="43" xfId="0" applyNumberFormat="1" applyFont="1" applyFill="1" applyBorder="1" applyAlignment="1">
      <alignment horizontal="left" vertical="top" wrapText="1"/>
    </xf>
    <xf numFmtId="49" fontId="14" fillId="0" borderId="22" xfId="0" applyNumberFormat="1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center" vertical="top"/>
    </xf>
    <xf numFmtId="49" fontId="14" fillId="3" borderId="13" xfId="0" applyNumberFormat="1" applyFont="1" applyFill="1" applyBorder="1" applyAlignment="1">
      <alignment horizontal="center" vertical="top" wrapText="1"/>
    </xf>
    <xf numFmtId="49" fontId="14" fillId="3" borderId="16" xfId="0" applyNumberFormat="1" applyFont="1" applyFill="1" applyBorder="1" applyAlignment="1">
      <alignment horizontal="center" vertical="top" wrapText="1"/>
    </xf>
    <xf numFmtId="49" fontId="14" fillId="3" borderId="15" xfId="0" applyNumberFormat="1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</sheetPr>
  <dimension ref="A1:AK225"/>
  <sheetViews>
    <sheetView zoomScale="85" zoomScaleNormal="85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14" sqref="G14"/>
    </sheetView>
  </sheetViews>
  <sheetFormatPr defaultColWidth="9.140625" defaultRowHeight="15.75" x14ac:dyDescent="0.25"/>
  <cols>
    <col min="1" max="1" width="3.7109375" style="354" customWidth="1"/>
    <col min="2" max="2" width="4.140625" style="354" customWidth="1"/>
    <col min="3" max="3" width="15.140625" style="354" customWidth="1"/>
    <col min="4" max="4" width="9.42578125" style="368" customWidth="1"/>
    <col min="5" max="5" width="10.140625" style="368" customWidth="1"/>
    <col min="6" max="6" width="9.5703125" style="368" customWidth="1"/>
    <col min="7" max="7" width="14.28515625" style="354" customWidth="1"/>
    <col min="8" max="8" width="12.42578125" style="354" customWidth="1"/>
    <col min="9" max="9" width="10.5703125" style="354" customWidth="1"/>
    <col min="10" max="10" width="11.28515625" style="354" customWidth="1"/>
    <col min="11" max="11" width="10" style="362" customWidth="1"/>
    <col min="12" max="12" width="10.28515625" style="354" customWidth="1"/>
    <col min="13" max="13" width="9.28515625" style="368" customWidth="1"/>
    <col min="14" max="14" width="8.42578125" style="368" customWidth="1"/>
    <col min="15" max="15" width="9.5703125" style="368" customWidth="1"/>
    <col min="16" max="16" width="6.7109375" style="368" customWidth="1"/>
    <col min="17" max="23" width="11" style="368" customWidth="1"/>
    <col min="24" max="24" width="9.7109375" style="994" customWidth="1"/>
    <col min="25" max="25" width="10.85546875" style="772" customWidth="1"/>
    <col min="26" max="26" width="9.7109375" style="772" customWidth="1"/>
    <col min="27" max="27" width="8.7109375" style="828" customWidth="1"/>
    <col min="28" max="29" width="9.140625" style="772" customWidth="1"/>
    <col min="30" max="33" width="10.28515625" style="355" customWidth="1"/>
    <col min="34" max="34" width="10.7109375" style="354" customWidth="1"/>
    <col min="35" max="35" width="8.28515625" style="354" customWidth="1"/>
    <col min="36" max="36" width="19.42578125" style="354" customWidth="1"/>
    <col min="37" max="37" width="19.85546875" style="354" customWidth="1"/>
    <col min="38" max="39" width="9.140625" style="354" customWidth="1"/>
    <col min="40" max="16384" width="9.140625" style="354"/>
  </cols>
  <sheetData>
    <row r="1" spans="1:37" x14ac:dyDescent="0.25">
      <c r="A1" s="366" t="s">
        <v>666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958"/>
      <c r="Y1" s="366"/>
      <c r="Z1" s="366"/>
      <c r="AA1" s="366"/>
    </row>
    <row r="2" spans="1:37" s="355" customFormat="1" x14ac:dyDescent="0.25">
      <c r="A2" s="1409"/>
      <c r="B2" s="1409"/>
      <c r="C2" s="1409"/>
      <c r="D2" s="1409"/>
      <c r="E2" s="1409"/>
      <c r="F2" s="1409"/>
      <c r="G2" s="586"/>
      <c r="I2" s="656" t="s">
        <v>725</v>
      </c>
      <c r="K2" s="586"/>
      <c r="M2" s="365">
        <f>7*15</f>
        <v>105</v>
      </c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991"/>
      <c r="Y2" s="770"/>
      <c r="Z2" s="770"/>
      <c r="AA2" s="823"/>
      <c r="AB2" s="770"/>
      <c r="AC2" s="770"/>
    </row>
    <row r="3" spans="1:37" x14ac:dyDescent="0.25">
      <c r="A3" s="356"/>
      <c r="B3" s="356"/>
      <c r="C3" s="356"/>
      <c r="D3" s="357"/>
      <c r="E3" s="357"/>
      <c r="F3" s="357"/>
      <c r="G3" s="655"/>
      <c r="H3" s="654" t="s">
        <v>724</v>
      </c>
      <c r="I3" s="654" t="s">
        <v>724</v>
      </c>
      <c r="J3" s="655"/>
      <c r="K3" s="653"/>
      <c r="L3" s="653"/>
      <c r="M3" s="957"/>
      <c r="N3" s="957"/>
      <c r="O3" s="957"/>
      <c r="P3" s="957"/>
      <c r="Q3" s="957"/>
      <c r="R3" s="957"/>
      <c r="S3" s="957"/>
      <c r="T3" s="957"/>
      <c r="U3" s="957"/>
      <c r="V3" s="957"/>
      <c r="W3" s="957"/>
      <c r="X3" s="992"/>
      <c r="Y3" s="771"/>
      <c r="Z3" s="771"/>
      <c r="AA3" s="824"/>
    </row>
    <row r="4" spans="1:37" ht="15" customHeight="1" x14ac:dyDescent="0.25">
      <c r="A4" s="1408" t="s">
        <v>637</v>
      </c>
      <c r="B4" s="1408"/>
      <c r="C4" s="1408"/>
      <c r="D4" s="1419" t="s">
        <v>665</v>
      </c>
      <c r="E4" s="1420"/>
      <c r="F4" s="1421"/>
      <c r="G4" s="1416" t="s">
        <v>831</v>
      </c>
      <c r="H4" s="1417"/>
      <c r="I4" s="1417"/>
      <c r="J4" s="1417"/>
      <c r="K4" s="1417"/>
      <c r="L4" s="1418"/>
      <c r="M4" s="1425" t="s">
        <v>847</v>
      </c>
      <c r="N4" s="1426"/>
      <c r="O4" s="1426"/>
      <c r="P4" s="1426"/>
      <c r="Q4" s="1426"/>
      <c r="R4" s="1427"/>
      <c r="S4" s="1401" t="s">
        <v>848</v>
      </c>
      <c r="T4" s="1402"/>
      <c r="U4" s="1402"/>
      <c r="V4" s="1402"/>
      <c r="W4" s="1403"/>
      <c r="X4" s="1398" t="s">
        <v>781</v>
      </c>
      <c r="Y4" s="1398"/>
      <c r="Z4" s="1398"/>
      <c r="AA4" s="1398"/>
      <c r="AB4" s="1398"/>
      <c r="AC4" s="1398"/>
      <c r="AD4" s="1398"/>
      <c r="AE4" s="1431" t="s">
        <v>851</v>
      </c>
      <c r="AF4" s="1430" t="s">
        <v>853</v>
      </c>
      <c r="AG4" s="975"/>
      <c r="AH4" s="1408" t="s">
        <v>869</v>
      </c>
      <c r="AI4" s="1408"/>
      <c r="AJ4" s="1422"/>
      <c r="AK4" s="1422"/>
    </row>
    <row r="5" spans="1:37" s="358" customFormat="1" ht="15.75" customHeight="1" x14ac:dyDescent="0.25">
      <c r="A5" s="1408"/>
      <c r="B5" s="1408"/>
      <c r="C5" s="1408"/>
      <c r="D5" s="832" t="s">
        <v>278</v>
      </c>
      <c r="E5" s="832" t="s">
        <v>369</v>
      </c>
      <c r="F5" s="832" t="s">
        <v>2</v>
      </c>
      <c r="G5" s="1414" t="s">
        <v>743</v>
      </c>
      <c r="H5" s="1414" t="s">
        <v>742</v>
      </c>
      <c r="I5" s="1414" t="s">
        <v>741</v>
      </c>
      <c r="J5" s="1414" t="s">
        <v>722</v>
      </c>
      <c r="K5" s="1412" t="s">
        <v>699</v>
      </c>
      <c r="L5" s="1410" t="s">
        <v>366</v>
      </c>
      <c r="M5" s="1432" t="s">
        <v>0</v>
      </c>
      <c r="N5" s="1432" t="s">
        <v>1</v>
      </c>
      <c r="O5" s="1432" t="s">
        <v>422</v>
      </c>
      <c r="P5" s="1432" t="s">
        <v>811</v>
      </c>
      <c r="Q5" s="1428" t="s">
        <v>846</v>
      </c>
      <c r="R5" s="1432" t="s">
        <v>366</v>
      </c>
      <c r="S5" s="1434" t="s">
        <v>0</v>
      </c>
      <c r="T5" s="1434" t="s">
        <v>1</v>
      </c>
      <c r="U5" s="1434" t="s">
        <v>422</v>
      </c>
      <c r="V5" s="1434" t="s">
        <v>811</v>
      </c>
      <c r="W5" s="1404" t="s">
        <v>850</v>
      </c>
      <c r="X5" s="1399" t="s">
        <v>817</v>
      </c>
      <c r="Y5" s="1400" t="s">
        <v>815</v>
      </c>
      <c r="Z5" s="1400" t="s">
        <v>816</v>
      </c>
      <c r="AA5" s="1406" t="s">
        <v>810</v>
      </c>
      <c r="AB5" s="1407" t="s">
        <v>811</v>
      </c>
      <c r="AC5" s="1407" t="s">
        <v>366</v>
      </c>
      <c r="AD5" s="1408" t="s">
        <v>849</v>
      </c>
      <c r="AE5" s="1431"/>
      <c r="AF5" s="1430"/>
      <c r="AG5" s="975"/>
      <c r="AH5" s="1408"/>
      <c r="AI5" s="1408"/>
      <c r="AJ5" s="1423"/>
      <c r="AK5" s="1423"/>
    </row>
    <row r="6" spans="1:37" ht="36" customHeight="1" x14ac:dyDescent="0.25">
      <c r="A6" s="1408"/>
      <c r="B6" s="1408"/>
      <c r="C6" s="1408"/>
      <c r="D6" s="832"/>
      <c r="E6" s="832"/>
      <c r="F6" s="832"/>
      <c r="G6" s="1415"/>
      <c r="H6" s="1415"/>
      <c r="I6" s="1415"/>
      <c r="J6" s="1415"/>
      <c r="K6" s="1413"/>
      <c r="L6" s="1411"/>
      <c r="M6" s="1433"/>
      <c r="N6" s="1433"/>
      <c r="O6" s="1433"/>
      <c r="P6" s="1433"/>
      <c r="Q6" s="1429"/>
      <c r="R6" s="1433"/>
      <c r="S6" s="1435"/>
      <c r="T6" s="1435"/>
      <c r="U6" s="1435"/>
      <c r="V6" s="1435"/>
      <c r="W6" s="1405"/>
      <c r="X6" s="1399"/>
      <c r="Y6" s="1400"/>
      <c r="Z6" s="1400"/>
      <c r="AA6" s="1406"/>
      <c r="AB6" s="1407"/>
      <c r="AC6" s="1407"/>
      <c r="AD6" s="1408"/>
      <c r="AE6" s="1431"/>
      <c r="AF6" s="996"/>
      <c r="AG6" s="976"/>
      <c r="AH6" s="830" t="s">
        <v>817</v>
      </c>
      <c r="AI6" s="822" t="s">
        <v>422</v>
      </c>
      <c r="AJ6" s="1424"/>
      <c r="AK6" s="1424"/>
    </row>
    <row r="7" spans="1:37" s="1253" customFormat="1" x14ac:dyDescent="0.25">
      <c r="A7" s="1245" t="s">
        <v>638</v>
      </c>
      <c r="B7" s="1246"/>
      <c r="C7" s="1246">
        <v>45</v>
      </c>
      <c r="D7" s="1247">
        <v>23041.438583801275</v>
      </c>
      <c r="E7" s="1247">
        <v>24336.071416198702</v>
      </c>
      <c r="F7" s="1247">
        <v>47377.51</v>
      </c>
      <c r="G7" s="1248">
        <f t="shared" ref="G7:AI7" si="0">G8+G21+G36</f>
        <v>10678</v>
      </c>
      <c r="H7" s="1248">
        <f>H8+H21+H36</f>
        <v>2771</v>
      </c>
      <c r="I7" s="1248" t="e">
        <f t="shared" si="0"/>
        <v>#REF!</v>
      </c>
      <c r="J7" s="1248" t="e">
        <f>J8+J21+J36</f>
        <v>#REF!</v>
      </c>
      <c r="K7" s="1248" t="e">
        <f t="shared" si="0"/>
        <v>#REF!</v>
      </c>
      <c r="L7" s="1248">
        <f t="shared" si="0"/>
        <v>10020.280000000001</v>
      </c>
      <c r="M7" s="1248">
        <f t="shared" si="0"/>
        <v>-5.3873333333336744</v>
      </c>
      <c r="N7" s="1248">
        <f t="shared" si="0"/>
        <v>-13.610000000000031</v>
      </c>
      <c r="O7" s="1248">
        <f t="shared" si="0"/>
        <v>-55.764666666666649</v>
      </c>
      <c r="P7" s="1248" t="e">
        <f t="shared" si="0"/>
        <v>#REF!</v>
      </c>
      <c r="Q7" s="1248" t="e">
        <f t="shared" si="0"/>
        <v>#REF!</v>
      </c>
      <c r="R7" s="1248">
        <f>R8+R21+R36</f>
        <v>-72.906200000000013</v>
      </c>
      <c r="S7" s="1248">
        <f t="shared" si="0"/>
        <v>7452</v>
      </c>
      <c r="T7" s="1248">
        <f t="shared" si="0"/>
        <v>4525</v>
      </c>
      <c r="U7" s="1248">
        <f t="shared" si="0"/>
        <v>3114</v>
      </c>
      <c r="V7" s="1248" t="e">
        <f t="shared" si="0"/>
        <v>#REF!</v>
      </c>
      <c r="W7" s="1248" t="e">
        <f t="shared" si="0"/>
        <v>#REF!</v>
      </c>
      <c r="X7" s="1249">
        <f t="shared" si="0"/>
        <v>0</v>
      </c>
      <c r="Y7" s="1249">
        <f t="shared" si="0"/>
        <v>0</v>
      </c>
      <c r="Z7" s="1249">
        <f t="shared" si="0"/>
        <v>0</v>
      </c>
      <c r="AA7" s="1250">
        <f t="shared" si="0"/>
        <v>0</v>
      </c>
      <c r="AB7" s="1249">
        <f t="shared" si="0"/>
        <v>0</v>
      </c>
      <c r="AC7" s="1249">
        <f t="shared" si="0"/>
        <v>0</v>
      </c>
      <c r="AD7" s="1249">
        <f>AD8+AD21+AD36</f>
        <v>0</v>
      </c>
      <c r="AE7" s="1249" t="e">
        <f>AE8+AE21+AE36</f>
        <v>#REF!</v>
      </c>
      <c r="AF7" s="1251"/>
      <c r="AG7" s="1251"/>
      <c r="AH7" s="1249">
        <f t="shared" si="0"/>
        <v>1598</v>
      </c>
      <c r="AI7" s="1249">
        <f t="shared" si="0"/>
        <v>162</v>
      </c>
      <c r="AJ7" s="1252"/>
      <c r="AK7" s="1252"/>
    </row>
    <row r="8" spans="1:37" s="1244" customFormat="1" x14ac:dyDescent="0.25">
      <c r="A8" s="1236" t="s">
        <v>9</v>
      </c>
      <c r="B8" s="1237"/>
      <c r="C8" s="1236">
        <v>12</v>
      </c>
      <c r="D8" s="1238">
        <v>1141.9625725706671</v>
      </c>
      <c r="E8" s="1238">
        <v>4227.5374274293326</v>
      </c>
      <c r="F8" s="1238">
        <v>5369.5</v>
      </c>
      <c r="G8" s="1239">
        <f>SUM(G9:G20)</f>
        <v>420.66666666666669</v>
      </c>
      <c r="H8" s="1239">
        <f t="shared" ref="H8:AI8" si="1">SUM(H9:H20)</f>
        <v>87.4</v>
      </c>
      <c r="I8" s="1239" t="e">
        <f t="shared" si="1"/>
        <v>#REF!</v>
      </c>
      <c r="J8" s="1239" t="e">
        <f t="shared" si="1"/>
        <v>#REF!</v>
      </c>
      <c r="K8" s="1239" t="e">
        <f t="shared" si="1"/>
        <v>#REF!</v>
      </c>
      <c r="L8" s="1239">
        <f t="shared" si="1"/>
        <v>409</v>
      </c>
      <c r="M8" s="1239">
        <f t="shared" si="1"/>
        <v>0</v>
      </c>
      <c r="N8" s="1239">
        <f t="shared" si="1"/>
        <v>0.4399999999999995</v>
      </c>
      <c r="O8" s="1239">
        <f t="shared" si="1"/>
        <v>-2.1333333333333258</v>
      </c>
      <c r="P8" s="1239" t="e">
        <f t="shared" si="1"/>
        <v>#REF!</v>
      </c>
      <c r="Q8" s="1239" t="e">
        <f t="shared" si="1"/>
        <v>#REF!</v>
      </c>
      <c r="R8" s="1239">
        <f>SUM(R9:R20)</f>
        <v>3.3249999999999993</v>
      </c>
      <c r="S8" s="1239">
        <f t="shared" si="1"/>
        <v>440</v>
      </c>
      <c r="T8" s="1239">
        <f t="shared" si="1"/>
        <v>279</v>
      </c>
      <c r="U8" s="1239">
        <f t="shared" si="1"/>
        <v>166</v>
      </c>
      <c r="V8" s="1239" t="e">
        <f t="shared" si="1"/>
        <v>#REF!</v>
      </c>
      <c r="W8" s="1239" t="e">
        <f t="shared" si="1"/>
        <v>#REF!</v>
      </c>
      <c r="X8" s="1240">
        <f t="shared" si="1"/>
        <v>0</v>
      </c>
      <c r="Y8" s="1240">
        <f t="shared" si="1"/>
        <v>0</v>
      </c>
      <c r="Z8" s="1240">
        <f t="shared" si="1"/>
        <v>0</v>
      </c>
      <c r="AA8" s="1241">
        <f t="shared" si="1"/>
        <v>0</v>
      </c>
      <c r="AB8" s="1240">
        <f t="shared" si="1"/>
        <v>0</v>
      </c>
      <c r="AC8" s="1240">
        <f t="shared" si="1"/>
        <v>0</v>
      </c>
      <c r="AD8" s="1240">
        <f t="shared" si="1"/>
        <v>0</v>
      </c>
      <c r="AE8" s="1240" t="e">
        <f t="shared" si="1"/>
        <v>#REF!</v>
      </c>
      <c r="AF8" s="1242"/>
      <c r="AG8" s="1242"/>
      <c r="AH8" s="1240">
        <f t="shared" si="1"/>
        <v>175</v>
      </c>
      <c r="AI8" s="1240">
        <f t="shared" si="1"/>
        <v>0</v>
      </c>
      <c r="AJ8" s="1243"/>
      <c r="AK8" s="1243"/>
    </row>
    <row r="9" spans="1:37" x14ac:dyDescent="0.25">
      <c r="A9" s="360"/>
      <c r="B9" s="359">
        <v>1</v>
      </c>
      <c r="C9" s="360" t="s">
        <v>639</v>
      </c>
      <c r="D9" s="361">
        <v>1.64468925478253</v>
      </c>
      <c r="E9" s="361">
        <v>112.85531074521748</v>
      </c>
      <c r="F9" s="361">
        <v>114.5</v>
      </c>
      <c r="G9" s="935">
        <f>'Vald  per FA SL Bigante'!DK12</f>
        <v>15</v>
      </c>
      <c r="H9" s="935">
        <f>'Vald  per FA Pioneer'!AA11</f>
        <v>0</v>
      </c>
      <c r="I9" s="935" t="e">
        <f>#REF!</f>
        <v>#REF!</v>
      </c>
      <c r="J9" s="935" t="e">
        <f t="shared" ref="J9:J20" si="2">I9+H9+G9</f>
        <v>#REF!</v>
      </c>
      <c r="K9" s="935" t="e">
        <f t="shared" ref="K9:K20" si="3">F9-J9</f>
        <v>#REF!</v>
      </c>
      <c r="L9" s="935">
        <f>'Vald  per FA SL Bigante'!BY12</f>
        <v>15</v>
      </c>
      <c r="M9" s="970">
        <f>'Retrieved masterlist HYBRID'!AE8</f>
        <v>0</v>
      </c>
      <c r="N9" s="970">
        <f>'Retrieved masterlist HYBRID'!BB8</f>
        <v>0</v>
      </c>
      <c r="O9" s="970">
        <f>'Vald  per FA Pioneer'!AK11</f>
        <v>0</v>
      </c>
      <c r="P9" s="970" t="e">
        <f>#REF!</f>
        <v>#REF!</v>
      </c>
      <c r="Q9" s="970" t="e">
        <f t="shared" ref="Q9:Q20" si="4">M9+N9+O9+P9</f>
        <v>#REF!</v>
      </c>
      <c r="R9" s="970">
        <f>'Retrieved masterlist HYBRID'!BO8</f>
        <v>0</v>
      </c>
      <c r="S9" s="972">
        <f>'Retrieved masterlist HYBRID'!AD8</f>
        <v>84</v>
      </c>
      <c r="T9" s="972">
        <f>'Retrieved masterlist HYBRID'!BA8</f>
        <v>32</v>
      </c>
      <c r="U9" s="972">
        <f>'Vald  per FA Pioneer'!AF11</f>
        <v>0</v>
      </c>
      <c r="V9" s="972" t="e">
        <f>#REF!</f>
        <v>#REF!</v>
      </c>
      <c r="W9" s="972" t="e">
        <f>SUM(S9:V9)</f>
        <v>#REF!</v>
      </c>
      <c r="X9" s="829"/>
      <c r="Y9" s="818"/>
      <c r="Z9" s="818"/>
      <c r="AA9" s="825"/>
      <c r="AB9" s="818"/>
      <c r="AC9" s="818"/>
      <c r="AD9" s="818">
        <f>SUM(X9:AB9)</f>
        <v>0</v>
      </c>
      <c r="AE9" s="818" t="e">
        <f>W9-AD9</f>
        <v>#REF!</v>
      </c>
      <c r="AF9" s="997"/>
      <c r="AG9" s="974"/>
      <c r="AH9" s="360"/>
      <c r="AI9" s="360"/>
      <c r="AJ9" s="831"/>
      <c r="AK9" s="831"/>
    </row>
    <row r="10" spans="1:37" x14ac:dyDescent="0.25">
      <c r="A10" s="360"/>
      <c r="B10" s="359">
        <v>2</v>
      </c>
      <c r="C10" s="360" t="s">
        <v>450</v>
      </c>
      <c r="D10" s="361">
        <v>82.2344627391263</v>
      </c>
      <c r="E10" s="361">
        <v>419.76553726087371</v>
      </c>
      <c r="F10" s="361">
        <v>502</v>
      </c>
      <c r="G10" s="935">
        <f>'Vald  per FA SL Bigante'!DK14</f>
        <v>40</v>
      </c>
      <c r="H10" s="935">
        <f>'Vald  per FA Pioneer'!AA15</f>
        <v>0</v>
      </c>
      <c r="I10" s="935" t="e">
        <f>#REF!</f>
        <v>#REF!</v>
      </c>
      <c r="J10" s="935" t="e">
        <f t="shared" si="2"/>
        <v>#REF!</v>
      </c>
      <c r="K10" s="935" t="e">
        <f t="shared" si="3"/>
        <v>#REF!</v>
      </c>
      <c r="L10" s="935">
        <f>'Vald  per FA SL Bigante'!BY14</f>
        <v>40</v>
      </c>
      <c r="M10" s="970">
        <f>'Retrieved masterlist HYBRID'!AE12</f>
        <v>0</v>
      </c>
      <c r="N10" s="970">
        <f>'Retrieved masterlist HYBRID'!BB12</f>
        <v>0</v>
      </c>
      <c r="O10" s="970">
        <f>'Vald  per FA Pioneer'!AK15</f>
        <v>0</v>
      </c>
      <c r="P10" s="970" t="e">
        <f>#REF!</f>
        <v>#REF!</v>
      </c>
      <c r="Q10" s="970" t="e">
        <f t="shared" si="4"/>
        <v>#REF!</v>
      </c>
      <c r="R10" s="970">
        <f>'Retrieved masterlist HYBRID'!BO12</f>
        <v>-1</v>
      </c>
      <c r="S10" s="972">
        <f>'Retrieved masterlist HYBRID'!AD12</f>
        <v>49</v>
      </c>
      <c r="T10" s="972">
        <f>'Retrieved masterlist HYBRID'!BA12</f>
        <v>12</v>
      </c>
      <c r="U10" s="972">
        <f>'Vald  per FA Pioneer'!AF15</f>
        <v>0</v>
      </c>
      <c r="V10" s="972" t="e">
        <f>#REF!</f>
        <v>#REF!</v>
      </c>
      <c r="W10" s="972" t="e">
        <f t="shared" ref="W10:W55" si="5">SUM(S10:V10)</f>
        <v>#REF!</v>
      </c>
      <c r="X10" s="829"/>
      <c r="Y10" s="818"/>
      <c r="Z10" s="818"/>
      <c r="AA10" s="825"/>
      <c r="AB10" s="818"/>
      <c r="AC10" s="818"/>
      <c r="AD10" s="818">
        <f>SUM(X10:AB10)</f>
        <v>0</v>
      </c>
      <c r="AE10" s="985" t="e">
        <f t="shared" ref="AE10:AE55" si="6">W10-AD10</f>
        <v>#REF!</v>
      </c>
      <c r="AF10" s="997"/>
      <c r="AG10" s="974"/>
      <c r="AH10" s="360"/>
      <c r="AI10" s="360"/>
      <c r="AJ10" s="831"/>
      <c r="AK10" s="831"/>
    </row>
    <row r="11" spans="1:37" x14ac:dyDescent="0.25">
      <c r="A11" s="360"/>
      <c r="B11" s="359">
        <v>3</v>
      </c>
      <c r="C11" s="360" t="s">
        <v>640</v>
      </c>
      <c r="D11" s="361">
        <v>0</v>
      </c>
      <c r="E11" s="361">
        <v>89</v>
      </c>
      <c r="F11" s="361">
        <v>89</v>
      </c>
      <c r="G11" s="936"/>
      <c r="H11" s="936"/>
      <c r="I11" s="936"/>
      <c r="J11" s="935">
        <f t="shared" si="2"/>
        <v>0</v>
      </c>
      <c r="K11" s="935">
        <f t="shared" si="3"/>
        <v>89</v>
      </c>
      <c r="L11" s="936"/>
      <c r="M11" s="971"/>
      <c r="N11" s="971"/>
      <c r="O11" s="971"/>
      <c r="P11" s="971"/>
      <c r="Q11" s="970">
        <f t="shared" si="4"/>
        <v>0</v>
      </c>
      <c r="R11" s="971"/>
      <c r="S11" s="973"/>
      <c r="T11" s="973"/>
      <c r="U11" s="973"/>
      <c r="V11" s="973"/>
      <c r="W11" s="972">
        <f t="shared" si="5"/>
        <v>0</v>
      </c>
      <c r="X11" s="829"/>
      <c r="Y11" s="818"/>
      <c r="Z11" s="818"/>
      <c r="AA11" s="825"/>
      <c r="AB11" s="818"/>
      <c r="AC11" s="818"/>
      <c r="AD11" s="818">
        <f t="shared" ref="AD11:AD55" si="7">SUM(X11:AB11)</f>
        <v>0</v>
      </c>
      <c r="AE11" s="818">
        <f t="shared" si="6"/>
        <v>0</v>
      </c>
      <c r="AF11" s="974"/>
      <c r="AG11" s="974"/>
      <c r="AH11" s="360"/>
      <c r="AI11" s="360"/>
      <c r="AJ11" s="831"/>
      <c r="AK11" s="831"/>
    </row>
    <row r="12" spans="1:37" x14ac:dyDescent="0.25">
      <c r="A12" s="360"/>
      <c r="B12" s="359">
        <v>4</v>
      </c>
      <c r="C12" s="360" t="s">
        <v>448</v>
      </c>
      <c r="D12" s="361">
        <v>116.77293708955935</v>
      </c>
      <c r="E12" s="361">
        <v>478.72706291044062</v>
      </c>
      <c r="F12" s="361">
        <v>595.5</v>
      </c>
      <c r="G12" s="935">
        <f>'Vald  per FA SL Bigante'!DK16</f>
        <v>16</v>
      </c>
      <c r="H12" s="935">
        <f>'Vald  per FA Pioneer'!AA17</f>
        <v>0</v>
      </c>
      <c r="I12" s="935" t="e">
        <f>#REF!</f>
        <v>#REF!</v>
      </c>
      <c r="J12" s="935" t="e">
        <f t="shared" si="2"/>
        <v>#REF!</v>
      </c>
      <c r="K12" s="935" t="e">
        <f t="shared" si="3"/>
        <v>#REF!</v>
      </c>
      <c r="L12" s="935">
        <f>'Vald  per FA SL Bigante'!BY16</f>
        <v>15</v>
      </c>
      <c r="M12" s="970">
        <f>'Retrieved masterlist HYBRID'!AE14</f>
        <v>0</v>
      </c>
      <c r="N12" s="970">
        <f>'Retrieved masterlist HYBRID'!BB14</f>
        <v>0</v>
      </c>
      <c r="O12" s="970">
        <f>'Vald  per FA Pioneer'!AK17</f>
        <v>0</v>
      </c>
      <c r="P12" s="970" t="e">
        <f>#REF!</f>
        <v>#REF!</v>
      </c>
      <c r="Q12" s="970" t="e">
        <f t="shared" si="4"/>
        <v>#REF!</v>
      </c>
      <c r="R12" s="970">
        <f>'Retrieved masterlist HYBRID'!BO14</f>
        <v>0</v>
      </c>
      <c r="S12" s="972">
        <f>'Retrieved masterlist HYBRID'!AD14</f>
        <v>10</v>
      </c>
      <c r="T12" s="972">
        <f>'Retrieved masterlist HYBRID'!BA14</f>
        <v>22</v>
      </c>
      <c r="U12" s="972">
        <f>'Vald  per FA Pioneer'!AF17</f>
        <v>0</v>
      </c>
      <c r="V12" s="972" t="e">
        <f>#REF!</f>
        <v>#REF!</v>
      </c>
      <c r="W12" s="972" t="e">
        <f t="shared" si="5"/>
        <v>#REF!</v>
      </c>
      <c r="X12" s="829"/>
      <c r="Y12" s="818"/>
      <c r="Z12" s="818"/>
      <c r="AA12" s="825"/>
      <c r="AB12" s="818"/>
      <c r="AC12" s="818"/>
      <c r="AD12" s="818">
        <f t="shared" si="7"/>
        <v>0</v>
      </c>
      <c r="AE12" s="985" t="e">
        <f t="shared" si="6"/>
        <v>#REF!</v>
      </c>
      <c r="AF12" s="997"/>
      <c r="AG12" s="974"/>
      <c r="AH12" s="360">
        <v>31</v>
      </c>
      <c r="AI12" s="360"/>
      <c r="AJ12" s="831"/>
      <c r="AK12" s="831"/>
    </row>
    <row r="13" spans="1:37" x14ac:dyDescent="0.25">
      <c r="A13" s="360"/>
      <c r="B13" s="359">
        <v>5</v>
      </c>
      <c r="C13" s="360" t="s">
        <v>449</v>
      </c>
      <c r="D13" s="361">
        <v>236.83525268868374</v>
      </c>
      <c r="E13" s="361">
        <v>812.16474731131621</v>
      </c>
      <c r="F13" s="361">
        <v>1049</v>
      </c>
      <c r="G13" s="935">
        <f>'Vald  per FA SL Bigante'!DK19</f>
        <v>20</v>
      </c>
      <c r="H13" s="935">
        <f>'Vald  per FA Pioneer'!AA20</f>
        <v>0</v>
      </c>
      <c r="I13" s="935"/>
      <c r="J13" s="935">
        <f t="shared" si="2"/>
        <v>20</v>
      </c>
      <c r="K13" s="935">
        <f t="shared" si="3"/>
        <v>1029</v>
      </c>
      <c r="L13" s="935">
        <f>'Vald  per FA SL Bigante'!BY19</f>
        <v>20</v>
      </c>
      <c r="M13" s="970">
        <f>'Retrieved masterlist HYBRID'!AE17</f>
        <v>0</v>
      </c>
      <c r="N13" s="970">
        <f>'Retrieved masterlist HYBRID'!BB17</f>
        <v>0</v>
      </c>
      <c r="O13" s="970">
        <f>'Vald  per FA Pioneer'!AK20</f>
        <v>0</v>
      </c>
      <c r="P13" s="970"/>
      <c r="Q13" s="970">
        <f t="shared" si="4"/>
        <v>0</v>
      </c>
      <c r="R13" s="970">
        <f>'Retrieved masterlist HYBRID'!BO17</f>
        <v>0</v>
      </c>
      <c r="S13" s="972">
        <f>'Retrieved masterlist HYBRID'!AD17</f>
        <v>19</v>
      </c>
      <c r="T13" s="972">
        <f>'Retrieved masterlist HYBRID'!BA17</f>
        <v>0</v>
      </c>
      <c r="U13" s="972">
        <f>'Vald  per FA Pioneer'!AF20</f>
        <v>0</v>
      </c>
      <c r="V13" s="972"/>
      <c r="W13" s="972">
        <f t="shared" si="5"/>
        <v>19</v>
      </c>
      <c r="X13" s="829"/>
      <c r="Y13" s="818"/>
      <c r="Z13" s="818"/>
      <c r="AA13" s="825"/>
      <c r="AB13" s="818"/>
      <c r="AC13" s="818"/>
      <c r="AD13" s="818">
        <f t="shared" si="7"/>
        <v>0</v>
      </c>
      <c r="AE13" s="818">
        <f t="shared" si="6"/>
        <v>19</v>
      </c>
      <c r="AF13" s="974"/>
      <c r="AG13" s="974"/>
      <c r="AH13" s="360"/>
      <c r="AI13" s="360"/>
      <c r="AJ13" s="831"/>
      <c r="AK13" s="831"/>
    </row>
    <row r="14" spans="1:37" x14ac:dyDescent="0.25">
      <c r="A14" s="360"/>
      <c r="B14" s="359">
        <v>6</v>
      </c>
      <c r="C14" s="360" t="s">
        <v>372</v>
      </c>
      <c r="D14" s="361">
        <v>106.35657180927001</v>
      </c>
      <c r="E14" s="361">
        <v>1213.64342819073</v>
      </c>
      <c r="F14" s="361">
        <v>1320</v>
      </c>
      <c r="G14" s="935">
        <f>'Vald  per FA SL Bigante'!DK21</f>
        <v>64.333333333333343</v>
      </c>
      <c r="H14" s="935">
        <f>'Vald  per FA Pioneer'!AA22</f>
        <v>0</v>
      </c>
      <c r="I14" s="935" t="e">
        <f>#REF!</f>
        <v>#REF!</v>
      </c>
      <c r="J14" s="935" t="e">
        <f t="shared" si="2"/>
        <v>#REF!</v>
      </c>
      <c r="K14" s="935" t="e">
        <f t="shared" si="3"/>
        <v>#REF!</v>
      </c>
      <c r="L14" s="935">
        <f>'Vald  per FA SL Bigante'!BY21</f>
        <v>63</v>
      </c>
      <c r="M14" s="970">
        <f>'Retrieved masterlist HYBRID'!AE19</f>
        <v>0</v>
      </c>
      <c r="N14" s="970">
        <f>'Retrieved masterlist HYBRID'!BB19</f>
        <v>0</v>
      </c>
      <c r="O14" s="970">
        <f>'Vald  per FA Pioneer'!AK22</f>
        <v>0</v>
      </c>
      <c r="P14" s="970" t="e">
        <f>#REF!</f>
        <v>#REF!</v>
      </c>
      <c r="Q14" s="970" t="e">
        <f t="shared" si="4"/>
        <v>#REF!</v>
      </c>
      <c r="R14" s="970">
        <f>'Retrieved masterlist HYBRID'!BO19</f>
        <v>0</v>
      </c>
      <c r="S14" s="972">
        <f>'Retrieved masterlist HYBRID'!AD19</f>
        <v>21</v>
      </c>
      <c r="T14" s="972">
        <f>'Retrieved masterlist HYBRID'!BA19</f>
        <v>70</v>
      </c>
      <c r="U14" s="972">
        <f>'Vald  per FA Pioneer'!AF22</f>
        <v>0</v>
      </c>
      <c r="V14" s="972" t="e">
        <f>#REF!</f>
        <v>#REF!</v>
      </c>
      <c r="W14" s="972" t="e">
        <f t="shared" si="5"/>
        <v>#REF!</v>
      </c>
      <c r="X14" s="829"/>
      <c r="Y14" s="818"/>
      <c r="Z14" s="818"/>
      <c r="AA14" s="825"/>
      <c r="AB14" s="818"/>
      <c r="AC14" s="818"/>
      <c r="AD14" s="818">
        <f t="shared" si="7"/>
        <v>0</v>
      </c>
      <c r="AE14" s="818" t="e">
        <f t="shared" si="6"/>
        <v>#REF!</v>
      </c>
      <c r="AF14" s="974"/>
      <c r="AG14" s="974"/>
      <c r="AH14" s="360"/>
      <c r="AI14" s="360"/>
      <c r="AJ14" s="831"/>
      <c r="AK14" s="831"/>
    </row>
    <row r="15" spans="1:37" x14ac:dyDescent="0.25">
      <c r="A15" s="360"/>
      <c r="B15" s="359">
        <v>7</v>
      </c>
      <c r="C15" s="360" t="s">
        <v>641</v>
      </c>
      <c r="D15" s="361">
        <v>0</v>
      </c>
      <c r="E15" s="361">
        <v>86</v>
      </c>
      <c r="F15" s="361">
        <v>86</v>
      </c>
      <c r="G15" s="936"/>
      <c r="H15" s="936"/>
      <c r="I15" s="936"/>
      <c r="J15" s="935">
        <f t="shared" si="2"/>
        <v>0</v>
      </c>
      <c r="K15" s="935">
        <f t="shared" si="3"/>
        <v>86</v>
      </c>
      <c r="L15" s="936"/>
      <c r="M15" s="971"/>
      <c r="N15" s="971"/>
      <c r="O15" s="971"/>
      <c r="P15" s="971"/>
      <c r="Q15" s="970">
        <f t="shared" si="4"/>
        <v>0</v>
      </c>
      <c r="R15" s="971"/>
      <c r="S15" s="973"/>
      <c r="T15" s="973"/>
      <c r="U15" s="973"/>
      <c r="V15" s="973"/>
      <c r="W15" s="972">
        <f t="shared" si="5"/>
        <v>0</v>
      </c>
      <c r="X15" s="829"/>
      <c r="Y15" s="818"/>
      <c r="Z15" s="818"/>
      <c r="AA15" s="825"/>
      <c r="AB15" s="818"/>
      <c r="AC15" s="818"/>
      <c r="AD15" s="818">
        <f t="shared" si="7"/>
        <v>0</v>
      </c>
      <c r="AE15" s="818">
        <f t="shared" si="6"/>
        <v>0</v>
      </c>
      <c r="AF15" s="974"/>
      <c r="AG15" s="974"/>
      <c r="AH15" s="360"/>
      <c r="AI15" s="360"/>
      <c r="AJ15" s="831"/>
      <c r="AK15" s="831"/>
    </row>
    <row r="16" spans="1:37" x14ac:dyDescent="0.25">
      <c r="A16" s="360"/>
      <c r="B16" s="359">
        <v>8</v>
      </c>
      <c r="C16" s="360" t="s">
        <v>642</v>
      </c>
      <c r="D16" s="361">
        <v>3.837608261159227</v>
      </c>
      <c r="E16" s="361">
        <v>109.66239173884077</v>
      </c>
      <c r="F16" s="361">
        <v>113.5</v>
      </c>
      <c r="G16" s="935">
        <f>'Vald  per FA SL Bigante'!DK25</f>
        <v>33</v>
      </c>
      <c r="H16" s="935">
        <f>'Vald  per FA Pioneer'!AA26</f>
        <v>5</v>
      </c>
      <c r="I16" s="935" t="e">
        <f>#REF!</f>
        <v>#REF!</v>
      </c>
      <c r="J16" s="935" t="e">
        <f t="shared" si="2"/>
        <v>#REF!</v>
      </c>
      <c r="K16" s="935" t="e">
        <f t="shared" si="3"/>
        <v>#REF!</v>
      </c>
      <c r="L16" s="935">
        <f>'Vald  per FA SL Bigante'!BY25</f>
        <v>26</v>
      </c>
      <c r="M16" s="970">
        <f>'Retrieved masterlist HYBRID'!AE23</f>
        <v>0</v>
      </c>
      <c r="N16" s="970">
        <f>'Retrieved masterlist HYBRID'!BB23</f>
        <v>0.4399999999999995</v>
      </c>
      <c r="O16" s="970">
        <f>'Vald  per FA Pioneer'!AK26</f>
        <v>0</v>
      </c>
      <c r="P16" s="970" t="e">
        <f>#REF!</f>
        <v>#REF!</v>
      </c>
      <c r="Q16" s="986" t="e">
        <f t="shared" si="4"/>
        <v>#REF!</v>
      </c>
      <c r="R16" s="970">
        <f>'Retrieved masterlist HYBRID'!BO23</f>
        <v>-2</v>
      </c>
      <c r="S16" s="972">
        <f>'Retrieved masterlist HYBRID'!AD23</f>
        <v>31</v>
      </c>
      <c r="T16" s="972">
        <f>'Retrieved masterlist HYBRID'!BA23</f>
        <v>9</v>
      </c>
      <c r="U16" s="972">
        <f>'Vald  per FA Pioneer'!AF26</f>
        <v>5</v>
      </c>
      <c r="V16" s="972" t="e">
        <f>#REF!</f>
        <v>#REF!</v>
      </c>
      <c r="W16" s="972" t="e">
        <f t="shared" si="5"/>
        <v>#REF!</v>
      </c>
      <c r="X16" s="829"/>
      <c r="Y16" s="818"/>
      <c r="Z16" s="818"/>
      <c r="AA16" s="825"/>
      <c r="AB16" s="818"/>
      <c r="AC16" s="818"/>
      <c r="AD16" s="818">
        <f t="shared" si="7"/>
        <v>0</v>
      </c>
      <c r="AE16" s="985" t="e">
        <f t="shared" si="6"/>
        <v>#REF!</v>
      </c>
      <c r="AF16" s="997"/>
      <c r="AG16" s="974"/>
      <c r="AH16" s="360">
        <v>26</v>
      </c>
      <c r="AI16" s="360"/>
      <c r="AJ16" s="831"/>
      <c r="AK16" s="831"/>
    </row>
    <row r="17" spans="1:37" x14ac:dyDescent="0.25">
      <c r="A17" s="360"/>
      <c r="B17" s="359">
        <v>9</v>
      </c>
      <c r="C17" s="360" t="s">
        <v>447</v>
      </c>
      <c r="D17" s="361">
        <v>0</v>
      </c>
      <c r="E17" s="361">
        <v>373</v>
      </c>
      <c r="F17" s="361">
        <v>373</v>
      </c>
      <c r="G17" s="935">
        <f>'Vald  per FA SL Bigante'!DK31</f>
        <v>177.33333333333334</v>
      </c>
      <c r="H17" s="935">
        <f>'Vald  per FA Pioneer'!AA32</f>
        <v>0</v>
      </c>
      <c r="I17" s="935"/>
      <c r="J17" s="935">
        <f t="shared" si="2"/>
        <v>177.33333333333334</v>
      </c>
      <c r="K17" s="935">
        <f t="shared" si="3"/>
        <v>195.66666666666666</v>
      </c>
      <c r="L17" s="935">
        <f>'Vald  per FA SL Bigante'!BY31</f>
        <v>175</v>
      </c>
      <c r="M17" s="970">
        <f>'Retrieved masterlist HYBRID'!AE29</f>
        <v>0</v>
      </c>
      <c r="N17" s="970">
        <f>'Retrieved masterlist HYBRID'!BB29</f>
        <v>0</v>
      </c>
      <c r="O17" s="970">
        <f>'Vald  per FA Pioneer'!AK32</f>
        <v>0</v>
      </c>
      <c r="P17" s="970" t="e">
        <f>#REF!</f>
        <v>#REF!</v>
      </c>
      <c r="Q17" s="970" t="e">
        <f t="shared" si="4"/>
        <v>#REF!</v>
      </c>
      <c r="R17" s="970">
        <f>'Retrieved masterlist HYBRID'!BO29</f>
        <v>0</v>
      </c>
      <c r="S17" s="972">
        <f>'Retrieved masterlist HYBRID'!AD29</f>
        <v>139</v>
      </c>
      <c r="T17" s="972">
        <f>'Retrieved masterlist HYBRID'!BA29</f>
        <v>108</v>
      </c>
      <c r="U17" s="972">
        <f>'Vald  per FA Pioneer'!AF32</f>
        <v>0</v>
      </c>
      <c r="V17" s="972"/>
      <c r="W17" s="972">
        <f t="shared" si="5"/>
        <v>247</v>
      </c>
      <c r="X17" s="829"/>
      <c r="Y17" s="818"/>
      <c r="Z17" s="818"/>
      <c r="AA17" s="825"/>
      <c r="AB17" s="818"/>
      <c r="AC17" s="818"/>
      <c r="AD17" s="818">
        <f t="shared" si="7"/>
        <v>0</v>
      </c>
      <c r="AE17" s="985">
        <f>W17-AD17</f>
        <v>247</v>
      </c>
      <c r="AF17" s="997"/>
      <c r="AG17" s="974"/>
      <c r="AH17" s="360">
        <v>118</v>
      </c>
      <c r="AI17" s="360"/>
      <c r="AJ17" s="831"/>
      <c r="AK17" s="831"/>
    </row>
    <row r="18" spans="1:37" x14ac:dyDescent="0.25">
      <c r="A18" s="360"/>
      <c r="B18" s="359">
        <v>10</v>
      </c>
      <c r="C18" s="360" t="s">
        <v>643</v>
      </c>
      <c r="D18" s="361">
        <v>138.70212715332636</v>
      </c>
      <c r="E18" s="361">
        <v>47.797872846673641</v>
      </c>
      <c r="F18" s="361">
        <v>186.5</v>
      </c>
      <c r="G18" s="936"/>
      <c r="H18" s="936"/>
      <c r="I18" s="936"/>
      <c r="J18" s="935">
        <f t="shared" si="2"/>
        <v>0</v>
      </c>
      <c r="K18" s="935">
        <f t="shared" si="3"/>
        <v>186.5</v>
      </c>
      <c r="L18" s="936"/>
      <c r="M18" s="971"/>
      <c r="N18" s="971"/>
      <c r="O18" s="971"/>
      <c r="P18" s="971"/>
      <c r="Q18" s="970">
        <f t="shared" si="4"/>
        <v>0</v>
      </c>
      <c r="R18" s="971"/>
      <c r="S18" s="973"/>
      <c r="T18" s="973"/>
      <c r="U18" s="973"/>
      <c r="V18" s="973"/>
      <c r="W18" s="972">
        <f t="shared" si="5"/>
        <v>0</v>
      </c>
      <c r="X18" s="829"/>
      <c r="Y18" s="818"/>
      <c r="Z18" s="818"/>
      <c r="AA18" s="825"/>
      <c r="AB18" s="818"/>
      <c r="AC18" s="818"/>
      <c r="AD18" s="818">
        <f t="shared" si="7"/>
        <v>0</v>
      </c>
      <c r="AE18" s="818">
        <f t="shared" si="6"/>
        <v>0</v>
      </c>
      <c r="AF18" s="974"/>
      <c r="AG18" s="974"/>
      <c r="AH18" s="360"/>
      <c r="AI18" s="360"/>
      <c r="AJ18" s="831"/>
      <c r="AK18" s="831"/>
    </row>
    <row r="19" spans="1:37" x14ac:dyDescent="0.25">
      <c r="A19" s="360"/>
      <c r="B19" s="359">
        <v>11</v>
      </c>
      <c r="C19" s="360" t="s">
        <v>632</v>
      </c>
      <c r="D19" s="361">
        <v>0</v>
      </c>
      <c r="E19" s="361">
        <v>247</v>
      </c>
      <c r="F19" s="361">
        <v>247</v>
      </c>
      <c r="G19" s="935">
        <f>'Vald  per FA SL Bigante'!DK41</f>
        <v>0</v>
      </c>
      <c r="H19" s="935">
        <f>'Vald  per FA Pioneer'!AA42</f>
        <v>0</v>
      </c>
      <c r="I19" s="935" t="e">
        <f>#REF!</f>
        <v>#REF!</v>
      </c>
      <c r="J19" s="935" t="e">
        <f t="shared" si="2"/>
        <v>#REF!</v>
      </c>
      <c r="K19" s="935" t="e">
        <f t="shared" si="3"/>
        <v>#REF!</v>
      </c>
      <c r="L19" s="935">
        <f>'Vald  per FA SL Bigante'!BY41</f>
        <v>0</v>
      </c>
      <c r="M19" s="970">
        <f>'Retrieved masterlist HYBRID'!AE39</f>
        <v>0</v>
      </c>
      <c r="N19" s="970">
        <f>'Retrieved masterlist HYBRID'!BB39</f>
        <v>0</v>
      </c>
      <c r="O19" s="970">
        <f>'Vald  per FA Pioneer'!AK42</f>
        <v>0</v>
      </c>
      <c r="P19" s="970" t="e">
        <f>#REF!</f>
        <v>#REF!</v>
      </c>
      <c r="Q19" s="970" t="e">
        <f t="shared" si="4"/>
        <v>#REF!</v>
      </c>
      <c r="R19" s="970">
        <f>'Retrieved masterlist HYBRID'!BO39</f>
        <v>0</v>
      </c>
      <c r="S19" s="972">
        <f>'Retrieved masterlist HYBRID'!AD39</f>
        <v>0</v>
      </c>
      <c r="T19" s="972">
        <f>'Retrieved masterlist HYBRID'!BA39</f>
        <v>0</v>
      </c>
      <c r="U19" s="972">
        <f>'Vald  per FA Pioneer'!AF42</f>
        <v>0</v>
      </c>
      <c r="V19" s="972" t="e">
        <f>#REF!</f>
        <v>#REF!</v>
      </c>
      <c r="W19" s="972" t="e">
        <f t="shared" si="5"/>
        <v>#REF!</v>
      </c>
      <c r="X19" s="829"/>
      <c r="Y19" s="818"/>
      <c r="Z19" s="818"/>
      <c r="AA19" s="825"/>
      <c r="AB19" s="818"/>
      <c r="AC19" s="818"/>
      <c r="AD19" s="818">
        <f t="shared" si="7"/>
        <v>0</v>
      </c>
      <c r="AE19" s="818" t="e">
        <f t="shared" si="6"/>
        <v>#REF!</v>
      </c>
      <c r="AF19" s="974"/>
      <c r="AG19" s="974"/>
      <c r="AH19" s="360"/>
      <c r="AI19" s="360"/>
      <c r="AJ19" s="831"/>
      <c r="AK19" s="831"/>
    </row>
    <row r="20" spans="1:37" x14ac:dyDescent="0.25">
      <c r="A20" s="360"/>
      <c r="B20" s="359">
        <v>12</v>
      </c>
      <c r="C20" s="360" t="s">
        <v>644</v>
      </c>
      <c r="D20" s="361">
        <v>455.57892357475964</v>
      </c>
      <c r="E20" s="361">
        <v>237.92107642524036</v>
      </c>
      <c r="F20" s="361">
        <v>693.5</v>
      </c>
      <c r="G20" s="935">
        <f>'Vald  per FA SL Bigante'!DK44</f>
        <v>55</v>
      </c>
      <c r="H20" s="937">
        <f>'Vald  per FA Pioneer'!AA45</f>
        <v>82.4</v>
      </c>
      <c r="I20" s="935" t="e">
        <f>#REF!</f>
        <v>#REF!</v>
      </c>
      <c r="J20" s="935" t="e">
        <f t="shared" si="2"/>
        <v>#REF!</v>
      </c>
      <c r="K20" s="935" t="e">
        <f t="shared" si="3"/>
        <v>#REF!</v>
      </c>
      <c r="L20" s="935">
        <f>'Vald  per FA SL Bigante'!BY44</f>
        <v>55</v>
      </c>
      <c r="M20" s="970">
        <f>'Retrieved masterlist HYBRID'!AE42</f>
        <v>0</v>
      </c>
      <c r="N20" s="970">
        <f>'Retrieved masterlist HYBRID'!BB42</f>
        <v>0</v>
      </c>
      <c r="O20" s="970">
        <f>'Vald  per FA Pioneer'!AK45</f>
        <v>-2.1333333333333258</v>
      </c>
      <c r="P20" s="970" t="e">
        <f>#REF!</f>
        <v>#REF!</v>
      </c>
      <c r="Q20" s="986" t="e">
        <f t="shared" si="4"/>
        <v>#REF!</v>
      </c>
      <c r="R20" s="986">
        <f>'Retrieved masterlist HYBRID'!BO42</f>
        <v>6.3249999999999993</v>
      </c>
      <c r="S20" s="972">
        <f>'Retrieved masterlist HYBRID'!AD42</f>
        <v>87</v>
      </c>
      <c r="T20" s="972">
        <f>'Retrieved masterlist HYBRID'!BA42</f>
        <v>26</v>
      </c>
      <c r="U20" s="972">
        <f>'Vald  per FA Pioneer'!AF45</f>
        <v>161</v>
      </c>
      <c r="V20" s="972" t="e">
        <f>#REF!</f>
        <v>#REF!</v>
      </c>
      <c r="W20" s="972" t="e">
        <f t="shared" si="5"/>
        <v>#REF!</v>
      </c>
      <c r="X20" s="829"/>
      <c r="Y20" s="818"/>
      <c r="Z20" s="818"/>
      <c r="AA20" s="825"/>
      <c r="AB20" s="818"/>
      <c r="AC20" s="818"/>
      <c r="AD20" s="818">
        <f t="shared" si="7"/>
        <v>0</v>
      </c>
      <c r="AE20" s="985" t="e">
        <f t="shared" si="6"/>
        <v>#REF!</v>
      </c>
      <c r="AF20" s="997"/>
      <c r="AG20" s="974"/>
      <c r="AH20" s="360"/>
      <c r="AI20" s="360"/>
      <c r="AJ20" s="831"/>
      <c r="AK20" s="831"/>
    </row>
    <row r="21" spans="1:37" s="1244" customFormat="1" x14ac:dyDescent="0.25">
      <c r="A21" s="1236" t="s">
        <v>28</v>
      </c>
      <c r="B21" s="1237"/>
      <c r="C21" s="1237">
        <v>14</v>
      </c>
      <c r="D21" s="1240">
        <v>10693.111658894071</v>
      </c>
      <c r="E21" s="1240">
        <v>12058.398341105929</v>
      </c>
      <c r="F21" s="1240">
        <v>22751.510000000002</v>
      </c>
      <c r="G21" s="1239">
        <f>SUM(G22:G35)</f>
        <v>3821.3333333333335</v>
      </c>
      <c r="H21" s="1239">
        <f t="shared" ref="H21:AI21" si="8">SUM(H22:H35)</f>
        <v>1164</v>
      </c>
      <c r="I21" s="1239" t="e">
        <f t="shared" si="8"/>
        <v>#REF!</v>
      </c>
      <c r="J21" s="1239" t="e">
        <f t="shared" si="8"/>
        <v>#REF!</v>
      </c>
      <c r="K21" s="1239" t="e">
        <f t="shared" si="8"/>
        <v>#REF!</v>
      </c>
      <c r="L21" s="1239">
        <f t="shared" si="8"/>
        <v>3644.18</v>
      </c>
      <c r="M21" s="1239">
        <f t="shared" si="8"/>
        <v>-3.2906666666666595</v>
      </c>
      <c r="N21" s="1239">
        <f t="shared" si="8"/>
        <v>-2.0166666666666671</v>
      </c>
      <c r="O21" s="1239">
        <f t="shared" si="8"/>
        <v>-11.544666666666664</v>
      </c>
      <c r="P21" s="1239" t="e">
        <f t="shared" si="8"/>
        <v>#REF!</v>
      </c>
      <c r="Q21" s="1239" t="e">
        <f t="shared" si="8"/>
        <v>#REF!</v>
      </c>
      <c r="R21" s="1239">
        <f>SUM(R22:R35)</f>
        <v>-25.170999999999996</v>
      </c>
      <c r="S21" s="1239">
        <f t="shared" si="8"/>
        <v>2828</v>
      </c>
      <c r="T21" s="1239">
        <f t="shared" si="8"/>
        <v>961</v>
      </c>
      <c r="U21" s="1239">
        <f t="shared" si="8"/>
        <v>1196</v>
      </c>
      <c r="V21" s="1239" t="e">
        <f t="shared" si="8"/>
        <v>#REF!</v>
      </c>
      <c r="W21" s="1239" t="e">
        <f t="shared" si="8"/>
        <v>#REF!</v>
      </c>
      <c r="X21" s="1240">
        <f t="shared" si="8"/>
        <v>0</v>
      </c>
      <c r="Y21" s="1240">
        <f t="shared" si="8"/>
        <v>0</v>
      </c>
      <c r="Z21" s="1240">
        <f t="shared" si="8"/>
        <v>0</v>
      </c>
      <c r="AA21" s="1241">
        <f t="shared" si="8"/>
        <v>0</v>
      </c>
      <c r="AB21" s="1240">
        <f t="shared" si="8"/>
        <v>0</v>
      </c>
      <c r="AC21" s="1240">
        <f t="shared" si="8"/>
        <v>0</v>
      </c>
      <c r="AD21" s="1240">
        <f t="shared" si="8"/>
        <v>0</v>
      </c>
      <c r="AE21" s="1240" t="e">
        <f t="shared" si="8"/>
        <v>#REF!</v>
      </c>
      <c r="AF21" s="1242"/>
      <c r="AG21" s="1242"/>
      <c r="AH21" s="1240">
        <f t="shared" si="8"/>
        <v>381</v>
      </c>
      <c r="AI21" s="1240">
        <f t="shared" si="8"/>
        <v>106</v>
      </c>
      <c r="AJ21" s="1243"/>
      <c r="AK21" s="1243"/>
    </row>
    <row r="22" spans="1:37" x14ac:dyDescent="0.25">
      <c r="A22" s="360"/>
      <c r="B22" s="359">
        <v>1</v>
      </c>
      <c r="C22" s="360" t="s">
        <v>634</v>
      </c>
      <c r="D22" s="361">
        <v>10.964595031883507</v>
      </c>
      <c r="E22" s="361">
        <v>885.45540496811645</v>
      </c>
      <c r="F22" s="361">
        <v>896.42</v>
      </c>
      <c r="G22" s="935">
        <f>'Vald  per FA SL Bigante'!DK51</f>
        <v>103.99999999999999</v>
      </c>
      <c r="H22" s="935">
        <f>'Vald  per FA Pioneer'!AA56</f>
        <v>100</v>
      </c>
      <c r="I22" s="935" t="e">
        <f>#REF!</f>
        <v>#REF!</v>
      </c>
      <c r="J22" s="935" t="e">
        <f t="shared" ref="J22:J35" si="9">I22+H22+G22</f>
        <v>#REF!</v>
      </c>
      <c r="K22" s="935" t="e">
        <f t="shared" ref="K22:K35" si="10">F22-J22</f>
        <v>#REF!</v>
      </c>
      <c r="L22" s="935">
        <f>'Vald  per FA SL Bigante'!BY51</f>
        <v>142.23000000000002</v>
      </c>
      <c r="M22" s="970">
        <f>'Retrieved masterlist HYBRID'!AE52</f>
        <v>-1</v>
      </c>
      <c r="N22" s="970">
        <f>'Retrieved masterlist HYBRID'!BB52</f>
        <v>0</v>
      </c>
      <c r="O22" s="970">
        <f>'Vald  per FA Pioneer'!AK56</f>
        <v>-8.8000000000000007</v>
      </c>
      <c r="P22" s="970" t="e">
        <f>#REF!</f>
        <v>#REF!</v>
      </c>
      <c r="Q22" s="970" t="e">
        <f t="shared" ref="Q22:Q35" si="11">M22+N22+O22+P22</f>
        <v>#REF!</v>
      </c>
      <c r="R22" s="970">
        <f>'Retrieved masterlist HYBRID'!BO52</f>
        <v>-10</v>
      </c>
      <c r="S22" s="972">
        <f>'Retrieved masterlist HYBRID'!AD52</f>
        <v>128</v>
      </c>
      <c r="T22" s="972">
        <f>'Retrieved masterlist HYBRID'!BA52</f>
        <v>0</v>
      </c>
      <c r="U22" s="972">
        <f>'Vald  per FA Pioneer'!AF56</f>
        <v>92</v>
      </c>
      <c r="V22" s="972" t="e">
        <f>#REF!</f>
        <v>#REF!</v>
      </c>
      <c r="W22" s="972" t="e">
        <f t="shared" si="5"/>
        <v>#REF!</v>
      </c>
      <c r="X22" s="829"/>
      <c r="Y22" s="818"/>
      <c r="Z22" s="818"/>
      <c r="AA22" s="995"/>
      <c r="AB22" s="818"/>
      <c r="AC22" s="818"/>
      <c r="AD22" s="818">
        <f t="shared" si="7"/>
        <v>0</v>
      </c>
      <c r="AE22" s="818" t="e">
        <f t="shared" si="6"/>
        <v>#REF!</v>
      </c>
      <c r="AF22" s="997"/>
      <c r="AG22" s="974"/>
      <c r="AH22" s="360"/>
      <c r="AI22" s="360"/>
      <c r="AJ22" s="831"/>
      <c r="AK22" s="831"/>
    </row>
    <row r="23" spans="1:37" ht="13.5" customHeight="1" x14ac:dyDescent="0.3">
      <c r="A23" s="360"/>
      <c r="B23" s="359">
        <v>2</v>
      </c>
      <c r="C23" s="360" t="s">
        <v>645</v>
      </c>
      <c r="D23" s="361">
        <v>32.893785095650514</v>
      </c>
      <c r="E23" s="361">
        <v>691.75621490434946</v>
      </c>
      <c r="F23" s="361">
        <v>724.65</v>
      </c>
      <c r="G23" s="935">
        <f>'Vald  per FA SL Bigante'!DK61</f>
        <v>137</v>
      </c>
      <c r="H23" s="935">
        <f>'Vald  per FA Pioneer'!AA66</f>
        <v>100</v>
      </c>
      <c r="I23" s="935" t="e">
        <f>#REF!</f>
        <v>#REF!</v>
      </c>
      <c r="J23" s="935" t="e">
        <f t="shared" si="9"/>
        <v>#REF!</v>
      </c>
      <c r="K23" s="935" t="e">
        <f t="shared" si="10"/>
        <v>#REF!</v>
      </c>
      <c r="L23" s="935">
        <f>'Vald  per FA SL Bigante'!BY61</f>
        <v>130</v>
      </c>
      <c r="M23" s="970">
        <f>'Retrieved masterlist HYBRID'!AE62</f>
        <v>0</v>
      </c>
      <c r="N23" s="970">
        <f>'Retrieved masterlist HYBRID'!BB62</f>
        <v>0</v>
      </c>
      <c r="O23" s="970">
        <f>'Vald  per FA Pioneer'!AK66</f>
        <v>0</v>
      </c>
      <c r="P23" s="970" t="e">
        <f>#REF!</f>
        <v>#REF!</v>
      </c>
      <c r="Q23" s="970" t="e">
        <f t="shared" si="11"/>
        <v>#REF!</v>
      </c>
      <c r="R23" s="970">
        <f>'Retrieved masterlist HYBRID'!BO62</f>
        <v>0</v>
      </c>
      <c r="S23" s="972">
        <f>'Retrieved masterlist HYBRID'!AD62</f>
        <v>192</v>
      </c>
      <c r="T23" s="972">
        <f>'Retrieved masterlist HYBRID'!BA62</f>
        <v>77</v>
      </c>
      <c r="U23" s="972">
        <f>'Vald  per FA Pioneer'!AF66</f>
        <v>231</v>
      </c>
      <c r="V23" s="972" t="e">
        <f>#REF!</f>
        <v>#REF!</v>
      </c>
      <c r="W23" s="972" t="e">
        <f t="shared" si="5"/>
        <v>#REF!</v>
      </c>
      <c r="X23" s="829"/>
      <c r="Y23" s="818"/>
      <c r="Z23" s="818"/>
      <c r="AA23" s="825"/>
      <c r="AB23" s="818"/>
      <c r="AC23" s="818"/>
      <c r="AD23" s="818">
        <f t="shared" si="7"/>
        <v>0</v>
      </c>
      <c r="AE23" s="818" t="e">
        <f t="shared" si="6"/>
        <v>#REF!</v>
      </c>
      <c r="AF23" s="974"/>
      <c r="AG23" s="974"/>
      <c r="AH23" s="360">
        <f>283+15</f>
        <v>298</v>
      </c>
      <c r="AI23" s="360">
        <v>106</v>
      </c>
      <c r="AJ23" s="831"/>
      <c r="AK23" s="831"/>
    </row>
    <row r="24" spans="1:37" x14ac:dyDescent="0.25">
      <c r="A24" s="360"/>
      <c r="B24" s="359">
        <v>3</v>
      </c>
      <c r="C24" s="360" t="s">
        <v>646</v>
      </c>
      <c r="D24" s="361">
        <v>197.03377272294659</v>
      </c>
      <c r="E24" s="361">
        <v>127.45622727705342</v>
      </c>
      <c r="F24" s="361">
        <v>324.49</v>
      </c>
      <c r="G24" s="935">
        <f>'Vald  per FA SL Bigante'!DK75</f>
        <v>279.33333333333331</v>
      </c>
      <c r="H24" s="935">
        <f>'Vald  per FA Pioneer'!AA82</f>
        <v>24</v>
      </c>
      <c r="I24" s="935" t="e">
        <f>#REF!</f>
        <v>#REF!</v>
      </c>
      <c r="J24" s="935" t="e">
        <f t="shared" si="9"/>
        <v>#REF!</v>
      </c>
      <c r="K24" s="935" t="e">
        <f t="shared" si="10"/>
        <v>#REF!</v>
      </c>
      <c r="L24" s="935">
        <f>'Vald  per FA SL Bigante'!BY75</f>
        <v>279</v>
      </c>
      <c r="M24" s="970">
        <f>'Retrieved masterlist HYBRID'!AE76</f>
        <v>0</v>
      </c>
      <c r="N24" s="970">
        <f>'Retrieved masterlist HYBRID'!BB76</f>
        <v>0</v>
      </c>
      <c r="O24" s="970">
        <f>'Vald  per FA Pioneer'!AK82</f>
        <v>0</v>
      </c>
      <c r="P24" s="970" t="e">
        <f>#REF!</f>
        <v>#REF!</v>
      </c>
      <c r="Q24" s="970" t="e">
        <f t="shared" si="11"/>
        <v>#REF!</v>
      </c>
      <c r="R24" s="970">
        <f>'Retrieved masterlist HYBRID'!BO76</f>
        <v>-1</v>
      </c>
      <c r="S24" s="972">
        <f>'Retrieved masterlist HYBRID'!AD76</f>
        <v>140</v>
      </c>
      <c r="T24" s="972">
        <f>'Retrieved masterlist HYBRID'!BA76</f>
        <v>156</v>
      </c>
      <c r="U24" s="972">
        <f>'Vald  per FA Pioneer'!AF82</f>
        <v>28</v>
      </c>
      <c r="V24" s="972" t="e">
        <f>#REF!</f>
        <v>#REF!</v>
      </c>
      <c r="W24" s="972" t="e">
        <f t="shared" si="5"/>
        <v>#REF!</v>
      </c>
      <c r="X24" s="829"/>
      <c r="Y24" s="818"/>
      <c r="Z24" s="818"/>
      <c r="AA24" s="825"/>
      <c r="AB24" s="818"/>
      <c r="AC24" s="818"/>
      <c r="AD24" s="818">
        <f t="shared" si="7"/>
        <v>0</v>
      </c>
      <c r="AE24" s="818" t="e">
        <f t="shared" si="6"/>
        <v>#REF!</v>
      </c>
      <c r="AF24" s="997"/>
      <c r="AG24" s="974"/>
      <c r="AH24" s="360"/>
      <c r="AI24" s="360"/>
      <c r="AJ24" s="831"/>
      <c r="AK24" s="831"/>
    </row>
    <row r="25" spans="1:37" x14ac:dyDescent="0.25">
      <c r="A25" s="360"/>
      <c r="B25" s="359">
        <v>4</v>
      </c>
      <c r="C25" s="360" t="s">
        <v>626</v>
      </c>
      <c r="D25" s="361">
        <v>2768.5602455505855</v>
      </c>
      <c r="E25" s="361">
        <v>46.869754449414359</v>
      </c>
      <c r="F25" s="361">
        <v>2815.43</v>
      </c>
      <c r="G25" s="935">
        <f>'Vald  per FA SL Bigante'!DK90</f>
        <v>705</v>
      </c>
      <c r="H25" s="935">
        <f>'Vald  per FA Pioneer'!AA97</f>
        <v>277</v>
      </c>
      <c r="I25" s="935" t="e">
        <f>#REF!</f>
        <v>#REF!</v>
      </c>
      <c r="J25" s="935" t="e">
        <f t="shared" si="9"/>
        <v>#REF!</v>
      </c>
      <c r="K25" s="935" t="e">
        <f t="shared" si="10"/>
        <v>#REF!</v>
      </c>
      <c r="L25" s="935">
        <f>'Vald  per FA SL Bigante'!BY90</f>
        <v>700</v>
      </c>
      <c r="M25" s="970">
        <f>'Retrieved masterlist HYBRID'!AE91</f>
        <v>3.5527136788005009E-15</v>
      </c>
      <c r="N25" s="970">
        <f>'Retrieved masterlist HYBRID'!BB91</f>
        <v>-1</v>
      </c>
      <c r="O25" s="970">
        <f>'Vald  per FA Pioneer'!AK97</f>
        <v>-0.13333333333333286</v>
      </c>
      <c r="P25" s="970" t="e">
        <f>#REF!</f>
        <v>#REF!</v>
      </c>
      <c r="Q25" s="986" t="e">
        <f t="shared" si="11"/>
        <v>#REF!</v>
      </c>
      <c r="R25" s="986">
        <f>'Retrieved masterlist HYBRID'!BO91</f>
        <v>-0.4199999999999946</v>
      </c>
      <c r="S25" s="972">
        <f>'Retrieved masterlist HYBRID'!AD91</f>
        <v>440</v>
      </c>
      <c r="T25" s="972">
        <f>'Retrieved masterlist HYBRID'!BA91</f>
        <v>143</v>
      </c>
      <c r="U25" s="972">
        <f>'Vald  per FA Pioneer'!AF97</f>
        <v>225</v>
      </c>
      <c r="V25" s="972" t="e">
        <f>#REF!</f>
        <v>#REF!</v>
      </c>
      <c r="W25" s="972" t="e">
        <f t="shared" si="5"/>
        <v>#REF!</v>
      </c>
      <c r="X25" s="829"/>
      <c r="Y25" s="818"/>
      <c r="Z25" s="818"/>
      <c r="AA25" s="825"/>
      <c r="AB25" s="818"/>
      <c r="AC25" s="818"/>
      <c r="AD25" s="818">
        <f t="shared" si="7"/>
        <v>0</v>
      </c>
      <c r="AE25" s="985" t="e">
        <f t="shared" si="6"/>
        <v>#REF!</v>
      </c>
      <c r="AF25" s="997" t="s">
        <v>875</v>
      </c>
      <c r="AG25" s="974"/>
      <c r="AH25" s="360"/>
      <c r="AI25" s="360"/>
      <c r="AJ25" s="831"/>
      <c r="AK25" s="831"/>
    </row>
    <row r="26" spans="1:37" x14ac:dyDescent="0.25">
      <c r="A26" s="360"/>
      <c r="B26" s="359">
        <v>5</v>
      </c>
      <c r="C26" s="360" t="s">
        <v>647</v>
      </c>
      <c r="D26" s="361">
        <v>99.448876939183407</v>
      </c>
      <c r="E26" s="361">
        <v>597.07112306081672</v>
      </c>
      <c r="F26" s="361">
        <v>696.5200000000001</v>
      </c>
      <c r="G26" s="935">
        <f>'Vald  per FA SL Bigante'!DK108</f>
        <v>121.66666666666667</v>
      </c>
      <c r="H26" s="935">
        <f>'Vald  per FA Pioneer'!AA117</f>
        <v>5</v>
      </c>
      <c r="I26" s="935" t="e">
        <f>#REF!</f>
        <v>#REF!</v>
      </c>
      <c r="J26" s="935" t="e">
        <f t="shared" si="9"/>
        <v>#REF!</v>
      </c>
      <c r="K26" s="935" t="e">
        <f t="shared" si="10"/>
        <v>#REF!</v>
      </c>
      <c r="L26" s="935">
        <f>'Vald  per FA SL Bigante'!BY108</f>
        <v>117</v>
      </c>
      <c r="M26" s="970">
        <f>'Retrieved masterlist HYBRID'!AE109</f>
        <v>0</v>
      </c>
      <c r="N26" s="970">
        <f>'Retrieved masterlist HYBRID'!BB109</f>
        <v>-1.6666666666666607E-2</v>
      </c>
      <c r="O26" s="970">
        <f>'Vald  per FA Pioneer'!AK117</f>
        <v>0</v>
      </c>
      <c r="P26" s="970" t="e">
        <f>#REF!</f>
        <v>#REF!</v>
      </c>
      <c r="Q26" s="970" t="e">
        <f t="shared" si="11"/>
        <v>#REF!</v>
      </c>
      <c r="R26" s="970">
        <f>'Retrieved masterlist HYBRID'!BO109</f>
        <v>-2.9510000000000005</v>
      </c>
      <c r="S26" s="972">
        <f>'Retrieved masterlist HYBRID'!AD109</f>
        <v>106</v>
      </c>
      <c r="T26" s="972">
        <f>'Retrieved masterlist HYBRID'!BA109</f>
        <v>60</v>
      </c>
      <c r="U26" s="972">
        <f>'Vald  per FA Pioneer'!AF117</f>
        <v>14</v>
      </c>
      <c r="V26" s="972" t="e">
        <f>#REF!</f>
        <v>#REF!</v>
      </c>
      <c r="W26" s="972" t="e">
        <f t="shared" si="5"/>
        <v>#REF!</v>
      </c>
      <c r="X26" s="829"/>
      <c r="Y26" s="818"/>
      <c r="Z26" s="818"/>
      <c r="AA26" s="825"/>
      <c r="AB26" s="818"/>
      <c r="AC26" s="818"/>
      <c r="AD26" s="818">
        <f t="shared" si="7"/>
        <v>0</v>
      </c>
      <c r="AE26" s="818" t="e">
        <f t="shared" si="6"/>
        <v>#REF!</v>
      </c>
      <c r="AF26" s="974"/>
      <c r="AG26" s="974"/>
      <c r="AH26" s="360"/>
      <c r="AI26" s="360"/>
      <c r="AJ26" s="831"/>
      <c r="AK26" s="831"/>
    </row>
    <row r="27" spans="1:37" ht="15.6" x14ac:dyDescent="0.3">
      <c r="A27" s="360"/>
      <c r="B27" s="359">
        <v>6</v>
      </c>
      <c r="C27" s="360" t="s">
        <v>648</v>
      </c>
      <c r="D27" s="361">
        <v>15.898662796231084</v>
      </c>
      <c r="E27" s="361">
        <v>396.60133720376894</v>
      </c>
      <c r="F27" s="361">
        <v>412.5</v>
      </c>
      <c r="G27" s="935">
        <f>'Vald  per FA SL Bigante'!DK121</f>
        <v>30</v>
      </c>
      <c r="H27" s="935">
        <f>'Vald  per FA Pioneer'!AA130</f>
        <v>25</v>
      </c>
      <c r="I27" s="935" t="e">
        <f>#REF!</f>
        <v>#REF!</v>
      </c>
      <c r="J27" s="935" t="e">
        <f t="shared" si="9"/>
        <v>#REF!</v>
      </c>
      <c r="K27" s="935" t="e">
        <f t="shared" si="10"/>
        <v>#REF!</v>
      </c>
      <c r="L27" s="935">
        <f>'Vald  per FA SL Bigante'!BY121</f>
        <v>20</v>
      </c>
      <c r="M27" s="970">
        <f>'Retrieved masterlist HYBRID'!AE122</f>
        <v>0</v>
      </c>
      <c r="N27" s="970">
        <f>'Retrieved masterlist HYBRID'!BB122</f>
        <v>-4.4408920985006262E-16</v>
      </c>
      <c r="O27" s="970">
        <f>'Vald  per FA Pioneer'!AK130</f>
        <v>0.8</v>
      </c>
      <c r="P27" s="970" t="e">
        <f>#REF!</f>
        <v>#REF!</v>
      </c>
      <c r="Q27" s="970" t="e">
        <f t="shared" si="11"/>
        <v>#REF!</v>
      </c>
      <c r="R27" s="970">
        <f>'Retrieved masterlist HYBRID'!BO122</f>
        <v>0</v>
      </c>
      <c r="S27" s="972">
        <f>'Retrieved masterlist HYBRID'!AD122</f>
        <v>0</v>
      </c>
      <c r="T27" s="972">
        <f>'Retrieved masterlist HYBRID'!BA122</f>
        <v>71</v>
      </c>
      <c r="U27" s="972">
        <f>'Vald  per FA Pioneer'!AF130</f>
        <v>50</v>
      </c>
      <c r="V27" s="972" t="e">
        <f>#REF!</f>
        <v>#REF!</v>
      </c>
      <c r="W27" s="972" t="e">
        <f t="shared" si="5"/>
        <v>#REF!</v>
      </c>
      <c r="X27" s="829"/>
      <c r="Y27" s="818"/>
      <c r="Z27" s="818"/>
      <c r="AA27" s="825"/>
      <c r="AB27" s="818"/>
      <c r="AC27" s="818"/>
      <c r="AD27" s="818">
        <f t="shared" si="7"/>
        <v>0</v>
      </c>
      <c r="AE27" s="985" t="e">
        <f t="shared" si="6"/>
        <v>#REF!</v>
      </c>
      <c r="AF27" s="997"/>
      <c r="AG27" s="974"/>
      <c r="AH27" s="360"/>
      <c r="AI27" s="360"/>
      <c r="AJ27" s="831"/>
      <c r="AK27" s="831"/>
    </row>
    <row r="28" spans="1:37" ht="15.6" x14ac:dyDescent="0.3">
      <c r="A28" s="360"/>
      <c r="B28" s="359">
        <v>7</v>
      </c>
      <c r="C28" s="360" t="s">
        <v>649</v>
      </c>
      <c r="D28" s="361">
        <v>196.26625107071476</v>
      </c>
      <c r="E28" s="361">
        <v>350.73374892928524</v>
      </c>
      <c r="F28" s="361">
        <v>547</v>
      </c>
      <c r="G28" s="935">
        <f>'Vald  per FA SL Bigante'!DK131</f>
        <v>73.666666666666657</v>
      </c>
      <c r="H28" s="935">
        <f>'Vald  per FA Pioneer'!AA140</f>
        <v>35</v>
      </c>
      <c r="I28" s="935" t="e">
        <f>#REF!</f>
        <v>#REF!</v>
      </c>
      <c r="J28" s="935" t="e">
        <f t="shared" si="9"/>
        <v>#REF!</v>
      </c>
      <c r="K28" s="935" t="e">
        <f t="shared" si="10"/>
        <v>#REF!</v>
      </c>
      <c r="L28" s="935">
        <f>'Vald  per FA SL Bigante'!BY131</f>
        <v>73</v>
      </c>
      <c r="M28" s="970">
        <f>'Retrieved masterlist HYBRID'!AE132</f>
        <v>0</v>
      </c>
      <c r="N28" s="970">
        <f>'Retrieved masterlist HYBRID'!BB132</f>
        <v>0</v>
      </c>
      <c r="O28" s="970">
        <f>'Vald  per FA Pioneer'!AK140</f>
        <v>0</v>
      </c>
      <c r="P28" s="970" t="e">
        <f>#REF!</f>
        <v>#REF!</v>
      </c>
      <c r="Q28" s="970" t="e">
        <f t="shared" si="11"/>
        <v>#REF!</v>
      </c>
      <c r="R28" s="970">
        <f>'Retrieved masterlist HYBRID'!BO132</f>
        <v>-1</v>
      </c>
      <c r="S28" s="972">
        <f>'Retrieved masterlist HYBRID'!AD132</f>
        <v>17</v>
      </c>
      <c r="T28" s="972">
        <f>'Retrieved masterlist HYBRID'!BA132</f>
        <v>69</v>
      </c>
      <c r="U28" s="972">
        <f>'Vald  per FA Pioneer'!AF140</f>
        <v>38</v>
      </c>
      <c r="V28" s="972" t="e">
        <f>#REF!</f>
        <v>#REF!</v>
      </c>
      <c r="W28" s="972" t="e">
        <f t="shared" si="5"/>
        <v>#REF!</v>
      </c>
      <c r="X28" s="829"/>
      <c r="Y28" s="818"/>
      <c r="Z28" s="818"/>
      <c r="AA28" s="825"/>
      <c r="AB28" s="818"/>
      <c r="AC28" s="818"/>
      <c r="AD28" s="818">
        <f t="shared" si="7"/>
        <v>0</v>
      </c>
      <c r="AE28" s="985" t="e">
        <f t="shared" si="6"/>
        <v>#REF!</v>
      </c>
      <c r="AF28" s="997"/>
      <c r="AG28" s="974"/>
      <c r="AH28" s="360"/>
      <c r="AI28" s="360"/>
      <c r="AJ28" s="831"/>
      <c r="AK28" s="831"/>
    </row>
    <row r="29" spans="1:37" ht="18" customHeight="1" x14ac:dyDescent="0.25">
      <c r="A29" s="360"/>
      <c r="B29" s="359">
        <v>8</v>
      </c>
      <c r="C29" s="360" t="s">
        <v>818</v>
      </c>
      <c r="D29" s="361">
        <v>0</v>
      </c>
      <c r="E29" s="361">
        <v>325</v>
      </c>
      <c r="F29" s="361">
        <v>325</v>
      </c>
      <c r="G29" s="935">
        <f>'Vald  per FA SL Bigante'!DK136</f>
        <v>60</v>
      </c>
      <c r="H29" s="935">
        <f>'Vald  per FA Pioneer'!AA147</f>
        <v>0</v>
      </c>
      <c r="I29" s="935" t="e">
        <f>#REF!</f>
        <v>#REF!</v>
      </c>
      <c r="J29" s="935" t="e">
        <f t="shared" si="9"/>
        <v>#REF!</v>
      </c>
      <c r="K29" s="935" t="e">
        <f t="shared" si="10"/>
        <v>#REF!</v>
      </c>
      <c r="L29" s="935">
        <f>'Vald  per FA SL Bigante'!BY136</f>
        <v>60</v>
      </c>
      <c r="M29" s="970">
        <f>'Retrieved masterlist HYBRID'!AE137</f>
        <v>0</v>
      </c>
      <c r="N29" s="970">
        <f>'Retrieved masterlist HYBRID'!BB137</f>
        <v>0</v>
      </c>
      <c r="O29" s="970">
        <f>'Vald  per FA Pioneer'!AK147</f>
        <v>0</v>
      </c>
      <c r="P29" s="970" t="e">
        <f>#REF!</f>
        <v>#REF!</v>
      </c>
      <c r="Q29" s="970" t="e">
        <f t="shared" si="11"/>
        <v>#REF!</v>
      </c>
      <c r="R29" s="970">
        <f>'Retrieved masterlist HYBRID'!BO137</f>
        <v>0</v>
      </c>
      <c r="S29" s="972">
        <f>'Retrieved masterlist HYBRID'!AD137</f>
        <v>60</v>
      </c>
      <c r="T29" s="972">
        <f>'Retrieved masterlist HYBRID'!BA137</f>
        <v>0</v>
      </c>
      <c r="U29" s="972">
        <f>'Vald  per FA Pioneer'!AF147</f>
        <v>0</v>
      </c>
      <c r="V29" s="972" t="e">
        <f>#REF!</f>
        <v>#REF!</v>
      </c>
      <c r="W29" s="972" t="e">
        <f t="shared" si="5"/>
        <v>#REF!</v>
      </c>
      <c r="X29" s="829"/>
      <c r="Y29" s="818"/>
      <c r="Z29" s="818"/>
      <c r="AA29" s="825"/>
      <c r="AB29" s="829"/>
      <c r="AC29" s="818"/>
      <c r="AD29" s="818">
        <f t="shared" si="7"/>
        <v>0</v>
      </c>
      <c r="AE29" s="818" t="e">
        <f t="shared" si="6"/>
        <v>#REF!</v>
      </c>
      <c r="AF29" s="974">
        <v>0</v>
      </c>
      <c r="AG29" s="974"/>
      <c r="AH29" s="360"/>
      <c r="AI29" s="360"/>
      <c r="AJ29" s="831"/>
      <c r="AK29" s="831"/>
    </row>
    <row r="30" spans="1:37" x14ac:dyDescent="0.25">
      <c r="A30" s="360"/>
      <c r="B30" s="359">
        <v>9</v>
      </c>
      <c r="C30" s="360" t="s">
        <v>630</v>
      </c>
      <c r="D30" s="361">
        <v>188.59103454839629</v>
      </c>
      <c r="E30" s="361">
        <v>530.40896545160376</v>
      </c>
      <c r="F30" s="361">
        <v>719</v>
      </c>
      <c r="G30" s="935">
        <f>'Vald  per FA SL Bigante'!DK143</f>
        <v>118</v>
      </c>
      <c r="H30" s="935">
        <f>'Vald  per FA Pioneer'!AA154</f>
        <v>0</v>
      </c>
      <c r="I30" s="935" t="e">
        <f>#REF!</f>
        <v>#REF!</v>
      </c>
      <c r="J30" s="935" t="e">
        <f t="shared" si="9"/>
        <v>#REF!</v>
      </c>
      <c r="K30" s="935" t="e">
        <f t="shared" si="10"/>
        <v>#REF!</v>
      </c>
      <c r="L30" s="935">
        <f>'Vald  per FA SL Bigante'!BY143</f>
        <v>102</v>
      </c>
      <c r="M30" s="970">
        <f>'Retrieved masterlist HYBRID'!AE144</f>
        <v>0</v>
      </c>
      <c r="N30" s="970">
        <f>'Retrieved masterlist HYBRID'!BB144</f>
        <v>0</v>
      </c>
      <c r="O30" s="970">
        <f>'Vald  per FA Pioneer'!AK154</f>
        <v>0</v>
      </c>
      <c r="P30" s="970" t="e">
        <f>#REF!</f>
        <v>#REF!</v>
      </c>
      <c r="Q30" s="970" t="e">
        <f t="shared" si="11"/>
        <v>#REF!</v>
      </c>
      <c r="R30" s="970">
        <f>'Retrieved masterlist HYBRID'!BO144</f>
        <v>0</v>
      </c>
      <c r="S30" s="972">
        <f>'Retrieved masterlist HYBRID'!AD144</f>
        <v>37</v>
      </c>
      <c r="T30" s="972">
        <f>'Retrieved masterlist HYBRID'!BA144</f>
        <v>101</v>
      </c>
      <c r="U30" s="972">
        <f>'Vald  per FA Pioneer'!AF154</f>
        <v>0</v>
      </c>
      <c r="V30" s="972" t="e">
        <f>#REF!</f>
        <v>#REF!</v>
      </c>
      <c r="W30" s="972" t="e">
        <f t="shared" si="5"/>
        <v>#REF!</v>
      </c>
      <c r="X30" s="829"/>
      <c r="Y30" s="818"/>
      <c r="Z30" s="818"/>
      <c r="AA30" s="825"/>
      <c r="AB30" s="818"/>
      <c r="AC30" s="818"/>
      <c r="AD30" s="818">
        <f t="shared" si="7"/>
        <v>0</v>
      </c>
      <c r="AE30" s="985" t="e">
        <f t="shared" si="6"/>
        <v>#REF!</v>
      </c>
      <c r="AF30" s="997"/>
      <c r="AG30" s="974"/>
      <c r="AH30" s="360"/>
      <c r="AI30" s="360"/>
      <c r="AJ30" s="831"/>
      <c r="AK30" s="831"/>
    </row>
    <row r="31" spans="1:37" x14ac:dyDescent="0.25">
      <c r="A31" s="360"/>
      <c r="B31" s="359">
        <v>10</v>
      </c>
      <c r="C31" s="360" t="s">
        <v>650</v>
      </c>
      <c r="D31" s="361">
        <v>29.056176834491293</v>
      </c>
      <c r="E31" s="361">
        <v>376.44382316550872</v>
      </c>
      <c r="F31" s="361">
        <v>405.5</v>
      </c>
      <c r="G31" s="936"/>
      <c r="H31" s="936">
        <v>0</v>
      </c>
      <c r="I31" s="936"/>
      <c r="J31" s="936">
        <f t="shared" si="9"/>
        <v>0</v>
      </c>
      <c r="K31" s="935">
        <f t="shared" si="10"/>
        <v>405.5</v>
      </c>
      <c r="L31" s="936"/>
      <c r="M31" s="970">
        <f>'Retrieved masterlist HYBRID'!AE145</f>
        <v>0</v>
      </c>
      <c r="N31" s="970">
        <f>'Retrieved masterlist HYBRID'!BB145</f>
        <v>0</v>
      </c>
      <c r="O31" s="970">
        <f>'Vald  per FA Pioneer'!AK155</f>
        <v>0</v>
      </c>
      <c r="P31" s="970" t="e">
        <f>#REF!</f>
        <v>#REF!</v>
      </c>
      <c r="Q31" s="970" t="e">
        <f t="shared" si="11"/>
        <v>#REF!</v>
      </c>
      <c r="R31" s="970">
        <f>'Retrieved masterlist HYBRID'!BO145</f>
        <v>0</v>
      </c>
      <c r="S31" s="973"/>
      <c r="T31" s="973"/>
      <c r="U31" s="973"/>
      <c r="V31" s="973"/>
      <c r="W31" s="972">
        <f t="shared" si="5"/>
        <v>0</v>
      </c>
      <c r="X31" s="829"/>
      <c r="Y31" s="818"/>
      <c r="Z31" s="818"/>
      <c r="AA31" s="825"/>
      <c r="AB31" s="818"/>
      <c r="AC31" s="818"/>
      <c r="AD31" s="818">
        <f t="shared" si="7"/>
        <v>0</v>
      </c>
      <c r="AE31" s="818">
        <f t="shared" si="6"/>
        <v>0</v>
      </c>
      <c r="AF31" s="974"/>
      <c r="AG31" s="974"/>
      <c r="AH31" s="360"/>
      <c r="AI31" s="360"/>
      <c r="AJ31" s="831"/>
      <c r="AK31" s="831"/>
    </row>
    <row r="32" spans="1:37" x14ac:dyDescent="0.25">
      <c r="A32" s="360"/>
      <c r="B32" s="359">
        <v>11</v>
      </c>
      <c r="C32" s="360" t="s">
        <v>625</v>
      </c>
      <c r="D32" s="361">
        <v>1741.1776910631008</v>
      </c>
      <c r="E32" s="361">
        <v>540.82230893689916</v>
      </c>
      <c r="F32" s="361">
        <v>2282</v>
      </c>
      <c r="G32" s="935">
        <f>'Vald  per FA SL Bigante'!DK150</f>
        <v>596</v>
      </c>
      <c r="H32" s="935">
        <f>'Vald  per FA Pioneer'!AA159</f>
        <v>215</v>
      </c>
      <c r="I32" s="935" t="e">
        <f>#REF!</f>
        <v>#REF!</v>
      </c>
      <c r="J32" s="935" t="e">
        <f t="shared" si="9"/>
        <v>#REF!</v>
      </c>
      <c r="K32" s="935" t="e">
        <f t="shared" si="10"/>
        <v>#REF!</v>
      </c>
      <c r="L32" s="935">
        <f>'Vald  per FA SL Bigante'!BY150</f>
        <v>570</v>
      </c>
      <c r="M32" s="970">
        <f>'Retrieved masterlist HYBRID'!AE151</f>
        <v>0</v>
      </c>
      <c r="N32" s="970">
        <f>'Retrieved masterlist HYBRID'!BB151</f>
        <v>-1</v>
      </c>
      <c r="O32" s="970">
        <f>'Vald  per FA Pioneer'!AK159</f>
        <v>-1.6113333333333308</v>
      </c>
      <c r="P32" s="970"/>
      <c r="Q32" s="970">
        <f t="shared" si="11"/>
        <v>-2.6113333333333308</v>
      </c>
      <c r="R32" s="970">
        <f>'Retrieved masterlist HYBRID'!BO151</f>
        <v>-1</v>
      </c>
      <c r="S32" s="972">
        <f>'Retrieved masterlist HYBRID'!AD151</f>
        <v>325</v>
      </c>
      <c r="T32" s="972">
        <f>'Retrieved masterlist HYBRID'!BA151</f>
        <v>142</v>
      </c>
      <c r="U32" s="972">
        <f>'Vald  per FA Pioneer'!AF159</f>
        <v>160</v>
      </c>
      <c r="V32" s="972" t="e">
        <f>#REF!</f>
        <v>#REF!</v>
      </c>
      <c r="W32" s="972" t="e">
        <f t="shared" si="5"/>
        <v>#REF!</v>
      </c>
      <c r="X32" s="829"/>
      <c r="Y32" s="818"/>
      <c r="Z32" s="818"/>
      <c r="AA32" s="995"/>
      <c r="AB32" s="829"/>
      <c r="AC32" s="818"/>
      <c r="AD32" s="818">
        <f t="shared" si="7"/>
        <v>0</v>
      </c>
      <c r="AE32" s="985" t="e">
        <f t="shared" si="6"/>
        <v>#REF!</v>
      </c>
      <c r="AF32" s="997"/>
      <c r="AG32" s="974"/>
      <c r="AH32" s="360"/>
      <c r="AI32" s="360"/>
      <c r="AJ32" s="831"/>
      <c r="AK32" s="831"/>
    </row>
    <row r="33" spans="1:37" ht="15.6" x14ac:dyDescent="0.3">
      <c r="A33" s="360"/>
      <c r="B33" s="359">
        <v>12</v>
      </c>
      <c r="C33" s="360" t="s">
        <v>627</v>
      </c>
      <c r="D33" s="361">
        <v>286.72416008375365</v>
      </c>
      <c r="E33" s="361">
        <v>2448.7758399162462</v>
      </c>
      <c r="F33" s="361">
        <v>2735.5</v>
      </c>
      <c r="G33" s="935">
        <f>'Vald  per FA SL Bigante'!DK164</f>
        <v>416.66666666666663</v>
      </c>
      <c r="H33" s="935">
        <f>'Vald  per FA Pioneer'!AA174</f>
        <v>50</v>
      </c>
      <c r="I33" s="935" t="e">
        <f>#REF!</f>
        <v>#REF!</v>
      </c>
      <c r="J33" s="935" t="e">
        <f t="shared" si="9"/>
        <v>#REF!</v>
      </c>
      <c r="K33" s="935" t="e">
        <f t="shared" si="10"/>
        <v>#REF!</v>
      </c>
      <c r="L33" s="935">
        <f>'Vald  per FA SL Bigante'!BY164</f>
        <v>409</v>
      </c>
      <c r="M33" s="970">
        <f>'Retrieved masterlist HYBRID'!AE165</f>
        <v>-3.3333333333338544E-3</v>
      </c>
      <c r="N33" s="970">
        <f>'Retrieved masterlist HYBRID'!BB165</f>
        <v>0</v>
      </c>
      <c r="O33" s="970">
        <f>'Vald  per FA Pioneer'!AK174</f>
        <v>-1.6653345369377348E-16</v>
      </c>
      <c r="P33" s="970" t="e">
        <f>#REF!</f>
        <v>#REF!</v>
      </c>
      <c r="Q33" s="970" t="e">
        <f t="shared" si="11"/>
        <v>#REF!</v>
      </c>
      <c r="R33" s="970">
        <f>'Retrieved masterlist HYBRID'!BO165</f>
        <v>-0.80000000000000071</v>
      </c>
      <c r="S33" s="972">
        <f>'Retrieved masterlist HYBRID'!AD165</f>
        <v>608</v>
      </c>
      <c r="T33" s="972">
        <f>'Retrieved masterlist HYBRID'!BA165</f>
        <v>127</v>
      </c>
      <c r="U33" s="972">
        <f>'Vald  per FA Pioneer'!AF174</f>
        <v>68</v>
      </c>
      <c r="V33" s="972" t="e">
        <f>#REF!</f>
        <v>#REF!</v>
      </c>
      <c r="W33" s="972" t="e">
        <f t="shared" si="5"/>
        <v>#REF!</v>
      </c>
      <c r="X33" s="1093"/>
      <c r="Y33" s="818"/>
      <c r="Z33" s="818"/>
      <c r="AA33" s="825"/>
      <c r="AB33" s="818"/>
      <c r="AC33" s="818"/>
      <c r="AD33" s="818">
        <f>SUM(X33:AB33)</f>
        <v>0</v>
      </c>
      <c r="AE33" s="985" t="e">
        <f>W33-AD33</f>
        <v>#REF!</v>
      </c>
      <c r="AF33" s="997"/>
      <c r="AG33" s="974"/>
      <c r="AH33" s="360">
        <v>83</v>
      </c>
      <c r="AI33" s="360"/>
      <c r="AJ33" s="831"/>
      <c r="AK33" s="831"/>
    </row>
    <row r="34" spans="1:37" ht="15.6" x14ac:dyDescent="0.3">
      <c r="A34" s="360"/>
      <c r="B34" s="359">
        <v>13</v>
      </c>
      <c r="C34" s="360" t="s">
        <v>628</v>
      </c>
      <c r="D34" s="361">
        <v>590.44344246692674</v>
      </c>
      <c r="E34" s="361">
        <v>3212.0565575330734</v>
      </c>
      <c r="F34" s="361">
        <v>3802.5</v>
      </c>
      <c r="G34" s="935">
        <f>'Vald  per FA SL Bigante'!DK178</f>
        <v>111</v>
      </c>
      <c r="H34" s="935">
        <f>'Vald  per FA Pioneer'!AA188</f>
        <v>99.999999999999986</v>
      </c>
      <c r="I34" s="935" t="e">
        <f>#REF!</f>
        <v>#REF!</v>
      </c>
      <c r="J34" s="935" t="e">
        <f t="shared" si="9"/>
        <v>#REF!</v>
      </c>
      <c r="K34" s="935" t="e">
        <f t="shared" si="10"/>
        <v>#REF!</v>
      </c>
      <c r="L34" s="935">
        <f>'Vald  per FA SL Bigante'!BY178</f>
        <v>101.95</v>
      </c>
      <c r="M34" s="970">
        <f>'Retrieved masterlist HYBRID'!AE179</f>
        <v>0</v>
      </c>
      <c r="N34" s="970">
        <f>'Retrieved masterlist HYBRID'!BB179</f>
        <v>0</v>
      </c>
      <c r="O34" s="970">
        <f>'Vald  per FA Pioneer'!AK188</f>
        <v>0</v>
      </c>
      <c r="P34" s="970" t="e">
        <f>#REF!</f>
        <v>#REF!</v>
      </c>
      <c r="Q34" s="970" t="e">
        <f t="shared" si="11"/>
        <v>#REF!</v>
      </c>
      <c r="R34" s="970">
        <f>'Retrieved masterlist HYBRID'!BO179</f>
        <v>-3</v>
      </c>
      <c r="S34" s="972">
        <f>'Retrieved masterlist HYBRID'!AD179</f>
        <v>234</v>
      </c>
      <c r="T34" s="972">
        <f>'Retrieved masterlist HYBRID'!BA179</f>
        <v>10</v>
      </c>
      <c r="U34" s="972">
        <f>'Vald  per FA Pioneer'!AF188</f>
        <v>142</v>
      </c>
      <c r="V34" s="972" t="e">
        <f>#REF!</f>
        <v>#REF!</v>
      </c>
      <c r="W34" s="972" t="e">
        <f t="shared" si="5"/>
        <v>#REF!</v>
      </c>
      <c r="X34" s="829"/>
      <c r="Y34" s="818"/>
      <c r="Z34" s="818"/>
      <c r="AA34" s="825"/>
      <c r="AB34" s="818"/>
      <c r="AC34" s="818"/>
      <c r="AD34" s="818">
        <f t="shared" si="7"/>
        <v>0</v>
      </c>
      <c r="AE34" s="985" t="e">
        <f t="shared" si="6"/>
        <v>#REF!</v>
      </c>
      <c r="AF34" s="997"/>
      <c r="AG34" s="974"/>
      <c r="AH34" s="360"/>
      <c r="AI34" s="360"/>
      <c r="AJ34" s="831"/>
      <c r="AK34" s="831"/>
    </row>
    <row r="35" spans="1:37" x14ac:dyDescent="0.25">
      <c r="A35" s="360"/>
      <c r="B35" s="359">
        <v>14</v>
      </c>
      <c r="C35" s="360" t="s">
        <v>624</v>
      </c>
      <c r="D35" s="361">
        <v>4536.0529646902069</v>
      </c>
      <c r="E35" s="361">
        <v>1528.9470353097931</v>
      </c>
      <c r="F35" s="361">
        <v>6065</v>
      </c>
      <c r="G35" s="935">
        <f>'Vald  per FA SL Bigante'!DK185</f>
        <v>1069</v>
      </c>
      <c r="H35" s="935">
        <f>'Vald  per FA Pioneer'!AA198</f>
        <v>233</v>
      </c>
      <c r="I35" s="935" t="e">
        <f>#REF!</f>
        <v>#REF!</v>
      </c>
      <c r="J35" s="935" t="e">
        <f t="shared" si="9"/>
        <v>#REF!</v>
      </c>
      <c r="K35" s="935" t="e">
        <f t="shared" si="10"/>
        <v>#REF!</v>
      </c>
      <c r="L35" s="935">
        <f>'Vald  per FA SL Bigante'!BY185</f>
        <v>940</v>
      </c>
      <c r="M35" s="970">
        <f>'Retrieved masterlist HYBRID'!AE185</f>
        <v>-2.2873333333333292</v>
      </c>
      <c r="N35" s="970">
        <f>'Retrieved masterlist HYBRID'!BB185</f>
        <v>0</v>
      </c>
      <c r="O35" s="970">
        <f>'Vald  per FA Pioneer'!AK198</f>
        <v>-1.8</v>
      </c>
      <c r="P35" s="970" t="e">
        <f>#REF!</f>
        <v>#REF!</v>
      </c>
      <c r="Q35" s="970" t="e">
        <f t="shared" si="11"/>
        <v>#REF!</v>
      </c>
      <c r="R35" s="970">
        <f>'Retrieved masterlist HYBRID'!BO185</f>
        <v>-5</v>
      </c>
      <c r="S35" s="972">
        <f>'Retrieved masterlist HYBRID'!AD185</f>
        <v>541</v>
      </c>
      <c r="T35" s="972">
        <f>'Retrieved masterlist HYBRID'!BA185</f>
        <v>5</v>
      </c>
      <c r="U35" s="972">
        <f>'Vald  per FA Pioneer'!AF198</f>
        <v>148</v>
      </c>
      <c r="V35" s="972" t="e">
        <f>#REF!</f>
        <v>#REF!</v>
      </c>
      <c r="W35" s="972" t="e">
        <f t="shared" si="5"/>
        <v>#REF!</v>
      </c>
      <c r="X35" s="829"/>
      <c r="Y35" s="818"/>
      <c r="Z35" s="818"/>
      <c r="AA35" s="825"/>
      <c r="AB35" s="818"/>
      <c r="AC35" s="818"/>
      <c r="AD35" s="818">
        <f t="shared" si="7"/>
        <v>0</v>
      </c>
      <c r="AE35" s="985" t="e">
        <f t="shared" si="6"/>
        <v>#REF!</v>
      </c>
      <c r="AF35" s="997"/>
      <c r="AG35" s="974"/>
      <c r="AH35" s="360"/>
      <c r="AI35" s="360"/>
      <c r="AJ35" s="831"/>
      <c r="AK35" s="831"/>
    </row>
    <row r="36" spans="1:37" s="1244" customFormat="1" x14ac:dyDescent="0.25">
      <c r="A36" s="1236" t="s">
        <v>130</v>
      </c>
      <c r="B36" s="1237"/>
      <c r="C36" s="1237">
        <v>19</v>
      </c>
      <c r="D36" s="1240">
        <v>11206.364352336535</v>
      </c>
      <c r="E36" s="1240">
        <v>8050.1356476634619</v>
      </c>
      <c r="F36" s="1240">
        <v>19256.5</v>
      </c>
      <c r="G36" s="1239">
        <f>SUM(G37:G55)</f>
        <v>6436.0000000000009</v>
      </c>
      <c r="H36" s="1239">
        <f t="shared" ref="H36:AI36" si="12">SUM(H37:H55)</f>
        <v>1519.6</v>
      </c>
      <c r="I36" s="1239" t="e">
        <f t="shared" si="12"/>
        <v>#REF!</v>
      </c>
      <c r="J36" s="1239" t="e">
        <f t="shared" si="12"/>
        <v>#REF!</v>
      </c>
      <c r="K36" s="1239" t="e">
        <f t="shared" si="12"/>
        <v>#REF!</v>
      </c>
      <c r="L36" s="1239">
        <f t="shared" si="12"/>
        <v>5967.1</v>
      </c>
      <c r="M36" s="1239">
        <f t="shared" si="12"/>
        <v>-2.0966666666670148</v>
      </c>
      <c r="N36" s="1239">
        <f t="shared" si="12"/>
        <v>-12.033333333333363</v>
      </c>
      <c r="O36" s="1239">
        <f t="shared" si="12"/>
        <v>-42.086666666666659</v>
      </c>
      <c r="P36" s="1239" t="e">
        <f t="shared" si="12"/>
        <v>#REF!</v>
      </c>
      <c r="Q36" s="1239" t="e">
        <f t="shared" si="12"/>
        <v>#REF!</v>
      </c>
      <c r="R36" s="1239">
        <f>SUM(R37:R55)</f>
        <v>-51.060200000000009</v>
      </c>
      <c r="S36" s="1239">
        <f t="shared" si="12"/>
        <v>4184</v>
      </c>
      <c r="T36" s="1239">
        <f t="shared" si="12"/>
        <v>3285</v>
      </c>
      <c r="U36" s="1239">
        <f t="shared" si="12"/>
        <v>1752</v>
      </c>
      <c r="V36" s="1239" t="e">
        <f t="shared" si="12"/>
        <v>#REF!</v>
      </c>
      <c r="W36" s="1239" t="e">
        <f t="shared" si="12"/>
        <v>#REF!</v>
      </c>
      <c r="X36" s="1240">
        <f t="shared" si="12"/>
        <v>0</v>
      </c>
      <c r="Y36" s="1240">
        <f t="shared" si="12"/>
        <v>0</v>
      </c>
      <c r="Z36" s="1240">
        <f t="shared" si="12"/>
        <v>0</v>
      </c>
      <c r="AA36" s="1240">
        <f t="shared" si="12"/>
        <v>0</v>
      </c>
      <c r="AB36" s="1240">
        <f t="shared" si="12"/>
        <v>0</v>
      </c>
      <c r="AC36" s="1240">
        <f t="shared" si="12"/>
        <v>0</v>
      </c>
      <c r="AD36" s="1240">
        <f t="shared" si="12"/>
        <v>0</v>
      </c>
      <c r="AE36" s="1240" t="e">
        <f t="shared" si="12"/>
        <v>#REF!</v>
      </c>
      <c r="AF36" s="1242"/>
      <c r="AG36" s="1242"/>
      <c r="AH36" s="1240">
        <f t="shared" si="12"/>
        <v>1042</v>
      </c>
      <c r="AI36" s="1240">
        <f t="shared" si="12"/>
        <v>56</v>
      </c>
      <c r="AJ36" s="1243"/>
      <c r="AK36" s="1243"/>
    </row>
    <row r="37" spans="1:37" x14ac:dyDescent="0.25">
      <c r="A37" s="360"/>
      <c r="B37" s="359">
        <v>1</v>
      </c>
      <c r="C37" s="360" t="s">
        <v>446</v>
      </c>
      <c r="D37" s="361">
        <v>1436.3619491767392</v>
      </c>
      <c r="E37" s="361">
        <v>764.63805082326076</v>
      </c>
      <c r="F37" s="361">
        <v>2201</v>
      </c>
      <c r="G37" s="935">
        <f>'Vald  per FA SL Bigante'!DK227</f>
        <v>468</v>
      </c>
      <c r="H37" s="935">
        <f>'Vald  per FA Pioneer'!AA248</f>
        <v>0</v>
      </c>
      <c r="I37" s="935" t="e">
        <f>#REF!</f>
        <v>#REF!</v>
      </c>
      <c r="J37" s="935" t="e">
        <f t="shared" ref="J37:J55" si="13">I37+H37+G37</f>
        <v>#REF!</v>
      </c>
      <c r="K37" s="935" t="e">
        <f t="shared" ref="K37:K55" si="14">F37-J37</f>
        <v>#REF!</v>
      </c>
      <c r="L37" s="935">
        <f>'Vald  per FA SL Bigante'!BY227</f>
        <v>468</v>
      </c>
      <c r="M37" s="970">
        <f>'Retrieved masterlist HYBRID'!AE227</f>
        <v>0</v>
      </c>
      <c r="N37" s="970">
        <f>'Retrieved masterlist HYBRID'!BB227</f>
        <v>0</v>
      </c>
      <c r="O37" s="970">
        <f>'Vald  per FA Pioneer'!AK248</f>
        <v>0</v>
      </c>
      <c r="P37" s="970" t="e">
        <f>#REF!</f>
        <v>#REF!</v>
      </c>
      <c r="Q37" s="970" t="e">
        <f t="shared" ref="Q37:Q55" si="15">M37+N37+O37+P37</f>
        <v>#REF!</v>
      </c>
      <c r="R37" s="970">
        <f>'Retrieved masterlist HYBRID'!BO227</f>
        <v>0</v>
      </c>
      <c r="S37" s="972">
        <f>'Retrieved masterlist HYBRID'!AD227</f>
        <v>310</v>
      </c>
      <c r="T37" s="972">
        <f>'Retrieved masterlist HYBRID'!BA227</f>
        <v>1</v>
      </c>
      <c r="U37" s="972">
        <f>'Vald  per FA Pioneer'!AF248</f>
        <v>0</v>
      </c>
      <c r="V37" s="972" t="e">
        <f>#REF!</f>
        <v>#REF!</v>
      </c>
      <c r="W37" s="972" t="e">
        <f t="shared" si="5"/>
        <v>#REF!</v>
      </c>
      <c r="X37" s="829"/>
      <c r="Y37" s="818"/>
      <c r="Z37" s="818"/>
      <c r="AA37" s="825"/>
      <c r="AB37" s="818"/>
      <c r="AC37" s="818"/>
      <c r="AD37" s="818">
        <f t="shared" si="7"/>
        <v>0</v>
      </c>
      <c r="AE37" s="985" t="e">
        <f t="shared" si="6"/>
        <v>#REF!</v>
      </c>
      <c r="AF37" s="997"/>
      <c r="AG37" s="974"/>
      <c r="AH37" s="360"/>
      <c r="AI37" s="360"/>
      <c r="AJ37" s="831"/>
      <c r="AK37" s="831"/>
    </row>
    <row r="38" spans="1:37" x14ac:dyDescent="0.25">
      <c r="A38" s="360"/>
      <c r="B38" s="359">
        <v>2</v>
      </c>
      <c r="C38" s="360" t="s">
        <v>651</v>
      </c>
      <c r="D38" s="361">
        <v>21.929190063767013</v>
      </c>
      <c r="E38" s="361">
        <v>61.07080993623299</v>
      </c>
      <c r="F38" s="361">
        <v>83</v>
      </c>
      <c r="G38" s="935">
        <f>'Vald  per FA SL Bigante'!DK248</f>
        <v>15</v>
      </c>
      <c r="H38" s="935">
        <f>'Vald  per FA Pioneer'!AA268</f>
        <v>15</v>
      </c>
      <c r="I38" s="935"/>
      <c r="J38" s="935">
        <f>I38+H38+G38</f>
        <v>30</v>
      </c>
      <c r="K38" s="935">
        <f t="shared" si="14"/>
        <v>53</v>
      </c>
      <c r="L38" s="935">
        <f>'Vald  per FA SL Bigante'!BY248</f>
        <v>0</v>
      </c>
      <c r="M38" s="970">
        <f>'Retrieved masterlist HYBRID'!AE248</f>
        <v>0</v>
      </c>
      <c r="N38" s="970">
        <f>'Retrieved masterlist HYBRID'!BB248</f>
        <v>0</v>
      </c>
      <c r="O38" s="970">
        <f>'Vald  per FA Pioneer'!AK268</f>
        <v>0</v>
      </c>
      <c r="P38" s="970"/>
      <c r="Q38" s="986">
        <f t="shared" si="15"/>
        <v>0</v>
      </c>
      <c r="R38" s="970">
        <f>'Retrieved masterlist HYBRID'!BO248</f>
        <v>0</v>
      </c>
      <c r="S38" s="972">
        <f>'Retrieved masterlist HYBRID'!AD248</f>
        <v>0</v>
      </c>
      <c r="T38" s="972">
        <f>'Retrieved masterlist HYBRID'!BA248</f>
        <v>30</v>
      </c>
      <c r="U38" s="972">
        <f>'Vald  per FA Pioneer'!AF268</f>
        <v>30</v>
      </c>
      <c r="V38" s="972"/>
      <c r="W38" s="972">
        <f t="shared" si="5"/>
        <v>60</v>
      </c>
      <c r="X38" s="1093"/>
      <c r="Y38" s="818"/>
      <c r="Z38" s="818"/>
      <c r="AA38" s="825"/>
      <c r="AB38" s="818"/>
      <c r="AC38" s="818"/>
      <c r="AD38" s="818">
        <f t="shared" si="7"/>
        <v>0</v>
      </c>
      <c r="AE38" s="818">
        <f t="shared" si="6"/>
        <v>60</v>
      </c>
      <c r="AF38" s="974"/>
      <c r="AG38" s="974"/>
      <c r="AH38" s="360"/>
      <c r="AI38" s="360"/>
      <c r="AJ38" s="831"/>
      <c r="AK38" s="831"/>
    </row>
    <row r="39" spans="1:37" x14ac:dyDescent="0.25">
      <c r="A39" s="360"/>
      <c r="B39" s="359">
        <v>3</v>
      </c>
      <c r="C39" s="360" t="s">
        <v>455</v>
      </c>
      <c r="D39" s="361">
        <v>165.56538498144096</v>
      </c>
      <c r="E39" s="361">
        <v>813.43461501855904</v>
      </c>
      <c r="F39" s="361">
        <v>979</v>
      </c>
      <c r="G39" s="935">
        <f>'Vald  per FA SL Bigante'!DK250</f>
        <v>254.33333333333337</v>
      </c>
      <c r="H39" s="937">
        <f>'Vald  per FA Pioneer'!AA270</f>
        <v>18</v>
      </c>
      <c r="I39" s="935" t="e">
        <f>#REF!</f>
        <v>#REF!</v>
      </c>
      <c r="J39" s="935" t="e">
        <f t="shared" si="13"/>
        <v>#REF!</v>
      </c>
      <c r="K39" s="935" t="e">
        <f t="shared" si="14"/>
        <v>#REF!</v>
      </c>
      <c r="L39" s="935">
        <f>'Vald  per FA SL Bigante'!BY250</f>
        <v>242</v>
      </c>
      <c r="M39" s="970">
        <f>'Retrieved masterlist HYBRID'!AE250</f>
        <v>3.3333333333329662E-3</v>
      </c>
      <c r="N39" s="970">
        <f>'Retrieved masterlist HYBRID'!BB250</f>
        <v>-0.66666666666666963</v>
      </c>
      <c r="O39" s="970">
        <f>'Vald  per FA Pioneer'!AK270</f>
        <v>0</v>
      </c>
      <c r="P39" s="970" t="e">
        <f>#REF!</f>
        <v>#REF!</v>
      </c>
      <c r="Q39" s="970" t="e">
        <f t="shared" si="15"/>
        <v>#REF!</v>
      </c>
      <c r="R39" s="970">
        <f>'Retrieved masterlist HYBRID'!BO250</f>
        <v>0</v>
      </c>
      <c r="S39" s="972">
        <f>'Retrieved masterlist HYBRID'!AD250</f>
        <v>100</v>
      </c>
      <c r="T39" s="972">
        <f>'Retrieved masterlist HYBRID'!BA250</f>
        <v>373</v>
      </c>
      <c r="U39" s="972">
        <f>'Vald  per FA Pioneer'!AF270</f>
        <v>57</v>
      </c>
      <c r="V39" s="972" t="e">
        <f>#REF!</f>
        <v>#REF!</v>
      </c>
      <c r="W39" s="972" t="e">
        <f t="shared" si="5"/>
        <v>#REF!</v>
      </c>
      <c r="X39" s="829"/>
      <c r="Y39" s="818"/>
      <c r="Z39" s="818"/>
      <c r="AA39" s="825"/>
      <c r="AB39" s="818"/>
      <c r="AC39" s="818"/>
      <c r="AD39" s="818">
        <f t="shared" si="7"/>
        <v>0</v>
      </c>
      <c r="AE39" s="818" t="e">
        <f t="shared" si="6"/>
        <v>#REF!</v>
      </c>
      <c r="AF39" s="974"/>
      <c r="AG39" s="974"/>
      <c r="AH39" s="360"/>
      <c r="AI39" s="360"/>
      <c r="AJ39" s="831"/>
      <c r="AK39" s="831"/>
    </row>
    <row r="40" spans="1:37" s="362" customFormat="1" x14ac:dyDescent="0.25">
      <c r="A40" s="360"/>
      <c r="B40" s="359">
        <v>4</v>
      </c>
      <c r="C40" s="360" t="s">
        <v>456</v>
      </c>
      <c r="D40" s="361">
        <v>811.92826211097361</v>
      </c>
      <c r="E40" s="361">
        <v>109.57173788902639</v>
      </c>
      <c r="F40" s="361">
        <v>921.5</v>
      </c>
      <c r="G40" s="935">
        <f>'Vald  per FA SL Bigante'!DK260</f>
        <v>368</v>
      </c>
      <c r="H40" s="935">
        <f>'Vald  per FA Pioneer'!AA280</f>
        <v>50</v>
      </c>
      <c r="I40" s="935" t="e">
        <f>#REF!</f>
        <v>#REF!</v>
      </c>
      <c r="J40" s="935" t="e">
        <f t="shared" si="13"/>
        <v>#REF!</v>
      </c>
      <c r="K40" s="935" t="e">
        <f t="shared" si="14"/>
        <v>#REF!</v>
      </c>
      <c r="L40" s="935">
        <f>'Vald  per FA SL Bigante'!BY260</f>
        <v>290</v>
      </c>
      <c r="M40" s="970">
        <f>'Retrieved masterlist HYBRID'!AE260</f>
        <v>0</v>
      </c>
      <c r="N40" s="970">
        <f>'Retrieved masterlist HYBRID'!BB260</f>
        <v>0</v>
      </c>
      <c r="O40" s="970">
        <f>'Vald  per FA Pioneer'!AK280</f>
        <v>-1.9999999999999574E-2</v>
      </c>
      <c r="P40" s="970" t="e">
        <f>#REF!</f>
        <v>#REF!</v>
      </c>
      <c r="Q40" s="970" t="e">
        <f t="shared" si="15"/>
        <v>#REF!</v>
      </c>
      <c r="R40" s="970">
        <f>'Retrieved masterlist HYBRID'!BO260</f>
        <v>-1</v>
      </c>
      <c r="S40" s="972">
        <f>'Retrieved masterlist HYBRID'!AD260</f>
        <v>103</v>
      </c>
      <c r="T40" s="972">
        <f>'Retrieved masterlist HYBRID'!BA260</f>
        <v>239</v>
      </c>
      <c r="U40" s="972">
        <f>'Vald  per FA Pioneer'!AF280</f>
        <v>52</v>
      </c>
      <c r="V40" s="972" t="e">
        <f>#REF!</f>
        <v>#REF!</v>
      </c>
      <c r="W40" s="972" t="e">
        <f t="shared" si="5"/>
        <v>#REF!</v>
      </c>
      <c r="X40" s="829"/>
      <c r="Y40" s="818"/>
      <c r="Z40" s="818"/>
      <c r="AA40" s="825"/>
      <c r="AB40" s="818"/>
      <c r="AC40" s="818"/>
      <c r="AD40" s="818">
        <f t="shared" si="7"/>
        <v>0</v>
      </c>
      <c r="AE40" s="818" t="e">
        <f>W40-AD40</f>
        <v>#REF!</v>
      </c>
      <c r="AF40" s="974"/>
      <c r="AG40" s="974"/>
      <c r="AH40" s="659">
        <v>259</v>
      </c>
      <c r="AI40" s="659"/>
      <c r="AJ40" s="831"/>
      <c r="AK40" s="831"/>
    </row>
    <row r="41" spans="1:37" s="362" customFormat="1" x14ac:dyDescent="0.25">
      <c r="A41" s="360"/>
      <c r="B41" s="359">
        <v>5</v>
      </c>
      <c r="C41" s="360" t="s">
        <v>451</v>
      </c>
      <c r="D41" s="361">
        <v>1485.7026268202151</v>
      </c>
      <c r="E41" s="361">
        <v>181.29737317978493</v>
      </c>
      <c r="F41" s="361">
        <v>1667</v>
      </c>
      <c r="G41" s="935">
        <f>'Vald  per FA SL Bigante'!DK284</f>
        <v>473.33333333333337</v>
      </c>
      <c r="H41" s="935">
        <f>'Vald  per FA Pioneer'!AA306</f>
        <v>200</v>
      </c>
      <c r="I41" s="935" t="e">
        <f>#REF!</f>
        <v>#REF!</v>
      </c>
      <c r="J41" s="935" t="e">
        <f t="shared" si="13"/>
        <v>#REF!</v>
      </c>
      <c r="K41" s="935" t="e">
        <f t="shared" si="14"/>
        <v>#REF!</v>
      </c>
      <c r="L41" s="935">
        <f>'Vald  per FA SL Bigante'!BY284</f>
        <v>472.1</v>
      </c>
      <c r="M41" s="970">
        <f>'Retrieved masterlist HYBRID'!AE284</f>
        <v>3.3333333333356308E-3</v>
      </c>
      <c r="N41" s="970">
        <f>'Retrieved masterlist HYBRID'!BB284</f>
        <v>0</v>
      </c>
      <c r="O41" s="970">
        <f>'Vald  per FA Pioneer'!AK306</f>
        <v>0</v>
      </c>
      <c r="P41" s="970" t="e">
        <f>#REF!</f>
        <v>#REF!</v>
      </c>
      <c r="Q41" s="970" t="e">
        <f t="shared" si="15"/>
        <v>#REF!</v>
      </c>
      <c r="R41" s="970">
        <f>'Retrieved masterlist HYBRID'!BO284</f>
        <v>-25.1</v>
      </c>
      <c r="S41" s="972">
        <f>'Retrieved masterlist HYBRID'!AD284</f>
        <v>778</v>
      </c>
      <c r="T41" s="972">
        <f>'Retrieved masterlist HYBRID'!BA284</f>
        <v>92</v>
      </c>
      <c r="U41" s="972">
        <f>'Vald  per FA Pioneer'!AF306</f>
        <v>441</v>
      </c>
      <c r="V41" s="972" t="e">
        <f>#REF!</f>
        <v>#REF!</v>
      </c>
      <c r="W41" s="972" t="e">
        <f>SUM(S41:V41)</f>
        <v>#REF!</v>
      </c>
      <c r="X41" s="829"/>
      <c r="Y41" s="818"/>
      <c r="Z41" s="818"/>
      <c r="AA41" s="825"/>
      <c r="AB41" s="818"/>
      <c r="AC41" s="818"/>
      <c r="AD41" s="818">
        <f t="shared" si="7"/>
        <v>0</v>
      </c>
      <c r="AE41" s="818" t="e">
        <f t="shared" si="6"/>
        <v>#REF!</v>
      </c>
      <c r="AF41" s="974"/>
      <c r="AG41" s="974"/>
      <c r="AH41" s="659">
        <f>268+203</f>
        <v>471</v>
      </c>
      <c r="AI41" s="659">
        <v>56</v>
      </c>
      <c r="AJ41" s="831"/>
      <c r="AK41" s="831"/>
    </row>
    <row r="42" spans="1:37" s="362" customFormat="1" x14ac:dyDescent="0.25">
      <c r="A42" s="360"/>
      <c r="B42" s="359">
        <v>6</v>
      </c>
      <c r="C42" s="360" t="s">
        <v>461</v>
      </c>
      <c r="D42" s="361">
        <v>803.70481583706101</v>
      </c>
      <c r="E42" s="361">
        <v>2082.2951841629392</v>
      </c>
      <c r="F42" s="361">
        <v>2886</v>
      </c>
      <c r="G42" s="935">
        <f>'Vald  per FA SL Bigante'!DK306</f>
        <v>340.66666666666669</v>
      </c>
      <c r="H42" s="935">
        <f>'Vald  per FA Pioneer'!AA328</f>
        <v>399.99999999999994</v>
      </c>
      <c r="I42" s="935" t="e">
        <f>#REF!</f>
        <v>#REF!</v>
      </c>
      <c r="J42" s="935" t="e">
        <f t="shared" si="13"/>
        <v>#REF!</v>
      </c>
      <c r="K42" s="935" t="e">
        <f t="shared" si="14"/>
        <v>#REF!</v>
      </c>
      <c r="L42" s="935">
        <f>'Vald  per FA SL Bigante'!BY306</f>
        <v>335</v>
      </c>
      <c r="M42" s="970">
        <f>'Retrieved masterlist HYBRID'!AE306</f>
        <v>0</v>
      </c>
      <c r="N42" s="970">
        <f>'Retrieved masterlist HYBRID'!BB306</f>
        <v>-0.66666666666666696</v>
      </c>
      <c r="O42" s="970">
        <f>'Vald  per FA Pioneer'!AK328</f>
        <v>-1.9666666666666677</v>
      </c>
      <c r="P42" s="970" t="e">
        <f>#REF!</f>
        <v>#REF!</v>
      </c>
      <c r="Q42" s="970" t="e">
        <f t="shared" si="15"/>
        <v>#REF!</v>
      </c>
      <c r="R42" s="970">
        <f>'Retrieved masterlist HYBRID'!BO306</f>
        <v>-7.930200000000001</v>
      </c>
      <c r="S42" s="972">
        <f>'Retrieved masterlist HYBRID'!AD306</f>
        <v>193</v>
      </c>
      <c r="T42" s="972">
        <f>'Retrieved masterlist HYBRID'!BA306</f>
        <v>211</v>
      </c>
      <c r="U42" s="972">
        <f>'Vald  per FA Pioneer'!AF328</f>
        <v>334</v>
      </c>
      <c r="V42" s="972" t="e">
        <f>#REF!</f>
        <v>#REF!</v>
      </c>
      <c r="W42" s="972" t="e">
        <f t="shared" si="5"/>
        <v>#REF!</v>
      </c>
      <c r="X42" s="829"/>
      <c r="Y42" s="818"/>
      <c r="Z42" s="818"/>
      <c r="AA42" s="995"/>
      <c r="AB42" s="818"/>
      <c r="AC42" s="818"/>
      <c r="AD42" s="818">
        <f t="shared" si="7"/>
        <v>0</v>
      </c>
      <c r="AE42" s="818" t="e">
        <f t="shared" si="6"/>
        <v>#REF!</v>
      </c>
      <c r="AF42" s="974">
        <v>264</v>
      </c>
      <c r="AG42" s="974"/>
      <c r="AH42" s="659"/>
      <c r="AI42" s="659"/>
      <c r="AJ42" s="831"/>
      <c r="AK42" s="831"/>
    </row>
    <row r="43" spans="1:37" s="362" customFormat="1" ht="21" x14ac:dyDescent="0.35">
      <c r="A43" s="360"/>
      <c r="B43" s="359">
        <v>7</v>
      </c>
      <c r="C43" s="360" t="s">
        <v>468</v>
      </c>
      <c r="D43" s="361">
        <v>200.65208908346816</v>
      </c>
      <c r="E43" s="361">
        <v>126.34791091653184</v>
      </c>
      <c r="F43" s="361">
        <v>327</v>
      </c>
      <c r="G43" s="935">
        <f>'Vald  per FA SL Bigante'!DK331</f>
        <v>271</v>
      </c>
      <c r="H43" s="935">
        <f>'Vald  per FA Pioneer'!AA357</f>
        <v>0</v>
      </c>
      <c r="I43" s="935" t="e">
        <f>#REF!</f>
        <v>#REF!</v>
      </c>
      <c r="J43" s="935" t="e">
        <f t="shared" si="13"/>
        <v>#REF!</v>
      </c>
      <c r="K43" s="938" t="e">
        <f t="shared" si="14"/>
        <v>#REF!</v>
      </c>
      <c r="L43" s="935">
        <f>'Vald  per FA SL Bigante'!BY331</f>
        <v>271</v>
      </c>
      <c r="M43" s="970">
        <f>'Retrieved masterlist HYBRID'!AE331</f>
        <v>0</v>
      </c>
      <c r="N43" s="970">
        <f>'Retrieved masterlist HYBRID'!BB331</f>
        <v>0</v>
      </c>
      <c r="O43" s="970">
        <f>'Vald  per FA Pioneer'!AK357</f>
        <v>0</v>
      </c>
      <c r="P43" s="970" t="e">
        <f>#REF!</f>
        <v>#REF!</v>
      </c>
      <c r="Q43" s="970" t="e">
        <f t="shared" si="15"/>
        <v>#REF!</v>
      </c>
      <c r="R43" s="970">
        <f>'Retrieved masterlist HYBRID'!BO331</f>
        <v>0</v>
      </c>
      <c r="S43" s="972">
        <f>'Retrieved masterlist HYBRID'!AD331</f>
        <v>115</v>
      </c>
      <c r="T43" s="972">
        <f>'Retrieved masterlist HYBRID'!BA331</f>
        <v>145</v>
      </c>
      <c r="U43" s="972">
        <f>'Vald  per FA Pioneer'!AF357</f>
        <v>0</v>
      </c>
      <c r="V43" s="972" t="e">
        <f>#REF!</f>
        <v>#REF!</v>
      </c>
      <c r="W43" s="972" t="e">
        <f t="shared" si="5"/>
        <v>#REF!</v>
      </c>
      <c r="X43" s="829"/>
      <c r="Y43" s="818"/>
      <c r="Z43" s="818"/>
      <c r="AA43" s="825"/>
      <c r="AB43" s="818"/>
      <c r="AC43" s="818"/>
      <c r="AD43" s="818">
        <f t="shared" si="7"/>
        <v>0</v>
      </c>
      <c r="AE43" s="818" t="e">
        <f t="shared" si="6"/>
        <v>#REF!</v>
      </c>
      <c r="AF43" s="997"/>
      <c r="AG43" s="974"/>
      <c r="AH43" s="659"/>
      <c r="AI43" s="659"/>
      <c r="AJ43" s="831"/>
      <c r="AK43" s="831"/>
    </row>
    <row r="44" spans="1:37" s="1003" customFormat="1" x14ac:dyDescent="0.25">
      <c r="A44" s="998"/>
      <c r="B44" s="999">
        <v>8</v>
      </c>
      <c r="C44" s="998" t="s">
        <v>453</v>
      </c>
      <c r="D44" s="361">
        <v>581.12353668982587</v>
      </c>
      <c r="E44" s="361">
        <v>198.87646331017413</v>
      </c>
      <c r="F44" s="361">
        <v>780</v>
      </c>
      <c r="G44" s="1000">
        <f>'Vald  per FA SL Bigante'!DK344</f>
        <v>103.00000000000001</v>
      </c>
      <c r="H44" s="1000">
        <f>'Vald  per FA Pioneer'!AA370</f>
        <v>0</v>
      </c>
      <c r="I44" s="1000" t="e">
        <f>#REF!</f>
        <v>#REF!</v>
      </c>
      <c r="J44" s="1000" t="e">
        <f t="shared" si="13"/>
        <v>#REF!</v>
      </c>
      <c r="K44" s="1000" t="e">
        <f t="shared" si="14"/>
        <v>#REF!</v>
      </c>
      <c r="L44" s="1000">
        <f>'Vald  per FA SL Bigante'!BY344</f>
        <v>100</v>
      </c>
      <c r="M44" s="1000">
        <f>'Retrieved masterlist HYBRID'!AE344</f>
        <v>-2.2204460492503131E-16</v>
      </c>
      <c r="N44" s="1000">
        <f>'Retrieved masterlist HYBRID'!BB344</f>
        <v>0</v>
      </c>
      <c r="O44" s="1000">
        <f>'Vald  per FA Pioneer'!AK370</f>
        <v>0</v>
      </c>
      <c r="P44" s="1000" t="e">
        <f>#REF!</f>
        <v>#REF!</v>
      </c>
      <c r="Q44" s="1000" t="e">
        <f t="shared" si="15"/>
        <v>#REF!</v>
      </c>
      <c r="R44" s="1000">
        <f>'Retrieved masterlist HYBRID'!BO344</f>
        <v>0</v>
      </c>
      <c r="S44" s="1000">
        <f>'Retrieved masterlist HYBRID'!AD344</f>
        <v>115</v>
      </c>
      <c r="T44" s="1000">
        <f>'Retrieved masterlist HYBRID'!BA344</f>
        <v>74</v>
      </c>
      <c r="U44" s="1000">
        <f>'Vald  per FA Pioneer'!AF370</f>
        <v>0</v>
      </c>
      <c r="V44" s="1000" t="e">
        <f>#REF!</f>
        <v>#REF!</v>
      </c>
      <c r="W44" s="1000" t="e">
        <f t="shared" si="5"/>
        <v>#REF!</v>
      </c>
      <c r="X44" s="829"/>
      <c r="Y44" s="829"/>
      <c r="Z44" s="829"/>
      <c r="AA44" s="995"/>
      <c r="AB44" s="829"/>
      <c r="AC44" s="829"/>
      <c r="AD44" s="829">
        <f t="shared" si="7"/>
        <v>0</v>
      </c>
      <c r="AE44" s="829" t="e">
        <f t="shared" si="6"/>
        <v>#REF!</v>
      </c>
      <c r="AF44" s="1001"/>
      <c r="AG44" s="1002"/>
      <c r="AH44" s="1000"/>
      <c r="AI44" s="1000"/>
      <c r="AJ44" s="361"/>
      <c r="AK44" s="361"/>
    </row>
    <row r="45" spans="1:37" s="362" customFormat="1" x14ac:dyDescent="0.25">
      <c r="A45" s="360"/>
      <c r="B45" s="359">
        <v>9</v>
      </c>
      <c r="C45" s="360" t="s">
        <v>652</v>
      </c>
      <c r="D45" s="361">
        <v>578.38238793185496</v>
      </c>
      <c r="E45" s="361">
        <v>113.11761206814504</v>
      </c>
      <c r="F45" s="361">
        <v>691.5</v>
      </c>
      <c r="G45" s="935">
        <f>'Vald  per FA SL Bigante'!DK362</f>
        <v>56.333333333333329</v>
      </c>
      <c r="H45" s="935">
        <f>'Vald  per FA Pioneer'!AA388</f>
        <v>0</v>
      </c>
      <c r="I45" s="935" t="e">
        <f>#REF!</f>
        <v>#REF!</v>
      </c>
      <c r="J45" s="935" t="e">
        <f t="shared" si="13"/>
        <v>#REF!</v>
      </c>
      <c r="K45" s="935" t="e">
        <f t="shared" si="14"/>
        <v>#REF!</v>
      </c>
      <c r="L45" s="935">
        <f>'Vald  per FA SL Bigante'!BY362</f>
        <v>44</v>
      </c>
      <c r="M45" s="970">
        <f>'Retrieved masterlist HYBRID'!AE362</f>
        <v>-1.7763568394002505E-15</v>
      </c>
      <c r="N45" s="970">
        <f>'Retrieved masterlist HYBRID'!BB362</f>
        <v>0</v>
      </c>
      <c r="O45" s="970">
        <f>'Vald  per FA Pioneer'!AK388</f>
        <v>0</v>
      </c>
      <c r="P45" s="970" t="e">
        <f>#REF!</f>
        <v>#REF!</v>
      </c>
      <c r="Q45" s="970" t="e">
        <f t="shared" si="15"/>
        <v>#REF!</v>
      </c>
      <c r="R45" s="970">
        <f>'Retrieved masterlist HYBRID'!BO362</f>
        <v>-7</v>
      </c>
      <c r="S45" s="972">
        <f>'Retrieved masterlist HYBRID'!AD362</f>
        <v>59</v>
      </c>
      <c r="T45" s="972">
        <f>'Retrieved masterlist HYBRID'!BA362</f>
        <v>16</v>
      </c>
      <c r="U45" s="972">
        <f>'Vald  per FA Pioneer'!AF388</f>
        <v>0</v>
      </c>
      <c r="V45" s="972" t="e">
        <f>#REF!</f>
        <v>#REF!</v>
      </c>
      <c r="W45" s="972" t="e">
        <f t="shared" si="5"/>
        <v>#REF!</v>
      </c>
      <c r="X45" s="829"/>
      <c r="Y45" s="818"/>
      <c r="Z45" s="818"/>
      <c r="AA45" s="825"/>
      <c r="AB45" s="818"/>
      <c r="AC45" s="818"/>
      <c r="AD45" s="818">
        <f t="shared" si="7"/>
        <v>0</v>
      </c>
      <c r="AE45" s="818" t="e">
        <f>W45-AD45</f>
        <v>#REF!</v>
      </c>
      <c r="AF45" s="974"/>
      <c r="AG45" s="974"/>
      <c r="AH45" s="659">
        <v>82</v>
      </c>
      <c r="AI45" s="659"/>
      <c r="AJ45" s="831"/>
      <c r="AK45" s="831"/>
    </row>
    <row r="46" spans="1:37" s="362" customFormat="1" x14ac:dyDescent="0.25">
      <c r="A46" s="360"/>
      <c r="B46" s="359">
        <v>10</v>
      </c>
      <c r="C46" s="360" t="s">
        <v>629</v>
      </c>
      <c r="D46" s="361">
        <v>329.48608070809939</v>
      </c>
      <c r="E46" s="361">
        <v>525.01391929190061</v>
      </c>
      <c r="F46" s="361">
        <v>854.5</v>
      </c>
      <c r="G46" s="935">
        <f>'Vald  per FA SL Bigante'!DK367</f>
        <v>44</v>
      </c>
      <c r="H46" s="935">
        <f>'Vald  per FA Pioneer'!AA393</f>
        <v>20</v>
      </c>
      <c r="I46" s="935" t="e">
        <f>#REF!</f>
        <v>#REF!</v>
      </c>
      <c r="J46" s="935" t="e">
        <f t="shared" si="13"/>
        <v>#REF!</v>
      </c>
      <c r="K46" s="935" t="e">
        <f t="shared" si="14"/>
        <v>#REF!</v>
      </c>
      <c r="L46" s="935">
        <f>'Vald  per FA SL Bigante'!BY367</f>
        <v>36</v>
      </c>
      <c r="M46" s="970">
        <f>'Retrieved masterlist HYBRID'!AE367</f>
        <v>0</v>
      </c>
      <c r="N46" s="970">
        <f>'Retrieved masterlist HYBRID'!BB367</f>
        <v>0</v>
      </c>
      <c r="O46" s="970">
        <f>'Vald  per FA Pioneer'!AK393</f>
        <v>-0.19999999999999929</v>
      </c>
      <c r="P46" s="970" t="e">
        <f>#REF!</f>
        <v>#REF!</v>
      </c>
      <c r="Q46" s="970" t="e">
        <f t="shared" si="15"/>
        <v>#REF!</v>
      </c>
      <c r="R46" s="970">
        <f>'Retrieved masterlist HYBRID'!BO367</f>
        <v>-1.0999999999999996</v>
      </c>
      <c r="S46" s="972">
        <f>'Retrieved masterlist HYBRID'!AD367</f>
        <v>97</v>
      </c>
      <c r="T46" s="972">
        <f>'Retrieved masterlist HYBRID'!BA367</f>
        <v>0</v>
      </c>
      <c r="U46" s="972">
        <f>'Vald  per FA Pioneer'!AF393</f>
        <v>68</v>
      </c>
      <c r="V46" s="972" t="e">
        <f>#REF!</f>
        <v>#REF!</v>
      </c>
      <c r="W46" s="972" t="e">
        <f t="shared" si="5"/>
        <v>#REF!</v>
      </c>
      <c r="X46" s="829"/>
      <c r="Y46" s="818"/>
      <c r="Z46" s="818"/>
      <c r="AA46" s="825"/>
      <c r="AB46" s="818"/>
      <c r="AC46" s="818"/>
      <c r="AD46" s="818">
        <f t="shared" si="7"/>
        <v>0</v>
      </c>
      <c r="AE46" s="985" t="e">
        <f t="shared" si="6"/>
        <v>#REF!</v>
      </c>
      <c r="AF46" s="997"/>
      <c r="AG46" s="974"/>
      <c r="AH46" s="659"/>
      <c r="AI46" s="659"/>
      <c r="AJ46" s="831"/>
      <c r="AK46" s="831"/>
    </row>
    <row r="47" spans="1:37" s="362" customFormat="1" x14ac:dyDescent="0.25">
      <c r="A47" s="360"/>
      <c r="B47" s="359">
        <v>11</v>
      </c>
      <c r="C47" s="360" t="s">
        <v>454</v>
      </c>
      <c r="D47" s="361">
        <v>393.08073189302371</v>
      </c>
      <c r="E47" s="361">
        <v>289.41926810697629</v>
      </c>
      <c r="F47" s="361">
        <v>682.5</v>
      </c>
      <c r="G47" s="935">
        <f>'Vald  per FA SL Bigante'!DK377</f>
        <v>142</v>
      </c>
      <c r="H47" s="935">
        <f>'Vald  per FA Pioneer'!AA403</f>
        <v>16</v>
      </c>
      <c r="I47" s="935" t="e">
        <f>#REF!</f>
        <v>#REF!</v>
      </c>
      <c r="J47" s="935" t="e">
        <f t="shared" si="13"/>
        <v>#REF!</v>
      </c>
      <c r="K47" s="935" t="e">
        <f t="shared" si="14"/>
        <v>#REF!</v>
      </c>
      <c r="L47" s="935">
        <f>'Vald  per FA SL Bigante'!BY377</f>
        <v>133</v>
      </c>
      <c r="M47" s="970">
        <f>'Retrieved masterlist HYBRID'!AE377</f>
        <v>0</v>
      </c>
      <c r="N47" s="970">
        <f>'Retrieved masterlist HYBRID'!BB377</f>
        <v>-1.333333333333333</v>
      </c>
      <c r="O47" s="970">
        <f>'Vald  per FA Pioneer'!AK403</f>
        <v>0.2</v>
      </c>
      <c r="P47" s="970" t="e">
        <f>#REF!</f>
        <v>#REF!</v>
      </c>
      <c r="Q47" s="970" t="e">
        <f t="shared" si="15"/>
        <v>#REF!</v>
      </c>
      <c r="R47" s="970">
        <f>'Retrieved masterlist HYBRID'!BO377</f>
        <v>-1.4999999999999982</v>
      </c>
      <c r="S47" s="972">
        <f>'Retrieved masterlist HYBRID'!AD377</f>
        <v>196</v>
      </c>
      <c r="T47" s="972">
        <f>'Retrieved masterlist HYBRID'!BA377</f>
        <v>84</v>
      </c>
      <c r="U47" s="972">
        <f>'Vald  per FA Pioneer'!AF403</f>
        <v>34</v>
      </c>
      <c r="V47" s="972" t="e">
        <f>#REF!</f>
        <v>#REF!</v>
      </c>
      <c r="W47" s="972" t="e">
        <f t="shared" si="5"/>
        <v>#REF!</v>
      </c>
      <c r="X47" s="829"/>
      <c r="Y47" s="818"/>
      <c r="Z47" s="818"/>
      <c r="AA47" s="825"/>
      <c r="AB47" s="818"/>
      <c r="AC47" s="818"/>
      <c r="AD47" s="818">
        <f t="shared" si="7"/>
        <v>0</v>
      </c>
      <c r="AE47" s="818" t="e">
        <f t="shared" si="6"/>
        <v>#REF!</v>
      </c>
      <c r="AF47" s="974"/>
      <c r="AG47" s="974"/>
      <c r="AH47" s="659">
        <v>208</v>
      </c>
      <c r="AI47" s="659"/>
      <c r="AJ47" s="831"/>
      <c r="AK47" s="831"/>
    </row>
    <row r="48" spans="1:37" s="362" customFormat="1" ht="21" x14ac:dyDescent="0.35">
      <c r="A48" s="360"/>
      <c r="B48" s="359">
        <v>12</v>
      </c>
      <c r="C48" s="360" t="s">
        <v>653</v>
      </c>
      <c r="D48" s="361">
        <v>37.279623108403925</v>
      </c>
      <c r="E48" s="361">
        <v>46.720376891596075</v>
      </c>
      <c r="F48" s="361">
        <v>84</v>
      </c>
      <c r="G48" s="935">
        <f>'Vald  per FA SL Bigante'!DK396</f>
        <v>87</v>
      </c>
      <c r="H48" s="935">
        <f>'Vald  per FA Pioneer'!AA423</f>
        <v>0</v>
      </c>
      <c r="I48" s="935" t="e">
        <f>#REF!</f>
        <v>#REF!</v>
      </c>
      <c r="J48" s="935" t="e">
        <f t="shared" si="13"/>
        <v>#REF!</v>
      </c>
      <c r="K48" s="938" t="e">
        <f t="shared" si="14"/>
        <v>#REF!</v>
      </c>
      <c r="L48" s="935">
        <f>'Vald  per FA SL Bigante'!BY396</f>
        <v>77</v>
      </c>
      <c r="M48" s="970">
        <f>'Retrieved masterlist HYBRID'!AE397</f>
        <v>0</v>
      </c>
      <c r="N48" s="970">
        <f>'Retrieved masterlist HYBRID'!BB397</f>
        <v>0</v>
      </c>
      <c r="O48" s="970">
        <f>'Vald  per FA Pioneer'!AK423</f>
        <v>0</v>
      </c>
      <c r="P48" s="970" t="e">
        <f>#REF!</f>
        <v>#REF!</v>
      </c>
      <c r="Q48" s="970" t="e">
        <f t="shared" si="15"/>
        <v>#REF!</v>
      </c>
      <c r="R48" s="970">
        <f>'Retrieved masterlist HYBRID'!BO397</f>
        <v>0</v>
      </c>
      <c r="S48" s="972">
        <f>'Retrieved masterlist HYBRID'!AD397</f>
        <v>146</v>
      </c>
      <c r="T48" s="972">
        <f>'Retrieved masterlist HYBRID'!BA397</f>
        <v>43</v>
      </c>
      <c r="U48" s="972">
        <f>'Vald  per FA Pioneer'!AF423</f>
        <v>0</v>
      </c>
      <c r="V48" s="972" t="e">
        <f>#REF!</f>
        <v>#REF!</v>
      </c>
      <c r="W48" s="972" t="e">
        <f t="shared" si="5"/>
        <v>#REF!</v>
      </c>
      <c r="X48" s="829"/>
      <c r="Y48" s="818"/>
      <c r="Z48" s="818"/>
      <c r="AA48" s="825"/>
      <c r="AB48" s="818"/>
      <c r="AC48" s="818"/>
      <c r="AD48" s="818">
        <f t="shared" si="7"/>
        <v>0</v>
      </c>
      <c r="AE48" s="985" t="e">
        <f t="shared" si="6"/>
        <v>#REF!</v>
      </c>
      <c r="AF48" s="997"/>
      <c r="AG48" s="974"/>
      <c r="AH48" s="659"/>
      <c r="AI48" s="659"/>
      <c r="AJ48" s="831"/>
      <c r="AK48" s="831"/>
    </row>
    <row r="49" spans="1:37" s="362" customFormat="1" x14ac:dyDescent="0.25">
      <c r="A49" s="360"/>
      <c r="B49" s="359">
        <v>13</v>
      </c>
      <c r="C49" s="360" t="s">
        <v>654</v>
      </c>
      <c r="D49" s="361">
        <v>66.884029694489385</v>
      </c>
      <c r="E49" s="361">
        <v>63.115970305510615</v>
      </c>
      <c r="F49" s="361">
        <v>130</v>
      </c>
      <c r="G49" s="935">
        <f>'Vald  per FA SL Bigante'!DK405</f>
        <v>0</v>
      </c>
      <c r="H49" s="935">
        <f>'Vald  per FA Pioneer'!AA432</f>
        <v>0</v>
      </c>
      <c r="I49" s="935" t="e">
        <f>#REF!</f>
        <v>#REF!</v>
      </c>
      <c r="J49" s="935" t="e">
        <f t="shared" si="13"/>
        <v>#REF!</v>
      </c>
      <c r="K49" s="935" t="e">
        <f t="shared" si="14"/>
        <v>#REF!</v>
      </c>
      <c r="L49" s="935">
        <f>'Vald  per FA SL Bigante'!BY405</f>
        <v>0</v>
      </c>
      <c r="M49" s="970">
        <f>'Retrieved masterlist HYBRID'!AE406</f>
        <v>0</v>
      </c>
      <c r="N49" s="970">
        <f>'Retrieved masterlist HYBRID'!BB406</f>
        <v>0</v>
      </c>
      <c r="O49" s="970">
        <f>'Vald  per FA Pioneer'!AK432</f>
        <v>0</v>
      </c>
      <c r="P49" s="970" t="e">
        <f>#REF!</f>
        <v>#REF!</v>
      </c>
      <c r="Q49" s="970" t="e">
        <f t="shared" si="15"/>
        <v>#REF!</v>
      </c>
      <c r="R49" s="970">
        <f>'Retrieved masterlist HYBRID'!BO406</f>
        <v>0</v>
      </c>
      <c r="S49" s="972">
        <f>'Retrieved masterlist HYBRID'!AD406</f>
        <v>0</v>
      </c>
      <c r="T49" s="972">
        <f>'Retrieved masterlist HYBRID'!BA406</f>
        <v>0</v>
      </c>
      <c r="U49" s="972">
        <f>'Vald  per FA Pioneer'!AF432</f>
        <v>0</v>
      </c>
      <c r="V49" s="972" t="e">
        <f>#REF!</f>
        <v>#REF!</v>
      </c>
      <c r="W49" s="972" t="e">
        <f t="shared" si="5"/>
        <v>#REF!</v>
      </c>
      <c r="X49" s="829"/>
      <c r="Y49" s="818"/>
      <c r="Z49" s="818"/>
      <c r="AA49" s="825"/>
      <c r="AB49" s="818"/>
      <c r="AC49" s="818"/>
      <c r="AD49" s="818">
        <f t="shared" si="7"/>
        <v>0</v>
      </c>
      <c r="AE49" s="818" t="e">
        <f t="shared" si="6"/>
        <v>#REF!</v>
      </c>
      <c r="AF49" s="974"/>
      <c r="AG49" s="974"/>
      <c r="AH49" s="659"/>
      <c r="AI49" s="659"/>
      <c r="AJ49" s="831"/>
      <c r="AK49" s="831"/>
    </row>
    <row r="50" spans="1:37" s="362" customFormat="1" x14ac:dyDescent="0.25">
      <c r="A50" s="360"/>
      <c r="B50" s="359">
        <v>14</v>
      </c>
      <c r="C50" s="360" t="s">
        <v>633</v>
      </c>
      <c r="D50" s="361">
        <v>131.57514038260206</v>
      </c>
      <c r="E50" s="361">
        <v>293.42485961739794</v>
      </c>
      <c r="F50" s="361">
        <v>425</v>
      </c>
      <c r="G50" s="935">
        <f>'Vald  per FA SL Bigante'!DK407</f>
        <v>45.666666666666671</v>
      </c>
      <c r="H50" s="935">
        <f>'Vald  per FA Pioneer'!AA434</f>
        <v>0</v>
      </c>
      <c r="I50" s="935" t="e">
        <f>#REF!</f>
        <v>#REF!</v>
      </c>
      <c r="J50" s="935" t="e">
        <f t="shared" si="13"/>
        <v>#REF!</v>
      </c>
      <c r="K50" s="935" t="e">
        <f t="shared" si="14"/>
        <v>#REF!</v>
      </c>
      <c r="L50" s="935">
        <f>'Vald  per FA SL Bigante'!BY407</f>
        <v>43</v>
      </c>
      <c r="M50" s="970">
        <f>'Retrieved masterlist HYBRID'!AE408</f>
        <v>0</v>
      </c>
      <c r="N50" s="970">
        <f>'Retrieved masterlist HYBRID'!BB408</f>
        <v>0</v>
      </c>
      <c r="O50" s="970">
        <f>'Vald  per FA Pioneer'!AK434</f>
        <v>0</v>
      </c>
      <c r="P50" s="970" t="e">
        <f>#REF!</f>
        <v>#REF!</v>
      </c>
      <c r="Q50" s="970" t="e">
        <f t="shared" si="15"/>
        <v>#REF!</v>
      </c>
      <c r="R50" s="970">
        <f>'Retrieved masterlist HYBRID'!BO408</f>
        <v>0</v>
      </c>
      <c r="S50" s="972">
        <f>'Retrieved masterlist HYBRID'!AD408</f>
        <v>50</v>
      </c>
      <c r="T50" s="972">
        <f>'Retrieved masterlist HYBRID'!BA408</f>
        <v>47</v>
      </c>
      <c r="U50" s="972">
        <f>'Vald  per FA Pioneer'!AF434</f>
        <v>0</v>
      </c>
      <c r="V50" s="972" t="e">
        <f>#REF!</f>
        <v>#REF!</v>
      </c>
      <c r="W50" s="972" t="e">
        <f t="shared" si="5"/>
        <v>#REF!</v>
      </c>
      <c r="X50" s="829"/>
      <c r="Y50" s="818"/>
      <c r="Z50" s="818"/>
      <c r="AA50" s="825"/>
      <c r="AB50" s="818"/>
      <c r="AC50" s="818"/>
      <c r="AD50" s="818">
        <f t="shared" si="7"/>
        <v>0</v>
      </c>
      <c r="AE50" s="985" t="e">
        <f t="shared" si="6"/>
        <v>#REF!</v>
      </c>
      <c r="AF50" s="997"/>
      <c r="AG50" s="974"/>
      <c r="AH50" s="659">
        <v>22</v>
      </c>
      <c r="AI50" s="659"/>
      <c r="AJ50" s="831"/>
      <c r="AK50" s="831"/>
    </row>
    <row r="51" spans="1:37" s="362" customFormat="1" x14ac:dyDescent="0.25">
      <c r="A51" s="360"/>
      <c r="B51" s="359">
        <v>15</v>
      </c>
      <c r="C51" s="360" t="s">
        <v>452</v>
      </c>
      <c r="D51" s="361">
        <v>124.4481536118778</v>
      </c>
      <c r="E51" s="361">
        <v>1011.0518463881222</v>
      </c>
      <c r="F51" s="361">
        <v>1135.5</v>
      </c>
      <c r="G51" s="935">
        <f>'Vald  per FA SL Bigante'!DK412</f>
        <v>601.33333333333337</v>
      </c>
      <c r="H51" s="935">
        <f>'Vald  per FA Pioneer'!AA439</f>
        <v>0</v>
      </c>
      <c r="I51" s="935" t="e">
        <f>#REF!</f>
        <v>#REF!</v>
      </c>
      <c r="J51" s="935" t="e">
        <f t="shared" si="13"/>
        <v>#REF!</v>
      </c>
      <c r="K51" s="935" t="e">
        <f t="shared" si="14"/>
        <v>#REF!</v>
      </c>
      <c r="L51" s="935">
        <f>'Vald  per FA SL Bigante'!BY412</f>
        <v>404</v>
      </c>
      <c r="M51" s="970">
        <f>'Retrieved masterlist HYBRID'!AE413</f>
        <v>0</v>
      </c>
      <c r="N51" s="970">
        <f>'Retrieved masterlist HYBRID'!BB413</f>
        <v>0</v>
      </c>
      <c r="O51" s="970">
        <f>'Vald  per FA Pioneer'!AK439</f>
        <v>0</v>
      </c>
      <c r="P51" s="970" t="e">
        <f>#REF!</f>
        <v>#REF!</v>
      </c>
      <c r="Q51" s="970" t="e">
        <f t="shared" si="15"/>
        <v>#REF!</v>
      </c>
      <c r="R51" s="970">
        <f>'Retrieved masterlist HYBRID'!BO413</f>
        <v>-2</v>
      </c>
      <c r="S51" s="972">
        <f>'Retrieved masterlist HYBRID'!AD413</f>
        <v>369</v>
      </c>
      <c r="T51" s="972">
        <f>'Retrieved masterlist HYBRID'!BA413</f>
        <v>447</v>
      </c>
      <c r="U51" s="972">
        <f>'Vald  per FA Pioneer'!AF439</f>
        <v>0</v>
      </c>
      <c r="V51" s="972" t="e">
        <f>#REF!</f>
        <v>#REF!</v>
      </c>
      <c r="W51" s="972" t="e">
        <f t="shared" si="5"/>
        <v>#REF!</v>
      </c>
      <c r="X51" s="829"/>
      <c r="Y51" s="818"/>
      <c r="Z51" s="818"/>
      <c r="AA51" s="825"/>
      <c r="AB51" s="818"/>
      <c r="AC51" s="818"/>
      <c r="AD51" s="818">
        <f t="shared" si="7"/>
        <v>0</v>
      </c>
      <c r="AE51" s="985" t="e">
        <f t="shared" si="6"/>
        <v>#REF!</v>
      </c>
      <c r="AF51" s="997"/>
      <c r="AG51" s="974"/>
      <c r="AH51" s="659"/>
      <c r="AI51" s="659"/>
      <c r="AJ51" s="831"/>
      <c r="AK51" s="831"/>
    </row>
    <row r="52" spans="1:37" s="362" customFormat="1" x14ac:dyDescent="0.25">
      <c r="A52" s="360"/>
      <c r="B52" s="359">
        <v>16</v>
      </c>
      <c r="C52" s="360" t="s">
        <v>363</v>
      </c>
      <c r="D52" s="361">
        <v>2680.8434852955174</v>
      </c>
      <c r="E52" s="361">
        <v>174.15651470448256</v>
      </c>
      <c r="F52" s="361">
        <v>2855</v>
      </c>
      <c r="G52" s="935">
        <f>'Vald  per FA SL Bigante'!DK437</f>
        <v>2061</v>
      </c>
      <c r="H52" s="937">
        <f>'Vald  per FA Pioneer'!AA462</f>
        <v>440</v>
      </c>
      <c r="I52" s="935" t="e">
        <f>#REF!</f>
        <v>#REF!</v>
      </c>
      <c r="J52" s="935" t="e">
        <f t="shared" si="13"/>
        <v>#REF!</v>
      </c>
      <c r="K52" s="935" t="e">
        <f t="shared" si="14"/>
        <v>#REF!</v>
      </c>
      <c r="L52" s="935">
        <f>'Vald  per FA SL Bigante'!BY437</f>
        <v>2038</v>
      </c>
      <c r="M52" s="970">
        <f>'Retrieved masterlist HYBRID'!AE437</f>
        <v>-1.3333333333336839</v>
      </c>
      <c r="N52" s="970">
        <f>'Retrieved masterlist HYBRID'!BB437</f>
        <v>-7.3333333333333286</v>
      </c>
      <c r="O52" s="970">
        <f>'Vald  per FA Pioneer'!AK462</f>
        <v>0</v>
      </c>
      <c r="P52" s="970" t="e">
        <f>#REF!</f>
        <v>#REF!</v>
      </c>
      <c r="Q52" s="970" t="e">
        <f t="shared" si="15"/>
        <v>#REF!</v>
      </c>
      <c r="R52" s="970">
        <f>'Retrieved masterlist HYBRID'!BO437</f>
        <v>0</v>
      </c>
      <c r="S52" s="972">
        <f>'Retrieved masterlist HYBRID'!AD437</f>
        <v>770</v>
      </c>
      <c r="T52" s="972">
        <f>'Retrieved masterlist HYBRID'!BA437</f>
        <v>407</v>
      </c>
      <c r="U52" s="972">
        <f>'Vald  per FA Pioneer'!AF462</f>
        <v>203</v>
      </c>
      <c r="V52" s="972" t="e">
        <f>#REF!</f>
        <v>#REF!</v>
      </c>
      <c r="W52" s="972" t="e">
        <f t="shared" si="5"/>
        <v>#REF!</v>
      </c>
      <c r="X52" s="829"/>
      <c r="Y52" s="818"/>
      <c r="Z52" s="818"/>
      <c r="AA52" s="825"/>
      <c r="AB52" s="818"/>
      <c r="AC52" s="818"/>
      <c r="AD52" s="818">
        <f t="shared" si="7"/>
        <v>0</v>
      </c>
      <c r="AE52" s="818" t="e">
        <f t="shared" si="6"/>
        <v>#REF!</v>
      </c>
      <c r="AF52" s="997"/>
      <c r="AG52" s="974"/>
      <c r="AH52" s="659"/>
      <c r="AI52" s="659"/>
      <c r="AJ52" s="831"/>
      <c r="AK52" s="831"/>
    </row>
    <row r="53" spans="1:37" s="362" customFormat="1" x14ac:dyDescent="0.25">
      <c r="A53" s="360"/>
      <c r="B53" s="359">
        <v>17</v>
      </c>
      <c r="C53" s="360" t="s">
        <v>631</v>
      </c>
      <c r="D53" s="361">
        <v>21.929190063767013</v>
      </c>
      <c r="E53" s="361">
        <v>536.07080993623299</v>
      </c>
      <c r="F53" s="361">
        <v>558</v>
      </c>
      <c r="G53" s="935">
        <f>'Vald  per FA SL Bigante'!DK466</f>
        <v>37</v>
      </c>
      <c r="H53" s="935">
        <f>'Vald  per FA Pioneer'!AA492</f>
        <v>6.9999999999999991</v>
      </c>
      <c r="I53" s="935" t="e">
        <f>#REF!</f>
        <v>#REF!</v>
      </c>
      <c r="J53" s="935" t="e">
        <f t="shared" si="13"/>
        <v>#REF!</v>
      </c>
      <c r="K53" s="935" t="e">
        <f t="shared" si="14"/>
        <v>#REF!</v>
      </c>
      <c r="L53" s="935">
        <f>'Vald  per FA SL Bigante'!BY466</f>
        <v>31</v>
      </c>
      <c r="M53" s="970">
        <f>'Retrieved masterlist HYBRID'!AE466</f>
        <v>0</v>
      </c>
      <c r="N53" s="970">
        <f>'Retrieved masterlist HYBRID'!BB466</f>
        <v>-0.66666666666666663</v>
      </c>
      <c r="O53" s="970">
        <f>'Vald  per FA Pioneer'!AK492</f>
        <v>2</v>
      </c>
      <c r="P53" s="970" t="e">
        <f>#REF!</f>
        <v>#REF!</v>
      </c>
      <c r="Q53" s="970" t="e">
        <f t="shared" si="15"/>
        <v>#REF!</v>
      </c>
      <c r="R53" s="970">
        <f>'Retrieved masterlist HYBRID'!BO466</f>
        <v>0</v>
      </c>
      <c r="S53" s="972">
        <f>'Retrieved masterlist HYBRID'!AD466</f>
        <v>25</v>
      </c>
      <c r="T53" s="972">
        <f>'Retrieved masterlist HYBRID'!BA466</f>
        <v>15</v>
      </c>
      <c r="U53" s="972">
        <f>'Vald  per FA Pioneer'!AF492</f>
        <v>19</v>
      </c>
      <c r="V53" s="972" t="e">
        <f>#REF!</f>
        <v>#REF!</v>
      </c>
      <c r="W53" s="972" t="e">
        <f t="shared" si="5"/>
        <v>#REF!</v>
      </c>
      <c r="X53" s="829"/>
      <c r="Y53" s="818"/>
      <c r="Z53" s="818"/>
      <c r="AA53" s="825"/>
      <c r="AB53" s="818"/>
      <c r="AC53" s="818"/>
      <c r="AD53" s="818">
        <f t="shared" si="7"/>
        <v>0</v>
      </c>
      <c r="AE53" s="818" t="e">
        <f t="shared" si="6"/>
        <v>#REF!</v>
      </c>
      <c r="AF53" s="974"/>
      <c r="AG53" s="974"/>
      <c r="AH53" s="659"/>
      <c r="AI53" s="659"/>
      <c r="AJ53" s="831"/>
      <c r="AK53" s="831"/>
    </row>
    <row r="54" spans="1:37" s="362" customFormat="1" x14ac:dyDescent="0.25">
      <c r="A54" s="360"/>
      <c r="B54" s="359">
        <v>18</v>
      </c>
      <c r="C54" s="360" t="s">
        <v>655</v>
      </c>
      <c r="D54" s="361">
        <v>840.98443894546494</v>
      </c>
      <c r="E54" s="361">
        <v>358.01556105453506</v>
      </c>
      <c r="F54" s="361">
        <v>1199</v>
      </c>
      <c r="G54" s="935">
        <f>'Vald  per FA SL Bigante'!DK470</f>
        <v>950.00000000000011</v>
      </c>
      <c r="H54" s="937">
        <f>'Vald  per FA Pioneer'!AA497</f>
        <v>343.59999999999997</v>
      </c>
      <c r="I54" s="935"/>
      <c r="J54" s="935">
        <f t="shared" si="13"/>
        <v>1293.6000000000001</v>
      </c>
      <c r="K54" s="935">
        <f t="shared" si="14"/>
        <v>-94.600000000000136</v>
      </c>
      <c r="L54" s="935">
        <f>'Vald  per FA SL Bigante'!BY470</f>
        <v>866</v>
      </c>
      <c r="M54" s="970">
        <f>'Retrieved masterlist HYBRID'!AE470</f>
        <v>-0.7699999999999978</v>
      </c>
      <c r="N54" s="970">
        <f>'Retrieved masterlist HYBRID'!BB470</f>
        <v>-1.3666666666667</v>
      </c>
      <c r="O54" s="970">
        <f>'Vald  per FA Pioneer'!AK497</f>
        <v>-42.3</v>
      </c>
      <c r="P54" s="970" t="e">
        <f>#REF!</f>
        <v>#REF!</v>
      </c>
      <c r="Q54" s="970" t="e">
        <f t="shared" si="15"/>
        <v>#REF!</v>
      </c>
      <c r="R54" s="970">
        <f>'Retrieved masterlist HYBRID'!BO470</f>
        <v>-2.8700000000000028</v>
      </c>
      <c r="S54" s="972">
        <f>'Retrieved masterlist HYBRID'!AD470</f>
        <v>548</v>
      </c>
      <c r="T54" s="972">
        <f>'Retrieved masterlist HYBRID'!BA470</f>
        <v>975</v>
      </c>
      <c r="U54" s="972">
        <f>'Vald  per FA Pioneer'!AF497</f>
        <v>475</v>
      </c>
      <c r="V54" s="972"/>
      <c r="W54" s="972">
        <f t="shared" si="5"/>
        <v>1998</v>
      </c>
      <c r="X54" s="829"/>
      <c r="Y54" s="818"/>
      <c r="Z54" s="818"/>
      <c r="AA54" s="825"/>
      <c r="AB54" s="818"/>
      <c r="AC54" s="818"/>
      <c r="AD54" s="818">
        <f t="shared" si="7"/>
        <v>0</v>
      </c>
      <c r="AE54" s="985">
        <f>W54-AD54</f>
        <v>1998</v>
      </c>
      <c r="AF54" s="997"/>
      <c r="AG54" s="974"/>
      <c r="AH54" s="659"/>
      <c r="AI54" s="659"/>
      <c r="AJ54" s="831"/>
      <c r="AK54" s="831"/>
    </row>
    <row r="55" spans="1:37" s="362" customFormat="1" x14ac:dyDescent="0.25">
      <c r="A55" s="360"/>
      <c r="B55" s="359">
        <v>19</v>
      </c>
      <c r="C55" s="360" t="s">
        <v>656</v>
      </c>
      <c r="D55" s="361">
        <v>494.50323593794616</v>
      </c>
      <c r="E55" s="361">
        <v>302.49676406205384</v>
      </c>
      <c r="F55" s="361">
        <v>797</v>
      </c>
      <c r="G55" s="935">
        <f>'Vald  per FA SL Bigante'!DK504</f>
        <v>118.33333333333334</v>
      </c>
      <c r="H55" s="935">
        <f>'Vald  per FA Pioneer'!AA534</f>
        <v>10</v>
      </c>
      <c r="I55" s="935" t="e">
        <f>#REF!</f>
        <v>#REF!</v>
      </c>
      <c r="J55" s="935" t="e">
        <f t="shared" si="13"/>
        <v>#REF!</v>
      </c>
      <c r="K55" s="935" t="e">
        <f t="shared" si="14"/>
        <v>#REF!</v>
      </c>
      <c r="L55" s="935">
        <f>'Vald  per FA SL Bigante'!BY504</f>
        <v>117</v>
      </c>
      <c r="M55" s="970">
        <f>'Retrieved masterlist HYBRID'!AE504</f>
        <v>0</v>
      </c>
      <c r="N55" s="970">
        <f>'Retrieved masterlist HYBRID'!BB504</f>
        <v>0</v>
      </c>
      <c r="O55" s="970">
        <f>'Vald  per FA Pioneer'!AK534</f>
        <v>0.20000000000000018</v>
      </c>
      <c r="P55" s="970" t="e">
        <f>#REF!</f>
        <v>#REF!</v>
      </c>
      <c r="Q55" s="986" t="e">
        <f t="shared" si="15"/>
        <v>#REF!</v>
      </c>
      <c r="R55" s="970">
        <f>'Retrieved masterlist HYBRID'!BO504</f>
        <v>-2.5599999999999996</v>
      </c>
      <c r="S55" s="972">
        <f>'Retrieved masterlist HYBRID'!AD504</f>
        <v>210</v>
      </c>
      <c r="T55" s="972">
        <f>'Retrieved masterlist HYBRID'!BA504</f>
        <v>86</v>
      </c>
      <c r="U55" s="972">
        <f>'Vald  per FA Pioneer'!AF534</f>
        <v>39</v>
      </c>
      <c r="V55" s="972" t="e">
        <f>#REF!</f>
        <v>#REF!</v>
      </c>
      <c r="W55" s="972" t="e">
        <f t="shared" si="5"/>
        <v>#REF!</v>
      </c>
      <c r="X55" s="829"/>
      <c r="Y55" s="818"/>
      <c r="Z55" s="818"/>
      <c r="AA55" s="825"/>
      <c r="AB55" s="818"/>
      <c r="AC55" s="818"/>
      <c r="AD55" s="818">
        <f t="shared" si="7"/>
        <v>0</v>
      </c>
      <c r="AE55" s="818" t="e">
        <f t="shared" si="6"/>
        <v>#REF!</v>
      </c>
      <c r="AF55" s="997"/>
      <c r="AG55" s="974"/>
      <c r="AH55" s="659"/>
      <c r="AI55" s="659"/>
      <c r="AJ55" s="831"/>
      <c r="AK55" s="831"/>
    </row>
    <row r="56" spans="1:37" s="363" customFormat="1" ht="14.45" hidden="1" customHeight="1" x14ac:dyDescent="0.25">
      <c r="D56" s="364"/>
      <c r="E56" s="364"/>
      <c r="F56" s="364"/>
      <c r="K56" s="587"/>
      <c r="M56" s="367"/>
      <c r="N56" s="367"/>
      <c r="O56" s="367"/>
      <c r="P56" s="367"/>
      <c r="Q56" s="367"/>
      <c r="R56" s="367"/>
      <c r="S56" s="367"/>
      <c r="T56" s="367"/>
      <c r="U56" s="367"/>
      <c r="V56" s="367"/>
      <c r="W56" s="367"/>
      <c r="X56" s="364"/>
      <c r="Y56" s="773"/>
      <c r="Z56" s="773"/>
      <c r="AA56" s="826"/>
      <c r="AB56" s="773"/>
      <c r="AC56" s="773"/>
    </row>
    <row r="57" spans="1:37" s="363" customFormat="1" ht="14.45" hidden="1" customHeight="1" x14ac:dyDescent="0.25">
      <c r="D57" s="364"/>
      <c r="E57" s="364"/>
      <c r="F57" s="364"/>
      <c r="K57" s="587"/>
      <c r="M57" s="367"/>
      <c r="N57" s="367"/>
      <c r="O57" s="367"/>
      <c r="P57" s="367"/>
      <c r="Q57" s="367"/>
      <c r="R57" s="367"/>
      <c r="S57" s="367"/>
      <c r="T57" s="367"/>
      <c r="U57" s="367"/>
      <c r="V57" s="367"/>
      <c r="W57" s="367"/>
      <c r="X57" s="364"/>
      <c r="Y57" s="773"/>
      <c r="Z57" s="773"/>
      <c r="AA57" s="826"/>
      <c r="AB57" s="773"/>
      <c r="AC57" s="773"/>
    </row>
    <row r="58" spans="1:37" s="355" customFormat="1" hidden="1" x14ac:dyDescent="0.25">
      <c r="A58" s="1438" t="s">
        <v>890</v>
      </c>
      <c r="B58" s="1438"/>
      <c r="C58" s="1438"/>
      <c r="D58" s="1438"/>
      <c r="E58" s="1438"/>
      <c r="F58" s="1438"/>
      <c r="G58" s="1438"/>
      <c r="H58" s="1438"/>
      <c r="I58" s="1438"/>
      <c r="K58" s="586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991"/>
      <c r="Y58" s="770"/>
      <c r="Z58" s="770"/>
      <c r="AA58" s="823"/>
      <c r="AB58" s="770"/>
      <c r="AC58" s="770"/>
    </row>
    <row r="59" spans="1:37" s="355" customFormat="1" ht="28.5" hidden="1" x14ac:dyDescent="0.25">
      <c r="A59" s="1437" t="s">
        <v>887</v>
      </c>
      <c r="B59" s="1437"/>
      <c r="C59" s="1437"/>
      <c r="D59" s="1182"/>
      <c r="E59" s="1182"/>
      <c r="F59" s="1182"/>
      <c r="G59" s="1183" t="s">
        <v>889</v>
      </c>
      <c r="H59" s="1184" t="s">
        <v>273</v>
      </c>
      <c r="I59" s="1184" t="s">
        <v>888</v>
      </c>
      <c r="K59" s="586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  <c r="X59" s="991"/>
      <c r="Y59" s="770"/>
      <c r="Z59" s="770"/>
      <c r="AA59" s="823"/>
      <c r="AB59" s="770"/>
      <c r="AC59" s="770"/>
      <c r="AD59" s="586"/>
      <c r="AE59" s="586"/>
      <c r="AF59" s="586"/>
      <c r="AG59" s="586"/>
    </row>
    <row r="60" spans="1:37" s="355" customFormat="1" ht="21.75" hidden="1" customHeight="1" x14ac:dyDescent="0.25">
      <c r="A60" s="1436" t="s">
        <v>879</v>
      </c>
      <c r="B60" s="1436"/>
      <c r="C60" s="1436"/>
      <c r="D60" s="1185"/>
      <c r="E60" s="1185"/>
      <c r="F60" s="1185"/>
      <c r="G60" s="1186">
        <v>5500</v>
      </c>
      <c r="H60" s="1186" t="s">
        <v>884</v>
      </c>
      <c r="I60" s="1186"/>
      <c r="K60" s="586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991"/>
      <c r="Y60" s="770"/>
      <c r="Z60" s="770"/>
      <c r="AA60" s="823"/>
      <c r="AB60" s="770"/>
      <c r="AC60" s="770"/>
    </row>
    <row r="61" spans="1:37" s="358" customFormat="1" ht="63" hidden="1" x14ac:dyDescent="0.25">
      <c r="A61" s="1436" t="s">
        <v>880</v>
      </c>
      <c r="B61" s="1436"/>
      <c r="C61" s="1436"/>
      <c r="D61" s="1185"/>
      <c r="E61" s="1185"/>
      <c r="F61" s="1185"/>
      <c r="G61" s="1186">
        <v>718</v>
      </c>
      <c r="H61" s="1186" t="s">
        <v>884</v>
      </c>
      <c r="I61" s="1187" t="s">
        <v>886</v>
      </c>
      <c r="K61" s="1178"/>
      <c r="M61" s="1176"/>
      <c r="N61" s="1176"/>
      <c r="O61" s="1176"/>
      <c r="P61" s="1176"/>
      <c r="Q61" s="1176"/>
      <c r="R61" s="1176"/>
      <c r="S61" s="1176"/>
      <c r="T61" s="1176"/>
      <c r="U61" s="1176"/>
      <c r="V61" s="1176"/>
      <c r="W61" s="1176"/>
      <c r="X61" s="1179"/>
      <c r="Y61" s="1180"/>
      <c r="Z61" s="1180"/>
      <c r="AA61" s="1181"/>
      <c r="AB61" s="1180"/>
      <c r="AC61" s="1180"/>
      <c r="AD61" s="1177"/>
      <c r="AE61" s="1177"/>
      <c r="AF61" s="1177"/>
      <c r="AG61" s="1177"/>
    </row>
    <row r="62" spans="1:37" s="355" customFormat="1" ht="47.25" hidden="1" x14ac:dyDescent="0.25">
      <c r="A62" s="1436" t="s">
        <v>881</v>
      </c>
      <c r="B62" s="1436"/>
      <c r="C62" s="1436"/>
      <c r="D62" s="1188"/>
      <c r="E62" s="1188"/>
      <c r="F62" s="1188"/>
      <c r="G62" s="1186">
        <v>375</v>
      </c>
      <c r="H62" s="1187" t="s">
        <v>885</v>
      </c>
      <c r="I62" s="1186"/>
      <c r="K62" s="586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991"/>
      <c r="Y62" s="770"/>
      <c r="Z62" s="770"/>
      <c r="AA62" s="823"/>
      <c r="AB62" s="770"/>
      <c r="AC62" s="770"/>
    </row>
    <row r="63" spans="1:37" s="366" customFormat="1" ht="21.75" hidden="1" customHeight="1" x14ac:dyDescent="0.25">
      <c r="A63" s="1436" t="s">
        <v>882</v>
      </c>
      <c r="B63" s="1436"/>
      <c r="C63" s="1436"/>
      <c r="D63" s="1188"/>
      <c r="E63" s="1188"/>
      <c r="F63" s="1188"/>
      <c r="G63" s="1186">
        <v>3300</v>
      </c>
      <c r="H63" s="1186" t="s">
        <v>884</v>
      </c>
      <c r="I63" s="1188"/>
      <c r="K63" s="588"/>
      <c r="M63" s="958"/>
      <c r="N63" s="958"/>
      <c r="O63" s="958"/>
      <c r="P63" s="958"/>
      <c r="Q63" s="958"/>
      <c r="R63" s="958"/>
      <c r="S63" s="958"/>
      <c r="T63" s="958"/>
      <c r="U63" s="958"/>
      <c r="V63" s="958"/>
      <c r="W63" s="958"/>
      <c r="X63" s="993"/>
      <c r="Y63" s="774"/>
      <c r="Z63" s="774"/>
      <c r="AA63" s="827"/>
      <c r="AB63" s="774"/>
      <c r="AC63" s="774"/>
      <c r="AD63" s="821"/>
      <c r="AE63" s="821"/>
      <c r="AF63" s="821"/>
      <c r="AG63" s="821"/>
    </row>
    <row r="64" spans="1:37" s="366" customFormat="1" ht="50.25" hidden="1" customHeight="1" x14ac:dyDescent="0.25">
      <c r="A64" s="1436" t="s">
        <v>883</v>
      </c>
      <c r="B64" s="1436"/>
      <c r="C64" s="1436"/>
      <c r="D64" s="1188"/>
      <c r="E64" s="1188"/>
      <c r="F64" s="1188"/>
      <c r="G64" s="1186">
        <v>825</v>
      </c>
      <c r="H64" s="1187" t="s">
        <v>892</v>
      </c>
      <c r="I64" s="1188"/>
      <c r="K64" s="588"/>
      <c r="M64" s="958"/>
      <c r="N64" s="958"/>
      <c r="O64" s="958"/>
      <c r="P64" s="958"/>
      <c r="Q64" s="958"/>
      <c r="R64" s="958"/>
      <c r="S64" s="958"/>
      <c r="T64" s="958"/>
      <c r="U64" s="958"/>
      <c r="V64" s="958"/>
      <c r="W64" s="958"/>
      <c r="X64" s="993"/>
      <c r="Y64" s="774"/>
      <c r="Z64" s="774"/>
      <c r="AA64" s="827"/>
      <c r="AB64" s="774"/>
      <c r="AC64" s="774"/>
      <c r="AD64" s="821"/>
      <c r="AE64" s="821"/>
      <c r="AF64" s="821"/>
      <c r="AG64" s="821"/>
    </row>
    <row r="65" spans="1:33" s="366" customFormat="1" ht="20.25" hidden="1" customHeight="1" x14ac:dyDescent="0.25">
      <c r="A65" s="1439" t="s">
        <v>422</v>
      </c>
      <c r="B65" s="1440"/>
      <c r="C65" s="1441"/>
      <c r="D65" s="1188"/>
      <c r="E65" s="1188"/>
      <c r="F65" s="1188"/>
      <c r="G65" s="1186">
        <v>2771</v>
      </c>
      <c r="H65" s="1187"/>
      <c r="I65" s="1188"/>
      <c r="K65" s="588"/>
      <c r="M65" s="958"/>
      <c r="N65" s="958"/>
      <c r="O65" s="958"/>
      <c r="P65" s="958"/>
      <c r="Q65" s="958"/>
      <c r="R65" s="958"/>
      <c r="S65" s="958"/>
      <c r="T65" s="958"/>
      <c r="U65" s="958"/>
      <c r="V65" s="958"/>
      <c r="W65" s="958"/>
      <c r="X65" s="993"/>
      <c r="Y65" s="774"/>
      <c r="Z65" s="774"/>
      <c r="AA65" s="827"/>
      <c r="AB65" s="774"/>
      <c r="AC65" s="774"/>
      <c r="AD65" s="821"/>
      <c r="AE65" s="821"/>
      <c r="AF65" s="821"/>
      <c r="AG65" s="821"/>
    </row>
    <row r="66" spans="1:33" s="366" customFormat="1" ht="21.75" hidden="1" customHeight="1" x14ac:dyDescent="0.25">
      <c r="A66" s="1436" t="s">
        <v>366</v>
      </c>
      <c r="B66" s="1436"/>
      <c r="C66" s="1436"/>
      <c r="D66" s="1188"/>
      <c r="E66" s="1188"/>
      <c r="F66" s="1188"/>
      <c r="G66" s="1186">
        <v>10000</v>
      </c>
      <c r="H66" s="1188"/>
      <c r="I66" s="1188"/>
      <c r="K66" s="588"/>
      <c r="M66" s="958"/>
      <c r="N66" s="958"/>
      <c r="O66" s="958"/>
      <c r="P66" s="958"/>
      <c r="Q66" s="958"/>
      <c r="R66" s="958"/>
      <c r="S66" s="958"/>
      <c r="T66" s="958"/>
      <c r="U66" s="958"/>
      <c r="V66" s="958"/>
      <c r="W66" s="958"/>
      <c r="X66" s="993"/>
      <c r="Y66" s="774"/>
      <c r="Z66" s="774"/>
      <c r="AA66" s="827"/>
      <c r="AB66" s="774"/>
      <c r="AC66" s="774"/>
      <c r="AD66" s="821"/>
      <c r="AE66" s="821"/>
      <c r="AF66" s="821"/>
      <c r="AG66" s="821"/>
    </row>
    <row r="67" spans="1:33" s="366" customFormat="1" ht="32.25" hidden="1" customHeight="1" x14ac:dyDescent="0.25">
      <c r="A67" s="1436" t="s">
        <v>811</v>
      </c>
      <c r="B67" s="1436"/>
      <c r="C67" s="1436"/>
      <c r="D67" s="1188"/>
      <c r="E67" s="1188"/>
      <c r="F67" s="1188"/>
      <c r="G67" s="1186">
        <v>690</v>
      </c>
      <c r="H67" s="1188"/>
      <c r="I67" s="1187" t="s">
        <v>886</v>
      </c>
      <c r="K67" s="588"/>
      <c r="M67" s="958"/>
      <c r="N67" s="958"/>
      <c r="O67" s="958"/>
      <c r="P67" s="958"/>
      <c r="Q67" s="958"/>
      <c r="R67" s="958"/>
      <c r="S67" s="958"/>
      <c r="T67" s="958"/>
      <c r="U67" s="958"/>
      <c r="V67" s="958"/>
      <c r="W67" s="958"/>
      <c r="X67" s="993"/>
      <c r="Y67" s="774"/>
      <c r="Z67" s="774"/>
      <c r="AA67" s="827"/>
      <c r="AB67" s="774"/>
      <c r="AC67" s="774"/>
      <c r="AD67" s="821"/>
      <c r="AE67" s="821"/>
      <c r="AF67" s="821"/>
      <c r="AG67" s="821"/>
    </row>
    <row r="68" spans="1:33" s="366" customFormat="1" ht="13.15" hidden="1" customHeight="1" x14ac:dyDescent="0.25">
      <c r="C68" s="366" t="s">
        <v>891</v>
      </c>
      <c r="G68" s="588">
        <f>SUM(G60:G65)</f>
        <v>13489</v>
      </c>
      <c r="K68" s="588"/>
      <c r="M68" s="958"/>
      <c r="N68" s="958"/>
      <c r="O68" s="958"/>
      <c r="P68" s="958"/>
      <c r="Q68" s="958"/>
      <c r="R68" s="958"/>
      <c r="S68" s="958"/>
      <c r="T68" s="958"/>
      <c r="U68" s="958"/>
      <c r="V68" s="958"/>
      <c r="W68" s="958"/>
      <c r="X68" s="993"/>
      <c r="Y68" s="774"/>
      <c r="Z68" s="774"/>
      <c r="AA68" s="827"/>
      <c r="AB68" s="774"/>
      <c r="AC68" s="774"/>
      <c r="AD68" s="821"/>
      <c r="AE68" s="821"/>
      <c r="AF68" s="821"/>
      <c r="AG68" s="821"/>
    </row>
    <row r="69" spans="1:33" s="366" customFormat="1" ht="13.15" hidden="1" customHeight="1" x14ac:dyDescent="0.25">
      <c r="C69" s="366" t="s">
        <v>893</v>
      </c>
      <c r="G69" s="366">
        <v>690</v>
      </c>
      <c r="K69" s="588"/>
      <c r="M69" s="958"/>
      <c r="N69" s="958"/>
      <c r="O69" s="958"/>
      <c r="P69" s="958"/>
      <c r="Q69" s="958"/>
      <c r="R69" s="958"/>
      <c r="S69" s="958"/>
      <c r="T69" s="958"/>
      <c r="U69" s="958"/>
      <c r="V69" s="958"/>
      <c r="W69" s="958"/>
      <c r="X69" s="993"/>
      <c r="Y69" s="774"/>
      <c r="Z69" s="774"/>
      <c r="AA69" s="827"/>
      <c r="AB69" s="774"/>
      <c r="AC69" s="774"/>
      <c r="AD69" s="821"/>
      <c r="AE69" s="821"/>
      <c r="AF69" s="821"/>
      <c r="AG69" s="821"/>
    </row>
    <row r="70" spans="1:33" s="366" customFormat="1" ht="13.15" hidden="1" customHeight="1" x14ac:dyDescent="0.25">
      <c r="C70" s="1189" t="s">
        <v>894</v>
      </c>
      <c r="G70" s="588">
        <f>G68+G69</f>
        <v>14179</v>
      </c>
      <c r="K70" s="588"/>
      <c r="M70" s="958"/>
      <c r="N70" s="958"/>
      <c r="O70" s="958"/>
      <c r="P70" s="958"/>
      <c r="Q70" s="958"/>
      <c r="R70" s="958"/>
      <c r="S70" s="958"/>
      <c r="T70" s="958"/>
      <c r="U70" s="958"/>
      <c r="V70" s="958"/>
      <c r="W70" s="958"/>
      <c r="X70" s="993"/>
      <c r="Y70" s="774"/>
      <c r="Z70" s="774"/>
      <c r="AA70" s="827"/>
      <c r="AB70" s="774"/>
      <c r="AC70" s="774"/>
      <c r="AD70" s="821"/>
      <c r="AE70" s="821"/>
      <c r="AF70" s="821"/>
      <c r="AG70" s="821"/>
    </row>
    <row r="71" spans="1:33" s="366" customFormat="1" ht="13.15" hidden="1" customHeight="1" x14ac:dyDescent="0.25">
      <c r="K71" s="588"/>
      <c r="M71" s="958"/>
      <c r="N71" s="958"/>
      <c r="O71" s="958"/>
      <c r="P71" s="958"/>
      <c r="Q71" s="958"/>
      <c r="R71" s="958"/>
      <c r="S71" s="958"/>
      <c r="T71" s="958"/>
      <c r="U71" s="958"/>
      <c r="V71" s="958"/>
      <c r="W71" s="958"/>
      <c r="X71" s="993"/>
      <c r="Y71" s="774"/>
      <c r="Z71" s="774"/>
      <c r="AA71" s="827"/>
      <c r="AB71" s="774"/>
      <c r="AC71" s="774"/>
      <c r="AD71" s="821"/>
      <c r="AE71" s="821"/>
      <c r="AF71" s="821"/>
      <c r="AG71" s="821"/>
    </row>
    <row r="72" spans="1:33" s="366" customFormat="1" ht="13.15" hidden="1" customHeight="1" x14ac:dyDescent="0.25">
      <c r="K72" s="588"/>
      <c r="M72" s="958"/>
      <c r="N72" s="958"/>
      <c r="O72" s="958"/>
      <c r="P72" s="958"/>
      <c r="Q72" s="958"/>
      <c r="R72" s="958"/>
      <c r="S72" s="958"/>
      <c r="T72" s="958"/>
      <c r="U72" s="958"/>
      <c r="V72" s="958"/>
      <c r="W72" s="958"/>
      <c r="X72" s="993"/>
      <c r="Y72" s="774"/>
      <c r="Z72" s="774"/>
      <c r="AA72" s="827"/>
      <c r="AB72" s="774"/>
      <c r="AC72" s="774"/>
      <c r="AD72" s="821"/>
      <c r="AE72" s="821"/>
      <c r="AF72" s="821"/>
      <c r="AG72" s="821"/>
    </row>
    <row r="73" spans="1:33" s="366" customFormat="1" ht="13.15" hidden="1" customHeight="1" x14ac:dyDescent="0.25">
      <c r="K73" s="588"/>
      <c r="M73" s="958"/>
      <c r="N73" s="958"/>
      <c r="O73" s="958"/>
      <c r="P73" s="958"/>
      <c r="Q73" s="958"/>
      <c r="R73" s="958"/>
      <c r="S73" s="958"/>
      <c r="T73" s="958"/>
      <c r="U73" s="958"/>
      <c r="V73" s="958"/>
      <c r="W73" s="958"/>
      <c r="X73" s="993"/>
      <c r="Y73" s="774"/>
      <c r="Z73" s="774"/>
      <c r="AA73" s="827"/>
      <c r="AB73" s="774"/>
      <c r="AC73" s="774"/>
      <c r="AD73" s="821"/>
      <c r="AE73" s="821"/>
      <c r="AF73" s="821"/>
      <c r="AG73" s="821"/>
    </row>
    <row r="74" spans="1:33" s="366" customFormat="1" ht="13.15" hidden="1" customHeight="1" x14ac:dyDescent="0.25">
      <c r="K74" s="588"/>
      <c r="M74" s="958"/>
      <c r="N74" s="958"/>
      <c r="O74" s="958"/>
      <c r="P74" s="958"/>
      <c r="Q74" s="958"/>
      <c r="R74" s="958"/>
      <c r="S74" s="958"/>
      <c r="T74" s="958"/>
      <c r="U74" s="958"/>
      <c r="V74" s="958"/>
      <c r="W74" s="958"/>
      <c r="X74" s="993"/>
      <c r="Y74" s="774"/>
      <c r="Z74" s="774"/>
      <c r="AA74" s="827"/>
      <c r="AB74" s="774"/>
      <c r="AC74" s="774"/>
      <c r="AD74" s="821"/>
      <c r="AE74" s="821"/>
      <c r="AF74" s="821"/>
      <c r="AG74" s="821"/>
    </row>
    <row r="75" spans="1:33" s="366" customFormat="1" ht="13.15" hidden="1" customHeight="1" x14ac:dyDescent="0.25">
      <c r="K75" s="588"/>
      <c r="M75" s="958"/>
      <c r="N75" s="958"/>
      <c r="O75" s="958"/>
      <c r="P75" s="958"/>
      <c r="Q75" s="958"/>
      <c r="R75" s="958"/>
      <c r="S75" s="958"/>
      <c r="T75" s="958"/>
      <c r="U75" s="958"/>
      <c r="V75" s="958"/>
      <c r="W75" s="958"/>
      <c r="X75" s="993"/>
      <c r="Y75" s="774"/>
      <c r="Z75" s="774"/>
      <c r="AA75" s="827"/>
      <c r="AB75" s="774"/>
      <c r="AC75" s="774"/>
      <c r="AD75" s="821"/>
      <c r="AE75" s="821"/>
      <c r="AF75" s="821"/>
      <c r="AG75" s="821"/>
    </row>
    <row r="76" spans="1:33" s="366" customFormat="1" ht="13.15" hidden="1" customHeight="1" x14ac:dyDescent="0.25">
      <c r="K76" s="588"/>
      <c r="M76" s="958"/>
      <c r="N76" s="958"/>
      <c r="O76" s="958"/>
      <c r="P76" s="958"/>
      <c r="Q76" s="958"/>
      <c r="R76" s="958"/>
      <c r="S76" s="958"/>
      <c r="T76" s="958"/>
      <c r="U76" s="958"/>
      <c r="V76" s="958"/>
      <c r="W76" s="958"/>
      <c r="X76" s="993"/>
      <c r="Y76" s="774"/>
      <c r="Z76" s="774"/>
      <c r="AA76" s="827"/>
      <c r="AB76" s="774"/>
      <c r="AC76" s="774"/>
      <c r="AD76" s="821"/>
      <c r="AE76" s="821"/>
      <c r="AF76" s="821"/>
      <c r="AG76" s="821"/>
    </row>
    <row r="77" spans="1:33" s="366" customFormat="1" ht="13.15" hidden="1" customHeight="1" x14ac:dyDescent="0.25">
      <c r="K77" s="588"/>
      <c r="M77" s="958"/>
      <c r="N77" s="958"/>
      <c r="O77" s="958"/>
      <c r="P77" s="958"/>
      <c r="Q77" s="958"/>
      <c r="R77" s="958"/>
      <c r="S77" s="958"/>
      <c r="T77" s="958"/>
      <c r="U77" s="958"/>
      <c r="V77" s="958"/>
      <c r="W77" s="958"/>
      <c r="X77" s="993"/>
      <c r="Y77" s="774"/>
      <c r="Z77" s="774"/>
      <c r="AA77" s="827"/>
      <c r="AB77" s="774"/>
      <c r="AC77" s="774"/>
      <c r="AD77" s="821"/>
      <c r="AE77" s="821"/>
      <c r="AF77" s="821"/>
      <c r="AG77" s="821"/>
    </row>
    <row r="78" spans="1:33" s="366" customFormat="1" ht="13.15" hidden="1" customHeight="1" x14ac:dyDescent="0.25">
      <c r="K78" s="588"/>
      <c r="M78" s="958"/>
      <c r="N78" s="958"/>
      <c r="O78" s="958"/>
      <c r="P78" s="958"/>
      <c r="Q78" s="958"/>
      <c r="R78" s="958"/>
      <c r="S78" s="958"/>
      <c r="T78" s="958"/>
      <c r="U78" s="958"/>
      <c r="V78" s="958"/>
      <c r="W78" s="958"/>
      <c r="X78" s="993"/>
      <c r="Y78" s="774"/>
      <c r="Z78" s="774"/>
      <c r="AA78" s="827"/>
      <c r="AB78" s="774"/>
      <c r="AC78" s="774"/>
      <c r="AD78" s="821"/>
      <c r="AE78" s="821"/>
      <c r="AF78" s="821"/>
      <c r="AG78" s="821"/>
    </row>
    <row r="79" spans="1:33" s="366" customFormat="1" ht="13.15" hidden="1" customHeight="1" x14ac:dyDescent="0.25">
      <c r="K79" s="588"/>
      <c r="M79" s="958"/>
      <c r="N79" s="958"/>
      <c r="O79" s="958"/>
      <c r="P79" s="958"/>
      <c r="Q79" s="958"/>
      <c r="R79" s="958"/>
      <c r="S79" s="958"/>
      <c r="T79" s="958"/>
      <c r="U79" s="958"/>
      <c r="V79" s="958"/>
      <c r="W79" s="958"/>
      <c r="X79" s="993"/>
      <c r="Y79" s="774"/>
      <c r="Z79" s="774"/>
      <c r="AA79" s="827"/>
      <c r="AB79" s="774"/>
      <c r="AC79" s="774"/>
      <c r="AD79" s="821"/>
      <c r="AE79" s="821"/>
      <c r="AF79" s="821"/>
      <c r="AG79" s="821"/>
    </row>
    <row r="80" spans="1:33" s="366" customFormat="1" ht="13.15" hidden="1" customHeight="1" x14ac:dyDescent="0.25">
      <c r="K80" s="588"/>
      <c r="M80" s="958"/>
      <c r="N80" s="958"/>
      <c r="O80" s="958"/>
      <c r="P80" s="958"/>
      <c r="Q80" s="958"/>
      <c r="R80" s="958"/>
      <c r="S80" s="958"/>
      <c r="T80" s="958"/>
      <c r="U80" s="958"/>
      <c r="V80" s="958"/>
      <c r="W80" s="958"/>
      <c r="X80" s="993"/>
      <c r="Y80" s="774"/>
      <c r="Z80" s="774"/>
      <c r="AA80" s="827"/>
      <c r="AB80" s="774"/>
      <c r="AC80" s="774"/>
      <c r="AD80" s="821"/>
      <c r="AE80" s="821"/>
      <c r="AF80" s="821"/>
      <c r="AG80" s="821"/>
    </row>
    <row r="81" spans="11:33" s="366" customFormat="1" ht="13.15" hidden="1" customHeight="1" x14ac:dyDescent="0.25">
      <c r="K81" s="588"/>
      <c r="M81" s="958"/>
      <c r="N81" s="958"/>
      <c r="O81" s="958"/>
      <c r="P81" s="958"/>
      <c r="Q81" s="958"/>
      <c r="R81" s="958"/>
      <c r="S81" s="958"/>
      <c r="T81" s="958"/>
      <c r="U81" s="958"/>
      <c r="V81" s="958"/>
      <c r="W81" s="958"/>
      <c r="X81" s="993"/>
      <c r="Y81" s="774"/>
      <c r="Z81" s="774"/>
      <c r="AA81" s="827"/>
      <c r="AB81" s="774"/>
      <c r="AC81" s="774"/>
      <c r="AD81" s="821"/>
      <c r="AE81" s="821"/>
      <c r="AF81" s="821"/>
      <c r="AG81" s="821"/>
    </row>
    <row r="82" spans="11:33" s="366" customFormat="1" ht="13.15" hidden="1" customHeight="1" x14ac:dyDescent="0.25">
      <c r="K82" s="588"/>
      <c r="M82" s="958"/>
      <c r="N82" s="958"/>
      <c r="O82" s="958"/>
      <c r="P82" s="958"/>
      <c r="Q82" s="958"/>
      <c r="R82" s="958"/>
      <c r="S82" s="958"/>
      <c r="T82" s="958"/>
      <c r="U82" s="958"/>
      <c r="V82" s="958"/>
      <c r="W82" s="958"/>
      <c r="X82" s="993"/>
      <c r="Y82" s="774"/>
      <c r="Z82" s="774"/>
      <c r="AA82" s="827"/>
      <c r="AB82" s="774"/>
      <c r="AC82" s="774"/>
      <c r="AD82" s="821"/>
      <c r="AE82" s="821"/>
      <c r="AF82" s="821"/>
      <c r="AG82" s="821"/>
    </row>
    <row r="83" spans="11:33" s="366" customFormat="1" ht="13.15" hidden="1" customHeight="1" x14ac:dyDescent="0.25">
      <c r="K83" s="588"/>
      <c r="M83" s="958"/>
      <c r="N83" s="958"/>
      <c r="O83" s="958"/>
      <c r="P83" s="958"/>
      <c r="Q83" s="958"/>
      <c r="R83" s="958"/>
      <c r="S83" s="958"/>
      <c r="T83" s="958"/>
      <c r="U83" s="958"/>
      <c r="V83" s="958"/>
      <c r="W83" s="958"/>
      <c r="X83" s="993"/>
      <c r="Y83" s="774"/>
      <c r="Z83" s="774"/>
      <c r="AA83" s="827"/>
      <c r="AB83" s="774"/>
      <c r="AC83" s="774"/>
      <c r="AD83" s="821"/>
      <c r="AE83" s="821"/>
      <c r="AF83" s="821"/>
      <c r="AG83" s="821"/>
    </row>
    <row r="84" spans="11:33" s="366" customFormat="1" ht="13.15" hidden="1" customHeight="1" x14ac:dyDescent="0.25">
      <c r="K84" s="588"/>
      <c r="M84" s="958"/>
      <c r="N84" s="958"/>
      <c r="O84" s="958"/>
      <c r="P84" s="958"/>
      <c r="Q84" s="958"/>
      <c r="R84" s="958"/>
      <c r="S84" s="958"/>
      <c r="T84" s="958"/>
      <c r="U84" s="958"/>
      <c r="V84" s="958"/>
      <c r="W84" s="958"/>
      <c r="X84" s="993"/>
      <c r="Y84" s="774"/>
      <c r="Z84" s="774"/>
      <c r="AA84" s="827"/>
      <c r="AB84" s="774"/>
      <c r="AC84" s="774"/>
      <c r="AD84" s="821"/>
      <c r="AE84" s="821"/>
      <c r="AF84" s="821"/>
      <c r="AG84" s="821"/>
    </row>
    <row r="85" spans="11:33" s="366" customFormat="1" ht="13.15" hidden="1" customHeight="1" x14ac:dyDescent="0.25">
      <c r="K85" s="588"/>
      <c r="M85" s="958"/>
      <c r="N85" s="958"/>
      <c r="O85" s="958"/>
      <c r="P85" s="958"/>
      <c r="Q85" s="958"/>
      <c r="R85" s="958"/>
      <c r="S85" s="958"/>
      <c r="T85" s="958"/>
      <c r="U85" s="958"/>
      <c r="V85" s="958"/>
      <c r="W85" s="958"/>
      <c r="X85" s="993"/>
      <c r="Y85" s="774"/>
      <c r="Z85" s="774"/>
      <c r="AA85" s="827"/>
      <c r="AB85" s="774"/>
      <c r="AC85" s="774"/>
      <c r="AD85" s="821"/>
      <c r="AE85" s="821"/>
      <c r="AF85" s="821"/>
      <c r="AG85" s="821"/>
    </row>
    <row r="86" spans="11:33" s="366" customFormat="1" ht="13.15" hidden="1" customHeight="1" x14ac:dyDescent="0.25">
      <c r="K86" s="588"/>
      <c r="M86" s="958"/>
      <c r="N86" s="958"/>
      <c r="O86" s="958"/>
      <c r="P86" s="958"/>
      <c r="Q86" s="958"/>
      <c r="R86" s="958"/>
      <c r="S86" s="958"/>
      <c r="T86" s="958"/>
      <c r="U86" s="958"/>
      <c r="V86" s="958"/>
      <c r="W86" s="958"/>
      <c r="X86" s="993"/>
      <c r="Y86" s="774"/>
      <c r="Z86" s="774"/>
      <c r="AA86" s="827"/>
      <c r="AB86" s="774"/>
      <c r="AC86" s="774"/>
      <c r="AD86" s="821"/>
      <c r="AE86" s="821"/>
      <c r="AF86" s="821"/>
      <c r="AG86" s="821"/>
    </row>
    <row r="87" spans="11:33" s="366" customFormat="1" ht="13.15" hidden="1" customHeight="1" x14ac:dyDescent="0.25">
      <c r="K87" s="588"/>
      <c r="M87" s="958"/>
      <c r="N87" s="958"/>
      <c r="O87" s="958"/>
      <c r="P87" s="958"/>
      <c r="Q87" s="958"/>
      <c r="R87" s="958"/>
      <c r="S87" s="958"/>
      <c r="T87" s="958"/>
      <c r="U87" s="958"/>
      <c r="V87" s="958"/>
      <c r="W87" s="958"/>
      <c r="X87" s="993"/>
      <c r="Y87" s="774"/>
      <c r="Z87" s="774"/>
      <c r="AA87" s="827"/>
      <c r="AB87" s="774"/>
      <c r="AC87" s="774"/>
      <c r="AD87" s="821"/>
      <c r="AE87" s="821"/>
      <c r="AF87" s="821"/>
      <c r="AG87" s="821"/>
    </row>
    <row r="88" spans="11:33" s="366" customFormat="1" ht="13.15" hidden="1" customHeight="1" x14ac:dyDescent="0.25">
      <c r="K88" s="588"/>
      <c r="M88" s="958"/>
      <c r="N88" s="958"/>
      <c r="O88" s="958"/>
      <c r="P88" s="958"/>
      <c r="Q88" s="958"/>
      <c r="R88" s="958"/>
      <c r="S88" s="958"/>
      <c r="T88" s="958"/>
      <c r="U88" s="958"/>
      <c r="V88" s="958"/>
      <c r="W88" s="958"/>
      <c r="X88" s="993"/>
      <c r="Y88" s="774"/>
      <c r="Z88" s="774"/>
      <c r="AA88" s="827"/>
      <c r="AB88" s="774"/>
      <c r="AC88" s="774"/>
      <c r="AD88" s="821"/>
      <c r="AE88" s="821"/>
      <c r="AF88" s="821"/>
      <c r="AG88" s="821"/>
    </row>
    <row r="89" spans="11:33" s="366" customFormat="1" ht="13.15" hidden="1" customHeight="1" x14ac:dyDescent="0.25">
      <c r="K89" s="588"/>
      <c r="M89" s="958"/>
      <c r="N89" s="958"/>
      <c r="O89" s="958"/>
      <c r="P89" s="958"/>
      <c r="Q89" s="958"/>
      <c r="R89" s="958"/>
      <c r="S89" s="958"/>
      <c r="T89" s="958"/>
      <c r="U89" s="958"/>
      <c r="V89" s="958"/>
      <c r="W89" s="958"/>
      <c r="X89" s="993"/>
      <c r="Y89" s="774"/>
      <c r="Z89" s="774"/>
      <c r="AA89" s="827"/>
      <c r="AB89" s="774"/>
      <c r="AC89" s="774"/>
      <c r="AD89" s="821"/>
      <c r="AE89" s="821"/>
      <c r="AF89" s="821"/>
      <c r="AG89" s="821"/>
    </row>
    <row r="90" spans="11:33" s="366" customFormat="1" ht="13.15" hidden="1" customHeight="1" x14ac:dyDescent="0.25">
      <c r="K90" s="588"/>
      <c r="M90" s="958"/>
      <c r="N90" s="958"/>
      <c r="O90" s="958"/>
      <c r="P90" s="958"/>
      <c r="Q90" s="958"/>
      <c r="R90" s="958"/>
      <c r="S90" s="958"/>
      <c r="T90" s="958"/>
      <c r="U90" s="958"/>
      <c r="V90" s="958"/>
      <c r="W90" s="958"/>
      <c r="X90" s="993"/>
      <c r="Y90" s="774"/>
      <c r="Z90" s="774"/>
      <c r="AA90" s="827"/>
      <c r="AB90" s="774"/>
      <c r="AC90" s="774"/>
      <c r="AD90" s="821"/>
      <c r="AE90" s="821"/>
      <c r="AF90" s="821"/>
      <c r="AG90" s="821"/>
    </row>
    <row r="91" spans="11:33" s="366" customFormat="1" ht="13.15" hidden="1" customHeight="1" x14ac:dyDescent="0.25">
      <c r="K91" s="588"/>
      <c r="M91" s="958"/>
      <c r="N91" s="958"/>
      <c r="O91" s="958"/>
      <c r="P91" s="958"/>
      <c r="Q91" s="958"/>
      <c r="R91" s="958"/>
      <c r="S91" s="958"/>
      <c r="T91" s="958"/>
      <c r="U91" s="958"/>
      <c r="V91" s="958"/>
      <c r="W91" s="958"/>
      <c r="X91" s="993"/>
      <c r="Y91" s="774"/>
      <c r="Z91" s="774"/>
      <c r="AA91" s="827"/>
      <c r="AB91" s="774"/>
      <c r="AC91" s="774"/>
      <c r="AD91" s="821"/>
      <c r="AE91" s="821"/>
      <c r="AF91" s="821"/>
      <c r="AG91" s="821"/>
    </row>
    <row r="92" spans="11:33" s="366" customFormat="1" ht="13.15" hidden="1" customHeight="1" x14ac:dyDescent="0.25">
      <c r="K92" s="588"/>
      <c r="M92" s="958"/>
      <c r="N92" s="958"/>
      <c r="O92" s="958"/>
      <c r="P92" s="958"/>
      <c r="Q92" s="958"/>
      <c r="R92" s="958"/>
      <c r="S92" s="958"/>
      <c r="T92" s="958"/>
      <c r="U92" s="958"/>
      <c r="V92" s="958"/>
      <c r="W92" s="958"/>
      <c r="X92" s="993"/>
      <c r="Y92" s="774"/>
      <c r="Z92" s="774"/>
      <c r="AA92" s="827"/>
      <c r="AB92" s="774"/>
      <c r="AC92" s="774"/>
      <c r="AD92" s="821"/>
      <c r="AE92" s="821"/>
      <c r="AF92" s="821"/>
      <c r="AG92" s="821"/>
    </row>
    <row r="93" spans="11:33" s="366" customFormat="1" ht="13.15" hidden="1" customHeight="1" x14ac:dyDescent="0.25">
      <c r="K93" s="588"/>
      <c r="M93" s="958"/>
      <c r="N93" s="958"/>
      <c r="O93" s="958"/>
      <c r="P93" s="958"/>
      <c r="Q93" s="958"/>
      <c r="R93" s="958"/>
      <c r="S93" s="958"/>
      <c r="T93" s="958"/>
      <c r="U93" s="958"/>
      <c r="V93" s="958"/>
      <c r="W93" s="958"/>
      <c r="X93" s="993"/>
      <c r="Y93" s="774"/>
      <c r="Z93" s="774"/>
      <c r="AA93" s="827"/>
      <c r="AB93" s="774"/>
      <c r="AC93" s="774"/>
      <c r="AD93" s="821"/>
      <c r="AE93" s="821"/>
      <c r="AF93" s="821"/>
      <c r="AG93" s="821"/>
    </row>
    <row r="94" spans="11:33" s="366" customFormat="1" ht="13.15" hidden="1" customHeight="1" x14ac:dyDescent="0.25">
      <c r="K94" s="588"/>
      <c r="M94" s="958"/>
      <c r="N94" s="958"/>
      <c r="O94" s="958"/>
      <c r="P94" s="958"/>
      <c r="Q94" s="958"/>
      <c r="R94" s="958"/>
      <c r="S94" s="958"/>
      <c r="T94" s="958"/>
      <c r="U94" s="958"/>
      <c r="V94" s="958"/>
      <c r="W94" s="958"/>
      <c r="X94" s="993"/>
      <c r="Y94" s="774"/>
      <c r="Z94" s="774"/>
      <c r="AA94" s="827"/>
      <c r="AB94" s="774"/>
      <c r="AC94" s="774"/>
      <c r="AD94" s="821"/>
      <c r="AE94" s="821"/>
      <c r="AF94" s="821"/>
      <c r="AG94" s="821"/>
    </row>
    <row r="95" spans="11:33" s="366" customFormat="1" ht="13.15" hidden="1" customHeight="1" x14ac:dyDescent="0.25">
      <c r="K95" s="588"/>
      <c r="M95" s="958"/>
      <c r="N95" s="958"/>
      <c r="O95" s="958"/>
      <c r="P95" s="958"/>
      <c r="Q95" s="958"/>
      <c r="R95" s="958"/>
      <c r="S95" s="958"/>
      <c r="T95" s="958"/>
      <c r="U95" s="958"/>
      <c r="V95" s="958"/>
      <c r="W95" s="958"/>
      <c r="X95" s="993"/>
      <c r="Y95" s="774"/>
      <c r="Z95" s="774"/>
      <c r="AA95" s="827"/>
      <c r="AB95" s="774"/>
      <c r="AC95" s="774"/>
      <c r="AD95" s="821"/>
      <c r="AE95" s="821"/>
      <c r="AF95" s="821"/>
      <c r="AG95" s="821"/>
    </row>
    <row r="96" spans="11:33" s="366" customFormat="1" ht="13.15" hidden="1" customHeight="1" x14ac:dyDescent="0.25">
      <c r="K96" s="588"/>
      <c r="M96" s="958"/>
      <c r="N96" s="958"/>
      <c r="O96" s="958"/>
      <c r="P96" s="958"/>
      <c r="Q96" s="958"/>
      <c r="R96" s="958"/>
      <c r="S96" s="958"/>
      <c r="T96" s="958"/>
      <c r="U96" s="958"/>
      <c r="V96" s="958"/>
      <c r="W96" s="958"/>
      <c r="X96" s="993"/>
      <c r="Y96" s="774"/>
      <c r="Z96" s="774"/>
      <c r="AA96" s="827"/>
      <c r="AB96" s="774"/>
      <c r="AC96" s="774"/>
      <c r="AD96" s="821"/>
      <c r="AE96" s="821"/>
      <c r="AF96" s="821"/>
      <c r="AG96" s="821"/>
    </row>
    <row r="97" spans="11:33" s="366" customFormat="1" ht="13.15" hidden="1" customHeight="1" x14ac:dyDescent="0.25">
      <c r="K97" s="588"/>
      <c r="M97" s="958"/>
      <c r="N97" s="958"/>
      <c r="O97" s="958"/>
      <c r="P97" s="958"/>
      <c r="Q97" s="958"/>
      <c r="R97" s="958"/>
      <c r="S97" s="958"/>
      <c r="T97" s="958"/>
      <c r="U97" s="958"/>
      <c r="V97" s="958"/>
      <c r="W97" s="958"/>
      <c r="X97" s="993"/>
      <c r="Y97" s="774"/>
      <c r="Z97" s="774"/>
      <c r="AA97" s="827"/>
      <c r="AB97" s="774"/>
      <c r="AC97" s="774"/>
      <c r="AD97" s="821"/>
      <c r="AE97" s="821"/>
      <c r="AF97" s="821"/>
      <c r="AG97" s="821"/>
    </row>
    <row r="98" spans="11:33" s="366" customFormat="1" ht="13.15" hidden="1" customHeight="1" x14ac:dyDescent="0.25">
      <c r="K98" s="588"/>
      <c r="M98" s="958"/>
      <c r="N98" s="958"/>
      <c r="O98" s="958"/>
      <c r="P98" s="958"/>
      <c r="Q98" s="958"/>
      <c r="R98" s="958"/>
      <c r="S98" s="958"/>
      <c r="T98" s="958"/>
      <c r="U98" s="958"/>
      <c r="V98" s="958"/>
      <c r="W98" s="958"/>
      <c r="X98" s="993"/>
      <c r="Y98" s="774"/>
      <c r="Z98" s="774"/>
      <c r="AA98" s="827"/>
      <c r="AB98" s="774"/>
      <c r="AC98" s="774"/>
      <c r="AD98" s="821"/>
      <c r="AE98" s="821"/>
      <c r="AF98" s="821"/>
      <c r="AG98" s="821"/>
    </row>
    <row r="99" spans="11:33" s="366" customFormat="1" ht="13.15" hidden="1" customHeight="1" x14ac:dyDescent="0.25">
      <c r="K99" s="588"/>
      <c r="M99" s="958"/>
      <c r="N99" s="958"/>
      <c r="O99" s="958"/>
      <c r="P99" s="958"/>
      <c r="Q99" s="958"/>
      <c r="R99" s="958"/>
      <c r="S99" s="958"/>
      <c r="T99" s="958"/>
      <c r="U99" s="958"/>
      <c r="V99" s="958"/>
      <c r="W99" s="958"/>
      <c r="X99" s="993"/>
      <c r="Y99" s="774"/>
      <c r="Z99" s="774"/>
      <c r="AA99" s="827"/>
      <c r="AB99" s="774"/>
      <c r="AC99" s="774"/>
      <c r="AD99" s="821"/>
      <c r="AE99" s="821"/>
      <c r="AF99" s="821"/>
      <c r="AG99" s="821"/>
    </row>
    <row r="100" spans="11:33" s="366" customFormat="1" ht="13.15" hidden="1" customHeight="1" x14ac:dyDescent="0.25">
      <c r="K100" s="588"/>
      <c r="M100" s="958"/>
      <c r="N100" s="958"/>
      <c r="O100" s="958"/>
      <c r="P100" s="958"/>
      <c r="Q100" s="958"/>
      <c r="R100" s="958"/>
      <c r="S100" s="958"/>
      <c r="T100" s="958"/>
      <c r="U100" s="958"/>
      <c r="V100" s="958"/>
      <c r="W100" s="958"/>
      <c r="X100" s="993"/>
      <c r="Y100" s="774"/>
      <c r="Z100" s="774"/>
      <c r="AA100" s="827"/>
      <c r="AB100" s="774"/>
      <c r="AC100" s="774"/>
      <c r="AD100" s="821"/>
      <c r="AE100" s="821"/>
      <c r="AF100" s="821"/>
      <c r="AG100" s="821"/>
    </row>
    <row r="101" spans="11:33" s="366" customFormat="1" ht="13.15" hidden="1" customHeight="1" x14ac:dyDescent="0.25">
      <c r="K101" s="588"/>
      <c r="M101" s="958"/>
      <c r="N101" s="958"/>
      <c r="O101" s="958"/>
      <c r="P101" s="958"/>
      <c r="Q101" s="958"/>
      <c r="R101" s="958"/>
      <c r="S101" s="958"/>
      <c r="T101" s="958"/>
      <c r="U101" s="958"/>
      <c r="V101" s="958"/>
      <c r="W101" s="958"/>
      <c r="X101" s="993"/>
      <c r="Y101" s="774"/>
      <c r="Z101" s="774"/>
      <c r="AA101" s="827"/>
      <c r="AB101" s="774"/>
      <c r="AC101" s="774"/>
      <c r="AD101" s="821"/>
      <c r="AE101" s="821"/>
      <c r="AF101" s="821"/>
      <c r="AG101" s="821"/>
    </row>
    <row r="102" spans="11:33" s="366" customFormat="1" ht="13.15" hidden="1" customHeight="1" x14ac:dyDescent="0.25">
      <c r="K102" s="588"/>
      <c r="M102" s="958"/>
      <c r="N102" s="958"/>
      <c r="O102" s="958"/>
      <c r="P102" s="958"/>
      <c r="Q102" s="958"/>
      <c r="R102" s="958"/>
      <c r="S102" s="958"/>
      <c r="T102" s="958"/>
      <c r="U102" s="958"/>
      <c r="V102" s="958"/>
      <c r="W102" s="958"/>
      <c r="X102" s="993"/>
      <c r="Y102" s="774"/>
      <c r="Z102" s="774"/>
      <c r="AA102" s="827"/>
      <c r="AB102" s="774"/>
      <c r="AC102" s="774"/>
      <c r="AD102" s="821"/>
      <c r="AE102" s="821"/>
      <c r="AF102" s="821"/>
      <c r="AG102" s="821"/>
    </row>
    <row r="103" spans="11:33" s="366" customFormat="1" ht="13.15" hidden="1" customHeight="1" x14ac:dyDescent="0.25">
      <c r="K103" s="588"/>
      <c r="M103" s="958"/>
      <c r="N103" s="958"/>
      <c r="O103" s="958"/>
      <c r="P103" s="958"/>
      <c r="Q103" s="958"/>
      <c r="R103" s="958"/>
      <c r="S103" s="958"/>
      <c r="T103" s="958"/>
      <c r="U103" s="958"/>
      <c r="V103" s="958"/>
      <c r="W103" s="958"/>
      <c r="X103" s="993"/>
      <c r="Y103" s="774"/>
      <c r="Z103" s="774"/>
      <c r="AA103" s="827"/>
      <c r="AB103" s="774"/>
      <c r="AC103" s="774"/>
      <c r="AD103" s="821"/>
      <c r="AE103" s="821"/>
      <c r="AF103" s="821"/>
      <c r="AG103" s="821"/>
    </row>
    <row r="104" spans="11:33" s="366" customFormat="1" ht="13.15" hidden="1" customHeight="1" x14ac:dyDescent="0.25">
      <c r="K104" s="588"/>
      <c r="M104" s="958"/>
      <c r="N104" s="958"/>
      <c r="O104" s="958"/>
      <c r="P104" s="958"/>
      <c r="Q104" s="958"/>
      <c r="R104" s="958"/>
      <c r="S104" s="958"/>
      <c r="T104" s="958"/>
      <c r="U104" s="958"/>
      <c r="V104" s="958"/>
      <c r="W104" s="958"/>
      <c r="X104" s="993"/>
      <c r="Y104" s="774"/>
      <c r="Z104" s="774"/>
      <c r="AA104" s="827"/>
      <c r="AB104" s="774"/>
      <c r="AC104" s="774"/>
      <c r="AD104" s="821"/>
      <c r="AE104" s="821"/>
      <c r="AF104" s="821"/>
      <c r="AG104" s="821"/>
    </row>
    <row r="105" spans="11:33" s="366" customFormat="1" ht="13.15" hidden="1" customHeight="1" x14ac:dyDescent="0.25">
      <c r="K105" s="588"/>
      <c r="M105" s="958"/>
      <c r="N105" s="958"/>
      <c r="O105" s="958"/>
      <c r="P105" s="958"/>
      <c r="Q105" s="958"/>
      <c r="R105" s="958"/>
      <c r="S105" s="958"/>
      <c r="T105" s="958"/>
      <c r="U105" s="958"/>
      <c r="V105" s="958"/>
      <c r="W105" s="958"/>
      <c r="X105" s="993"/>
      <c r="Y105" s="774"/>
      <c r="Z105" s="774"/>
      <c r="AA105" s="827"/>
      <c r="AB105" s="774"/>
      <c r="AC105" s="774"/>
      <c r="AD105" s="821"/>
      <c r="AE105" s="821"/>
      <c r="AF105" s="821"/>
      <c r="AG105" s="821"/>
    </row>
    <row r="106" spans="11:33" s="366" customFormat="1" ht="13.15" customHeight="1" x14ac:dyDescent="0.25">
      <c r="K106" s="588"/>
      <c r="M106" s="958"/>
      <c r="N106" s="958"/>
      <c r="O106" s="958"/>
      <c r="P106" s="958"/>
      <c r="Q106" s="958"/>
      <c r="R106" s="958"/>
      <c r="S106" s="958"/>
      <c r="T106" s="958"/>
      <c r="U106" s="958"/>
      <c r="V106" s="958"/>
      <c r="W106" s="958"/>
      <c r="X106" s="993"/>
      <c r="Y106" s="774"/>
      <c r="Z106" s="774"/>
      <c r="AA106" s="827"/>
      <c r="AB106" s="774"/>
      <c r="AC106" s="774"/>
      <c r="AD106" s="821"/>
      <c r="AE106" s="821"/>
      <c r="AF106" s="821"/>
      <c r="AG106" s="821"/>
    </row>
    <row r="107" spans="11:33" s="366" customFormat="1" ht="13.15" customHeight="1" x14ac:dyDescent="0.25">
      <c r="K107" s="588"/>
      <c r="M107" s="958"/>
      <c r="N107" s="958"/>
      <c r="O107" s="958"/>
      <c r="P107" s="958"/>
      <c r="Q107" s="958"/>
      <c r="R107" s="958"/>
      <c r="S107" s="958"/>
      <c r="T107" s="958"/>
      <c r="U107" s="958"/>
      <c r="V107" s="958"/>
      <c r="W107" s="958"/>
      <c r="X107" s="993"/>
      <c r="Y107" s="774"/>
      <c r="Z107" s="774"/>
      <c r="AA107" s="827"/>
      <c r="AB107" s="774"/>
      <c r="AC107" s="774"/>
      <c r="AD107" s="821"/>
      <c r="AE107" s="821"/>
      <c r="AF107" s="821"/>
      <c r="AG107" s="821"/>
    </row>
    <row r="108" spans="11:33" s="366" customFormat="1" ht="13.15" customHeight="1" x14ac:dyDescent="0.25">
      <c r="K108" s="588"/>
      <c r="M108" s="958"/>
      <c r="N108" s="958"/>
      <c r="O108" s="958"/>
      <c r="P108" s="958"/>
      <c r="Q108" s="958"/>
      <c r="R108" s="958"/>
      <c r="S108" s="958"/>
      <c r="T108" s="958"/>
      <c r="U108" s="958"/>
      <c r="V108" s="958"/>
      <c r="W108" s="958"/>
      <c r="X108" s="993"/>
      <c r="Y108" s="774"/>
      <c r="Z108" s="774"/>
      <c r="AA108" s="827"/>
      <c r="AB108" s="774"/>
      <c r="AC108" s="774"/>
      <c r="AD108" s="821"/>
      <c r="AE108" s="821"/>
      <c r="AF108" s="821"/>
      <c r="AG108" s="821"/>
    </row>
    <row r="109" spans="11:33" s="366" customFormat="1" ht="13.15" customHeight="1" x14ac:dyDescent="0.25">
      <c r="K109" s="588"/>
      <c r="M109" s="958"/>
      <c r="N109" s="958"/>
      <c r="O109" s="958"/>
      <c r="P109" s="958"/>
      <c r="Q109" s="958"/>
      <c r="R109" s="958"/>
      <c r="S109" s="958"/>
      <c r="T109" s="958"/>
      <c r="U109" s="958"/>
      <c r="V109" s="958"/>
      <c r="W109" s="958"/>
      <c r="X109" s="993"/>
      <c r="Y109" s="774"/>
      <c r="Z109" s="774"/>
      <c r="AA109" s="827"/>
      <c r="AB109" s="774"/>
      <c r="AC109" s="774"/>
      <c r="AD109" s="821"/>
      <c r="AE109" s="821"/>
      <c r="AF109" s="821"/>
      <c r="AG109" s="821"/>
    </row>
    <row r="110" spans="11:33" s="366" customFormat="1" ht="13.15" customHeight="1" x14ac:dyDescent="0.25">
      <c r="K110" s="588"/>
      <c r="M110" s="958"/>
      <c r="N110" s="958"/>
      <c r="O110" s="958"/>
      <c r="P110" s="958"/>
      <c r="Q110" s="958"/>
      <c r="R110" s="958"/>
      <c r="S110" s="958"/>
      <c r="T110" s="958"/>
      <c r="U110" s="958"/>
      <c r="V110" s="958"/>
      <c r="W110" s="958"/>
      <c r="X110" s="993"/>
      <c r="Y110" s="774"/>
      <c r="Z110" s="774"/>
      <c r="AA110" s="827"/>
      <c r="AB110" s="774"/>
      <c r="AC110" s="774"/>
      <c r="AD110" s="821"/>
      <c r="AE110" s="821"/>
      <c r="AF110" s="821"/>
      <c r="AG110" s="821"/>
    </row>
    <row r="111" spans="11:33" s="366" customFormat="1" ht="13.15" customHeight="1" x14ac:dyDescent="0.25">
      <c r="K111" s="588"/>
      <c r="M111" s="958"/>
      <c r="N111" s="958"/>
      <c r="O111" s="958"/>
      <c r="P111" s="958"/>
      <c r="Q111" s="958"/>
      <c r="R111" s="958"/>
      <c r="S111" s="958"/>
      <c r="T111" s="958"/>
      <c r="U111" s="958"/>
      <c r="V111" s="958"/>
      <c r="W111" s="958"/>
      <c r="X111" s="993"/>
      <c r="Y111" s="774"/>
      <c r="Z111" s="774"/>
      <c r="AA111" s="827"/>
      <c r="AB111" s="774"/>
      <c r="AC111" s="774"/>
      <c r="AD111" s="821"/>
      <c r="AE111" s="821"/>
      <c r="AF111" s="821"/>
      <c r="AG111" s="821"/>
    </row>
    <row r="112" spans="11:33" s="366" customFormat="1" ht="13.15" customHeight="1" x14ac:dyDescent="0.25">
      <c r="K112" s="588"/>
      <c r="M112" s="958"/>
      <c r="N112" s="958"/>
      <c r="O112" s="958"/>
      <c r="P112" s="958"/>
      <c r="Q112" s="958"/>
      <c r="R112" s="958"/>
      <c r="S112" s="958"/>
      <c r="T112" s="958"/>
      <c r="U112" s="958"/>
      <c r="V112" s="958"/>
      <c r="W112" s="958"/>
      <c r="X112" s="993"/>
      <c r="Y112" s="774"/>
      <c r="Z112" s="774"/>
      <c r="AA112" s="827"/>
      <c r="AB112" s="774"/>
      <c r="AC112" s="774"/>
      <c r="AD112" s="821"/>
      <c r="AE112" s="821"/>
      <c r="AF112" s="821"/>
      <c r="AG112" s="821"/>
    </row>
    <row r="113" spans="11:33" s="366" customFormat="1" ht="13.15" customHeight="1" x14ac:dyDescent="0.25">
      <c r="K113" s="588"/>
      <c r="M113" s="958"/>
      <c r="N113" s="958"/>
      <c r="O113" s="958"/>
      <c r="P113" s="958"/>
      <c r="Q113" s="958"/>
      <c r="R113" s="958"/>
      <c r="S113" s="958"/>
      <c r="T113" s="958"/>
      <c r="U113" s="958"/>
      <c r="V113" s="958"/>
      <c r="W113" s="958"/>
      <c r="X113" s="993"/>
      <c r="Y113" s="774"/>
      <c r="Z113" s="774"/>
      <c r="AA113" s="827"/>
      <c r="AB113" s="774"/>
      <c r="AC113" s="774"/>
      <c r="AD113" s="821"/>
      <c r="AE113" s="821"/>
      <c r="AF113" s="821"/>
      <c r="AG113" s="821"/>
    </row>
    <row r="114" spans="11:33" s="366" customFormat="1" ht="13.15" customHeight="1" x14ac:dyDescent="0.25">
      <c r="K114" s="588"/>
      <c r="M114" s="958"/>
      <c r="N114" s="958"/>
      <c r="O114" s="958"/>
      <c r="P114" s="958"/>
      <c r="Q114" s="958"/>
      <c r="R114" s="958"/>
      <c r="S114" s="958"/>
      <c r="T114" s="958"/>
      <c r="U114" s="958"/>
      <c r="V114" s="958"/>
      <c r="W114" s="958"/>
      <c r="X114" s="993"/>
      <c r="Y114" s="774"/>
      <c r="Z114" s="774"/>
      <c r="AA114" s="827"/>
      <c r="AB114" s="774"/>
      <c r="AC114" s="774"/>
      <c r="AD114" s="821"/>
      <c r="AE114" s="821"/>
      <c r="AF114" s="821"/>
      <c r="AG114" s="821"/>
    </row>
    <row r="115" spans="11:33" s="366" customFormat="1" ht="13.15" customHeight="1" x14ac:dyDescent="0.25">
      <c r="K115" s="588"/>
      <c r="M115" s="958"/>
      <c r="N115" s="958"/>
      <c r="O115" s="958"/>
      <c r="P115" s="958"/>
      <c r="Q115" s="958"/>
      <c r="R115" s="958"/>
      <c r="S115" s="958"/>
      <c r="T115" s="958"/>
      <c r="U115" s="958"/>
      <c r="V115" s="958"/>
      <c r="W115" s="958"/>
      <c r="X115" s="993"/>
      <c r="Y115" s="774"/>
      <c r="Z115" s="774"/>
      <c r="AA115" s="827"/>
      <c r="AB115" s="774"/>
      <c r="AC115" s="774"/>
      <c r="AD115" s="821"/>
      <c r="AE115" s="821"/>
      <c r="AF115" s="821"/>
      <c r="AG115" s="821"/>
    </row>
    <row r="116" spans="11:33" s="366" customFormat="1" ht="13.15" customHeight="1" x14ac:dyDescent="0.25">
      <c r="K116" s="588"/>
      <c r="M116" s="958"/>
      <c r="N116" s="958"/>
      <c r="O116" s="958"/>
      <c r="P116" s="958"/>
      <c r="Q116" s="958"/>
      <c r="R116" s="958"/>
      <c r="S116" s="958"/>
      <c r="T116" s="958"/>
      <c r="U116" s="958"/>
      <c r="V116" s="958"/>
      <c r="W116" s="958"/>
      <c r="X116" s="993"/>
      <c r="Y116" s="774"/>
      <c r="Z116" s="774"/>
      <c r="AA116" s="827"/>
      <c r="AB116" s="774"/>
      <c r="AC116" s="774"/>
      <c r="AD116" s="821"/>
      <c r="AE116" s="821"/>
      <c r="AF116" s="821"/>
      <c r="AG116" s="821"/>
    </row>
    <row r="117" spans="11:33" s="366" customFormat="1" ht="13.15" customHeight="1" x14ac:dyDescent="0.25">
      <c r="K117" s="588"/>
      <c r="M117" s="958"/>
      <c r="N117" s="958"/>
      <c r="O117" s="958"/>
      <c r="P117" s="958"/>
      <c r="Q117" s="958"/>
      <c r="R117" s="958"/>
      <c r="S117" s="958"/>
      <c r="T117" s="958"/>
      <c r="U117" s="958"/>
      <c r="V117" s="958"/>
      <c r="W117" s="958"/>
      <c r="X117" s="993"/>
      <c r="Y117" s="774"/>
      <c r="Z117" s="774"/>
      <c r="AA117" s="827"/>
      <c r="AB117" s="774"/>
      <c r="AC117" s="774"/>
      <c r="AD117" s="821"/>
      <c r="AE117" s="821"/>
      <c r="AF117" s="821"/>
      <c r="AG117" s="821"/>
    </row>
    <row r="118" spans="11:33" s="366" customFormat="1" ht="13.15" customHeight="1" x14ac:dyDescent="0.25">
      <c r="K118" s="588"/>
      <c r="M118" s="958"/>
      <c r="N118" s="958"/>
      <c r="O118" s="958"/>
      <c r="P118" s="958"/>
      <c r="Q118" s="958"/>
      <c r="R118" s="958"/>
      <c r="S118" s="958"/>
      <c r="T118" s="958"/>
      <c r="U118" s="958"/>
      <c r="V118" s="958"/>
      <c r="W118" s="958"/>
      <c r="X118" s="993"/>
      <c r="Y118" s="774"/>
      <c r="Z118" s="774"/>
      <c r="AA118" s="827"/>
      <c r="AB118" s="774"/>
      <c r="AC118" s="774"/>
      <c r="AD118" s="821"/>
      <c r="AE118" s="821"/>
      <c r="AF118" s="821"/>
      <c r="AG118" s="821"/>
    </row>
    <row r="119" spans="11:33" s="366" customFormat="1" ht="13.15" customHeight="1" x14ac:dyDescent="0.25">
      <c r="K119" s="588"/>
      <c r="M119" s="958"/>
      <c r="N119" s="958"/>
      <c r="O119" s="958"/>
      <c r="P119" s="958"/>
      <c r="Q119" s="958"/>
      <c r="R119" s="958"/>
      <c r="S119" s="958"/>
      <c r="T119" s="958"/>
      <c r="U119" s="958"/>
      <c r="V119" s="958"/>
      <c r="W119" s="958"/>
      <c r="X119" s="993"/>
      <c r="Y119" s="774"/>
      <c r="Z119" s="774"/>
      <c r="AA119" s="827"/>
      <c r="AB119" s="774"/>
      <c r="AC119" s="774"/>
      <c r="AD119" s="821"/>
      <c r="AE119" s="821"/>
      <c r="AF119" s="821"/>
      <c r="AG119" s="821"/>
    </row>
    <row r="120" spans="11:33" s="366" customFormat="1" ht="13.15" customHeight="1" x14ac:dyDescent="0.25">
      <c r="K120" s="588"/>
      <c r="M120" s="958"/>
      <c r="N120" s="958"/>
      <c r="O120" s="958"/>
      <c r="P120" s="958"/>
      <c r="Q120" s="958"/>
      <c r="R120" s="958"/>
      <c r="S120" s="958"/>
      <c r="T120" s="958"/>
      <c r="U120" s="958"/>
      <c r="V120" s="958"/>
      <c r="W120" s="958"/>
      <c r="X120" s="993"/>
      <c r="Y120" s="774"/>
      <c r="Z120" s="774"/>
      <c r="AA120" s="827"/>
      <c r="AB120" s="774"/>
      <c r="AC120" s="774"/>
      <c r="AD120" s="821"/>
      <c r="AE120" s="821"/>
      <c r="AF120" s="821"/>
      <c r="AG120" s="821"/>
    </row>
    <row r="121" spans="11:33" s="366" customFormat="1" ht="13.15" customHeight="1" x14ac:dyDescent="0.25">
      <c r="K121" s="588"/>
      <c r="M121" s="958"/>
      <c r="N121" s="958"/>
      <c r="O121" s="958"/>
      <c r="P121" s="958"/>
      <c r="Q121" s="958"/>
      <c r="R121" s="958"/>
      <c r="S121" s="958"/>
      <c r="T121" s="958"/>
      <c r="U121" s="958"/>
      <c r="V121" s="958"/>
      <c r="W121" s="958"/>
      <c r="X121" s="993"/>
      <c r="Y121" s="774"/>
      <c r="Z121" s="774"/>
      <c r="AA121" s="827"/>
      <c r="AB121" s="774"/>
      <c r="AC121" s="774"/>
      <c r="AD121" s="821"/>
      <c r="AE121" s="821"/>
      <c r="AF121" s="821"/>
      <c r="AG121" s="821"/>
    </row>
    <row r="122" spans="11:33" s="366" customFormat="1" ht="13.15" customHeight="1" x14ac:dyDescent="0.25">
      <c r="K122" s="588"/>
      <c r="M122" s="958"/>
      <c r="N122" s="958"/>
      <c r="O122" s="958"/>
      <c r="P122" s="958"/>
      <c r="Q122" s="958"/>
      <c r="R122" s="958"/>
      <c r="S122" s="958"/>
      <c r="T122" s="958"/>
      <c r="U122" s="958"/>
      <c r="V122" s="958"/>
      <c r="W122" s="958"/>
      <c r="X122" s="993"/>
      <c r="Y122" s="774"/>
      <c r="Z122" s="774"/>
      <c r="AA122" s="827"/>
      <c r="AB122" s="774"/>
      <c r="AC122" s="774"/>
      <c r="AD122" s="821"/>
      <c r="AE122" s="821"/>
      <c r="AF122" s="821"/>
      <c r="AG122" s="821"/>
    </row>
    <row r="123" spans="11:33" s="366" customFormat="1" ht="13.15" customHeight="1" x14ac:dyDescent="0.25">
      <c r="K123" s="588"/>
      <c r="M123" s="958"/>
      <c r="N123" s="958"/>
      <c r="O123" s="958"/>
      <c r="P123" s="958"/>
      <c r="Q123" s="958"/>
      <c r="R123" s="958"/>
      <c r="S123" s="958"/>
      <c r="T123" s="958"/>
      <c r="U123" s="958"/>
      <c r="V123" s="958"/>
      <c r="W123" s="958"/>
      <c r="X123" s="993"/>
      <c r="Y123" s="774"/>
      <c r="Z123" s="774"/>
      <c r="AA123" s="827"/>
      <c r="AB123" s="774"/>
      <c r="AC123" s="774"/>
      <c r="AD123" s="821"/>
      <c r="AE123" s="821"/>
      <c r="AF123" s="821"/>
      <c r="AG123" s="821"/>
    </row>
    <row r="124" spans="11:33" s="366" customFormat="1" ht="13.15" customHeight="1" x14ac:dyDescent="0.25">
      <c r="K124" s="588"/>
      <c r="M124" s="958"/>
      <c r="N124" s="958"/>
      <c r="O124" s="958"/>
      <c r="P124" s="958"/>
      <c r="Q124" s="958"/>
      <c r="R124" s="958"/>
      <c r="S124" s="958"/>
      <c r="T124" s="958"/>
      <c r="U124" s="958"/>
      <c r="V124" s="958"/>
      <c r="W124" s="958"/>
      <c r="X124" s="993"/>
      <c r="Y124" s="774"/>
      <c r="Z124" s="774"/>
      <c r="AA124" s="827"/>
      <c r="AB124" s="774"/>
      <c r="AC124" s="774"/>
      <c r="AD124" s="821"/>
      <c r="AE124" s="821"/>
      <c r="AF124" s="821"/>
      <c r="AG124" s="821"/>
    </row>
    <row r="125" spans="11:33" s="366" customFormat="1" ht="13.15" customHeight="1" x14ac:dyDescent="0.25">
      <c r="K125" s="588"/>
      <c r="M125" s="958"/>
      <c r="N125" s="958"/>
      <c r="O125" s="958"/>
      <c r="P125" s="958"/>
      <c r="Q125" s="958"/>
      <c r="R125" s="958"/>
      <c r="S125" s="958"/>
      <c r="T125" s="958"/>
      <c r="U125" s="958"/>
      <c r="V125" s="958"/>
      <c r="W125" s="958"/>
      <c r="X125" s="993"/>
      <c r="Y125" s="774"/>
      <c r="Z125" s="774"/>
      <c r="AA125" s="827"/>
      <c r="AB125" s="774"/>
      <c r="AC125" s="774"/>
      <c r="AD125" s="821"/>
      <c r="AE125" s="821"/>
      <c r="AF125" s="821"/>
      <c r="AG125" s="821"/>
    </row>
    <row r="126" spans="11:33" s="366" customFormat="1" ht="13.15" customHeight="1" x14ac:dyDescent="0.25">
      <c r="K126" s="588"/>
      <c r="M126" s="958"/>
      <c r="N126" s="958"/>
      <c r="O126" s="958"/>
      <c r="P126" s="958"/>
      <c r="Q126" s="958"/>
      <c r="R126" s="958"/>
      <c r="S126" s="958"/>
      <c r="T126" s="958"/>
      <c r="U126" s="958"/>
      <c r="V126" s="958"/>
      <c r="W126" s="958"/>
      <c r="X126" s="993"/>
      <c r="Y126" s="774"/>
      <c r="Z126" s="774"/>
      <c r="AA126" s="827"/>
      <c r="AB126" s="774"/>
      <c r="AC126" s="774"/>
      <c r="AD126" s="821"/>
      <c r="AE126" s="821"/>
      <c r="AF126" s="821"/>
      <c r="AG126" s="821"/>
    </row>
    <row r="127" spans="11:33" s="366" customFormat="1" ht="13.15" customHeight="1" x14ac:dyDescent="0.25">
      <c r="K127" s="588"/>
      <c r="M127" s="958"/>
      <c r="N127" s="958"/>
      <c r="O127" s="958"/>
      <c r="P127" s="958"/>
      <c r="Q127" s="958"/>
      <c r="R127" s="958"/>
      <c r="S127" s="958"/>
      <c r="T127" s="958"/>
      <c r="U127" s="958"/>
      <c r="V127" s="958"/>
      <c r="W127" s="958"/>
      <c r="X127" s="993"/>
      <c r="Y127" s="774"/>
      <c r="Z127" s="774"/>
      <c r="AA127" s="827"/>
      <c r="AB127" s="774"/>
      <c r="AC127" s="774"/>
      <c r="AD127" s="821"/>
      <c r="AE127" s="821"/>
      <c r="AF127" s="821"/>
      <c r="AG127" s="821"/>
    </row>
    <row r="128" spans="11:33" s="366" customFormat="1" ht="13.15" customHeight="1" x14ac:dyDescent="0.25">
      <c r="K128" s="588"/>
      <c r="M128" s="958"/>
      <c r="N128" s="958"/>
      <c r="O128" s="958"/>
      <c r="P128" s="958"/>
      <c r="Q128" s="958"/>
      <c r="R128" s="958"/>
      <c r="S128" s="958"/>
      <c r="T128" s="958"/>
      <c r="U128" s="958"/>
      <c r="V128" s="958"/>
      <c r="W128" s="958"/>
      <c r="X128" s="993"/>
      <c r="Y128" s="774"/>
      <c r="Z128" s="774"/>
      <c r="AA128" s="827"/>
      <c r="AB128" s="774"/>
      <c r="AC128" s="774"/>
      <c r="AD128" s="821"/>
      <c r="AE128" s="821"/>
      <c r="AF128" s="821"/>
      <c r="AG128" s="821"/>
    </row>
    <row r="129" spans="11:33" s="366" customFormat="1" ht="13.15" customHeight="1" x14ac:dyDescent="0.25">
      <c r="K129" s="588"/>
      <c r="M129" s="958"/>
      <c r="N129" s="958"/>
      <c r="O129" s="958"/>
      <c r="P129" s="958"/>
      <c r="Q129" s="958"/>
      <c r="R129" s="958"/>
      <c r="S129" s="958"/>
      <c r="T129" s="958"/>
      <c r="U129" s="958"/>
      <c r="V129" s="958"/>
      <c r="W129" s="958"/>
      <c r="X129" s="993"/>
      <c r="Y129" s="774"/>
      <c r="Z129" s="774"/>
      <c r="AA129" s="827"/>
      <c r="AB129" s="774"/>
      <c r="AC129" s="774"/>
      <c r="AD129" s="821"/>
      <c r="AE129" s="821"/>
      <c r="AF129" s="821"/>
      <c r="AG129" s="821"/>
    </row>
    <row r="130" spans="11:33" s="366" customFormat="1" ht="13.15" customHeight="1" x14ac:dyDescent="0.25">
      <c r="K130" s="588"/>
      <c r="M130" s="958"/>
      <c r="N130" s="958"/>
      <c r="O130" s="958"/>
      <c r="P130" s="958"/>
      <c r="Q130" s="958"/>
      <c r="R130" s="958"/>
      <c r="S130" s="958"/>
      <c r="T130" s="958"/>
      <c r="U130" s="958"/>
      <c r="V130" s="958"/>
      <c r="W130" s="958"/>
      <c r="X130" s="993"/>
      <c r="Y130" s="774"/>
      <c r="Z130" s="774"/>
      <c r="AA130" s="827"/>
      <c r="AB130" s="774"/>
      <c r="AC130" s="774"/>
      <c r="AD130" s="821"/>
      <c r="AE130" s="821"/>
      <c r="AF130" s="821"/>
      <c r="AG130" s="821"/>
    </row>
    <row r="131" spans="11:33" s="366" customFormat="1" ht="13.15" customHeight="1" x14ac:dyDescent="0.25">
      <c r="K131" s="588"/>
      <c r="M131" s="958"/>
      <c r="N131" s="958"/>
      <c r="O131" s="958"/>
      <c r="P131" s="958"/>
      <c r="Q131" s="958"/>
      <c r="R131" s="958"/>
      <c r="S131" s="958"/>
      <c r="T131" s="958"/>
      <c r="U131" s="958"/>
      <c r="V131" s="958"/>
      <c r="W131" s="958"/>
      <c r="X131" s="993"/>
      <c r="Y131" s="774"/>
      <c r="Z131" s="774"/>
      <c r="AA131" s="827"/>
      <c r="AB131" s="774"/>
      <c r="AC131" s="774"/>
      <c r="AD131" s="821"/>
      <c r="AE131" s="821"/>
      <c r="AF131" s="821"/>
      <c r="AG131" s="821"/>
    </row>
    <row r="132" spans="11:33" s="366" customFormat="1" ht="13.15" customHeight="1" x14ac:dyDescent="0.25">
      <c r="K132" s="588"/>
      <c r="M132" s="958"/>
      <c r="N132" s="958"/>
      <c r="O132" s="958"/>
      <c r="P132" s="958"/>
      <c r="Q132" s="958"/>
      <c r="R132" s="958"/>
      <c r="S132" s="958"/>
      <c r="T132" s="958"/>
      <c r="U132" s="958"/>
      <c r="V132" s="958"/>
      <c r="W132" s="958"/>
      <c r="X132" s="993"/>
      <c r="Y132" s="774"/>
      <c r="Z132" s="774"/>
      <c r="AA132" s="827"/>
      <c r="AB132" s="774"/>
      <c r="AC132" s="774"/>
      <c r="AD132" s="821"/>
      <c r="AE132" s="821"/>
      <c r="AF132" s="821"/>
      <c r="AG132" s="821"/>
    </row>
    <row r="133" spans="11:33" s="366" customFormat="1" ht="13.15" customHeight="1" x14ac:dyDescent="0.25">
      <c r="K133" s="588"/>
      <c r="M133" s="958"/>
      <c r="N133" s="958"/>
      <c r="O133" s="958"/>
      <c r="P133" s="958"/>
      <c r="Q133" s="958"/>
      <c r="R133" s="958"/>
      <c r="S133" s="958"/>
      <c r="T133" s="958"/>
      <c r="U133" s="958"/>
      <c r="V133" s="958"/>
      <c r="W133" s="958"/>
      <c r="X133" s="993"/>
      <c r="Y133" s="774"/>
      <c r="Z133" s="774"/>
      <c r="AA133" s="827"/>
      <c r="AB133" s="774"/>
      <c r="AC133" s="774"/>
      <c r="AD133" s="821"/>
      <c r="AE133" s="821"/>
      <c r="AF133" s="821"/>
      <c r="AG133" s="821"/>
    </row>
    <row r="134" spans="11:33" s="366" customFormat="1" ht="13.15" customHeight="1" x14ac:dyDescent="0.25">
      <c r="K134" s="588"/>
      <c r="M134" s="958"/>
      <c r="N134" s="958"/>
      <c r="O134" s="958"/>
      <c r="P134" s="958"/>
      <c r="Q134" s="958"/>
      <c r="R134" s="958"/>
      <c r="S134" s="958"/>
      <c r="T134" s="958"/>
      <c r="U134" s="958"/>
      <c r="V134" s="958"/>
      <c r="W134" s="958"/>
      <c r="X134" s="993"/>
      <c r="Y134" s="774"/>
      <c r="Z134" s="774"/>
      <c r="AA134" s="827"/>
      <c r="AB134" s="774"/>
      <c r="AC134" s="774"/>
      <c r="AD134" s="821"/>
      <c r="AE134" s="821"/>
      <c r="AF134" s="821"/>
      <c r="AG134" s="821"/>
    </row>
    <row r="135" spans="11:33" s="366" customFormat="1" ht="12.75" customHeight="1" x14ac:dyDescent="0.25">
      <c r="K135" s="588"/>
      <c r="M135" s="958"/>
      <c r="N135" s="958"/>
      <c r="O135" s="958"/>
      <c r="P135" s="958"/>
      <c r="Q135" s="958"/>
      <c r="R135" s="958"/>
      <c r="S135" s="958"/>
      <c r="T135" s="958"/>
      <c r="U135" s="958"/>
      <c r="V135" s="958"/>
      <c r="W135" s="958"/>
      <c r="X135" s="993"/>
      <c r="Y135" s="774"/>
      <c r="Z135" s="774"/>
      <c r="AA135" s="827"/>
      <c r="AB135" s="774"/>
      <c r="AC135" s="774"/>
      <c r="AD135" s="821"/>
      <c r="AE135" s="821"/>
      <c r="AF135" s="821"/>
      <c r="AG135" s="821"/>
    </row>
    <row r="136" spans="11:33" s="366" customFormat="1" ht="13.15" customHeight="1" x14ac:dyDescent="0.25">
      <c r="K136" s="588"/>
      <c r="M136" s="958"/>
      <c r="N136" s="958"/>
      <c r="O136" s="958"/>
      <c r="P136" s="958"/>
      <c r="Q136" s="958"/>
      <c r="R136" s="958"/>
      <c r="S136" s="958"/>
      <c r="T136" s="958"/>
      <c r="U136" s="958"/>
      <c r="V136" s="958"/>
      <c r="W136" s="958"/>
      <c r="X136" s="993"/>
      <c r="Y136" s="774"/>
      <c r="Z136" s="774"/>
      <c r="AA136" s="827"/>
      <c r="AB136" s="774"/>
      <c r="AC136" s="774"/>
      <c r="AD136" s="821"/>
      <c r="AE136" s="821"/>
      <c r="AF136" s="821"/>
      <c r="AG136" s="821"/>
    </row>
    <row r="137" spans="11:33" s="366" customFormat="1" ht="13.15" customHeight="1" x14ac:dyDescent="0.25">
      <c r="K137" s="588"/>
      <c r="M137" s="958"/>
      <c r="N137" s="958"/>
      <c r="O137" s="958"/>
      <c r="P137" s="958"/>
      <c r="Q137" s="958"/>
      <c r="R137" s="958"/>
      <c r="S137" s="958"/>
      <c r="T137" s="958"/>
      <c r="U137" s="958"/>
      <c r="V137" s="958"/>
      <c r="W137" s="958"/>
      <c r="X137" s="993"/>
      <c r="Y137" s="774"/>
      <c r="Z137" s="774"/>
      <c r="AA137" s="827"/>
      <c r="AB137" s="774"/>
      <c r="AC137" s="774"/>
      <c r="AD137" s="821"/>
      <c r="AE137" s="821"/>
      <c r="AF137" s="821"/>
      <c r="AG137" s="821"/>
    </row>
    <row r="138" spans="11:33" s="366" customFormat="1" ht="13.15" customHeight="1" x14ac:dyDescent="0.25">
      <c r="K138" s="588"/>
      <c r="M138" s="958"/>
      <c r="N138" s="958"/>
      <c r="O138" s="958"/>
      <c r="P138" s="958"/>
      <c r="Q138" s="958"/>
      <c r="R138" s="958"/>
      <c r="S138" s="958"/>
      <c r="T138" s="958"/>
      <c r="U138" s="958"/>
      <c r="V138" s="958"/>
      <c r="W138" s="958"/>
      <c r="X138" s="993"/>
      <c r="Y138" s="774"/>
      <c r="Z138" s="774"/>
      <c r="AA138" s="827"/>
      <c r="AB138" s="774"/>
      <c r="AC138" s="774"/>
      <c r="AD138" s="821"/>
      <c r="AE138" s="821"/>
      <c r="AF138" s="821"/>
      <c r="AG138" s="821"/>
    </row>
    <row r="139" spans="11:33" s="366" customFormat="1" ht="13.15" customHeight="1" x14ac:dyDescent="0.25">
      <c r="K139" s="588"/>
      <c r="M139" s="958"/>
      <c r="N139" s="958"/>
      <c r="O139" s="958"/>
      <c r="P139" s="958"/>
      <c r="Q139" s="958"/>
      <c r="R139" s="958"/>
      <c r="S139" s="958"/>
      <c r="T139" s="958"/>
      <c r="U139" s="958"/>
      <c r="V139" s="958"/>
      <c r="W139" s="958"/>
      <c r="X139" s="993"/>
      <c r="Y139" s="774"/>
      <c r="Z139" s="774"/>
      <c r="AA139" s="827"/>
      <c r="AB139" s="774"/>
      <c r="AC139" s="774"/>
      <c r="AD139" s="821"/>
      <c r="AE139" s="821"/>
      <c r="AF139" s="821"/>
      <c r="AG139" s="821"/>
    </row>
    <row r="140" spans="11:33" s="366" customFormat="1" ht="13.15" customHeight="1" x14ac:dyDescent="0.25">
      <c r="K140" s="588"/>
      <c r="M140" s="958"/>
      <c r="N140" s="958"/>
      <c r="O140" s="958"/>
      <c r="P140" s="958"/>
      <c r="Q140" s="958"/>
      <c r="R140" s="958"/>
      <c r="S140" s="958"/>
      <c r="T140" s="958"/>
      <c r="U140" s="958"/>
      <c r="V140" s="958"/>
      <c r="W140" s="958"/>
      <c r="X140" s="993"/>
      <c r="Y140" s="774"/>
      <c r="Z140" s="774"/>
      <c r="AA140" s="827"/>
      <c r="AB140" s="774"/>
      <c r="AC140" s="774"/>
      <c r="AD140" s="821"/>
      <c r="AE140" s="821"/>
      <c r="AF140" s="821"/>
      <c r="AG140" s="821"/>
    </row>
    <row r="141" spans="11:33" s="366" customFormat="1" ht="13.15" customHeight="1" x14ac:dyDescent="0.25">
      <c r="K141" s="588"/>
      <c r="M141" s="958"/>
      <c r="N141" s="958"/>
      <c r="O141" s="958"/>
      <c r="P141" s="958"/>
      <c r="Q141" s="958"/>
      <c r="R141" s="958"/>
      <c r="S141" s="958"/>
      <c r="T141" s="958"/>
      <c r="U141" s="958"/>
      <c r="V141" s="958"/>
      <c r="W141" s="958"/>
      <c r="X141" s="993"/>
      <c r="Y141" s="774"/>
      <c r="Z141" s="774"/>
      <c r="AA141" s="827"/>
      <c r="AB141" s="774"/>
      <c r="AC141" s="774"/>
      <c r="AD141" s="821"/>
      <c r="AE141" s="821"/>
      <c r="AF141" s="821"/>
      <c r="AG141" s="821"/>
    </row>
    <row r="142" spans="11:33" s="366" customFormat="1" ht="13.15" customHeight="1" x14ac:dyDescent="0.25">
      <c r="K142" s="588"/>
      <c r="M142" s="958"/>
      <c r="N142" s="958"/>
      <c r="O142" s="958"/>
      <c r="P142" s="958"/>
      <c r="Q142" s="958"/>
      <c r="R142" s="958"/>
      <c r="S142" s="958"/>
      <c r="T142" s="958"/>
      <c r="U142" s="958"/>
      <c r="V142" s="958"/>
      <c r="W142" s="958"/>
      <c r="X142" s="993"/>
      <c r="Y142" s="774"/>
      <c r="Z142" s="774"/>
      <c r="AA142" s="827"/>
      <c r="AB142" s="774"/>
      <c r="AC142" s="774"/>
      <c r="AD142" s="821"/>
      <c r="AE142" s="821"/>
      <c r="AF142" s="821"/>
      <c r="AG142" s="821"/>
    </row>
    <row r="143" spans="11:33" s="366" customFormat="1" ht="13.15" customHeight="1" x14ac:dyDescent="0.25">
      <c r="K143" s="588"/>
      <c r="M143" s="958"/>
      <c r="N143" s="958"/>
      <c r="O143" s="958"/>
      <c r="P143" s="958"/>
      <c r="Q143" s="958"/>
      <c r="R143" s="958"/>
      <c r="S143" s="958"/>
      <c r="T143" s="958"/>
      <c r="U143" s="958"/>
      <c r="V143" s="958"/>
      <c r="W143" s="958"/>
      <c r="X143" s="993"/>
      <c r="Y143" s="774"/>
      <c r="Z143" s="774"/>
      <c r="AA143" s="827"/>
      <c r="AB143" s="774"/>
      <c r="AC143" s="774"/>
      <c r="AD143" s="821"/>
      <c r="AE143" s="821"/>
      <c r="AF143" s="821"/>
      <c r="AG143" s="821"/>
    </row>
    <row r="144" spans="11:33" s="366" customFormat="1" ht="13.15" customHeight="1" x14ac:dyDescent="0.25">
      <c r="K144" s="588"/>
      <c r="M144" s="958"/>
      <c r="N144" s="958"/>
      <c r="O144" s="958"/>
      <c r="P144" s="958"/>
      <c r="Q144" s="958"/>
      <c r="R144" s="958"/>
      <c r="S144" s="958"/>
      <c r="T144" s="958"/>
      <c r="U144" s="958"/>
      <c r="V144" s="958"/>
      <c r="W144" s="958"/>
      <c r="X144" s="993"/>
      <c r="Y144" s="774"/>
      <c r="Z144" s="774"/>
      <c r="AA144" s="827"/>
      <c r="AB144" s="774"/>
      <c r="AC144" s="774"/>
      <c r="AD144" s="821"/>
      <c r="AE144" s="821"/>
      <c r="AF144" s="821"/>
      <c r="AG144" s="821"/>
    </row>
    <row r="145" spans="11:33" s="366" customFormat="1" ht="13.15" customHeight="1" x14ac:dyDescent="0.25">
      <c r="K145" s="588"/>
      <c r="M145" s="958"/>
      <c r="N145" s="958"/>
      <c r="O145" s="958"/>
      <c r="P145" s="958"/>
      <c r="Q145" s="958"/>
      <c r="R145" s="958"/>
      <c r="S145" s="958"/>
      <c r="T145" s="958"/>
      <c r="U145" s="958"/>
      <c r="V145" s="958"/>
      <c r="W145" s="958"/>
      <c r="X145" s="993"/>
      <c r="Y145" s="774"/>
      <c r="Z145" s="774"/>
      <c r="AA145" s="827"/>
      <c r="AB145" s="774"/>
      <c r="AC145" s="774"/>
      <c r="AD145" s="821"/>
      <c r="AE145" s="821"/>
      <c r="AF145" s="821"/>
      <c r="AG145" s="821"/>
    </row>
    <row r="146" spans="11:33" s="366" customFormat="1" ht="13.15" customHeight="1" x14ac:dyDescent="0.25">
      <c r="K146" s="588"/>
      <c r="M146" s="958"/>
      <c r="N146" s="958"/>
      <c r="O146" s="958"/>
      <c r="P146" s="958"/>
      <c r="Q146" s="958"/>
      <c r="R146" s="958"/>
      <c r="S146" s="958"/>
      <c r="T146" s="958"/>
      <c r="U146" s="958"/>
      <c r="V146" s="958"/>
      <c r="W146" s="958"/>
      <c r="X146" s="993"/>
      <c r="Y146" s="774"/>
      <c r="Z146" s="774"/>
      <c r="AA146" s="827"/>
      <c r="AB146" s="774"/>
      <c r="AC146" s="774"/>
      <c r="AD146" s="821"/>
      <c r="AE146" s="821"/>
      <c r="AF146" s="821"/>
      <c r="AG146" s="821"/>
    </row>
    <row r="147" spans="11:33" s="366" customFormat="1" ht="13.15" customHeight="1" x14ac:dyDescent="0.25">
      <c r="K147" s="588"/>
      <c r="M147" s="958"/>
      <c r="N147" s="958"/>
      <c r="O147" s="958"/>
      <c r="P147" s="958"/>
      <c r="Q147" s="958"/>
      <c r="R147" s="958"/>
      <c r="S147" s="958"/>
      <c r="T147" s="958"/>
      <c r="U147" s="958"/>
      <c r="V147" s="958"/>
      <c r="W147" s="958"/>
      <c r="X147" s="993"/>
      <c r="Y147" s="774"/>
      <c r="Z147" s="774"/>
      <c r="AA147" s="827"/>
      <c r="AB147" s="774"/>
      <c r="AC147" s="774"/>
      <c r="AD147" s="821"/>
      <c r="AE147" s="821"/>
      <c r="AF147" s="821"/>
      <c r="AG147" s="821"/>
    </row>
    <row r="148" spans="11:33" s="366" customFormat="1" ht="13.15" customHeight="1" x14ac:dyDescent="0.25">
      <c r="K148" s="588"/>
      <c r="M148" s="958"/>
      <c r="N148" s="958"/>
      <c r="O148" s="958"/>
      <c r="P148" s="958"/>
      <c r="Q148" s="958"/>
      <c r="R148" s="958"/>
      <c r="S148" s="958"/>
      <c r="T148" s="958"/>
      <c r="U148" s="958"/>
      <c r="V148" s="958"/>
      <c r="W148" s="958"/>
      <c r="X148" s="993"/>
      <c r="Y148" s="774"/>
      <c r="Z148" s="774"/>
      <c r="AA148" s="827"/>
      <c r="AB148" s="774"/>
      <c r="AC148" s="774"/>
      <c r="AD148" s="821"/>
      <c r="AE148" s="821"/>
      <c r="AF148" s="821"/>
      <c r="AG148" s="821"/>
    </row>
    <row r="149" spans="11:33" s="366" customFormat="1" ht="13.15" customHeight="1" x14ac:dyDescent="0.25">
      <c r="K149" s="588"/>
      <c r="M149" s="958"/>
      <c r="N149" s="958"/>
      <c r="O149" s="958"/>
      <c r="P149" s="958"/>
      <c r="Q149" s="958"/>
      <c r="R149" s="958"/>
      <c r="S149" s="958"/>
      <c r="T149" s="958"/>
      <c r="U149" s="958"/>
      <c r="V149" s="958"/>
      <c r="W149" s="958"/>
      <c r="X149" s="993"/>
      <c r="Y149" s="774"/>
      <c r="Z149" s="774"/>
      <c r="AA149" s="827"/>
      <c r="AB149" s="774"/>
      <c r="AC149" s="774"/>
      <c r="AD149" s="821"/>
      <c r="AE149" s="821"/>
      <c r="AF149" s="821"/>
      <c r="AG149" s="821"/>
    </row>
    <row r="150" spans="11:33" s="366" customFormat="1" ht="13.15" customHeight="1" x14ac:dyDescent="0.25">
      <c r="K150" s="588"/>
      <c r="M150" s="958"/>
      <c r="N150" s="958"/>
      <c r="O150" s="958"/>
      <c r="P150" s="958"/>
      <c r="Q150" s="958"/>
      <c r="R150" s="958"/>
      <c r="S150" s="958"/>
      <c r="T150" s="958"/>
      <c r="U150" s="958"/>
      <c r="V150" s="958"/>
      <c r="W150" s="958"/>
      <c r="X150" s="993"/>
      <c r="Y150" s="774"/>
      <c r="Z150" s="774"/>
      <c r="AA150" s="827"/>
      <c r="AB150" s="774"/>
      <c r="AC150" s="774"/>
      <c r="AD150" s="821"/>
      <c r="AE150" s="821"/>
      <c r="AF150" s="821"/>
      <c r="AG150" s="821"/>
    </row>
    <row r="151" spans="11:33" s="366" customFormat="1" ht="13.15" customHeight="1" x14ac:dyDescent="0.25">
      <c r="K151" s="588"/>
      <c r="M151" s="958"/>
      <c r="N151" s="958"/>
      <c r="O151" s="958"/>
      <c r="P151" s="958"/>
      <c r="Q151" s="958"/>
      <c r="R151" s="958"/>
      <c r="S151" s="958"/>
      <c r="T151" s="958"/>
      <c r="U151" s="958"/>
      <c r="V151" s="958"/>
      <c r="W151" s="958"/>
      <c r="X151" s="993"/>
      <c r="Y151" s="774"/>
      <c r="Z151" s="774"/>
      <c r="AA151" s="827"/>
      <c r="AB151" s="774"/>
      <c r="AC151" s="774"/>
      <c r="AD151" s="821"/>
      <c r="AE151" s="821"/>
      <c r="AF151" s="821"/>
      <c r="AG151" s="821"/>
    </row>
    <row r="152" spans="11:33" s="366" customFormat="1" ht="13.15" customHeight="1" x14ac:dyDescent="0.25">
      <c r="K152" s="588"/>
      <c r="M152" s="958"/>
      <c r="N152" s="958"/>
      <c r="O152" s="958"/>
      <c r="P152" s="958"/>
      <c r="Q152" s="958"/>
      <c r="R152" s="958"/>
      <c r="S152" s="958"/>
      <c r="T152" s="958"/>
      <c r="U152" s="958"/>
      <c r="V152" s="958"/>
      <c r="W152" s="958"/>
      <c r="X152" s="993"/>
      <c r="Y152" s="774"/>
      <c r="Z152" s="774"/>
      <c r="AA152" s="827"/>
      <c r="AB152" s="774"/>
      <c r="AC152" s="774"/>
      <c r="AD152" s="821"/>
      <c r="AE152" s="821"/>
      <c r="AF152" s="821"/>
      <c r="AG152" s="821"/>
    </row>
    <row r="153" spans="11:33" s="366" customFormat="1" ht="13.15" customHeight="1" x14ac:dyDescent="0.25">
      <c r="K153" s="588"/>
      <c r="M153" s="958"/>
      <c r="N153" s="958"/>
      <c r="O153" s="958"/>
      <c r="P153" s="958"/>
      <c r="Q153" s="958"/>
      <c r="R153" s="958"/>
      <c r="S153" s="958"/>
      <c r="T153" s="958"/>
      <c r="U153" s="958"/>
      <c r="V153" s="958"/>
      <c r="W153" s="958"/>
      <c r="X153" s="993"/>
      <c r="Y153" s="774"/>
      <c r="Z153" s="774"/>
      <c r="AA153" s="827"/>
      <c r="AB153" s="774"/>
      <c r="AC153" s="774"/>
      <c r="AD153" s="821"/>
      <c r="AE153" s="821"/>
      <c r="AF153" s="821"/>
      <c r="AG153" s="821"/>
    </row>
    <row r="154" spans="11:33" s="366" customFormat="1" ht="13.15" customHeight="1" x14ac:dyDescent="0.25">
      <c r="K154" s="588"/>
      <c r="M154" s="958"/>
      <c r="N154" s="958"/>
      <c r="O154" s="958"/>
      <c r="P154" s="958"/>
      <c r="Q154" s="958"/>
      <c r="R154" s="958"/>
      <c r="S154" s="958"/>
      <c r="T154" s="958"/>
      <c r="U154" s="958"/>
      <c r="V154" s="958"/>
      <c r="W154" s="958"/>
      <c r="X154" s="993"/>
      <c r="Y154" s="774"/>
      <c r="Z154" s="774"/>
      <c r="AA154" s="827"/>
      <c r="AB154" s="774"/>
      <c r="AC154" s="774"/>
      <c r="AD154" s="821"/>
      <c r="AE154" s="821"/>
      <c r="AF154" s="821"/>
      <c r="AG154" s="821"/>
    </row>
    <row r="155" spans="11:33" s="366" customFormat="1" ht="13.15" customHeight="1" x14ac:dyDescent="0.25">
      <c r="K155" s="588"/>
      <c r="M155" s="958"/>
      <c r="N155" s="958"/>
      <c r="O155" s="958"/>
      <c r="P155" s="958"/>
      <c r="Q155" s="958"/>
      <c r="R155" s="958"/>
      <c r="S155" s="958"/>
      <c r="T155" s="958"/>
      <c r="U155" s="958"/>
      <c r="V155" s="958"/>
      <c r="W155" s="958"/>
      <c r="X155" s="993"/>
      <c r="Y155" s="774"/>
      <c r="Z155" s="774"/>
      <c r="AA155" s="827"/>
      <c r="AB155" s="774"/>
      <c r="AC155" s="774"/>
      <c r="AD155" s="821"/>
      <c r="AE155" s="821"/>
      <c r="AF155" s="821"/>
      <c r="AG155" s="821"/>
    </row>
    <row r="156" spans="11:33" s="366" customFormat="1" ht="13.15" customHeight="1" x14ac:dyDescent="0.25">
      <c r="K156" s="588"/>
      <c r="M156" s="958"/>
      <c r="N156" s="958"/>
      <c r="O156" s="958"/>
      <c r="P156" s="958"/>
      <c r="Q156" s="958"/>
      <c r="R156" s="958"/>
      <c r="S156" s="958"/>
      <c r="T156" s="958"/>
      <c r="U156" s="958"/>
      <c r="V156" s="958"/>
      <c r="W156" s="958"/>
      <c r="X156" s="993"/>
      <c r="Y156" s="774"/>
      <c r="Z156" s="774"/>
      <c r="AA156" s="827"/>
      <c r="AB156" s="774"/>
      <c r="AC156" s="774"/>
      <c r="AD156" s="821"/>
      <c r="AE156" s="821"/>
      <c r="AF156" s="821"/>
      <c r="AG156" s="821"/>
    </row>
    <row r="157" spans="11:33" s="366" customFormat="1" ht="13.15" customHeight="1" x14ac:dyDescent="0.25">
      <c r="K157" s="588"/>
      <c r="M157" s="958"/>
      <c r="N157" s="958"/>
      <c r="O157" s="958"/>
      <c r="P157" s="958"/>
      <c r="Q157" s="958"/>
      <c r="R157" s="958"/>
      <c r="S157" s="958"/>
      <c r="T157" s="958"/>
      <c r="U157" s="958"/>
      <c r="V157" s="958"/>
      <c r="W157" s="958"/>
      <c r="X157" s="993"/>
      <c r="Y157" s="774"/>
      <c r="Z157" s="774"/>
      <c r="AA157" s="827"/>
      <c r="AB157" s="774"/>
      <c r="AC157" s="774"/>
      <c r="AD157" s="821"/>
      <c r="AE157" s="821"/>
      <c r="AF157" s="821"/>
      <c r="AG157" s="821"/>
    </row>
    <row r="158" spans="11:33" s="366" customFormat="1" ht="13.15" customHeight="1" x14ac:dyDescent="0.25">
      <c r="K158" s="588"/>
      <c r="M158" s="958"/>
      <c r="N158" s="958"/>
      <c r="O158" s="958"/>
      <c r="P158" s="958"/>
      <c r="Q158" s="958"/>
      <c r="R158" s="958"/>
      <c r="S158" s="958"/>
      <c r="T158" s="958"/>
      <c r="U158" s="958"/>
      <c r="V158" s="958"/>
      <c r="W158" s="958"/>
      <c r="X158" s="993"/>
      <c r="Y158" s="774"/>
      <c r="Z158" s="774"/>
      <c r="AA158" s="827"/>
      <c r="AB158" s="774"/>
      <c r="AC158" s="774"/>
      <c r="AD158" s="821"/>
      <c r="AE158" s="821"/>
      <c r="AF158" s="821"/>
      <c r="AG158" s="821"/>
    </row>
    <row r="159" spans="11:33" s="366" customFormat="1" ht="13.15" customHeight="1" x14ac:dyDescent="0.25">
      <c r="K159" s="588"/>
      <c r="M159" s="958"/>
      <c r="N159" s="958"/>
      <c r="O159" s="958"/>
      <c r="P159" s="958"/>
      <c r="Q159" s="958"/>
      <c r="R159" s="958"/>
      <c r="S159" s="958"/>
      <c r="T159" s="958"/>
      <c r="U159" s="958"/>
      <c r="V159" s="958"/>
      <c r="W159" s="958"/>
      <c r="X159" s="993"/>
      <c r="Y159" s="774"/>
      <c r="Z159" s="774"/>
      <c r="AA159" s="827"/>
      <c r="AB159" s="774"/>
      <c r="AC159" s="774"/>
      <c r="AD159" s="821"/>
      <c r="AE159" s="821"/>
      <c r="AF159" s="821"/>
      <c r="AG159" s="821"/>
    </row>
    <row r="160" spans="11:33" s="366" customFormat="1" ht="13.15" customHeight="1" x14ac:dyDescent="0.25">
      <c r="K160" s="588"/>
      <c r="M160" s="958"/>
      <c r="N160" s="958"/>
      <c r="O160" s="958"/>
      <c r="P160" s="958"/>
      <c r="Q160" s="958"/>
      <c r="R160" s="958"/>
      <c r="S160" s="958"/>
      <c r="T160" s="958"/>
      <c r="U160" s="958"/>
      <c r="V160" s="958"/>
      <c r="W160" s="958"/>
      <c r="X160" s="993"/>
      <c r="Y160" s="774"/>
      <c r="Z160" s="774"/>
      <c r="AA160" s="827"/>
      <c r="AB160" s="774"/>
      <c r="AC160" s="774"/>
      <c r="AD160" s="821"/>
      <c r="AE160" s="821"/>
      <c r="AF160" s="821"/>
      <c r="AG160" s="821"/>
    </row>
    <row r="161" spans="11:33" s="366" customFormat="1" ht="13.15" customHeight="1" x14ac:dyDescent="0.25">
      <c r="K161" s="588"/>
      <c r="M161" s="958"/>
      <c r="N161" s="958"/>
      <c r="O161" s="958"/>
      <c r="P161" s="958"/>
      <c r="Q161" s="958"/>
      <c r="R161" s="958"/>
      <c r="S161" s="958"/>
      <c r="T161" s="958"/>
      <c r="U161" s="958"/>
      <c r="V161" s="958"/>
      <c r="W161" s="958"/>
      <c r="X161" s="993"/>
      <c r="Y161" s="774"/>
      <c r="Z161" s="774"/>
      <c r="AA161" s="827"/>
      <c r="AB161" s="774"/>
      <c r="AC161" s="774"/>
      <c r="AD161" s="821"/>
      <c r="AE161" s="821"/>
      <c r="AF161" s="821"/>
      <c r="AG161" s="821"/>
    </row>
    <row r="162" spans="11:33" s="366" customFormat="1" ht="13.15" customHeight="1" x14ac:dyDescent="0.25">
      <c r="K162" s="588"/>
      <c r="M162" s="958"/>
      <c r="N162" s="958"/>
      <c r="O162" s="958"/>
      <c r="P162" s="958"/>
      <c r="Q162" s="958"/>
      <c r="R162" s="958"/>
      <c r="S162" s="958"/>
      <c r="T162" s="958"/>
      <c r="U162" s="958"/>
      <c r="V162" s="958"/>
      <c r="W162" s="958"/>
      <c r="X162" s="993"/>
      <c r="Y162" s="774"/>
      <c r="Z162" s="774"/>
      <c r="AA162" s="827"/>
      <c r="AB162" s="774"/>
      <c r="AC162" s="774"/>
      <c r="AD162" s="821"/>
      <c r="AE162" s="821"/>
      <c r="AF162" s="821"/>
      <c r="AG162" s="821"/>
    </row>
    <row r="163" spans="11:33" s="366" customFormat="1" ht="13.15" customHeight="1" x14ac:dyDescent="0.25">
      <c r="K163" s="588"/>
      <c r="M163" s="958"/>
      <c r="N163" s="958"/>
      <c r="O163" s="958"/>
      <c r="P163" s="958"/>
      <c r="Q163" s="958"/>
      <c r="R163" s="958"/>
      <c r="S163" s="958"/>
      <c r="T163" s="958"/>
      <c r="U163" s="958"/>
      <c r="V163" s="958"/>
      <c r="W163" s="958"/>
      <c r="X163" s="993"/>
      <c r="Y163" s="774"/>
      <c r="Z163" s="774"/>
      <c r="AA163" s="827"/>
      <c r="AB163" s="774"/>
      <c r="AC163" s="774"/>
      <c r="AD163" s="821"/>
      <c r="AE163" s="821"/>
      <c r="AF163" s="821"/>
      <c r="AG163" s="821"/>
    </row>
    <row r="164" spans="11:33" s="366" customFormat="1" ht="13.15" customHeight="1" x14ac:dyDescent="0.25">
      <c r="K164" s="588"/>
      <c r="M164" s="958"/>
      <c r="N164" s="958"/>
      <c r="O164" s="958"/>
      <c r="P164" s="958"/>
      <c r="Q164" s="958"/>
      <c r="R164" s="958"/>
      <c r="S164" s="958"/>
      <c r="T164" s="958"/>
      <c r="U164" s="958"/>
      <c r="V164" s="958"/>
      <c r="W164" s="958"/>
      <c r="X164" s="993"/>
      <c r="Y164" s="774"/>
      <c r="Z164" s="774"/>
      <c r="AA164" s="827"/>
      <c r="AB164" s="774"/>
      <c r="AC164" s="774"/>
      <c r="AD164" s="821"/>
      <c r="AE164" s="821"/>
      <c r="AF164" s="821"/>
      <c r="AG164" s="821"/>
    </row>
    <row r="165" spans="11:33" s="366" customFormat="1" ht="13.15" customHeight="1" x14ac:dyDescent="0.25">
      <c r="K165" s="588"/>
      <c r="M165" s="958"/>
      <c r="N165" s="958"/>
      <c r="O165" s="958"/>
      <c r="P165" s="958"/>
      <c r="Q165" s="958"/>
      <c r="R165" s="958"/>
      <c r="S165" s="958"/>
      <c r="T165" s="958"/>
      <c r="U165" s="958"/>
      <c r="V165" s="958"/>
      <c r="W165" s="958"/>
      <c r="X165" s="993"/>
      <c r="Y165" s="774"/>
      <c r="Z165" s="774"/>
      <c r="AA165" s="827"/>
      <c r="AB165" s="774"/>
      <c r="AC165" s="774"/>
      <c r="AD165" s="821"/>
      <c r="AE165" s="821"/>
      <c r="AF165" s="821"/>
      <c r="AG165" s="821"/>
    </row>
    <row r="166" spans="11:33" s="366" customFormat="1" ht="13.15" customHeight="1" x14ac:dyDescent="0.25">
      <c r="K166" s="588"/>
      <c r="M166" s="958"/>
      <c r="N166" s="958"/>
      <c r="O166" s="958"/>
      <c r="P166" s="958"/>
      <c r="Q166" s="958"/>
      <c r="R166" s="958"/>
      <c r="S166" s="958"/>
      <c r="T166" s="958"/>
      <c r="U166" s="958"/>
      <c r="V166" s="958"/>
      <c r="W166" s="958"/>
      <c r="X166" s="993"/>
      <c r="Y166" s="774"/>
      <c r="Z166" s="774"/>
      <c r="AA166" s="827"/>
      <c r="AB166" s="774"/>
      <c r="AC166" s="774"/>
      <c r="AD166" s="821"/>
      <c r="AE166" s="821"/>
      <c r="AF166" s="821"/>
      <c r="AG166" s="821"/>
    </row>
    <row r="167" spans="11:33" s="366" customFormat="1" ht="13.15" customHeight="1" x14ac:dyDescent="0.25">
      <c r="K167" s="588"/>
      <c r="M167" s="958"/>
      <c r="N167" s="958"/>
      <c r="O167" s="958"/>
      <c r="P167" s="958"/>
      <c r="Q167" s="958"/>
      <c r="R167" s="958"/>
      <c r="S167" s="958"/>
      <c r="T167" s="958"/>
      <c r="U167" s="958"/>
      <c r="V167" s="958"/>
      <c r="W167" s="958"/>
      <c r="X167" s="993"/>
      <c r="Y167" s="774"/>
      <c r="Z167" s="774"/>
      <c r="AA167" s="827"/>
      <c r="AB167" s="774"/>
      <c r="AC167" s="774"/>
      <c r="AD167" s="821"/>
      <c r="AE167" s="821"/>
      <c r="AF167" s="821"/>
      <c r="AG167" s="821"/>
    </row>
    <row r="168" spans="11:33" s="366" customFormat="1" ht="13.15" customHeight="1" x14ac:dyDescent="0.25">
      <c r="K168" s="588"/>
      <c r="M168" s="958"/>
      <c r="N168" s="958"/>
      <c r="O168" s="958"/>
      <c r="P168" s="958"/>
      <c r="Q168" s="958"/>
      <c r="R168" s="958"/>
      <c r="S168" s="958"/>
      <c r="T168" s="958"/>
      <c r="U168" s="958"/>
      <c r="V168" s="958"/>
      <c r="W168" s="958"/>
      <c r="X168" s="993"/>
      <c r="Y168" s="774"/>
      <c r="Z168" s="774"/>
      <c r="AA168" s="827"/>
      <c r="AB168" s="774"/>
      <c r="AC168" s="774"/>
      <c r="AD168" s="821"/>
      <c r="AE168" s="821"/>
      <c r="AF168" s="821"/>
      <c r="AG168" s="821"/>
    </row>
    <row r="169" spans="11:33" s="366" customFormat="1" ht="13.15" customHeight="1" x14ac:dyDescent="0.25">
      <c r="K169" s="588"/>
      <c r="M169" s="958"/>
      <c r="N169" s="958"/>
      <c r="O169" s="958"/>
      <c r="P169" s="958"/>
      <c r="Q169" s="958"/>
      <c r="R169" s="958"/>
      <c r="S169" s="958"/>
      <c r="T169" s="958"/>
      <c r="U169" s="958"/>
      <c r="V169" s="958"/>
      <c r="W169" s="958"/>
      <c r="X169" s="993"/>
      <c r="Y169" s="774"/>
      <c r="Z169" s="774"/>
      <c r="AA169" s="827"/>
      <c r="AB169" s="774"/>
      <c r="AC169" s="774"/>
      <c r="AD169" s="821"/>
      <c r="AE169" s="821"/>
      <c r="AF169" s="821"/>
      <c r="AG169" s="821"/>
    </row>
    <row r="170" spans="11:33" s="366" customFormat="1" ht="13.15" customHeight="1" x14ac:dyDescent="0.25">
      <c r="K170" s="588"/>
      <c r="M170" s="958"/>
      <c r="N170" s="958"/>
      <c r="O170" s="958"/>
      <c r="P170" s="958"/>
      <c r="Q170" s="958"/>
      <c r="R170" s="958"/>
      <c r="S170" s="958"/>
      <c r="T170" s="958"/>
      <c r="U170" s="958"/>
      <c r="V170" s="958"/>
      <c r="W170" s="958"/>
      <c r="X170" s="993"/>
      <c r="Y170" s="774"/>
      <c r="Z170" s="774"/>
      <c r="AA170" s="827"/>
      <c r="AB170" s="774"/>
      <c r="AC170" s="774"/>
      <c r="AD170" s="821"/>
      <c r="AE170" s="821"/>
      <c r="AF170" s="821"/>
      <c r="AG170" s="821"/>
    </row>
    <row r="171" spans="11:33" s="366" customFormat="1" ht="13.15" customHeight="1" x14ac:dyDescent="0.25">
      <c r="K171" s="588"/>
      <c r="M171" s="958"/>
      <c r="N171" s="958"/>
      <c r="O171" s="958"/>
      <c r="P171" s="958"/>
      <c r="Q171" s="958"/>
      <c r="R171" s="958"/>
      <c r="S171" s="958"/>
      <c r="T171" s="958"/>
      <c r="U171" s="958"/>
      <c r="V171" s="958"/>
      <c r="W171" s="958"/>
      <c r="X171" s="993"/>
      <c r="Y171" s="774"/>
      <c r="Z171" s="774"/>
      <c r="AA171" s="827"/>
      <c r="AB171" s="774"/>
      <c r="AC171" s="774"/>
      <c r="AD171" s="821"/>
      <c r="AE171" s="821"/>
      <c r="AF171" s="821"/>
      <c r="AG171" s="821"/>
    </row>
    <row r="172" spans="11:33" s="366" customFormat="1" ht="13.15" customHeight="1" x14ac:dyDescent="0.25">
      <c r="K172" s="588"/>
      <c r="M172" s="958"/>
      <c r="N172" s="958"/>
      <c r="O172" s="958"/>
      <c r="P172" s="958"/>
      <c r="Q172" s="958"/>
      <c r="R172" s="958"/>
      <c r="S172" s="958"/>
      <c r="T172" s="958"/>
      <c r="U172" s="958"/>
      <c r="V172" s="958"/>
      <c r="W172" s="958"/>
      <c r="X172" s="993"/>
      <c r="Y172" s="774"/>
      <c r="Z172" s="774"/>
      <c r="AA172" s="827"/>
      <c r="AB172" s="774"/>
      <c r="AC172" s="774"/>
      <c r="AD172" s="821"/>
      <c r="AE172" s="821"/>
      <c r="AF172" s="821"/>
      <c r="AG172" s="821"/>
    </row>
    <row r="173" spans="11:33" s="366" customFormat="1" ht="13.15" customHeight="1" x14ac:dyDescent="0.25">
      <c r="K173" s="588"/>
      <c r="M173" s="958"/>
      <c r="N173" s="958"/>
      <c r="O173" s="958"/>
      <c r="P173" s="958"/>
      <c r="Q173" s="958"/>
      <c r="R173" s="958"/>
      <c r="S173" s="958"/>
      <c r="T173" s="958"/>
      <c r="U173" s="958"/>
      <c r="V173" s="958"/>
      <c r="W173" s="958"/>
      <c r="X173" s="993"/>
      <c r="Y173" s="774"/>
      <c r="Z173" s="774"/>
      <c r="AA173" s="827"/>
      <c r="AB173" s="774"/>
      <c r="AC173" s="774"/>
      <c r="AD173" s="821"/>
      <c r="AE173" s="821"/>
      <c r="AF173" s="821"/>
      <c r="AG173" s="821"/>
    </row>
    <row r="174" spans="11:33" s="366" customFormat="1" ht="13.15" customHeight="1" x14ac:dyDescent="0.25">
      <c r="K174" s="588"/>
      <c r="M174" s="958"/>
      <c r="N174" s="958"/>
      <c r="O174" s="958"/>
      <c r="P174" s="958"/>
      <c r="Q174" s="958"/>
      <c r="R174" s="958"/>
      <c r="S174" s="958"/>
      <c r="T174" s="958"/>
      <c r="U174" s="958"/>
      <c r="V174" s="958"/>
      <c r="W174" s="958"/>
      <c r="X174" s="993"/>
      <c r="Y174" s="774"/>
      <c r="Z174" s="774"/>
      <c r="AA174" s="827"/>
      <c r="AB174" s="774"/>
      <c r="AC174" s="774"/>
      <c r="AD174" s="821"/>
      <c r="AE174" s="821"/>
      <c r="AF174" s="821"/>
      <c r="AG174" s="821"/>
    </row>
    <row r="175" spans="11:33" s="366" customFormat="1" ht="13.15" customHeight="1" x14ac:dyDescent="0.25">
      <c r="K175" s="588"/>
      <c r="M175" s="958"/>
      <c r="N175" s="958"/>
      <c r="O175" s="958"/>
      <c r="P175" s="958"/>
      <c r="Q175" s="958"/>
      <c r="R175" s="958"/>
      <c r="S175" s="958"/>
      <c r="T175" s="958"/>
      <c r="U175" s="958"/>
      <c r="V175" s="958"/>
      <c r="W175" s="958"/>
      <c r="X175" s="993"/>
      <c r="Y175" s="774"/>
      <c r="Z175" s="774"/>
      <c r="AA175" s="827"/>
      <c r="AB175" s="774"/>
      <c r="AC175" s="774"/>
      <c r="AD175" s="821"/>
      <c r="AE175" s="821"/>
      <c r="AF175" s="821"/>
      <c r="AG175" s="821"/>
    </row>
    <row r="176" spans="11:33" s="366" customFormat="1" ht="13.15" customHeight="1" x14ac:dyDescent="0.25">
      <c r="K176" s="588"/>
      <c r="M176" s="958"/>
      <c r="N176" s="958"/>
      <c r="O176" s="958"/>
      <c r="P176" s="958"/>
      <c r="Q176" s="958"/>
      <c r="R176" s="958"/>
      <c r="S176" s="958"/>
      <c r="T176" s="958"/>
      <c r="U176" s="958"/>
      <c r="V176" s="958"/>
      <c r="W176" s="958"/>
      <c r="X176" s="993"/>
      <c r="Y176" s="774"/>
      <c r="Z176" s="774"/>
      <c r="AA176" s="827"/>
      <c r="AB176" s="774"/>
      <c r="AC176" s="774"/>
      <c r="AD176" s="821"/>
      <c r="AE176" s="821"/>
      <c r="AF176" s="821"/>
      <c r="AG176" s="821"/>
    </row>
    <row r="177" spans="11:33" s="366" customFormat="1" ht="13.15" customHeight="1" x14ac:dyDescent="0.25">
      <c r="K177" s="588"/>
      <c r="M177" s="958"/>
      <c r="N177" s="958"/>
      <c r="O177" s="958"/>
      <c r="P177" s="958"/>
      <c r="Q177" s="958"/>
      <c r="R177" s="958"/>
      <c r="S177" s="958"/>
      <c r="T177" s="958"/>
      <c r="U177" s="958"/>
      <c r="V177" s="958"/>
      <c r="W177" s="958"/>
      <c r="X177" s="993"/>
      <c r="Y177" s="774"/>
      <c r="Z177" s="774"/>
      <c r="AA177" s="827"/>
      <c r="AB177" s="774"/>
      <c r="AC177" s="774"/>
      <c r="AD177" s="821"/>
      <c r="AE177" s="821"/>
      <c r="AF177" s="821"/>
      <c r="AG177" s="821"/>
    </row>
    <row r="178" spans="11:33" s="366" customFormat="1" ht="13.15" customHeight="1" x14ac:dyDescent="0.25">
      <c r="K178" s="588"/>
      <c r="M178" s="958"/>
      <c r="N178" s="958"/>
      <c r="O178" s="958"/>
      <c r="P178" s="958"/>
      <c r="Q178" s="958"/>
      <c r="R178" s="958"/>
      <c r="S178" s="958"/>
      <c r="T178" s="958"/>
      <c r="U178" s="958"/>
      <c r="V178" s="958"/>
      <c r="W178" s="958"/>
      <c r="X178" s="993"/>
      <c r="Y178" s="774"/>
      <c r="Z178" s="774"/>
      <c r="AA178" s="827"/>
      <c r="AB178" s="774"/>
      <c r="AC178" s="774"/>
      <c r="AD178" s="821"/>
      <c r="AE178" s="821"/>
      <c r="AF178" s="821"/>
      <c r="AG178" s="821"/>
    </row>
    <row r="179" spans="11:33" s="366" customFormat="1" ht="13.15" customHeight="1" x14ac:dyDescent="0.25">
      <c r="K179" s="588"/>
      <c r="M179" s="958"/>
      <c r="N179" s="958"/>
      <c r="O179" s="958"/>
      <c r="P179" s="958"/>
      <c r="Q179" s="958"/>
      <c r="R179" s="958"/>
      <c r="S179" s="958"/>
      <c r="T179" s="958"/>
      <c r="U179" s="958"/>
      <c r="V179" s="958"/>
      <c r="W179" s="958"/>
      <c r="X179" s="993"/>
      <c r="Y179" s="774"/>
      <c r="Z179" s="774"/>
      <c r="AA179" s="827"/>
      <c r="AB179" s="774"/>
      <c r="AC179" s="774"/>
      <c r="AD179" s="821"/>
      <c r="AE179" s="821"/>
      <c r="AF179" s="821"/>
      <c r="AG179" s="821"/>
    </row>
    <row r="180" spans="11:33" s="366" customFormat="1" ht="13.15" customHeight="1" x14ac:dyDescent="0.25">
      <c r="K180" s="588"/>
      <c r="M180" s="958"/>
      <c r="N180" s="958"/>
      <c r="O180" s="958"/>
      <c r="P180" s="958"/>
      <c r="Q180" s="958"/>
      <c r="R180" s="958"/>
      <c r="S180" s="958"/>
      <c r="T180" s="958"/>
      <c r="U180" s="958"/>
      <c r="V180" s="958"/>
      <c r="W180" s="958"/>
      <c r="X180" s="993"/>
      <c r="Y180" s="774"/>
      <c r="Z180" s="774"/>
      <c r="AA180" s="827"/>
      <c r="AB180" s="774"/>
      <c r="AC180" s="774"/>
      <c r="AD180" s="821"/>
      <c r="AE180" s="821"/>
      <c r="AF180" s="821"/>
      <c r="AG180" s="821"/>
    </row>
    <row r="181" spans="11:33" s="366" customFormat="1" ht="13.15" customHeight="1" x14ac:dyDescent="0.25">
      <c r="K181" s="588"/>
      <c r="M181" s="958"/>
      <c r="N181" s="958"/>
      <c r="O181" s="958"/>
      <c r="P181" s="958"/>
      <c r="Q181" s="958"/>
      <c r="R181" s="958"/>
      <c r="S181" s="958"/>
      <c r="T181" s="958"/>
      <c r="U181" s="958"/>
      <c r="V181" s="958"/>
      <c r="W181" s="958"/>
      <c r="X181" s="993"/>
      <c r="Y181" s="774"/>
      <c r="Z181" s="774"/>
      <c r="AA181" s="827"/>
      <c r="AB181" s="774"/>
      <c r="AC181" s="774"/>
      <c r="AD181" s="821"/>
      <c r="AE181" s="821"/>
      <c r="AF181" s="821"/>
      <c r="AG181" s="821"/>
    </row>
    <row r="182" spans="11:33" s="366" customFormat="1" ht="13.15" customHeight="1" x14ac:dyDescent="0.25">
      <c r="K182" s="588"/>
      <c r="M182" s="958"/>
      <c r="N182" s="958"/>
      <c r="O182" s="958"/>
      <c r="P182" s="958"/>
      <c r="Q182" s="958"/>
      <c r="R182" s="958"/>
      <c r="S182" s="958"/>
      <c r="T182" s="958"/>
      <c r="U182" s="958"/>
      <c r="V182" s="958"/>
      <c r="W182" s="958"/>
      <c r="X182" s="993"/>
      <c r="Y182" s="774"/>
      <c r="Z182" s="774"/>
      <c r="AA182" s="827"/>
      <c r="AB182" s="774"/>
      <c r="AC182" s="774"/>
      <c r="AD182" s="821"/>
      <c r="AE182" s="821"/>
      <c r="AF182" s="821"/>
      <c r="AG182" s="821"/>
    </row>
    <row r="183" spans="11:33" s="366" customFormat="1" ht="13.15" customHeight="1" x14ac:dyDescent="0.25">
      <c r="K183" s="588"/>
      <c r="M183" s="958"/>
      <c r="N183" s="958"/>
      <c r="O183" s="958"/>
      <c r="P183" s="958"/>
      <c r="Q183" s="958"/>
      <c r="R183" s="958"/>
      <c r="S183" s="958"/>
      <c r="T183" s="958"/>
      <c r="U183" s="958"/>
      <c r="V183" s="958"/>
      <c r="W183" s="958"/>
      <c r="X183" s="993"/>
      <c r="Y183" s="774"/>
      <c r="Z183" s="774"/>
      <c r="AA183" s="827"/>
      <c r="AB183" s="774"/>
      <c r="AC183" s="774"/>
      <c r="AD183" s="821"/>
      <c r="AE183" s="821"/>
      <c r="AF183" s="821"/>
      <c r="AG183" s="821"/>
    </row>
    <row r="184" spans="11:33" s="366" customFormat="1" ht="13.15" customHeight="1" x14ac:dyDescent="0.25">
      <c r="K184" s="588"/>
      <c r="M184" s="958"/>
      <c r="N184" s="958"/>
      <c r="O184" s="958"/>
      <c r="P184" s="958"/>
      <c r="Q184" s="958"/>
      <c r="R184" s="958"/>
      <c r="S184" s="958"/>
      <c r="T184" s="958"/>
      <c r="U184" s="958"/>
      <c r="V184" s="958"/>
      <c r="W184" s="958"/>
      <c r="X184" s="993"/>
      <c r="Y184" s="774"/>
      <c r="Z184" s="774"/>
      <c r="AA184" s="827"/>
      <c r="AB184" s="774"/>
      <c r="AC184" s="774"/>
      <c r="AD184" s="821"/>
      <c r="AE184" s="821"/>
      <c r="AF184" s="821"/>
      <c r="AG184" s="821"/>
    </row>
    <row r="185" spans="11:33" s="366" customFormat="1" ht="13.15" customHeight="1" x14ac:dyDescent="0.25">
      <c r="K185" s="588"/>
      <c r="M185" s="958"/>
      <c r="N185" s="958"/>
      <c r="O185" s="958"/>
      <c r="P185" s="958"/>
      <c r="Q185" s="958"/>
      <c r="R185" s="958"/>
      <c r="S185" s="958"/>
      <c r="T185" s="958"/>
      <c r="U185" s="958"/>
      <c r="V185" s="958"/>
      <c r="W185" s="958"/>
      <c r="X185" s="993"/>
      <c r="Y185" s="774"/>
      <c r="Z185" s="774"/>
      <c r="AA185" s="827"/>
      <c r="AB185" s="774"/>
      <c r="AC185" s="774"/>
      <c r="AD185" s="821"/>
      <c r="AE185" s="821"/>
      <c r="AF185" s="821"/>
      <c r="AG185" s="821"/>
    </row>
    <row r="186" spans="11:33" s="366" customFormat="1" ht="13.15" customHeight="1" x14ac:dyDescent="0.25">
      <c r="K186" s="58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93"/>
      <c r="Y186" s="774"/>
      <c r="Z186" s="774"/>
      <c r="AA186" s="827"/>
      <c r="AB186" s="774"/>
      <c r="AC186" s="774"/>
      <c r="AD186" s="821"/>
      <c r="AE186" s="821"/>
      <c r="AF186" s="821"/>
      <c r="AG186" s="821"/>
    </row>
    <row r="187" spans="11:33" s="366" customFormat="1" ht="13.15" customHeight="1" x14ac:dyDescent="0.25">
      <c r="K187" s="588"/>
      <c r="M187" s="958"/>
      <c r="N187" s="958"/>
      <c r="O187" s="958"/>
      <c r="P187" s="958"/>
      <c r="Q187" s="958"/>
      <c r="R187" s="958"/>
      <c r="S187" s="958"/>
      <c r="T187" s="958"/>
      <c r="U187" s="958"/>
      <c r="V187" s="958"/>
      <c r="W187" s="958"/>
      <c r="X187" s="993"/>
      <c r="Y187" s="774"/>
      <c r="Z187" s="774"/>
      <c r="AA187" s="827"/>
      <c r="AB187" s="774"/>
      <c r="AC187" s="774"/>
      <c r="AD187" s="821"/>
      <c r="AE187" s="821"/>
      <c r="AF187" s="821"/>
      <c r="AG187" s="821"/>
    </row>
    <row r="188" spans="11:33" s="366" customFormat="1" ht="13.15" customHeight="1" x14ac:dyDescent="0.25">
      <c r="K188" s="588"/>
      <c r="M188" s="958"/>
      <c r="N188" s="958"/>
      <c r="O188" s="958"/>
      <c r="P188" s="958"/>
      <c r="Q188" s="958"/>
      <c r="R188" s="958"/>
      <c r="S188" s="958"/>
      <c r="T188" s="958"/>
      <c r="U188" s="958"/>
      <c r="V188" s="958"/>
      <c r="W188" s="958"/>
      <c r="X188" s="993"/>
      <c r="Y188" s="774"/>
      <c r="Z188" s="774"/>
      <c r="AA188" s="827"/>
      <c r="AB188" s="774"/>
      <c r="AC188" s="774"/>
      <c r="AD188" s="821"/>
      <c r="AE188" s="821"/>
      <c r="AF188" s="821"/>
      <c r="AG188" s="821"/>
    </row>
    <row r="189" spans="11:33" s="366" customFormat="1" ht="13.15" customHeight="1" x14ac:dyDescent="0.25">
      <c r="K189" s="588"/>
      <c r="M189" s="958"/>
      <c r="N189" s="958"/>
      <c r="O189" s="958"/>
      <c r="P189" s="958"/>
      <c r="Q189" s="958"/>
      <c r="R189" s="958"/>
      <c r="S189" s="958"/>
      <c r="T189" s="958"/>
      <c r="U189" s="958"/>
      <c r="V189" s="958"/>
      <c r="W189" s="958"/>
      <c r="X189" s="993"/>
      <c r="Y189" s="774"/>
      <c r="Z189" s="774"/>
      <c r="AA189" s="827"/>
      <c r="AB189" s="774"/>
      <c r="AC189" s="774"/>
      <c r="AD189" s="821"/>
      <c r="AE189" s="821"/>
      <c r="AF189" s="821"/>
      <c r="AG189" s="821"/>
    </row>
    <row r="190" spans="11:33" s="366" customFormat="1" ht="13.15" customHeight="1" x14ac:dyDescent="0.25">
      <c r="K190" s="588"/>
      <c r="M190" s="958"/>
      <c r="N190" s="958"/>
      <c r="O190" s="958"/>
      <c r="P190" s="958"/>
      <c r="Q190" s="958"/>
      <c r="R190" s="958"/>
      <c r="S190" s="958"/>
      <c r="T190" s="958"/>
      <c r="U190" s="958"/>
      <c r="V190" s="958"/>
      <c r="W190" s="958"/>
      <c r="X190" s="993"/>
      <c r="Y190" s="774"/>
      <c r="Z190" s="774"/>
      <c r="AA190" s="827"/>
      <c r="AB190" s="774"/>
      <c r="AC190" s="774"/>
      <c r="AD190" s="821"/>
      <c r="AE190" s="821"/>
      <c r="AF190" s="821"/>
      <c r="AG190" s="821"/>
    </row>
    <row r="191" spans="11:33" s="366" customFormat="1" ht="13.15" customHeight="1" x14ac:dyDescent="0.25">
      <c r="K191" s="588"/>
      <c r="M191" s="958"/>
      <c r="N191" s="958"/>
      <c r="O191" s="958"/>
      <c r="P191" s="958"/>
      <c r="Q191" s="958"/>
      <c r="R191" s="958"/>
      <c r="S191" s="958"/>
      <c r="T191" s="958"/>
      <c r="U191" s="958"/>
      <c r="V191" s="958"/>
      <c r="W191" s="958"/>
      <c r="X191" s="993"/>
      <c r="Y191" s="774"/>
      <c r="Z191" s="774"/>
      <c r="AA191" s="827"/>
      <c r="AB191" s="774"/>
      <c r="AC191" s="774"/>
      <c r="AD191" s="821"/>
      <c r="AE191" s="821"/>
      <c r="AF191" s="821"/>
      <c r="AG191" s="821"/>
    </row>
    <row r="192" spans="11:33" s="366" customFormat="1" ht="13.15" customHeight="1" x14ac:dyDescent="0.25">
      <c r="K192" s="588"/>
      <c r="M192" s="958"/>
      <c r="N192" s="958"/>
      <c r="O192" s="958"/>
      <c r="P192" s="958"/>
      <c r="Q192" s="958"/>
      <c r="R192" s="958"/>
      <c r="S192" s="958"/>
      <c r="T192" s="958"/>
      <c r="U192" s="958"/>
      <c r="V192" s="958"/>
      <c r="W192" s="958"/>
      <c r="X192" s="993"/>
      <c r="Y192" s="774"/>
      <c r="Z192" s="774"/>
      <c r="AA192" s="827"/>
      <c r="AB192" s="774"/>
      <c r="AC192" s="774"/>
      <c r="AD192" s="821"/>
      <c r="AE192" s="821"/>
      <c r="AF192" s="821"/>
      <c r="AG192" s="821"/>
    </row>
    <row r="193" spans="11:33" s="366" customFormat="1" ht="13.15" customHeight="1" x14ac:dyDescent="0.25">
      <c r="K193" s="588"/>
      <c r="M193" s="958"/>
      <c r="N193" s="958"/>
      <c r="O193" s="958"/>
      <c r="P193" s="958"/>
      <c r="Q193" s="958"/>
      <c r="R193" s="958"/>
      <c r="S193" s="958"/>
      <c r="T193" s="958"/>
      <c r="U193" s="958"/>
      <c r="V193" s="958"/>
      <c r="W193" s="958"/>
      <c r="X193" s="993"/>
      <c r="Y193" s="774"/>
      <c r="Z193" s="774"/>
      <c r="AA193" s="827"/>
      <c r="AB193" s="774"/>
      <c r="AC193" s="774"/>
      <c r="AD193" s="821"/>
      <c r="AE193" s="821"/>
      <c r="AF193" s="821"/>
      <c r="AG193" s="821"/>
    </row>
    <row r="194" spans="11:33" s="366" customFormat="1" ht="13.15" customHeight="1" x14ac:dyDescent="0.25">
      <c r="K194" s="588"/>
      <c r="M194" s="958"/>
      <c r="N194" s="958"/>
      <c r="O194" s="958"/>
      <c r="P194" s="958"/>
      <c r="Q194" s="958"/>
      <c r="R194" s="958"/>
      <c r="S194" s="958"/>
      <c r="T194" s="958"/>
      <c r="U194" s="958"/>
      <c r="V194" s="958"/>
      <c r="W194" s="958"/>
      <c r="X194" s="993"/>
      <c r="Y194" s="774"/>
      <c r="Z194" s="774"/>
      <c r="AA194" s="827"/>
      <c r="AB194" s="774"/>
      <c r="AC194" s="774"/>
      <c r="AD194" s="821"/>
      <c r="AE194" s="821"/>
      <c r="AF194" s="821"/>
      <c r="AG194" s="821"/>
    </row>
    <row r="195" spans="11:33" s="366" customFormat="1" ht="13.15" customHeight="1" x14ac:dyDescent="0.25">
      <c r="K195" s="588"/>
      <c r="M195" s="958"/>
      <c r="N195" s="958"/>
      <c r="O195" s="958"/>
      <c r="P195" s="958"/>
      <c r="Q195" s="958"/>
      <c r="R195" s="958"/>
      <c r="S195" s="958"/>
      <c r="T195" s="958"/>
      <c r="U195" s="958"/>
      <c r="V195" s="958"/>
      <c r="W195" s="958"/>
      <c r="X195" s="993"/>
      <c r="Y195" s="774"/>
      <c r="Z195" s="774"/>
      <c r="AA195" s="827"/>
      <c r="AB195" s="774"/>
      <c r="AC195" s="774"/>
      <c r="AD195" s="821"/>
      <c r="AE195" s="821"/>
      <c r="AF195" s="821"/>
      <c r="AG195" s="821"/>
    </row>
    <row r="196" spans="11:33" s="366" customFormat="1" ht="13.15" customHeight="1" x14ac:dyDescent="0.25">
      <c r="K196" s="588"/>
      <c r="M196" s="958"/>
      <c r="N196" s="958"/>
      <c r="O196" s="958"/>
      <c r="P196" s="958"/>
      <c r="Q196" s="958"/>
      <c r="R196" s="958"/>
      <c r="S196" s="958"/>
      <c r="T196" s="958"/>
      <c r="U196" s="958"/>
      <c r="V196" s="958"/>
      <c r="W196" s="958"/>
      <c r="X196" s="993"/>
      <c r="Y196" s="774"/>
      <c r="Z196" s="774"/>
      <c r="AA196" s="827"/>
      <c r="AB196" s="774"/>
      <c r="AC196" s="774"/>
      <c r="AD196" s="821"/>
      <c r="AE196" s="821"/>
      <c r="AF196" s="821"/>
      <c r="AG196" s="821"/>
    </row>
    <row r="197" spans="11:33" s="366" customFormat="1" ht="13.15" customHeight="1" x14ac:dyDescent="0.25">
      <c r="K197" s="588"/>
      <c r="M197" s="958"/>
      <c r="N197" s="958"/>
      <c r="O197" s="958"/>
      <c r="P197" s="958"/>
      <c r="Q197" s="958"/>
      <c r="R197" s="958"/>
      <c r="S197" s="958"/>
      <c r="T197" s="958"/>
      <c r="U197" s="958"/>
      <c r="V197" s="958"/>
      <c r="W197" s="958"/>
      <c r="X197" s="993"/>
      <c r="Y197" s="774"/>
      <c r="Z197" s="774"/>
      <c r="AA197" s="827"/>
      <c r="AB197" s="774"/>
      <c r="AC197" s="774"/>
      <c r="AD197" s="821"/>
      <c r="AE197" s="821"/>
      <c r="AF197" s="821"/>
      <c r="AG197" s="821"/>
    </row>
    <row r="198" spans="11:33" s="366" customFormat="1" ht="13.15" customHeight="1" x14ac:dyDescent="0.25">
      <c r="K198" s="588"/>
      <c r="M198" s="958"/>
      <c r="N198" s="958"/>
      <c r="O198" s="958"/>
      <c r="P198" s="958"/>
      <c r="Q198" s="958"/>
      <c r="R198" s="958"/>
      <c r="S198" s="958"/>
      <c r="T198" s="958"/>
      <c r="U198" s="958"/>
      <c r="V198" s="958"/>
      <c r="W198" s="958"/>
      <c r="X198" s="993"/>
      <c r="Y198" s="774"/>
      <c r="Z198" s="774"/>
      <c r="AA198" s="827"/>
      <c r="AB198" s="774"/>
      <c r="AC198" s="774"/>
      <c r="AD198" s="821"/>
      <c r="AE198" s="821"/>
      <c r="AF198" s="821"/>
      <c r="AG198" s="821"/>
    </row>
    <row r="199" spans="11:33" s="366" customFormat="1" ht="13.15" customHeight="1" x14ac:dyDescent="0.25">
      <c r="K199" s="588"/>
      <c r="M199" s="958"/>
      <c r="N199" s="958"/>
      <c r="O199" s="958"/>
      <c r="P199" s="958"/>
      <c r="Q199" s="958"/>
      <c r="R199" s="958"/>
      <c r="S199" s="958"/>
      <c r="T199" s="958"/>
      <c r="U199" s="958"/>
      <c r="V199" s="958"/>
      <c r="W199" s="958"/>
      <c r="X199" s="993"/>
      <c r="Y199" s="774"/>
      <c r="Z199" s="774"/>
      <c r="AA199" s="827"/>
      <c r="AB199" s="774"/>
      <c r="AC199" s="774"/>
      <c r="AD199" s="821"/>
      <c r="AE199" s="821"/>
      <c r="AF199" s="821"/>
      <c r="AG199" s="821"/>
    </row>
    <row r="200" spans="11:33" s="366" customFormat="1" ht="13.15" customHeight="1" x14ac:dyDescent="0.25">
      <c r="K200" s="588"/>
      <c r="M200" s="958"/>
      <c r="N200" s="958"/>
      <c r="O200" s="958"/>
      <c r="P200" s="958"/>
      <c r="Q200" s="958"/>
      <c r="R200" s="958"/>
      <c r="S200" s="958"/>
      <c r="T200" s="958"/>
      <c r="U200" s="958"/>
      <c r="V200" s="958"/>
      <c r="W200" s="958"/>
      <c r="X200" s="993"/>
      <c r="Y200" s="774"/>
      <c r="Z200" s="774"/>
      <c r="AA200" s="827"/>
      <c r="AB200" s="774"/>
      <c r="AC200" s="774"/>
      <c r="AD200" s="821"/>
      <c r="AE200" s="821"/>
      <c r="AF200" s="821"/>
      <c r="AG200" s="821"/>
    </row>
    <row r="201" spans="11:33" s="366" customFormat="1" ht="13.15" customHeight="1" x14ac:dyDescent="0.25">
      <c r="K201" s="588"/>
      <c r="M201" s="958"/>
      <c r="N201" s="958"/>
      <c r="O201" s="958"/>
      <c r="P201" s="958"/>
      <c r="Q201" s="958"/>
      <c r="R201" s="958"/>
      <c r="S201" s="958"/>
      <c r="T201" s="958"/>
      <c r="U201" s="958"/>
      <c r="V201" s="958"/>
      <c r="W201" s="958"/>
      <c r="X201" s="993"/>
      <c r="Y201" s="774"/>
      <c r="Z201" s="774"/>
      <c r="AA201" s="827"/>
      <c r="AB201" s="774"/>
      <c r="AC201" s="774"/>
      <c r="AD201" s="821"/>
      <c r="AE201" s="821"/>
      <c r="AF201" s="821"/>
      <c r="AG201" s="821"/>
    </row>
    <row r="202" spans="11:33" s="366" customFormat="1" ht="13.15" customHeight="1" x14ac:dyDescent="0.25">
      <c r="K202" s="588"/>
      <c r="M202" s="958"/>
      <c r="N202" s="958"/>
      <c r="O202" s="958"/>
      <c r="P202" s="958"/>
      <c r="Q202" s="958"/>
      <c r="R202" s="958"/>
      <c r="S202" s="958"/>
      <c r="T202" s="958"/>
      <c r="U202" s="958"/>
      <c r="V202" s="958"/>
      <c r="W202" s="958"/>
      <c r="X202" s="993"/>
      <c r="Y202" s="774"/>
      <c r="Z202" s="774"/>
      <c r="AA202" s="827"/>
      <c r="AB202" s="774"/>
      <c r="AC202" s="774"/>
      <c r="AD202" s="821"/>
      <c r="AE202" s="821"/>
      <c r="AF202" s="821"/>
      <c r="AG202" s="821"/>
    </row>
    <row r="203" spans="11:33" s="366" customFormat="1" ht="13.15" customHeight="1" x14ac:dyDescent="0.25">
      <c r="K203" s="588"/>
      <c r="M203" s="958"/>
      <c r="N203" s="958"/>
      <c r="O203" s="958"/>
      <c r="P203" s="958"/>
      <c r="Q203" s="958"/>
      <c r="R203" s="958"/>
      <c r="S203" s="958"/>
      <c r="T203" s="958"/>
      <c r="U203" s="958"/>
      <c r="V203" s="958"/>
      <c r="W203" s="958"/>
      <c r="X203" s="993"/>
      <c r="Y203" s="774"/>
      <c r="Z203" s="774"/>
      <c r="AA203" s="827"/>
      <c r="AB203" s="774"/>
      <c r="AC203" s="774"/>
      <c r="AD203" s="821"/>
      <c r="AE203" s="821"/>
      <c r="AF203" s="821"/>
      <c r="AG203" s="821"/>
    </row>
    <row r="204" spans="11:33" s="366" customFormat="1" ht="12.75" customHeight="1" x14ac:dyDescent="0.25">
      <c r="K204" s="588"/>
      <c r="M204" s="958"/>
      <c r="N204" s="958"/>
      <c r="O204" s="958"/>
      <c r="P204" s="958"/>
      <c r="Q204" s="958"/>
      <c r="R204" s="958"/>
      <c r="S204" s="958"/>
      <c r="T204" s="958"/>
      <c r="U204" s="958"/>
      <c r="V204" s="958"/>
      <c r="W204" s="958"/>
      <c r="X204" s="993"/>
      <c r="Y204" s="774"/>
      <c r="Z204" s="774"/>
      <c r="AA204" s="827"/>
      <c r="AB204" s="774"/>
      <c r="AC204" s="774"/>
      <c r="AD204" s="821"/>
      <c r="AE204" s="821"/>
      <c r="AF204" s="821"/>
      <c r="AG204" s="821"/>
    </row>
    <row r="205" spans="11:33" s="366" customFormat="1" ht="13.15" customHeight="1" x14ac:dyDescent="0.25">
      <c r="K205" s="588"/>
      <c r="M205" s="958"/>
      <c r="N205" s="958"/>
      <c r="O205" s="958"/>
      <c r="P205" s="958"/>
      <c r="Q205" s="958"/>
      <c r="R205" s="958"/>
      <c r="S205" s="958"/>
      <c r="T205" s="958"/>
      <c r="U205" s="958"/>
      <c r="V205" s="958"/>
      <c r="W205" s="958"/>
      <c r="X205" s="993"/>
      <c r="Y205" s="774"/>
      <c r="Z205" s="774"/>
      <c r="AA205" s="827"/>
      <c r="AB205" s="774"/>
      <c r="AC205" s="774"/>
      <c r="AD205" s="821"/>
      <c r="AE205" s="821"/>
      <c r="AF205" s="821"/>
      <c r="AG205" s="821"/>
    </row>
    <row r="206" spans="11:33" s="366" customFormat="1" ht="13.15" customHeight="1" x14ac:dyDescent="0.25">
      <c r="K206" s="588"/>
      <c r="M206" s="958"/>
      <c r="N206" s="958"/>
      <c r="O206" s="958"/>
      <c r="P206" s="958"/>
      <c r="Q206" s="958"/>
      <c r="R206" s="958"/>
      <c r="S206" s="958"/>
      <c r="T206" s="958"/>
      <c r="U206" s="958"/>
      <c r="V206" s="958"/>
      <c r="W206" s="958"/>
      <c r="X206" s="993"/>
      <c r="Y206" s="774"/>
      <c r="Z206" s="774"/>
      <c r="AA206" s="827"/>
      <c r="AB206" s="774"/>
      <c r="AC206" s="774"/>
      <c r="AD206" s="821"/>
      <c r="AE206" s="821"/>
      <c r="AF206" s="821"/>
      <c r="AG206" s="821"/>
    </row>
    <row r="207" spans="11:33" s="366" customFormat="1" ht="13.15" customHeight="1" x14ac:dyDescent="0.25">
      <c r="K207" s="588"/>
      <c r="M207" s="958"/>
      <c r="N207" s="958"/>
      <c r="O207" s="958"/>
      <c r="P207" s="958"/>
      <c r="Q207" s="958"/>
      <c r="R207" s="958"/>
      <c r="S207" s="958"/>
      <c r="T207" s="958"/>
      <c r="U207" s="958"/>
      <c r="V207" s="958"/>
      <c r="W207" s="958"/>
      <c r="X207" s="993"/>
      <c r="Y207" s="774"/>
      <c r="Z207" s="774"/>
      <c r="AA207" s="827"/>
      <c r="AB207" s="774"/>
      <c r="AC207" s="774"/>
      <c r="AD207" s="821"/>
      <c r="AE207" s="821"/>
      <c r="AF207" s="821"/>
      <c r="AG207" s="821"/>
    </row>
    <row r="208" spans="11:33" s="366" customFormat="1" ht="15.6" customHeight="1" x14ac:dyDescent="0.25">
      <c r="K208" s="588"/>
      <c r="M208" s="958"/>
      <c r="N208" s="958"/>
      <c r="O208" s="958"/>
      <c r="P208" s="958"/>
      <c r="Q208" s="958"/>
      <c r="R208" s="958"/>
      <c r="S208" s="958"/>
      <c r="T208" s="958"/>
      <c r="U208" s="958"/>
      <c r="V208" s="958"/>
      <c r="W208" s="958"/>
      <c r="X208" s="993"/>
      <c r="Y208" s="774"/>
      <c r="Z208" s="774"/>
      <c r="AA208" s="827"/>
      <c r="AB208" s="774"/>
      <c r="AC208" s="774"/>
      <c r="AD208" s="821"/>
      <c r="AE208" s="821"/>
      <c r="AF208" s="821"/>
      <c r="AG208" s="821"/>
    </row>
    <row r="209" spans="4:33" s="366" customFormat="1" ht="13.15" customHeight="1" x14ac:dyDescent="0.25">
      <c r="K209" s="588"/>
      <c r="M209" s="958"/>
      <c r="N209" s="958"/>
      <c r="O209" s="958"/>
      <c r="P209" s="958"/>
      <c r="Q209" s="958"/>
      <c r="R209" s="958"/>
      <c r="S209" s="958"/>
      <c r="T209" s="958"/>
      <c r="U209" s="958"/>
      <c r="V209" s="958"/>
      <c r="W209" s="958"/>
      <c r="X209" s="993"/>
      <c r="Y209" s="774"/>
      <c r="Z209" s="774"/>
      <c r="AA209" s="827"/>
      <c r="AB209" s="774"/>
      <c r="AC209" s="774"/>
      <c r="AD209" s="821"/>
      <c r="AE209" s="821"/>
      <c r="AF209" s="821"/>
      <c r="AG209" s="821"/>
    </row>
    <row r="210" spans="4:33" s="366" customFormat="1" ht="13.15" customHeight="1" x14ac:dyDescent="0.25">
      <c r="K210" s="588"/>
      <c r="M210" s="958"/>
      <c r="N210" s="958"/>
      <c r="O210" s="958"/>
      <c r="P210" s="958"/>
      <c r="Q210" s="958"/>
      <c r="R210" s="958"/>
      <c r="S210" s="958"/>
      <c r="T210" s="958"/>
      <c r="U210" s="958"/>
      <c r="V210" s="958"/>
      <c r="W210" s="958"/>
      <c r="X210" s="993"/>
      <c r="Y210" s="774"/>
      <c r="Z210" s="774"/>
      <c r="AA210" s="827"/>
      <c r="AB210" s="774"/>
      <c r="AC210" s="774"/>
      <c r="AD210" s="821"/>
      <c r="AE210" s="821"/>
      <c r="AF210" s="821"/>
      <c r="AG210" s="821"/>
    </row>
    <row r="211" spans="4:33" s="366" customFormat="1" ht="13.15" customHeight="1" x14ac:dyDescent="0.25">
      <c r="K211" s="588"/>
      <c r="M211" s="958"/>
      <c r="N211" s="958"/>
      <c r="O211" s="958"/>
      <c r="P211" s="958"/>
      <c r="Q211" s="958"/>
      <c r="R211" s="958"/>
      <c r="S211" s="958"/>
      <c r="T211" s="958"/>
      <c r="U211" s="958"/>
      <c r="V211" s="958"/>
      <c r="W211" s="958"/>
      <c r="X211" s="993"/>
      <c r="Y211" s="774"/>
      <c r="Z211" s="774"/>
      <c r="AA211" s="827"/>
      <c r="AB211" s="774"/>
      <c r="AC211" s="774"/>
      <c r="AD211" s="821"/>
      <c r="AE211" s="821"/>
      <c r="AF211" s="821"/>
      <c r="AG211" s="821"/>
    </row>
    <row r="212" spans="4:33" s="366" customFormat="1" ht="13.15" customHeight="1" x14ac:dyDescent="0.25">
      <c r="K212" s="588"/>
      <c r="M212" s="958"/>
      <c r="N212" s="958"/>
      <c r="O212" s="958"/>
      <c r="P212" s="958"/>
      <c r="Q212" s="958"/>
      <c r="R212" s="958"/>
      <c r="S212" s="958"/>
      <c r="T212" s="958"/>
      <c r="U212" s="958"/>
      <c r="V212" s="958"/>
      <c r="W212" s="958"/>
      <c r="X212" s="993"/>
      <c r="Y212" s="774"/>
      <c r="Z212" s="774"/>
      <c r="AA212" s="827"/>
      <c r="AB212" s="774"/>
      <c r="AC212" s="774"/>
      <c r="AD212" s="821"/>
      <c r="AE212" s="821"/>
      <c r="AF212" s="821"/>
      <c r="AG212" s="821"/>
    </row>
    <row r="213" spans="4:33" s="366" customFormat="1" ht="13.15" customHeight="1" x14ac:dyDescent="0.25">
      <c r="K213" s="588"/>
      <c r="M213" s="958"/>
      <c r="N213" s="958"/>
      <c r="O213" s="958"/>
      <c r="P213" s="958"/>
      <c r="Q213" s="958"/>
      <c r="R213" s="958"/>
      <c r="S213" s="958"/>
      <c r="T213" s="958"/>
      <c r="U213" s="958"/>
      <c r="V213" s="958"/>
      <c r="W213" s="958"/>
      <c r="X213" s="993"/>
      <c r="Y213" s="774"/>
      <c r="Z213" s="774"/>
      <c r="AA213" s="827"/>
      <c r="AB213" s="774"/>
      <c r="AC213" s="774"/>
      <c r="AD213" s="821"/>
      <c r="AE213" s="821"/>
      <c r="AF213" s="821"/>
      <c r="AG213" s="821"/>
    </row>
    <row r="214" spans="4:33" s="366" customFormat="1" ht="13.15" customHeight="1" x14ac:dyDescent="0.25">
      <c r="K214" s="588"/>
      <c r="M214" s="958"/>
      <c r="N214" s="958"/>
      <c r="O214" s="958"/>
      <c r="P214" s="958"/>
      <c r="Q214" s="958"/>
      <c r="R214" s="958"/>
      <c r="S214" s="958"/>
      <c r="T214" s="958"/>
      <c r="U214" s="958"/>
      <c r="V214" s="958"/>
      <c r="W214" s="958"/>
      <c r="X214" s="993"/>
      <c r="Y214" s="774"/>
      <c r="Z214" s="774"/>
      <c r="AA214" s="827"/>
      <c r="AB214" s="774"/>
      <c r="AC214" s="774"/>
      <c r="AD214" s="821"/>
      <c r="AE214" s="821"/>
      <c r="AF214" s="821"/>
      <c r="AG214" s="821"/>
    </row>
    <row r="215" spans="4:33" s="366" customFormat="1" ht="13.15" customHeight="1" x14ac:dyDescent="0.25">
      <c r="K215" s="588"/>
      <c r="M215" s="958"/>
      <c r="N215" s="958"/>
      <c r="O215" s="958"/>
      <c r="P215" s="958"/>
      <c r="Q215" s="958"/>
      <c r="R215" s="958"/>
      <c r="S215" s="958"/>
      <c r="T215" s="958"/>
      <c r="U215" s="958"/>
      <c r="V215" s="958"/>
      <c r="W215" s="958"/>
      <c r="X215" s="993"/>
      <c r="Y215" s="774"/>
      <c r="Z215" s="774"/>
      <c r="AA215" s="827"/>
      <c r="AB215" s="774"/>
      <c r="AC215" s="774"/>
      <c r="AD215" s="821"/>
      <c r="AE215" s="821"/>
      <c r="AF215" s="821"/>
      <c r="AG215" s="821"/>
    </row>
    <row r="216" spans="4:33" s="366" customFormat="1" ht="13.15" customHeight="1" x14ac:dyDescent="0.25">
      <c r="K216" s="588"/>
      <c r="M216" s="958"/>
      <c r="N216" s="958"/>
      <c r="O216" s="958"/>
      <c r="P216" s="958"/>
      <c r="Q216" s="958"/>
      <c r="R216" s="958"/>
      <c r="S216" s="958"/>
      <c r="T216" s="958"/>
      <c r="U216" s="958"/>
      <c r="V216" s="958"/>
      <c r="W216" s="958"/>
      <c r="X216" s="993"/>
      <c r="Y216" s="774"/>
      <c r="Z216" s="774"/>
      <c r="AA216" s="827"/>
      <c r="AB216" s="774"/>
      <c r="AC216" s="774"/>
      <c r="AD216" s="821"/>
      <c r="AE216" s="821"/>
      <c r="AF216" s="821"/>
      <c r="AG216" s="821"/>
    </row>
    <row r="217" spans="4:33" s="366" customFormat="1" ht="13.15" customHeight="1" x14ac:dyDescent="0.25">
      <c r="K217" s="588"/>
      <c r="M217" s="958"/>
      <c r="N217" s="958"/>
      <c r="O217" s="958"/>
      <c r="P217" s="958"/>
      <c r="Q217" s="958"/>
      <c r="R217" s="958"/>
      <c r="S217" s="958"/>
      <c r="T217" s="958"/>
      <c r="U217" s="958"/>
      <c r="V217" s="958"/>
      <c r="W217" s="958"/>
      <c r="X217" s="993"/>
      <c r="Y217" s="774"/>
      <c r="Z217" s="774"/>
      <c r="AA217" s="827"/>
      <c r="AB217" s="774"/>
      <c r="AC217" s="774"/>
      <c r="AD217" s="821"/>
      <c r="AE217" s="821"/>
      <c r="AF217" s="821"/>
      <c r="AG217" s="821"/>
    </row>
    <row r="218" spans="4:33" s="366" customFormat="1" ht="13.15" customHeight="1" x14ac:dyDescent="0.25">
      <c r="K218" s="588"/>
      <c r="M218" s="958"/>
      <c r="N218" s="958"/>
      <c r="O218" s="958"/>
      <c r="P218" s="958"/>
      <c r="Q218" s="958"/>
      <c r="R218" s="958"/>
      <c r="S218" s="958"/>
      <c r="T218" s="958"/>
      <c r="U218" s="958"/>
      <c r="V218" s="958"/>
      <c r="W218" s="958"/>
      <c r="X218" s="993"/>
      <c r="Y218" s="774"/>
      <c r="Z218" s="774"/>
      <c r="AA218" s="827"/>
      <c r="AB218" s="774"/>
      <c r="AC218" s="774"/>
      <c r="AD218" s="821"/>
      <c r="AE218" s="821"/>
      <c r="AF218" s="821"/>
      <c r="AG218" s="821"/>
    </row>
    <row r="219" spans="4:33" s="366" customFormat="1" ht="13.15" customHeight="1" x14ac:dyDescent="0.25">
      <c r="K219" s="588"/>
      <c r="M219" s="958"/>
      <c r="N219" s="958"/>
      <c r="O219" s="958"/>
      <c r="P219" s="958"/>
      <c r="Q219" s="958"/>
      <c r="R219" s="958"/>
      <c r="S219" s="958"/>
      <c r="T219" s="958"/>
      <c r="U219" s="958"/>
      <c r="V219" s="958"/>
      <c r="W219" s="958"/>
      <c r="X219" s="993"/>
      <c r="Y219" s="774"/>
      <c r="Z219" s="774"/>
      <c r="AA219" s="827"/>
      <c r="AB219" s="774"/>
      <c r="AC219" s="774"/>
      <c r="AD219" s="821"/>
      <c r="AE219" s="821"/>
      <c r="AF219" s="821"/>
      <c r="AG219" s="821"/>
    </row>
    <row r="224" spans="4:33" s="363" customFormat="1" x14ac:dyDescent="0.25">
      <c r="D224" s="367"/>
      <c r="E224" s="367"/>
      <c r="F224" s="367"/>
      <c r="K224" s="587"/>
      <c r="M224" s="367"/>
      <c r="N224" s="367"/>
      <c r="O224" s="367"/>
      <c r="P224" s="367"/>
      <c r="Q224" s="367"/>
      <c r="R224" s="367"/>
      <c r="S224" s="367"/>
      <c r="T224" s="367"/>
      <c r="U224" s="367"/>
      <c r="V224" s="367"/>
      <c r="W224" s="367"/>
      <c r="X224" s="364"/>
      <c r="Y224" s="773"/>
      <c r="Z224" s="773"/>
      <c r="AA224" s="826"/>
      <c r="AB224" s="773"/>
      <c r="AC224" s="773"/>
    </row>
    <row r="225" spans="4:29" s="355" customFormat="1" x14ac:dyDescent="0.25">
      <c r="D225" s="365"/>
      <c r="E225" s="365"/>
      <c r="F225" s="365"/>
      <c r="K225" s="586"/>
      <c r="M225" s="365"/>
      <c r="N225" s="365"/>
      <c r="O225" s="365"/>
      <c r="P225" s="365"/>
      <c r="Q225" s="365"/>
      <c r="R225" s="365"/>
      <c r="S225" s="365"/>
      <c r="T225" s="365"/>
      <c r="U225" s="365"/>
      <c r="V225" s="365"/>
      <c r="W225" s="365"/>
      <c r="X225" s="991"/>
      <c r="Y225" s="770"/>
      <c r="Z225" s="770"/>
      <c r="AA225" s="823"/>
      <c r="AB225" s="770"/>
      <c r="AC225" s="770"/>
    </row>
  </sheetData>
  <mergeCells count="46">
    <mergeCell ref="A66:C66"/>
    <mergeCell ref="A67:C67"/>
    <mergeCell ref="A59:C59"/>
    <mergeCell ref="A58:I58"/>
    <mergeCell ref="A65:C65"/>
    <mergeCell ref="A60:C60"/>
    <mergeCell ref="A61:C61"/>
    <mergeCell ref="A62:C62"/>
    <mergeCell ref="A63:C63"/>
    <mergeCell ref="A64:C64"/>
    <mergeCell ref="AK4:AK6"/>
    <mergeCell ref="AH4:AI5"/>
    <mergeCell ref="M4:R4"/>
    <mergeCell ref="Q5:Q6"/>
    <mergeCell ref="AF4:AF5"/>
    <mergeCell ref="AE4:AE6"/>
    <mergeCell ref="AJ4:AJ6"/>
    <mergeCell ref="M5:M6"/>
    <mergeCell ref="N5:N6"/>
    <mergeCell ref="R5:R6"/>
    <mergeCell ref="O5:O6"/>
    <mergeCell ref="P5:P6"/>
    <mergeCell ref="S5:S6"/>
    <mergeCell ref="T5:T6"/>
    <mergeCell ref="U5:U6"/>
    <mergeCell ref="V5:V6"/>
    <mergeCell ref="A2:F2"/>
    <mergeCell ref="L5:L6"/>
    <mergeCell ref="K5:K6"/>
    <mergeCell ref="J5:J6"/>
    <mergeCell ref="I5:I6"/>
    <mergeCell ref="H5:H6"/>
    <mergeCell ref="G5:G6"/>
    <mergeCell ref="G4:L4"/>
    <mergeCell ref="A4:C6"/>
    <mergeCell ref="D4:F4"/>
    <mergeCell ref="X4:AD4"/>
    <mergeCell ref="X5:X6"/>
    <mergeCell ref="Y5:Y6"/>
    <mergeCell ref="S4:W4"/>
    <mergeCell ref="W5:W6"/>
    <mergeCell ref="Z5:Z6"/>
    <mergeCell ref="AA5:AA6"/>
    <mergeCell ref="AB5:AB6"/>
    <mergeCell ref="AC5:AC6"/>
    <mergeCell ref="AD5:AD6"/>
  </mergeCells>
  <conditionalFormatting sqref="O9:O20">
    <cfRule type="cellIs" dxfId="2" priority="3" operator="greaterThan">
      <formula>0</formula>
    </cfRule>
  </conditionalFormatting>
  <conditionalFormatting sqref="O22:O35">
    <cfRule type="cellIs" dxfId="1" priority="2" operator="greaterThan">
      <formula>0</formula>
    </cfRule>
  </conditionalFormatting>
  <conditionalFormatting sqref="O37:O55">
    <cfRule type="cellIs" dxfId="0" priority="1" operator="greaterThan">
      <formula>0</formula>
    </cfRule>
  </conditionalFormatting>
  <pageMargins left="1" right="0.75" top="1" bottom="1" header="0.5" footer="0.5"/>
  <pageSetup paperSize="167" orientation="landscape" verticalDpi="300" r:id="rId1"/>
  <headerFooter alignWithMargins="0"/>
  <rowBreaks count="1" manualBreakCount="1">
    <brk id="5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CL512"/>
  <sheetViews>
    <sheetView zoomScale="90" zoomScaleNormal="90" workbookViewId="0">
      <pane xSplit="3" ySplit="6" topLeftCell="D7" activePane="bottomRight" state="frozen"/>
      <selection activeCell="AD4" sqref="AD1:AD1048576"/>
      <selection pane="topRight" activeCell="AD4" sqref="AD1:AD1048576"/>
      <selection pane="bottomLeft" activeCell="AD4" sqref="AD1:AD1048576"/>
      <selection pane="bottomRight" activeCell="C17" sqref="C17"/>
    </sheetView>
  </sheetViews>
  <sheetFormatPr defaultColWidth="8.85546875" defaultRowHeight="21.6" customHeight="1" x14ac:dyDescent="0.25"/>
  <cols>
    <col min="1" max="1" width="3.28515625" style="591" customWidth="1"/>
    <col min="2" max="2" width="17.28515625" style="591" customWidth="1"/>
    <col min="3" max="3" width="18.7109375" style="590" customWidth="1"/>
    <col min="4" max="4" width="7.140625" style="590" customWidth="1"/>
    <col min="5" max="5" width="11.28515625" style="590" customWidth="1"/>
    <col min="6" max="6" width="12" style="591" customWidth="1"/>
    <col min="7" max="7" width="10.42578125" style="591" customWidth="1"/>
    <col min="8" max="8" width="9" style="591" customWidth="1"/>
    <col min="9" max="9" width="12.7109375" style="591" customWidth="1"/>
    <col min="10" max="10" width="6.5703125" style="750" customWidth="1"/>
    <col min="11" max="11" width="7.85546875" style="750" customWidth="1"/>
    <col min="12" max="12" width="8.85546875" style="750" customWidth="1"/>
    <col min="13" max="13" width="8.85546875" style="945" customWidth="1"/>
    <col min="14" max="14" width="10.42578125" style="591" customWidth="1"/>
    <col min="15" max="15" width="9.85546875" style="591" customWidth="1"/>
    <col min="16" max="16" width="10.140625" style="723" customWidth="1"/>
    <col min="17" max="17" width="10.28515625" style="720" customWidth="1"/>
    <col min="18" max="18" width="10.28515625" style="723" customWidth="1"/>
    <col min="19" max="19" width="9.42578125" style="591" customWidth="1"/>
    <col min="20" max="20" width="8.5703125" style="591" customWidth="1"/>
    <col min="21" max="21" width="7.28515625" style="750" customWidth="1"/>
    <col min="22" max="22" width="7.5703125" style="750" customWidth="1"/>
    <col min="23" max="23" width="9" style="750" customWidth="1"/>
    <col min="24" max="24" width="9" style="945" customWidth="1"/>
    <col min="25" max="25" width="9" style="591" customWidth="1"/>
    <col min="26" max="26" width="9.28515625" style="591" customWidth="1"/>
    <col min="27" max="27" width="11.85546875" style="591" customWidth="1"/>
    <col min="28" max="28" width="9.140625" style="591" customWidth="1"/>
    <col min="29" max="29" width="9.28515625" style="723" customWidth="1"/>
    <col min="30" max="30" width="10.85546875" style="591" customWidth="1"/>
    <col min="31" max="31" width="10.7109375" style="591" customWidth="1"/>
    <col min="32" max="32" width="10.5703125" style="591" customWidth="1"/>
    <col min="33" max="33" width="9.7109375" style="591" customWidth="1"/>
    <col min="34" max="37" width="8.85546875" style="750" customWidth="1"/>
    <col min="38" max="38" width="10.7109375" style="591" customWidth="1"/>
    <col min="39" max="39" width="10.5703125" style="591" customWidth="1"/>
    <col min="40" max="40" width="9.140625" style="591" customWidth="1"/>
    <col min="41" max="41" width="9.85546875" style="591" customWidth="1"/>
    <col min="42" max="42" width="9.42578125" style="591" customWidth="1"/>
    <col min="43" max="43" width="12.42578125" style="591" customWidth="1"/>
    <col min="44" max="47" width="8.85546875" style="750" customWidth="1"/>
    <col min="48" max="48" width="10.28515625" style="591" customWidth="1"/>
    <col min="49" max="49" width="9.28515625" style="591" customWidth="1"/>
    <col min="50" max="50" width="11.85546875" style="591" customWidth="1"/>
    <col min="51" max="51" width="9.140625" style="591" customWidth="1"/>
    <col min="52" max="52" width="11.7109375" style="591" customWidth="1"/>
    <col min="53" max="54" width="11.7109375" style="723" customWidth="1"/>
    <col min="55" max="55" width="12.28515625" style="591" customWidth="1"/>
    <col min="56" max="56" width="12.28515625" style="666" customWidth="1"/>
    <col min="57" max="57" width="9.28515625" style="591" customWidth="1"/>
    <col min="58" max="58" width="8.85546875" style="591" customWidth="1"/>
    <col min="59" max="60" width="8.85546875" style="750" customWidth="1"/>
    <col min="61" max="61" width="10.42578125" style="750" customWidth="1"/>
    <col min="62" max="62" width="12.28515625" style="750" customWidth="1"/>
    <col min="63" max="63" width="11.28515625" style="591" customWidth="1"/>
    <col min="64" max="64" width="12.5703125" style="720" customWidth="1"/>
    <col min="65" max="66" width="12.5703125" style="591" customWidth="1"/>
    <col min="67" max="67" width="12.7109375" style="723" customWidth="1"/>
    <col min="68" max="68" width="12.7109375" style="593" customWidth="1"/>
    <col min="69" max="69" width="4.42578125" style="591" customWidth="1"/>
    <col min="70" max="70" width="4.85546875" style="591" customWidth="1"/>
    <col min="71" max="82" width="8.85546875" style="591" customWidth="1"/>
    <col min="83" max="85" width="8.85546875" style="750" customWidth="1"/>
    <col min="86" max="86" width="10.42578125" style="720" customWidth="1"/>
    <col min="87" max="87" width="10.7109375" style="591" customWidth="1"/>
    <col min="88" max="88" width="8.85546875" style="591" customWidth="1"/>
    <col min="89" max="89" width="10" style="591" customWidth="1"/>
    <col min="90" max="92" width="8.85546875" style="591" customWidth="1"/>
    <col min="93" max="16384" width="8.85546875" style="591"/>
  </cols>
  <sheetData>
    <row r="1" spans="1:90" ht="27.6" customHeight="1" x14ac:dyDescent="0.3">
      <c r="A1" s="596"/>
      <c r="B1" s="596"/>
      <c r="C1" s="597"/>
      <c r="D1" s="597"/>
      <c r="E1" s="1459" t="s">
        <v>700</v>
      </c>
      <c r="F1" s="1460"/>
      <c r="G1" s="1460"/>
      <c r="H1" s="1460"/>
      <c r="I1" s="1460"/>
      <c r="J1" s="1460"/>
      <c r="K1" s="1460"/>
      <c r="L1" s="1460"/>
      <c r="M1" s="1460"/>
      <c r="N1" s="1460"/>
      <c r="O1" s="1460"/>
      <c r="P1" s="1460"/>
      <c r="Q1" s="1460"/>
      <c r="R1" s="1460"/>
      <c r="S1" s="1460"/>
      <c r="T1" s="1460"/>
      <c r="U1" s="1460"/>
      <c r="V1" s="1460"/>
      <c r="W1" s="1460"/>
      <c r="X1" s="1460"/>
      <c r="Y1" s="1460"/>
      <c r="Z1" s="1460"/>
      <c r="AA1" s="1460"/>
      <c r="AB1" s="1460"/>
      <c r="AC1" s="1460"/>
      <c r="AD1" s="1460"/>
      <c r="AE1" s="1460"/>
      <c r="AF1" s="1451" t="s">
        <v>708</v>
      </c>
      <c r="AG1" s="1452"/>
      <c r="AH1" s="1452"/>
      <c r="AI1" s="1452"/>
      <c r="AJ1" s="1452"/>
      <c r="AK1" s="1452"/>
      <c r="AL1" s="1452"/>
      <c r="AM1" s="1452"/>
      <c r="AN1" s="1452"/>
      <c r="AO1" s="1452"/>
      <c r="AP1" s="1452"/>
      <c r="AQ1" s="1452"/>
      <c r="AR1" s="1452"/>
      <c r="AS1" s="1452"/>
      <c r="AT1" s="1452"/>
      <c r="AU1" s="1452"/>
      <c r="AV1" s="1452"/>
      <c r="AW1" s="1452"/>
      <c r="AX1" s="1452"/>
      <c r="AY1" s="1452"/>
      <c r="AZ1" s="1452"/>
      <c r="BA1" s="1452"/>
      <c r="BB1" s="1453"/>
      <c r="BC1" s="1472" t="s">
        <v>701</v>
      </c>
      <c r="BD1" s="1472"/>
      <c r="BE1" s="1472"/>
      <c r="BF1" s="1472"/>
      <c r="BG1" s="1472"/>
      <c r="BH1" s="1472"/>
      <c r="BI1" s="1472"/>
      <c r="BJ1" s="1472"/>
      <c r="BK1" s="1472"/>
      <c r="BL1" s="1472"/>
      <c r="BM1" s="1472"/>
      <c r="BN1" s="1472"/>
      <c r="BO1" s="1472"/>
      <c r="BP1" s="815"/>
      <c r="BS1" s="1492" t="s">
        <v>779</v>
      </c>
      <c r="BT1" s="1493"/>
      <c r="BU1" s="1493"/>
      <c r="BV1" s="1493"/>
      <c r="BW1" s="1493"/>
      <c r="BX1" s="1493"/>
      <c r="BY1" s="1493"/>
      <c r="BZ1" s="1493"/>
      <c r="CA1" s="1493"/>
      <c r="CB1" s="1493"/>
      <c r="CC1" s="1493"/>
      <c r="CD1" s="1493"/>
      <c r="CE1" s="1493"/>
      <c r="CF1" s="1493"/>
      <c r="CG1" s="1493"/>
      <c r="CH1" s="1493"/>
      <c r="CI1" s="1494"/>
    </row>
    <row r="2" spans="1:90" ht="21.6" customHeight="1" x14ac:dyDescent="0.25">
      <c r="A2" s="596"/>
      <c r="B2" s="1474" t="s">
        <v>705</v>
      </c>
      <c r="C2" s="1475" t="s">
        <v>706</v>
      </c>
      <c r="D2" s="780"/>
      <c r="E2" s="1461" t="s">
        <v>832</v>
      </c>
      <c r="F2" s="1462"/>
      <c r="G2" s="1462"/>
      <c r="H2" s="1462"/>
      <c r="I2" s="1463"/>
      <c r="J2" s="1483" t="s">
        <v>759</v>
      </c>
      <c r="K2" s="1484"/>
      <c r="L2" s="1484"/>
      <c r="M2" s="1484"/>
      <c r="N2" s="1484"/>
      <c r="O2" s="1484"/>
      <c r="P2" s="1484"/>
      <c r="Q2" s="1484"/>
      <c r="R2" s="1485"/>
      <c r="S2" s="1461" t="s">
        <v>834</v>
      </c>
      <c r="T2" s="1463"/>
      <c r="U2" s="1483" t="s">
        <v>760</v>
      </c>
      <c r="V2" s="1484"/>
      <c r="W2" s="1484"/>
      <c r="X2" s="1484"/>
      <c r="Y2" s="1484"/>
      <c r="Z2" s="1484"/>
      <c r="AA2" s="1484"/>
      <c r="AB2" s="1484"/>
      <c r="AC2" s="1485"/>
      <c r="AD2" s="1467" t="s">
        <v>839</v>
      </c>
      <c r="AE2" s="1469" t="s">
        <v>840</v>
      </c>
      <c r="AF2" s="1442" t="s">
        <v>833</v>
      </c>
      <c r="AG2" s="1443"/>
      <c r="AH2" s="1456" t="s">
        <v>757</v>
      </c>
      <c r="AI2" s="1457"/>
      <c r="AJ2" s="1457"/>
      <c r="AK2" s="1457"/>
      <c r="AL2" s="1457"/>
      <c r="AM2" s="1457"/>
      <c r="AN2" s="1457"/>
      <c r="AO2" s="1457"/>
      <c r="AP2" s="1458"/>
      <c r="AQ2" s="1449" t="s">
        <v>835</v>
      </c>
      <c r="AR2" s="1456" t="s">
        <v>758</v>
      </c>
      <c r="AS2" s="1457"/>
      <c r="AT2" s="1457"/>
      <c r="AU2" s="1457"/>
      <c r="AV2" s="1457"/>
      <c r="AW2" s="1457"/>
      <c r="AX2" s="1457"/>
      <c r="AY2" s="1457"/>
      <c r="AZ2" s="1458"/>
      <c r="BA2" s="1454" t="s">
        <v>838</v>
      </c>
      <c r="BB2" s="1454" t="s">
        <v>837</v>
      </c>
      <c r="BC2" s="1486" t="s">
        <v>844</v>
      </c>
      <c r="BD2" s="1487"/>
      <c r="BE2" s="596"/>
      <c r="BF2" s="596"/>
      <c r="BG2" s="1456" t="s">
        <v>702</v>
      </c>
      <c r="BH2" s="1457"/>
      <c r="BI2" s="1457"/>
      <c r="BJ2" s="1457"/>
      <c r="BK2" s="1457"/>
      <c r="BL2" s="1457"/>
      <c r="BM2" s="1457"/>
      <c r="BN2" s="1457"/>
      <c r="BO2" s="1458"/>
      <c r="BS2" s="1495" t="s">
        <v>0</v>
      </c>
      <c r="BT2" s="1495"/>
      <c r="BU2" s="1495"/>
      <c r="BV2" s="1495"/>
      <c r="BW2" s="1495"/>
      <c r="BX2" s="1495" t="s">
        <v>1</v>
      </c>
      <c r="BY2" s="1495"/>
      <c r="BZ2" s="1495"/>
      <c r="CA2" s="1495"/>
      <c r="CB2" s="1495"/>
      <c r="CC2" s="1495" t="s">
        <v>778</v>
      </c>
      <c r="CD2" s="1496"/>
      <c r="CE2" s="1491" t="s">
        <v>701</v>
      </c>
      <c r="CF2" s="1491"/>
      <c r="CG2" s="1491"/>
      <c r="CH2" s="1491"/>
      <c r="CI2" s="1491"/>
      <c r="CJ2" s="1471" t="s">
        <v>786</v>
      </c>
    </row>
    <row r="3" spans="1:90" ht="19.5" customHeight="1" x14ac:dyDescent="0.25">
      <c r="A3" s="596"/>
      <c r="B3" s="1474"/>
      <c r="C3" s="1475"/>
      <c r="D3" s="775"/>
      <c r="E3" s="1464"/>
      <c r="F3" s="1465"/>
      <c r="G3" s="1465"/>
      <c r="H3" s="1465"/>
      <c r="I3" s="1466"/>
      <c r="J3" s="1446" t="s">
        <v>267</v>
      </c>
      <c r="K3" s="1447"/>
      <c r="L3" s="1447"/>
      <c r="M3" s="1448"/>
      <c r="N3" s="1456" t="s">
        <v>703</v>
      </c>
      <c r="O3" s="1457"/>
      <c r="P3" s="1458"/>
      <c r="Q3" s="1473" t="s">
        <v>660</v>
      </c>
      <c r="R3" s="1473"/>
      <c r="S3" s="1464"/>
      <c r="T3" s="1466"/>
      <c r="U3" s="1446" t="s">
        <v>267</v>
      </c>
      <c r="V3" s="1447"/>
      <c r="W3" s="1447"/>
      <c r="X3" s="1448"/>
      <c r="Y3" s="1480" t="s">
        <v>703</v>
      </c>
      <c r="Z3" s="1481"/>
      <c r="AA3" s="1482"/>
      <c r="AB3" s="1480" t="s">
        <v>660</v>
      </c>
      <c r="AC3" s="1482"/>
      <c r="AD3" s="1468"/>
      <c r="AE3" s="1470"/>
      <c r="AF3" s="1444"/>
      <c r="AG3" s="1445"/>
      <c r="AH3" s="1446" t="s">
        <v>267</v>
      </c>
      <c r="AI3" s="1447"/>
      <c r="AJ3" s="1447"/>
      <c r="AK3" s="1448"/>
      <c r="AL3" s="1456" t="s">
        <v>703</v>
      </c>
      <c r="AM3" s="1457"/>
      <c r="AN3" s="1458"/>
      <c r="AO3" s="1473" t="s">
        <v>660</v>
      </c>
      <c r="AP3" s="1473"/>
      <c r="AQ3" s="1450"/>
      <c r="AR3" s="1446" t="s">
        <v>267</v>
      </c>
      <c r="AS3" s="1447"/>
      <c r="AT3" s="1447"/>
      <c r="AU3" s="1448"/>
      <c r="AV3" s="1456" t="s">
        <v>703</v>
      </c>
      <c r="AW3" s="1457"/>
      <c r="AX3" s="1458"/>
      <c r="AY3" s="1456" t="s">
        <v>660</v>
      </c>
      <c r="AZ3" s="1458"/>
      <c r="BA3" s="1455"/>
      <c r="BB3" s="1455"/>
      <c r="BC3" s="1488"/>
      <c r="BD3" s="1489"/>
      <c r="BE3" s="596" t="s">
        <v>581</v>
      </c>
      <c r="BF3" s="596" t="s">
        <v>704</v>
      </c>
      <c r="BG3" s="1446" t="s">
        <v>267</v>
      </c>
      <c r="BH3" s="1447"/>
      <c r="BI3" s="1447"/>
      <c r="BJ3" s="1448"/>
      <c r="BK3" s="1456" t="s">
        <v>703</v>
      </c>
      <c r="BL3" s="1457"/>
      <c r="BM3" s="1458"/>
      <c r="BN3" s="1473" t="s">
        <v>660</v>
      </c>
      <c r="BO3" s="1473"/>
      <c r="BP3" s="593" t="s">
        <v>809</v>
      </c>
      <c r="BS3" s="1495"/>
      <c r="BT3" s="1495"/>
      <c r="BU3" s="1495"/>
      <c r="BV3" s="1495"/>
      <c r="BW3" s="1495"/>
      <c r="BX3" s="1495"/>
      <c r="BY3" s="1495"/>
      <c r="BZ3" s="1495"/>
      <c r="CA3" s="1495"/>
      <c r="CB3" s="1495"/>
      <c r="CC3" s="1495"/>
      <c r="CD3" s="1496"/>
      <c r="CE3" s="1491"/>
      <c r="CF3" s="1491"/>
      <c r="CG3" s="1491"/>
      <c r="CH3" s="1491"/>
      <c r="CI3" s="1491"/>
      <c r="CJ3" s="1471"/>
    </row>
    <row r="4" spans="1:90" ht="21.6" customHeight="1" x14ac:dyDescent="0.25">
      <c r="A4" s="596"/>
      <c r="B4" s="1474"/>
      <c r="C4" s="1475"/>
      <c r="D4" s="775"/>
      <c r="E4" s="598" t="s">
        <v>431</v>
      </c>
      <c r="F4" s="599" t="s">
        <v>532</v>
      </c>
      <c r="G4" s="1476" t="s">
        <v>870</v>
      </c>
      <c r="H4" s="1477"/>
      <c r="I4" s="596" t="s">
        <v>746</v>
      </c>
      <c r="J4" s="738" t="s">
        <v>264</v>
      </c>
      <c r="K4" s="738" t="s">
        <v>263</v>
      </c>
      <c r="L4" s="739" t="s">
        <v>672</v>
      </c>
      <c r="M4" s="943" t="s">
        <v>532</v>
      </c>
      <c r="N4" s="1456" t="s">
        <v>431</v>
      </c>
      <c r="O4" s="1458"/>
      <c r="P4" s="942" t="s">
        <v>532</v>
      </c>
      <c r="Q4" s="835" t="s">
        <v>431</v>
      </c>
      <c r="R4" s="942" t="s">
        <v>532</v>
      </c>
      <c r="S4" s="599" t="s">
        <v>672</v>
      </c>
      <c r="T4" s="944" t="s">
        <v>532</v>
      </c>
      <c r="U4" s="734" t="s">
        <v>264</v>
      </c>
      <c r="V4" s="734" t="s">
        <v>263</v>
      </c>
      <c r="W4" s="950" t="s">
        <v>672</v>
      </c>
      <c r="X4" s="949" t="s">
        <v>532</v>
      </c>
      <c r="Y4" s="1478" t="s">
        <v>431</v>
      </c>
      <c r="Z4" s="1479"/>
      <c r="AA4" s="601" t="s">
        <v>532</v>
      </c>
      <c r="AB4" s="601" t="s">
        <v>431</v>
      </c>
      <c r="AC4" s="942" t="s">
        <v>532</v>
      </c>
      <c r="AD4" s="954" t="s">
        <v>532</v>
      </c>
      <c r="AE4" s="954" t="s">
        <v>532</v>
      </c>
      <c r="AF4" s="596" t="s">
        <v>431</v>
      </c>
      <c r="AG4" s="596" t="s">
        <v>623</v>
      </c>
      <c r="AH4" s="834" t="s">
        <v>264</v>
      </c>
      <c r="AI4" s="834" t="s">
        <v>263</v>
      </c>
      <c r="AJ4" s="833" t="s">
        <v>672</v>
      </c>
      <c r="AK4" s="959" t="s">
        <v>532</v>
      </c>
      <c r="AL4" s="1456" t="s">
        <v>709</v>
      </c>
      <c r="AM4" s="1458"/>
      <c r="AN4" s="942" t="s">
        <v>532</v>
      </c>
      <c r="AO4" s="600" t="s">
        <v>672</v>
      </c>
      <c r="AP4" s="942" t="s">
        <v>532</v>
      </c>
      <c r="AQ4" s="599" t="s">
        <v>836</v>
      </c>
      <c r="AR4" s="834" t="s">
        <v>264</v>
      </c>
      <c r="AS4" s="834" t="s">
        <v>263</v>
      </c>
      <c r="AT4" s="990" t="s">
        <v>672</v>
      </c>
      <c r="AU4" s="959" t="s">
        <v>532</v>
      </c>
      <c r="AV4" s="1478" t="s">
        <v>431</v>
      </c>
      <c r="AW4" s="1479"/>
      <c r="AX4" s="601" t="s">
        <v>532</v>
      </c>
      <c r="AY4" s="601" t="s">
        <v>431</v>
      </c>
      <c r="AZ4" s="601" t="s">
        <v>532</v>
      </c>
      <c r="BA4" s="969" t="s">
        <v>532</v>
      </c>
      <c r="BB4" s="969" t="s">
        <v>532</v>
      </c>
      <c r="BC4" s="967" t="s">
        <v>532</v>
      </c>
      <c r="BD4" s="968" t="s">
        <v>672</v>
      </c>
      <c r="BE4" s="596"/>
      <c r="BF4" s="596"/>
      <c r="BG4" s="834" t="s">
        <v>264</v>
      </c>
      <c r="BH4" s="834" t="s">
        <v>263</v>
      </c>
      <c r="BI4" s="965" t="s">
        <v>845</v>
      </c>
      <c r="BJ4" s="959" t="s">
        <v>532</v>
      </c>
      <c r="BK4" s="1456" t="s">
        <v>431</v>
      </c>
      <c r="BL4" s="1458"/>
      <c r="BM4" s="601" t="s">
        <v>532</v>
      </c>
      <c r="BN4" s="964" t="s">
        <v>431</v>
      </c>
      <c r="BO4" s="601" t="s">
        <v>532</v>
      </c>
      <c r="BP4" s="816"/>
      <c r="BS4" s="741" t="s">
        <v>264</v>
      </c>
      <c r="BT4" s="741" t="s">
        <v>263</v>
      </c>
      <c r="BU4" s="741" t="s">
        <v>777</v>
      </c>
      <c r="BV4" s="1490" t="s">
        <v>776</v>
      </c>
      <c r="BW4" s="1490"/>
      <c r="BX4" s="741" t="s">
        <v>264</v>
      </c>
      <c r="BY4" s="741" t="s">
        <v>263</v>
      </c>
      <c r="BZ4" s="741" t="s">
        <v>777</v>
      </c>
      <c r="CA4" s="1490" t="s">
        <v>776</v>
      </c>
      <c r="CB4" s="1490"/>
      <c r="CC4" s="1495"/>
      <c r="CD4" s="1496"/>
      <c r="CE4" s="748" t="s">
        <v>264</v>
      </c>
      <c r="CF4" s="748" t="s">
        <v>263</v>
      </c>
      <c r="CG4" s="748" t="s">
        <v>2</v>
      </c>
      <c r="CH4" s="1490" t="s">
        <v>780</v>
      </c>
      <c r="CI4" s="1490"/>
    </row>
    <row r="5" spans="1:90" ht="21.6" customHeight="1" x14ac:dyDescent="0.3">
      <c r="A5" s="596"/>
      <c r="B5" s="661"/>
      <c r="C5" s="667"/>
      <c r="D5" s="667"/>
      <c r="E5" s="596" t="s">
        <v>262</v>
      </c>
      <c r="F5" s="596" t="s">
        <v>262</v>
      </c>
      <c r="G5" s="596" t="s">
        <v>262</v>
      </c>
      <c r="H5" s="596" t="s">
        <v>262</v>
      </c>
      <c r="I5" s="596" t="s">
        <v>262</v>
      </c>
      <c r="J5" s="728"/>
      <c r="K5" s="728"/>
      <c r="L5" s="729"/>
      <c r="M5" s="946"/>
      <c r="N5" s="616" t="s">
        <v>271</v>
      </c>
      <c r="O5" s="835" t="s">
        <v>262</v>
      </c>
      <c r="P5" s="601" t="s">
        <v>262</v>
      </c>
      <c r="Q5" s="835" t="s">
        <v>262</v>
      </c>
      <c r="R5" s="601" t="s">
        <v>262</v>
      </c>
      <c r="S5" s="599" t="s">
        <v>262</v>
      </c>
      <c r="T5" s="599" t="s">
        <v>262</v>
      </c>
      <c r="U5" s="735"/>
      <c r="V5" s="735"/>
      <c r="W5" s="736"/>
      <c r="X5" s="951"/>
      <c r="Y5" s="668" t="s">
        <v>271</v>
      </c>
      <c r="Z5" s="601" t="s">
        <v>262</v>
      </c>
      <c r="AA5" s="601" t="s">
        <v>262</v>
      </c>
      <c r="AB5" s="601" t="s">
        <v>262</v>
      </c>
      <c r="AC5" s="601" t="s">
        <v>262</v>
      </c>
      <c r="AD5" s="948"/>
      <c r="AE5" s="948"/>
      <c r="AF5" s="596" t="s">
        <v>262</v>
      </c>
      <c r="AG5" s="596" t="s">
        <v>262</v>
      </c>
      <c r="AH5" s="728"/>
      <c r="AI5" s="728"/>
      <c r="AJ5" s="729"/>
      <c r="AK5" s="729"/>
      <c r="AL5" s="616" t="s">
        <v>271</v>
      </c>
      <c r="AM5" s="835" t="s">
        <v>262</v>
      </c>
      <c r="AN5" s="835" t="s">
        <v>262</v>
      </c>
      <c r="AO5" s="835" t="s">
        <v>262</v>
      </c>
      <c r="AP5" s="835" t="s">
        <v>262</v>
      </c>
      <c r="AQ5" s="599" t="s">
        <v>262</v>
      </c>
      <c r="AR5" s="728"/>
      <c r="AS5" s="728"/>
      <c r="AT5" s="729"/>
      <c r="AU5" s="729"/>
      <c r="AV5" s="668" t="s">
        <v>271</v>
      </c>
      <c r="AW5" s="601" t="s">
        <v>262</v>
      </c>
      <c r="AX5" s="601" t="s">
        <v>262</v>
      </c>
      <c r="AY5" s="601" t="s">
        <v>262</v>
      </c>
      <c r="AZ5" s="601" t="s">
        <v>262</v>
      </c>
      <c r="BA5" s="960"/>
      <c r="BB5" s="960"/>
      <c r="BC5" s="596"/>
      <c r="BD5" s="665"/>
      <c r="BE5" s="596"/>
      <c r="BF5" s="596"/>
      <c r="BG5" s="728"/>
      <c r="BH5" s="728"/>
      <c r="BI5" s="729"/>
      <c r="BJ5" s="729"/>
      <c r="BK5" s="616" t="s">
        <v>271</v>
      </c>
      <c r="BL5" s="964" t="s">
        <v>275</v>
      </c>
      <c r="BM5" s="964" t="s">
        <v>275</v>
      </c>
      <c r="BN5" s="964" t="s">
        <v>275</v>
      </c>
      <c r="BO5" s="964" t="s">
        <v>275</v>
      </c>
      <c r="BP5" s="593">
        <f>BO6+AZ6+AP6+AC6+R6</f>
        <v>-91.903533333333712</v>
      </c>
      <c r="BS5" s="741" t="s">
        <v>672</v>
      </c>
      <c r="BT5" s="741" t="s">
        <v>672</v>
      </c>
      <c r="BU5" s="741" t="s">
        <v>672</v>
      </c>
      <c r="BV5" s="741" t="s">
        <v>672</v>
      </c>
      <c r="BW5" s="741" t="s">
        <v>532</v>
      </c>
      <c r="BX5" s="741" t="s">
        <v>672</v>
      </c>
      <c r="BY5" s="741" t="s">
        <v>672</v>
      </c>
      <c r="BZ5" s="741" t="s">
        <v>672</v>
      </c>
      <c r="CA5" s="741" t="s">
        <v>672</v>
      </c>
      <c r="CB5" s="741" t="s">
        <v>532</v>
      </c>
      <c r="CC5" s="741" t="s">
        <v>672</v>
      </c>
      <c r="CD5" s="751" t="s">
        <v>532</v>
      </c>
      <c r="CE5" s="748" t="s">
        <v>672</v>
      </c>
      <c r="CF5" s="748" t="s">
        <v>672</v>
      </c>
      <c r="CG5" s="748" t="s">
        <v>672</v>
      </c>
      <c r="CH5" s="759" t="s">
        <v>672</v>
      </c>
      <c r="CI5" s="742" t="s">
        <v>532</v>
      </c>
    </row>
    <row r="6" spans="1:90" s="685" customFormat="1" ht="21.6" customHeight="1" x14ac:dyDescent="0.3">
      <c r="A6" s="680" t="s">
        <v>8</v>
      </c>
      <c r="B6" s="680"/>
      <c r="C6" s="681">
        <v>440</v>
      </c>
      <c r="D6" s="681"/>
      <c r="E6" s="682">
        <v>6218.0000000000018</v>
      </c>
      <c r="F6" s="683">
        <v>6218</v>
      </c>
      <c r="G6" s="684">
        <v>3959.6666666666679</v>
      </c>
      <c r="H6" s="683">
        <v>3959.6666666666665</v>
      </c>
      <c r="I6" s="683">
        <f>F6-H6</f>
        <v>2258.3333333333335</v>
      </c>
      <c r="J6" s="730">
        <f t="shared" ref="J6:AO6" si="0">J7+J50+J225</f>
        <v>5246</v>
      </c>
      <c r="K6" s="730">
        <f t="shared" si="0"/>
        <v>1776</v>
      </c>
      <c r="L6" s="731">
        <f t="shared" si="0"/>
        <v>7022</v>
      </c>
      <c r="M6" s="947">
        <f t="shared" si="0"/>
        <v>7022</v>
      </c>
      <c r="N6" s="617">
        <f t="shared" si="0"/>
        <v>93355.86</v>
      </c>
      <c r="O6" s="602">
        <f t="shared" si="0"/>
        <v>6223.7240000000011</v>
      </c>
      <c r="P6" s="939">
        <f t="shared" si="0"/>
        <v>6223.7240000000002</v>
      </c>
      <c r="Q6" s="602">
        <f t="shared" si="0"/>
        <v>-4.3873333333336744</v>
      </c>
      <c r="R6" s="939">
        <f t="shared" si="0"/>
        <v>-4.3873333333336744</v>
      </c>
      <c r="S6" s="683">
        <f t="shared" si="0"/>
        <v>375</v>
      </c>
      <c r="T6" s="683">
        <f t="shared" si="0"/>
        <v>375</v>
      </c>
      <c r="U6" s="617">
        <f t="shared" si="0"/>
        <v>328</v>
      </c>
      <c r="V6" s="617">
        <f t="shared" si="0"/>
        <v>102</v>
      </c>
      <c r="W6" s="602">
        <f t="shared" si="0"/>
        <v>430</v>
      </c>
      <c r="X6" s="939">
        <f t="shared" si="0"/>
        <v>430</v>
      </c>
      <c r="Y6" s="617">
        <f t="shared" si="0"/>
        <v>5640</v>
      </c>
      <c r="Z6" s="602">
        <f t="shared" si="0"/>
        <v>376</v>
      </c>
      <c r="AA6" s="602">
        <f t="shared" si="0"/>
        <v>376</v>
      </c>
      <c r="AB6" s="602">
        <f t="shared" si="0"/>
        <v>-1.0000000000000002</v>
      </c>
      <c r="AC6" s="939">
        <f t="shared" si="0"/>
        <v>-1.0000000000000002</v>
      </c>
      <c r="AD6" s="955">
        <f t="shared" si="0"/>
        <v>7452</v>
      </c>
      <c r="AE6" s="955">
        <f t="shared" si="0"/>
        <v>-5.3873333333336744</v>
      </c>
      <c r="AF6" s="955">
        <f t="shared" si="0"/>
        <v>3299.9999999999991</v>
      </c>
      <c r="AG6" s="955">
        <f t="shared" si="0"/>
        <v>3300</v>
      </c>
      <c r="AH6" s="955">
        <f t="shared" si="0"/>
        <v>2561</v>
      </c>
      <c r="AI6" s="955">
        <f t="shared" si="0"/>
        <v>997</v>
      </c>
      <c r="AJ6" s="955">
        <f t="shared" si="0"/>
        <v>3558</v>
      </c>
      <c r="AK6" s="955">
        <f t="shared" si="0"/>
        <v>3558</v>
      </c>
      <c r="AL6" s="955">
        <f t="shared" si="0"/>
        <v>49550.75</v>
      </c>
      <c r="AM6" s="955">
        <f t="shared" si="0"/>
        <v>3303.3833333333323</v>
      </c>
      <c r="AN6" s="955">
        <f t="shared" si="0"/>
        <v>3303.3833333333337</v>
      </c>
      <c r="AO6" s="955">
        <f t="shared" si="0"/>
        <v>-3.3833333333333693</v>
      </c>
      <c r="AP6" s="955">
        <f t="shared" ref="AP6:BP6" si="1">AP7+AP50+AP225</f>
        <v>-3.3833333333333693</v>
      </c>
      <c r="AQ6" s="955">
        <f t="shared" si="1"/>
        <v>824.99999999999989</v>
      </c>
      <c r="AR6" s="988">
        <f t="shared" si="1"/>
        <v>663</v>
      </c>
      <c r="AS6" s="988">
        <f t="shared" si="1"/>
        <v>304</v>
      </c>
      <c r="AT6" s="988">
        <f t="shared" si="1"/>
        <v>967</v>
      </c>
      <c r="AU6" s="955">
        <f t="shared" si="1"/>
        <v>967</v>
      </c>
      <c r="AV6" s="988">
        <f t="shared" si="1"/>
        <v>13259.65</v>
      </c>
      <c r="AW6" s="988">
        <f t="shared" si="1"/>
        <v>883.97666666666657</v>
      </c>
      <c r="AX6" s="955">
        <f t="shared" si="1"/>
        <v>883.97666666666669</v>
      </c>
      <c r="AY6" s="988">
        <f t="shared" si="1"/>
        <v>-10.226666666666665</v>
      </c>
      <c r="AZ6" s="955">
        <f t="shared" si="1"/>
        <v>-10.226666666666663</v>
      </c>
      <c r="BA6" s="955">
        <f t="shared" si="1"/>
        <v>4525</v>
      </c>
      <c r="BB6" s="955">
        <f t="shared" si="1"/>
        <v>-13.610000000000031</v>
      </c>
      <c r="BC6" s="683">
        <f t="shared" si="1"/>
        <v>10000</v>
      </c>
      <c r="BD6" s="683">
        <f t="shared" si="1"/>
        <v>10000</v>
      </c>
      <c r="BE6" s="683">
        <f t="shared" si="1"/>
        <v>5266</v>
      </c>
      <c r="BF6" s="683">
        <f t="shared" si="1"/>
        <v>4728</v>
      </c>
      <c r="BG6" s="617">
        <f t="shared" si="1"/>
        <v>7358</v>
      </c>
      <c r="BH6" s="617">
        <f t="shared" si="1"/>
        <v>2676</v>
      </c>
      <c r="BI6" s="602">
        <f t="shared" si="1"/>
        <v>10034</v>
      </c>
      <c r="BJ6" s="602">
        <f t="shared" si="1"/>
        <v>10034</v>
      </c>
      <c r="BK6" s="617">
        <f t="shared" si="1"/>
        <v>504095.31</v>
      </c>
      <c r="BL6" s="602">
        <f t="shared" si="1"/>
        <v>10081.906199999999</v>
      </c>
      <c r="BM6" s="602">
        <f t="shared" si="1"/>
        <v>10081.906200000001</v>
      </c>
      <c r="BN6" s="602">
        <f t="shared" si="1"/>
        <v>-72.906199999999998</v>
      </c>
      <c r="BO6" s="939">
        <f t="shared" si="1"/>
        <v>-72.906200000000013</v>
      </c>
      <c r="BP6" s="609">
        <f t="shared" si="1"/>
        <v>-91.903533333333698</v>
      </c>
      <c r="BQ6" s="683"/>
      <c r="BR6" s="683">
        <f t="shared" ref="BR6:CJ6" si="2">BR7+BR50+BR225</f>
        <v>0</v>
      </c>
      <c r="BS6" s="683">
        <f t="shared" si="2"/>
        <v>1294</v>
      </c>
      <c r="BT6" s="683">
        <f t="shared" si="2"/>
        <v>346</v>
      </c>
      <c r="BU6" s="683">
        <f t="shared" si="2"/>
        <v>1640</v>
      </c>
      <c r="BV6" s="683">
        <f t="shared" si="2"/>
        <v>1282</v>
      </c>
      <c r="BW6" s="683">
        <f t="shared" si="2"/>
        <v>1282</v>
      </c>
      <c r="BX6" s="683">
        <f t="shared" si="2"/>
        <v>934</v>
      </c>
      <c r="BY6" s="683">
        <f t="shared" si="2"/>
        <v>264</v>
      </c>
      <c r="BZ6" s="683">
        <f t="shared" si="2"/>
        <v>1198</v>
      </c>
      <c r="CA6" s="683">
        <f t="shared" si="2"/>
        <v>1083.333333333333</v>
      </c>
      <c r="CB6" s="683">
        <f t="shared" si="2"/>
        <v>1083.3333333333333</v>
      </c>
      <c r="CC6" s="683">
        <f t="shared" si="2"/>
        <v>2365.333333333333</v>
      </c>
      <c r="CD6" s="752">
        <f t="shared" si="2"/>
        <v>2365.333333333333</v>
      </c>
      <c r="CE6" s="760">
        <f t="shared" si="2"/>
        <v>2512</v>
      </c>
      <c r="CF6" s="760">
        <f t="shared" si="2"/>
        <v>643</v>
      </c>
      <c r="CG6" s="760">
        <f t="shared" si="2"/>
        <v>3155</v>
      </c>
      <c r="CH6" s="761">
        <f t="shared" si="2"/>
        <v>2288</v>
      </c>
      <c r="CI6" s="762">
        <f t="shared" si="2"/>
        <v>2288</v>
      </c>
      <c r="CJ6" s="762">
        <f t="shared" si="2"/>
        <v>-91.903533333333684</v>
      </c>
      <c r="CK6" s="685">
        <f>AQ6+AG6+T6+F6</f>
        <v>10718</v>
      </c>
      <c r="CL6" s="685">
        <f>CK6-CJ6</f>
        <v>10809.903533333334</v>
      </c>
    </row>
    <row r="7" spans="1:90" s="592" customFormat="1" ht="21.6" customHeight="1" x14ac:dyDescent="0.3">
      <c r="A7" s="662" t="s">
        <v>9</v>
      </c>
      <c r="B7" s="662" t="s">
        <v>9</v>
      </c>
      <c r="C7" s="605"/>
      <c r="D7" s="605"/>
      <c r="E7" s="600">
        <v>226.00000000000003</v>
      </c>
      <c r="F7" s="602">
        <v>226</v>
      </c>
      <c r="G7" s="603">
        <v>76.666666666666657</v>
      </c>
      <c r="H7" s="602">
        <v>76.666666666666671</v>
      </c>
      <c r="I7" s="602">
        <f>F7-H7</f>
        <v>149.33333333333331</v>
      </c>
      <c r="J7" s="730">
        <f t="shared" ref="J7:AO7" si="3">SUM(J8:J49)</f>
        <v>240</v>
      </c>
      <c r="K7" s="730">
        <f t="shared" si="3"/>
        <v>109</v>
      </c>
      <c r="L7" s="731">
        <f t="shared" si="3"/>
        <v>349</v>
      </c>
      <c r="M7" s="947">
        <f t="shared" si="3"/>
        <v>349</v>
      </c>
      <c r="N7" s="617">
        <f t="shared" si="3"/>
        <v>3390</v>
      </c>
      <c r="O7" s="602">
        <f t="shared" si="3"/>
        <v>226</v>
      </c>
      <c r="P7" s="939">
        <f t="shared" si="3"/>
        <v>226</v>
      </c>
      <c r="Q7" s="603">
        <f t="shared" si="3"/>
        <v>0</v>
      </c>
      <c r="R7" s="939">
        <f t="shared" si="3"/>
        <v>0</v>
      </c>
      <c r="S7" s="603">
        <f t="shared" si="3"/>
        <v>48</v>
      </c>
      <c r="T7" s="603">
        <f t="shared" si="3"/>
        <v>48</v>
      </c>
      <c r="U7" s="952">
        <f t="shared" si="3"/>
        <v>71</v>
      </c>
      <c r="V7" s="952">
        <f t="shared" si="3"/>
        <v>20</v>
      </c>
      <c r="W7" s="737">
        <f t="shared" si="3"/>
        <v>91</v>
      </c>
      <c r="X7" s="947">
        <f t="shared" si="3"/>
        <v>91</v>
      </c>
      <c r="Y7" s="953">
        <f t="shared" si="3"/>
        <v>720</v>
      </c>
      <c r="Z7" s="603">
        <f t="shared" si="3"/>
        <v>48</v>
      </c>
      <c r="AA7" s="603">
        <f t="shared" si="3"/>
        <v>48</v>
      </c>
      <c r="AB7" s="603">
        <f t="shared" si="3"/>
        <v>0</v>
      </c>
      <c r="AC7" s="939">
        <f t="shared" si="3"/>
        <v>0</v>
      </c>
      <c r="AD7" s="955">
        <f t="shared" si="3"/>
        <v>440</v>
      </c>
      <c r="AE7" s="955">
        <f t="shared" si="3"/>
        <v>0</v>
      </c>
      <c r="AF7" s="955">
        <f t="shared" si="3"/>
        <v>152.66666666666669</v>
      </c>
      <c r="AG7" s="955">
        <f t="shared" si="3"/>
        <v>152.66666666666669</v>
      </c>
      <c r="AH7" s="955">
        <f t="shared" si="3"/>
        <v>153</v>
      </c>
      <c r="AI7" s="955">
        <f t="shared" si="3"/>
        <v>70</v>
      </c>
      <c r="AJ7" s="955">
        <f t="shared" si="3"/>
        <v>223</v>
      </c>
      <c r="AK7" s="955">
        <f t="shared" si="3"/>
        <v>223</v>
      </c>
      <c r="AL7" s="955">
        <f t="shared" si="3"/>
        <v>2290</v>
      </c>
      <c r="AM7" s="955">
        <f t="shared" si="3"/>
        <v>152.66666666666669</v>
      </c>
      <c r="AN7" s="955">
        <f t="shared" si="3"/>
        <v>152.66666666666669</v>
      </c>
      <c r="AO7" s="955">
        <f t="shared" si="3"/>
        <v>0</v>
      </c>
      <c r="AP7" s="955">
        <f t="shared" ref="AP7:BP7" si="4">SUM(AP8:AP49)</f>
        <v>0</v>
      </c>
      <c r="AQ7" s="955">
        <f t="shared" si="4"/>
        <v>34</v>
      </c>
      <c r="AR7" s="988">
        <f t="shared" si="4"/>
        <v>35</v>
      </c>
      <c r="AS7" s="988">
        <f t="shared" si="4"/>
        <v>21</v>
      </c>
      <c r="AT7" s="988">
        <f t="shared" si="4"/>
        <v>56</v>
      </c>
      <c r="AU7" s="955">
        <f t="shared" si="4"/>
        <v>56</v>
      </c>
      <c r="AV7" s="988">
        <f t="shared" si="4"/>
        <v>503.4</v>
      </c>
      <c r="AW7" s="988">
        <f t="shared" si="4"/>
        <v>33.56</v>
      </c>
      <c r="AX7" s="955">
        <f t="shared" si="4"/>
        <v>33.56</v>
      </c>
      <c r="AY7" s="988">
        <f t="shared" si="4"/>
        <v>0.4399999999999995</v>
      </c>
      <c r="AZ7" s="955">
        <f t="shared" si="4"/>
        <v>0.4399999999999995</v>
      </c>
      <c r="BA7" s="955">
        <f t="shared" si="4"/>
        <v>279</v>
      </c>
      <c r="BB7" s="955">
        <f t="shared" si="4"/>
        <v>0.4399999999999995</v>
      </c>
      <c r="BC7" s="602">
        <f t="shared" si="4"/>
        <v>447</v>
      </c>
      <c r="BD7" s="710">
        <f t="shared" si="4"/>
        <v>447</v>
      </c>
      <c r="BE7" s="602">
        <f t="shared" si="4"/>
        <v>173</v>
      </c>
      <c r="BF7" s="602">
        <f t="shared" si="4"/>
        <v>274</v>
      </c>
      <c r="BG7" s="730">
        <f t="shared" si="4"/>
        <v>474</v>
      </c>
      <c r="BH7" s="730">
        <f t="shared" si="4"/>
        <v>215</v>
      </c>
      <c r="BI7" s="731">
        <f t="shared" si="4"/>
        <v>689</v>
      </c>
      <c r="BJ7" s="731">
        <f t="shared" si="4"/>
        <v>689</v>
      </c>
      <c r="BK7" s="617">
        <f t="shared" si="4"/>
        <v>22183.75</v>
      </c>
      <c r="BL7" s="602">
        <f t="shared" si="4"/>
        <v>443.67500000000001</v>
      </c>
      <c r="BM7" s="602">
        <f t="shared" si="4"/>
        <v>443.67500000000001</v>
      </c>
      <c r="BN7" s="602">
        <f t="shared" si="4"/>
        <v>3.3249999999999993</v>
      </c>
      <c r="BO7" s="939">
        <f t="shared" si="4"/>
        <v>3.3249999999999993</v>
      </c>
      <c r="BP7" s="609">
        <f t="shared" si="4"/>
        <v>3.7649999999999988</v>
      </c>
      <c r="BQ7" s="602"/>
      <c r="BR7" s="602">
        <f t="shared" ref="BR7:CJ7" si="5">SUM(BR8:BR49)</f>
        <v>0</v>
      </c>
      <c r="BS7" s="602">
        <f t="shared" si="5"/>
        <v>62</v>
      </c>
      <c r="BT7" s="602">
        <f t="shared" si="5"/>
        <v>35</v>
      </c>
      <c r="BU7" s="602">
        <f t="shared" si="5"/>
        <v>97</v>
      </c>
      <c r="BV7" s="602">
        <f t="shared" si="5"/>
        <v>65</v>
      </c>
      <c r="BW7" s="602">
        <f t="shared" si="5"/>
        <v>65</v>
      </c>
      <c r="BX7" s="602">
        <f t="shared" si="5"/>
        <v>23</v>
      </c>
      <c r="BY7" s="602">
        <f t="shared" si="5"/>
        <v>15</v>
      </c>
      <c r="BZ7" s="602">
        <f t="shared" si="5"/>
        <v>38</v>
      </c>
      <c r="CA7" s="602">
        <f t="shared" si="5"/>
        <v>21</v>
      </c>
      <c r="CB7" s="602">
        <f t="shared" si="5"/>
        <v>21</v>
      </c>
      <c r="CC7" s="602">
        <f t="shared" si="5"/>
        <v>86</v>
      </c>
      <c r="CD7" s="753">
        <f t="shared" si="5"/>
        <v>86</v>
      </c>
      <c r="CE7" s="763">
        <f t="shared" si="5"/>
        <v>70</v>
      </c>
      <c r="CF7" s="763">
        <f t="shared" si="5"/>
        <v>36</v>
      </c>
      <c r="CG7" s="763">
        <f t="shared" si="5"/>
        <v>106</v>
      </c>
      <c r="CH7" s="764">
        <f t="shared" si="5"/>
        <v>71</v>
      </c>
      <c r="CI7" s="743">
        <f t="shared" si="5"/>
        <v>71</v>
      </c>
      <c r="CJ7" s="743">
        <f t="shared" si="5"/>
        <v>3.7649999999999988</v>
      </c>
    </row>
    <row r="8" spans="1:90" s="593" customFormat="1" ht="21.6" customHeight="1" x14ac:dyDescent="0.3">
      <c r="A8" s="606"/>
      <c r="B8" s="606" t="s">
        <v>310</v>
      </c>
      <c r="C8" s="607" t="s">
        <v>399</v>
      </c>
      <c r="D8" s="80" t="s">
        <v>431</v>
      </c>
      <c r="E8" s="608">
        <v>0</v>
      </c>
      <c r="F8" s="609">
        <v>40</v>
      </c>
      <c r="G8" s="610">
        <v>0</v>
      </c>
      <c r="H8" s="609">
        <v>0</v>
      </c>
      <c r="I8" s="609">
        <f>F8-H8</f>
        <v>40</v>
      </c>
      <c r="J8" s="730"/>
      <c r="K8" s="730"/>
      <c r="L8" s="731">
        <f>J8+K8</f>
        <v>0</v>
      </c>
      <c r="M8" s="947">
        <f>SUM(L8:L10)</f>
        <v>84</v>
      </c>
      <c r="N8" s="617">
        <v>0</v>
      </c>
      <c r="O8" s="602">
        <f>N8/15</f>
        <v>0</v>
      </c>
      <c r="P8" s="939">
        <f>SUM(O8:O10)</f>
        <v>40</v>
      </c>
      <c r="Q8" s="603">
        <f t="shared" ref="Q8:Q27" si="6">E8-O8</f>
        <v>0</v>
      </c>
      <c r="R8" s="939">
        <f>SUM(Q8:Q10)</f>
        <v>0</v>
      </c>
      <c r="S8" s="604">
        <v>0</v>
      </c>
      <c r="T8" s="604">
        <f>SUM(S8:S10)</f>
        <v>0</v>
      </c>
      <c r="U8" s="730"/>
      <c r="V8" s="730"/>
      <c r="W8" s="731">
        <f>U8+V8</f>
        <v>0</v>
      </c>
      <c r="X8" s="947">
        <f>SUM(W8:W10)</f>
        <v>0</v>
      </c>
      <c r="Y8" s="617"/>
      <c r="Z8" s="602">
        <f>Y8/15</f>
        <v>0</v>
      </c>
      <c r="AA8" s="602">
        <f>SUM(Z8:Z10)</f>
        <v>0</v>
      </c>
      <c r="AB8" s="602">
        <f>S8-Z8</f>
        <v>0</v>
      </c>
      <c r="AC8" s="939">
        <f>SUM(AB8:AB10)</f>
        <v>0</v>
      </c>
      <c r="AD8" s="955">
        <f>M8+X8</f>
        <v>84</v>
      </c>
      <c r="AE8" s="955">
        <f>R8+AC8</f>
        <v>0</v>
      </c>
      <c r="AF8" s="610">
        <v>15</v>
      </c>
      <c r="AG8" s="609">
        <v>15</v>
      </c>
      <c r="AH8" s="728">
        <v>22</v>
      </c>
      <c r="AI8" s="728">
        <v>10</v>
      </c>
      <c r="AJ8" s="729">
        <f t="shared" ref="AJ8:AJ27" si="7">AH8+AI8</f>
        <v>32</v>
      </c>
      <c r="AK8" s="946">
        <f>SUM(AJ8:AJ10)</f>
        <v>32</v>
      </c>
      <c r="AL8" s="617">
        <v>225</v>
      </c>
      <c r="AM8" s="602">
        <f>AL8/15</f>
        <v>15</v>
      </c>
      <c r="AN8" s="602">
        <f>SUM(AM8:AM10)</f>
        <v>15</v>
      </c>
      <c r="AO8" s="602">
        <f t="shared" ref="AO8:AO27" si="8">AF8-AM8</f>
        <v>0</v>
      </c>
      <c r="AP8" s="939">
        <f>SUM(AO8:AO10)</f>
        <v>0</v>
      </c>
      <c r="AQ8" s="721">
        <v>0</v>
      </c>
      <c r="AR8" s="728"/>
      <c r="AS8" s="728"/>
      <c r="AT8" s="729">
        <f>AR8+AS8</f>
        <v>0</v>
      </c>
      <c r="AU8" s="946">
        <f>SUM(AT8:AT10)</f>
        <v>0</v>
      </c>
      <c r="AV8" s="617"/>
      <c r="AW8" s="602">
        <f>AV8/15</f>
        <v>0</v>
      </c>
      <c r="AX8" s="939">
        <f>SUM(AW8:AW10)</f>
        <v>0</v>
      </c>
      <c r="AY8" s="602">
        <f>AQ8-AW8</f>
        <v>0</v>
      </c>
      <c r="AZ8" s="939">
        <f>SUM(AY8:AY10)</f>
        <v>0</v>
      </c>
      <c r="BA8" s="961">
        <f>AK8+AU8</f>
        <v>32</v>
      </c>
      <c r="BB8" s="961">
        <f>AP8+AZ8</f>
        <v>0</v>
      </c>
      <c r="BC8" s="610">
        <f>SUM(BD8:BD10)</f>
        <v>55</v>
      </c>
      <c r="BD8" s="711">
        <v>15</v>
      </c>
      <c r="BE8" s="609">
        <v>15</v>
      </c>
      <c r="BF8" s="596">
        <f>BD8-BE8</f>
        <v>0</v>
      </c>
      <c r="BG8" s="728">
        <v>21</v>
      </c>
      <c r="BH8" s="728">
        <v>11</v>
      </c>
      <c r="BI8" s="729">
        <f>BG8+BH8</f>
        <v>32</v>
      </c>
      <c r="BJ8" s="729">
        <f>SUM(BI8:BI10)</f>
        <v>116</v>
      </c>
      <c r="BK8" s="616">
        <v>750</v>
      </c>
      <c r="BL8" s="603">
        <f>BK8/50</f>
        <v>15</v>
      </c>
      <c r="BM8" s="602">
        <f>SUM(BL8:BL10)</f>
        <v>55</v>
      </c>
      <c r="BN8" s="602">
        <f t="shared" ref="BN8:BN27" si="9">BD8-BL8</f>
        <v>0</v>
      </c>
      <c r="BO8" s="939">
        <f>SUM(BN8:BN10)</f>
        <v>0</v>
      </c>
      <c r="BP8" s="817">
        <f>BO8+AZ8+AP8+AC8+R8</f>
        <v>0</v>
      </c>
      <c r="BS8" s="744">
        <v>0</v>
      </c>
      <c r="BT8" s="744">
        <v>0</v>
      </c>
      <c r="BU8" s="741">
        <f t="shared" ref="BU8:BU49" si="10">BS8+BT8</f>
        <v>0</v>
      </c>
      <c r="BV8" s="744">
        <v>0</v>
      </c>
      <c r="BW8" s="744">
        <f>SUM(BV8:BV10)</f>
        <v>0</v>
      </c>
      <c r="BX8" s="744">
        <v>0</v>
      </c>
      <c r="BY8" s="744">
        <v>0</v>
      </c>
      <c r="BZ8" s="741">
        <f>BX8+BY8</f>
        <v>0</v>
      </c>
      <c r="CA8" s="744">
        <v>0</v>
      </c>
      <c r="CB8" s="744">
        <f>SUM(CA8:CA10)</f>
        <v>0</v>
      </c>
      <c r="CC8" s="741">
        <f t="shared" ref="CC8:CC49" si="11">BV8+CA8</f>
        <v>0</v>
      </c>
      <c r="CD8" s="754">
        <f>SUM(CC8:CC10)</f>
        <v>0</v>
      </c>
      <c r="CE8" s="748"/>
      <c r="CF8" s="748"/>
      <c r="CG8" s="748">
        <f>CE8+CF8</f>
        <v>0</v>
      </c>
      <c r="CH8" s="765"/>
      <c r="CI8" s="744">
        <f>SUM(CH8:CH10)</f>
        <v>0</v>
      </c>
      <c r="CJ8" s="593">
        <f t="shared" ref="CJ8:CJ27" si="12">BN8+AY8+AO8+AB8+Q8</f>
        <v>0</v>
      </c>
    </row>
    <row r="9" spans="1:90" ht="34.5" customHeight="1" x14ac:dyDescent="0.3">
      <c r="A9" s="596"/>
      <c r="B9" s="596"/>
      <c r="C9" s="597" t="s">
        <v>311</v>
      </c>
      <c r="D9" s="80" t="s">
        <v>431</v>
      </c>
      <c r="E9" s="598">
        <v>25</v>
      </c>
      <c r="F9" s="604">
        <v>0</v>
      </c>
      <c r="G9" s="611"/>
      <c r="H9" s="604"/>
      <c r="I9" s="604">
        <f t="shared" ref="I9:I73" si="13">F9-H9</f>
        <v>0</v>
      </c>
      <c r="J9" s="730">
        <v>38</v>
      </c>
      <c r="K9" s="730">
        <v>22</v>
      </c>
      <c r="L9" s="731">
        <f t="shared" ref="L9:L75" si="14">J9+K9</f>
        <v>60</v>
      </c>
      <c r="M9" s="947"/>
      <c r="N9" s="617">
        <v>375</v>
      </c>
      <c r="O9" s="602">
        <f t="shared" ref="O9:O48" si="15">N9/15</f>
        <v>25</v>
      </c>
      <c r="P9" s="939"/>
      <c r="Q9" s="603">
        <f t="shared" si="6"/>
        <v>0</v>
      </c>
      <c r="R9" s="939"/>
      <c r="S9" s="604">
        <v>0</v>
      </c>
      <c r="T9" s="604"/>
      <c r="U9" s="730"/>
      <c r="V9" s="730"/>
      <c r="W9" s="731">
        <f t="shared" ref="W9:W75" si="16">U9+V9</f>
        <v>0</v>
      </c>
      <c r="X9" s="947"/>
      <c r="Y9" s="617"/>
      <c r="Z9" s="602">
        <f t="shared" ref="Z9:Z75" si="17">Y9/15</f>
        <v>0</v>
      </c>
      <c r="AA9" s="602"/>
      <c r="AB9" s="602">
        <f t="shared" ref="AB9:AB75" si="18">S9-Z9</f>
        <v>0</v>
      </c>
      <c r="AC9" s="939"/>
      <c r="AD9" s="955"/>
      <c r="AE9" s="955"/>
      <c r="AF9" s="611"/>
      <c r="AG9" s="604"/>
      <c r="AH9" s="728"/>
      <c r="AI9" s="728"/>
      <c r="AJ9" s="729">
        <f t="shared" si="7"/>
        <v>0</v>
      </c>
      <c r="AK9" s="946"/>
      <c r="AL9" s="617"/>
      <c r="AM9" s="602">
        <f t="shared" ref="AM9:AM75" si="19">AL9/15</f>
        <v>0</v>
      </c>
      <c r="AN9" s="602"/>
      <c r="AO9" s="602">
        <f t="shared" si="8"/>
        <v>0</v>
      </c>
      <c r="AP9" s="939"/>
      <c r="AQ9" s="721">
        <v>0</v>
      </c>
      <c r="AR9" s="728"/>
      <c r="AS9" s="728"/>
      <c r="AT9" s="729">
        <f t="shared" ref="AT9:AT49" si="20">AR9+AS9</f>
        <v>0</v>
      </c>
      <c r="AU9" s="946"/>
      <c r="AV9" s="617"/>
      <c r="AW9" s="602">
        <f t="shared" ref="AW9:AW75" si="21">AV9/15</f>
        <v>0</v>
      </c>
      <c r="AX9" s="939"/>
      <c r="AY9" s="602">
        <f t="shared" ref="AY9:AY75" si="22">AQ9-AW9</f>
        <v>0</v>
      </c>
      <c r="AZ9" s="939"/>
      <c r="BA9" s="961"/>
      <c r="BB9" s="961"/>
      <c r="BC9" s="611"/>
      <c r="BD9" s="712">
        <v>25</v>
      </c>
      <c r="BE9" s="604">
        <v>0</v>
      </c>
      <c r="BF9" s="596">
        <f>BD9-BE9</f>
        <v>25</v>
      </c>
      <c r="BG9" s="728">
        <v>38</v>
      </c>
      <c r="BH9" s="728">
        <v>22</v>
      </c>
      <c r="BI9" s="729">
        <f t="shared" ref="BI9:BI75" si="23">BG9+BH9</f>
        <v>60</v>
      </c>
      <c r="BJ9" s="729"/>
      <c r="BK9" s="616">
        <v>1250</v>
      </c>
      <c r="BL9" s="603">
        <f t="shared" ref="BL9:BL75" si="24">BK9/50</f>
        <v>25</v>
      </c>
      <c r="BM9" s="602"/>
      <c r="BN9" s="602">
        <f>BD9-BL9</f>
        <v>0</v>
      </c>
      <c r="BO9" s="939"/>
      <c r="BP9" s="817"/>
      <c r="BS9" s="741">
        <v>0</v>
      </c>
      <c r="BT9" s="741">
        <v>0</v>
      </c>
      <c r="BU9" s="741">
        <f t="shared" si="10"/>
        <v>0</v>
      </c>
      <c r="BV9" s="741">
        <v>0</v>
      </c>
      <c r="BW9" s="741"/>
      <c r="BX9" s="741">
        <v>0</v>
      </c>
      <c r="BY9" s="741">
        <v>0</v>
      </c>
      <c r="BZ9" s="741">
        <f t="shared" ref="BZ9:BZ75" si="25">BX9+BY9</f>
        <v>0</v>
      </c>
      <c r="CA9" s="741">
        <v>0</v>
      </c>
      <c r="CB9" s="741"/>
      <c r="CC9" s="741">
        <f t="shared" si="11"/>
        <v>0</v>
      </c>
      <c r="CD9" s="751"/>
      <c r="CE9" s="748"/>
      <c r="CF9" s="748"/>
      <c r="CG9" s="748">
        <f t="shared" ref="CG9:CG49" si="26">CE9+CF9</f>
        <v>0</v>
      </c>
      <c r="CH9" s="759"/>
      <c r="CI9" s="742"/>
      <c r="CJ9" s="591">
        <f t="shared" si="12"/>
        <v>0</v>
      </c>
    </row>
    <row r="10" spans="1:90" ht="49.5" customHeight="1" x14ac:dyDescent="0.3">
      <c r="A10" s="596"/>
      <c r="B10" s="596"/>
      <c r="C10" s="597" t="s">
        <v>312</v>
      </c>
      <c r="D10" s="80" t="s">
        <v>431</v>
      </c>
      <c r="E10" s="598">
        <v>15</v>
      </c>
      <c r="F10" s="604">
        <v>0</v>
      </c>
      <c r="G10" s="611"/>
      <c r="H10" s="604"/>
      <c r="I10" s="604">
        <f t="shared" si="13"/>
        <v>0</v>
      </c>
      <c r="J10" s="730">
        <v>19</v>
      </c>
      <c r="K10" s="730">
        <v>5</v>
      </c>
      <c r="L10" s="731">
        <f t="shared" si="14"/>
        <v>24</v>
      </c>
      <c r="M10" s="947"/>
      <c r="N10" s="617">
        <v>225</v>
      </c>
      <c r="O10" s="602">
        <f t="shared" si="15"/>
        <v>15</v>
      </c>
      <c r="P10" s="939"/>
      <c r="Q10" s="603">
        <f t="shared" si="6"/>
        <v>0</v>
      </c>
      <c r="R10" s="939"/>
      <c r="S10" s="604">
        <v>0</v>
      </c>
      <c r="T10" s="604"/>
      <c r="U10" s="730"/>
      <c r="V10" s="730"/>
      <c r="W10" s="731">
        <f t="shared" si="16"/>
        <v>0</v>
      </c>
      <c r="X10" s="947"/>
      <c r="Y10" s="617"/>
      <c r="Z10" s="602">
        <f t="shared" si="17"/>
        <v>0</v>
      </c>
      <c r="AA10" s="602"/>
      <c r="AB10" s="602">
        <f t="shared" si="18"/>
        <v>0</v>
      </c>
      <c r="AC10" s="939"/>
      <c r="AD10" s="955"/>
      <c r="AE10" s="955"/>
      <c r="AF10" s="611"/>
      <c r="AG10" s="604"/>
      <c r="AH10" s="728"/>
      <c r="AI10" s="728"/>
      <c r="AJ10" s="729">
        <f t="shared" si="7"/>
        <v>0</v>
      </c>
      <c r="AK10" s="946"/>
      <c r="AL10" s="617"/>
      <c r="AM10" s="602">
        <f t="shared" si="19"/>
        <v>0</v>
      </c>
      <c r="AN10" s="602"/>
      <c r="AO10" s="602">
        <f t="shared" si="8"/>
        <v>0</v>
      </c>
      <c r="AP10" s="939"/>
      <c r="AQ10" s="721">
        <v>0</v>
      </c>
      <c r="AR10" s="728"/>
      <c r="AS10" s="728"/>
      <c r="AT10" s="729">
        <f t="shared" si="20"/>
        <v>0</v>
      </c>
      <c r="AU10" s="946"/>
      <c r="AV10" s="617"/>
      <c r="AW10" s="602">
        <f t="shared" si="21"/>
        <v>0</v>
      </c>
      <c r="AX10" s="939"/>
      <c r="AY10" s="602">
        <f t="shared" si="22"/>
        <v>0</v>
      </c>
      <c r="AZ10" s="939"/>
      <c r="BA10" s="961"/>
      <c r="BB10" s="961"/>
      <c r="BC10" s="611"/>
      <c r="BD10" s="712">
        <v>15</v>
      </c>
      <c r="BE10" s="604">
        <v>0</v>
      </c>
      <c r="BF10" s="596">
        <f t="shared" ref="BF10:BF76" si="27">BD10-BE10</f>
        <v>15</v>
      </c>
      <c r="BG10" s="728">
        <v>19</v>
      </c>
      <c r="BH10" s="728">
        <v>5</v>
      </c>
      <c r="BI10" s="729">
        <f t="shared" si="23"/>
        <v>24</v>
      </c>
      <c r="BJ10" s="729"/>
      <c r="BK10" s="616">
        <v>750</v>
      </c>
      <c r="BL10" s="603">
        <f t="shared" si="24"/>
        <v>15</v>
      </c>
      <c r="BM10" s="602"/>
      <c r="BN10" s="602">
        <f t="shared" si="9"/>
        <v>0</v>
      </c>
      <c r="BO10" s="939"/>
      <c r="BP10" s="817"/>
      <c r="BS10" s="741">
        <v>0</v>
      </c>
      <c r="BT10" s="741">
        <v>0</v>
      </c>
      <c r="BU10" s="741">
        <f t="shared" si="10"/>
        <v>0</v>
      </c>
      <c r="BV10" s="741">
        <v>0</v>
      </c>
      <c r="BW10" s="741"/>
      <c r="BX10" s="741">
        <v>0</v>
      </c>
      <c r="BY10" s="741">
        <v>0</v>
      </c>
      <c r="BZ10" s="741">
        <f t="shared" si="25"/>
        <v>0</v>
      </c>
      <c r="CA10" s="741">
        <v>0</v>
      </c>
      <c r="CB10" s="741"/>
      <c r="CC10" s="741">
        <f t="shared" si="11"/>
        <v>0</v>
      </c>
      <c r="CD10" s="751"/>
      <c r="CE10" s="748"/>
      <c r="CF10" s="748"/>
      <c r="CG10" s="748">
        <f t="shared" si="26"/>
        <v>0</v>
      </c>
      <c r="CH10" s="759"/>
      <c r="CI10" s="742"/>
      <c r="CJ10" s="591">
        <f t="shared" si="12"/>
        <v>0</v>
      </c>
    </row>
    <row r="11" spans="1:90" ht="21.6" customHeight="1" x14ac:dyDescent="0.3">
      <c r="A11" s="596"/>
      <c r="B11" s="596"/>
      <c r="C11" s="597"/>
      <c r="D11" s="115"/>
      <c r="E11" s="598">
        <v>0</v>
      </c>
      <c r="F11" s="604">
        <v>0</v>
      </c>
      <c r="G11" s="611"/>
      <c r="H11" s="604"/>
      <c r="I11" s="604">
        <f>F11-H11</f>
        <v>0</v>
      </c>
      <c r="J11" s="730"/>
      <c r="K11" s="730"/>
      <c r="L11" s="731">
        <f t="shared" si="14"/>
        <v>0</v>
      </c>
      <c r="M11" s="947"/>
      <c r="N11" s="617"/>
      <c r="O11" s="602">
        <f t="shared" si="15"/>
        <v>0</v>
      </c>
      <c r="P11" s="939"/>
      <c r="Q11" s="603">
        <f t="shared" si="6"/>
        <v>0</v>
      </c>
      <c r="R11" s="939"/>
      <c r="S11" s="604">
        <v>0</v>
      </c>
      <c r="T11" s="604"/>
      <c r="U11" s="730"/>
      <c r="V11" s="730"/>
      <c r="W11" s="731">
        <f t="shared" si="16"/>
        <v>0</v>
      </c>
      <c r="X11" s="947"/>
      <c r="Y11" s="617"/>
      <c r="Z11" s="602">
        <f t="shared" si="17"/>
        <v>0</v>
      </c>
      <c r="AA11" s="602"/>
      <c r="AB11" s="602">
        <f t="shared" si="18"/>
        <v>0</v>
      </c>
      <c r="AC11" s="939"/>
      <c r="AD11" s="955"/>
      <c r="AE11" s="955"/>
      <c r="AF11" s="611"/>
      <c r="AG11" s="604"/>
      <c r="AH11" s="728"/>
      <c r="AI11" s="728"/>
      <c r="AJ11" s="729">
        <f t="shared" si="7"/>
        <v>0</v>
      </c>
      <c r="AK11" s="946"/>
      <c r="AL11" s="617"/>
      <c r="AM11" s="602">
        <f t="shared" si="19"/>
        <v>0</v>
      </c>
      <c r="AN11" s="602"/>
      <c r="AO11" s="602">
        <f t="shared" si="8"/>
        <v>0</v>
      </c>
      <c r="AP11" s="939"/>
      <c r="AQ11" s="721">
        <v>0</v>
      </c>
      <c r="AR11" s="728"/>
      <c r="AS11" s="728"/>
      <c r="AT11" s="729">
        <f t="shared" si="20"/>
        <v>0</v>
      </c>
      <c r="AU11" s="946"/>
      <c r="AV11" s="617"/>
      <c r="AW11" s="602">
        <f t="shared" si="21"/>
        <v>0</v>
      </c>
      <c r="AX11" s="939"/>
      <c r="AY11" s="602">
        <f t="shared" si="22"/>
        <v>0</v>
      </c>
      <c r="AZ11" s="939"/>
      <c r="BA11" s="961"/>
      <c r="BB11" s="961"/>
      <c r="BC11" s="611"/>
      <c r="BD11" s="712"/>
      <c r="BE11" s="596"/>
      <c r="BF11" s="596">
        <f t="shared" si="27"/>
        <v>0</v>
      </c>
      <c r="BG11" s="728"/>
      <c r="BH11" s="728"/>
      <c r="BI11" s="729">
        <f t="shared" si="23"/>
        <v>0</v>
      </c>
      <c r="BJ11" s="729"/>
      <c r="BK11" s="616"/>
      <c r="BL11" s="603">
        <f t="shared" si="24"/>
        <v>0</v>
      </c>
      <c r="BM11" s="602"/>
      <c r="BN11" s="602">
        <f t="shared" si="9"/>
        <v>0</v>
      </c>
      <c r="BO11" s="939"/>
      <c r="BP11" s="817"/>
      <c r="BS11" s="741">
        <v>0</v>
      </c>
      <c r="BT11" s="741">
        <v>0</v>
      </c>
      <c r="BU11" s="741">
        <f t="shared" si="10"/>
        <v>0</v>
      </c>
      <c r="BV11" s="741">
        <v>0</v>
      </c>
      <c r="BW11" s="741"/>
      <c r="BX11" s="741">
        <v>0</v>
      </c>
      <c r="BY11" s="741">
        <v>0</v>
      </c>
      <c r="BZ11" s="741">
        <f t="shared" si="25"/>
        <v>0</v>
      </c>
      <c r="CA11" s="741">
        <v>0</v>
      </c>
      <c r="CB11" s="741"/>
      <c r="CC11" s="741">
        <f t="shared" si="11"/>
        <v>0</v>
      </c>
      <c r="CD11" s="751"/>
      <c r="CE11" s="748"/>
      <c r="CF11" s="748"/>
      <c r="CG11" s="748">
        <f t="shared" si="26"/>
        <v>0</v>
      </c>
      <c r="CH11" s="759"/>
      <c r="CI11" s="742"/>
      <c r="CJ11" s="591">
        <f t="shared" si="12"/>
        <v>0</v>
      </c>
    </row>
    <row r="12" spans="1:90" s="593" customFormat="1" ht="21.6" customHeight="1" x14ac:dyDescent="0.3">
      <c r="A12" s="606" t="s">
        <v>9</v>
      </c>
      <c r="B12" s="606" t="s">
        <v>10</v>
      </c>
      <c r="C12" s="607" t="s">
        <v>333</v>
      </c>
      <c r="D12" s="134" t="s">
        <v>437</v>
      </c>
      <c r="E12" s="608">
        <v>30</v>
      </c>
      <c r="F12" s="606">
        <v>30</v>
      </c>
      <c r="G12" s="608">
        <v>0</v>
      </c>
      <c r="H12" s="609">
        <v>0</v>
      </c>
      <c r="I12" s="609">
        <f t="shared" si="13"/>
        <v>30</v>
      </c>
      <c r="J12" s="730">
        <v>32</v>
      </c>
      <c r="K12" s="730">
        <v>17</v>
      </c>
      <c r="L12" s="731">
        <f t="shared" si="14"/>
        <v>49</v>
      </c>
      <c r="M12" s="947">
        <f>L12</f>
        <v>49</v>
      </c>
      <c r="N12" s="617">
        <f>450</f>
        <v>450</v>
      </c>
      <c r="O12" s="602">
        <f t="shared" si="15"/>
        <v>30</v>
      </c>
      <c r="P12" s="939">
        <f>O12</f>
        <v>30</v>
      </c>
      <c r="Q12" s="603">
        <f t="shared" si="6"/>
        <v>0</v>
      </c>
      <c r="R12" s="939">
        <f>Q12</f>
        <v>0</v>
      </c>
      <c r="S12" s="604">
        <v>0</v>
      </c>
      <c r="T12" s="604">
        <f>S12</f>
        <v>0</v>
      </c>
      <c r="U12" s="730"/>
      <c r="V12" s="730"/>
      <c r="W12" s="731">
        <f t="shared" si="16"/>
        <v>0</v>
      </c>
      <c r="X12" s="947">
        <f>W12</f>
        <v>0</v>
      </c>
      <c r="Y12" s="617"/>
      <c r="Z12" s="602">
        <f t="shared" si="17"/>
        <v>0</v>
      </c>
      <c r="AA12" s="602">
        <f>Z12</f>
        <v>0</v>
      </c>
      <c r="AB12" s="602">
        <f t="shared" si="18"/>
        <v>0</v>
      </c>
      <c r="AC12" s="939">
        <f>AB12</f>
        <v>0</v>
      </c>
      <c r="AD12" s="955">
        <f>M12+X12</f>
        <v>49</v>
      </c>
      <c r="AE12" s="955">
        <f>R12+AC12</f>
        <v>0</v>
      </c>
      <c r="AF12" s="610">
        <v>0</v>
      </c>
      <c r="AG12" s="609">
        <v>0</v>
      </c>
      <c r="AH12" s="728"/>
      <c r="AI12" s="728"/>
      <c r="AJ12" s="729">
        <f t="shared" si="7"/>
        <v>0</v>
      </c>
      <c r="AK12" s="946">
        <f>AJ12</f>
        <v>0</v>
      </c>
      <c r="AL12" s="617"/>
      <c r="AM12" s="602">
        <f t="shared" si="19"/>
        <v>0</v>
      </c>
      <c r="AN12" s="602">
        <f>AM12</f>
        <v>0</v>
      </c>
      <c r="AO12" s="602">
        <f t="shared" si="8"/>
        <v>0</v>
      </c>
      <c r="AP12" s="939">
        <f>AO12</f>
        <v>0</v>
      </c>
      <c r="AQ12" s="721">
        <v>10</v>
      </c>
      <c r="AR12" s="728">
        <v>5</v>
      </c>
      <c r="AS12" s="728">
        <v>7</v>
      </c>
      <c r="AT12" s="729">
        <f t="shared" si="20"/>
        <v>12</v>
      </c>
      <c r="AU12" s="946">
        <f>AT12</f>
        <v>12</v>
      </c>
      <c r="AV12" s="617">
        <v>150</v>
      </c>
      <c r="AW12" s="602">
        <f t="shared" si="21"/>
        <v>10</v>
      </c>
      <c r="AX12" s="939">
        <f>AW12</f>
        <v>10</v>
      </c>
      <c r="AY12" s="602">
        <f t="shared" si="22"/>
        <v>0</v>
      </c>
      <c r="AZ12" s="939">
        <f>AY12</f>
        <v>0</v>
      </c>
      <c r="BA12" s="961">
        <f>AK12+AU12</f>
        <v>12</v>
      </c>
      <c r="BB12" s="961">
        <f>AP12+AZ12</f>
        <v>0</v>
      </c>
      <c r="BC12" s="610">
        <f>BD12</f>
        <v>40</v>
      </c>
      <c r="BD12" s="711">
        <v>40</v>
      </c>
      <c r="BE12" s="609">
        <v>0</v>
      </c>
      <c r="BF12" s="596">
        <f t="shared" si="27"/>
        <v>40</v>
      </c>
      <c r="BG12" s="728">
        <f>5+32</f>
        <v>37</v>
      </c>
      <c r="BH12" s="728">
        <f>7+17</f>
        <v>24</v>
      </c>
      <c r="BI12" s="729">
        <f t="shared" si="23"/>
        <v>61</v>
      </c>
      <c r="BJ12" s="729">
        <f>BI12</f>
        <v>61</v>
      </c>
      <c r="BK12" s="616">
        <f>1500+500+50</f>
        <v>2050</v>
      </c>
      <c r="BL12" s="603">
        <f t="shared" si="24"/>
        <v>41</v>
      </c>
      <c r="BM12" s="602">
        <f>BL12</f>
        <v>41</v>
      </c>
      <c r="BN12" s="602">
        <f t="shared" si="9"/>
        <v>-1</v>
      </c>
      <c r="BO12" s="939">
        <f>BN12</f>
        <v>-1</v>
      </c>
      <c r="BP12" s="817">
        <f t="shared" ref="BP12:BP49" si="28">BO12+AZ12+AP12+AC12+R12</f>
        <v>-1</v>
      </c>
      <c r="BS12" s="744">
        <v>32</v>
      </c>
      <c r="BT12" s="744">
        <v>17</v>
      </c>
      <c r="BU12" s="741">
        <f t="shared" si="10"/>
        <v>49</v>
      </c>
      <c r="BV12" s="744">
        <v>30</v>
      </c>
      <c r="BW12" s="744">
        <f>BV12</f>
        <v>30</v>
      </c>
      <c r="BX12" s="744">
        <v>5</v>
      </c>
      <c r="BY12" s="744">
        <v>7</v>
      </c>
      <c r="BZ12" s="741">
        <f t="shared" si="25"/>
        <v>12</v>
      </c>
      <c r="CA12" s="744">
        <v>10</v>
      </c>
      <c r="CB12" s="744">
        <f>CA12</f>
        <v>10</v>
      </c>
      <c r="CC12" s="741">
        <f t="shared" si="11"/>
        <v>40</v>
      </c>
      <c r="CD12" s="754">
        <f>CC12</f>
        <v>40</v>
      </c>
      <c r="CE12" s="748">
        <f>5+32</f>
        <v>37</v>
      </c>
      <c r="CF12" s="748">
        <f>7+17</f>
        <v>24</v>
      </c>
      <c r="CG12" s="748">
        <f>CE12+CF12</f>
        <v>61</v>
      </c>
      <c r="CH12" s="765">
        <v>40</v>
      </c>
      <c r="CI12" s="744">
        <f>CH12</f>
        <v>40</v>
      </c>
      <c r="CJ12" s="593">
        <f t="shared" si="12"/>
        <v>-1</v>
      </c>
    </row>
    <row r="13" spans="1:90" ht="21.6" customHeight="1" x14ac:dyDescent="0.3">
      <c r="A13" s="596"/>
      <c r="B13" s="596"/>
      <c r="C13" s="597"/>
      <c r="D13" s="143"/>
      <c r="E13" s="598">
        <v>0</v>
      </c>
      <c r="F13" s="596">
        <v>0</v>
      </c>
      <c r="G13" s="598"/>
      <c r="H13" s="604"/>
      <c r="I13" s="604">
        <f t="shared" si="13"/>
        <v>0</v>
      </c>
      <c r="J13" s="730"/>
      <c r="K13" s="730"/>
      <c r="L13" s="731">
        <f t="shared" si="14"/>
        <v>0</v>
      </c>
      <c r="M13" s="947"/>
      <c r="N13" s="617"/>
      <c r="O13" s="602">
        <f t="shared" si="15"/>
        <v>0</v>
      </c>
      <c r="P13" s="939"/>
      <c r="Q13" s="603">
        <f t="shared" si="6"/>
        <v>0</v>
      </c>
      <c r="R13" s="939"/>
      <c r="S13" s="604">
        <v>0</v>
      </c>
      <c r="T13" s="604"/>
      <c r="U13" s="730"/>
      <c r="V13" s="730"/>
      <c r="W13" s="731">
        <f t="shared" si="16"/>
        <v>0</v>
      </c>
      <c r="X13" s="947"/>
      <c r="Y13" s="617"/>
      <c r="Z13" s="602">
        <f t="shared" si="17"/>
        <v>0</v>
      </c>
      <c r="AA13" s="602"/>
      <c r="AB13" s="602">
        <f t="shared" si="18"/>
        <v>0</v>
      </c>
      <c r="AC13" s="939"/>
      <c r="AD13" s="955"/>
      <c r="AE13" s="955"/>
      <c r="AF13" s="611"/>
      <c r="AG13" s="604"/>
      <c r="AH13" s="728"/>
      <c r="AI13" s="728"/>
      <c r="AJ13" s="729">
        <f t="shared" si="7"/>
        <v>0</v>
      </c>
      <c r="AK13" s="946"/>
      <c r="AL13" s="617"/>
      <c r="AM13" s="602">
        <f t="shared" si="19"/>
        <v>0</v>
      </c>
      <c r="AN13" s="602"/>
      <c r="AO13" s="602">
        <f t="shared" si="8"/>
        <v>0</v>
      </c>
      <c r="AP13" s="939"/>
      <c r="AQ13" s="721">
        <v>0</v>
      </c>
      <c r="AR13" s="728"/>
      <c r="AS13" s="728"/>
      <c r="AT13" s="729">
        <f t="shared" si="20"/>
        <v>0</v>
      </c>
      <c r="AU13" s="946"/>
      <c r="AV13" s="617"/>
      <c r="AW13" s="602">
        <f t="shared" si="21"/>
        <v>0</v>
      </c>
      <c r="AX13" s="939"/>
      <c r="AY13" s="602">
        <f t="shared" si="22"/>
        <v>0</v>
      </c>
      <c r="AZ13" s="939"/>
      <c r="BA13" s="961"/>
      <c r="BB13" s="961"/>
      <c r="BC13" s="611"/>
      <c r="BD13" s="712"/>
      <c r="BE13" s="596"/>
      <c r="BF13" s="596">
        <f t="shared" si="27"/>
        <v>0</v>
      </c>
      <c r="BG13" s="728"/>
      <c r="BH13" s="728"/>
      <c r="BI13" s="729">
        <f t="shared" si="23"/>
        <v>0</v>
      </c>
      <c r="BJ13" s="729"/>
      <c r="BK13" s="616"/>
      <c r="BL13" s="603">
        <f t="shared" si="24"/>
        <v>0</v>
      </c>
      <c r="BM13" s="602"/>
      <c r="BN13" s="602">
        <f t="shared" si="9"/>
        <v>0</v>
      </c>
      <c r="BO13" s="939"/>
      <c r="BP13" s="817">
        <f t="shared" si="28"/>
        <v>0</v>
      </c>
      <c r="BS13" s="741">
        <v>0</v>
      </c>
      <c r="BT13" s="741">
        <v>0</v>
      </c>
      <c r="BU13" s="741">
        <f t="shared" si="10"/>
        <v>0</v>
      </c>
      <c r="BV13" s="741">
        <v>0</v>
      </c>
      <c r="BW13" s="741"/>
      <c r="BX13" s="741">
        <v>0</v>
      </c>
      <c r="BY13" s="741">
        <v>0</v>
      </c>
      <c r="BZ13" s="741">
        <f t="shared" si="25"/>
        <v>0</v>
      </c>
      <c r="CA13" s="741">
        <v>0</v>
      </c>
      <c r="CB13" s="741"/>
      <c r="CC13" s="741">
        <f t="shared" si="11"/>
        <v>0</v>
      </c>
      <c r="CD13" s="751"/>
      <c r="CE13" s="748"/>
      <c r="CF13" s="748"/>
      <c r="CG13" s="748">
        <f t="shared" si="26"/>
        <v>0</v>
      </c>
      <c r="CH13" s="759"/>
      <c r="CI13" s="742"/>
      <c r="CJ13" s="591">
        <f t="shared" si="12"/>
        <v>0</v>
      </c>
    </row>
    <row r="14" spans="1:90" s="593" customFormat="1" ht="21.6" customHeight="1" x14ac:dyDescent="0.3">
      <c r="A14" s="606" t="s">
        <v>9</v>
      </c>
      <c r="B14" s="606" t="s">
        <v>13</v>
      </c>
      <c r="C14" s="607" t="s">
        <v>14</v>
      </c>
      <c r="D14" s="153" t="s">
        <v>431</v>
      </c>
      <c r="E14" s="608">
        <v>3.6666666666666665</v>
      </c>
      <c r="F14" s="606">
        <v>3.6666666666666665</v>
      </c>
      <c r="G14" s="608">
        <v>3.6666666666666665</v>
      </c>
      <c r="H14" s="609">
        <v>3.6666666666666665</v>
      </c>
      <c r="I14" s="609">
        <f t="shared" si="13"/>
        <v>0</v>
      </c>
      <c r="J14" s="730">
        <f>9</f>
        <v>9</v>
      </c>
      <c r="K14" s="730">
        <f>1</f>
        <v>1</v>
      </c>
      <c r="L14" s="731">
        <f t="shared" si="14"/>
        <v>10</v>
      </c>
      <c r="M14" s="947">
        <f>SUM(L14:L15)</f>
        <v>10</v>
      </c>
      <c r="N14" s="617">
        <v>55</v>
      </c>
      <c r="O14" s="602">
        <f t="shared" si="15"/>
        <v>3.6666666666666665</v>
      </c>
      <c r="P14" s="939">
        <f>SUM(O14:O15)</f>
        <v>3.6666666666666665</v>
      </c>
      <c r="Q14" s="603">
        <f t="shared" si="6"/>
        <v>0</v>
      </c>
      <c r="R14" s="939">
        <f>SUM(Q14:Q15)</f>
        <v>0</v>
      </c>
      <c r="S14" s="604">
        <v>0</v>
      </c>
      <c r="T14" s="604">
        <f>SUM(S14:S15)</f>
        <v>0</v>
      </c>
      <c r="U14" s="730"/>
      <c r="V14" s="730"/>
      <c r="W14" s="731">
        <f t="shared" si="16"/>
        <v>0</v>
      </c>
      <c r="X14" s="947">
        <f>SUM(W14:W15)</f>
        <v>0</v>
      </c>
      <c r="Y14" s="617"/>
      <c r="Z14" s="602">
        <f t="shared" si="17"/>
        <v>0</v>
      </c>
      <c r="AA14" s="602">
        <f>SUM(Z14:Z15)</f>
        <v>0</v>
      </c>
      <c r="AB14" s="602">
        <f t="shared" si="18"/>
        <v>0</v>
      </c>
      <c r="AC14" s="939">
        <f>SUM(AB14:AB15)</f>
        <v>0</v>
      </c>
      <c r="AD14" s="955">
        <f>M14+X14</f>
        <v>10</v>
      </c>
      <c r="AE14" s="955">
        <f>R14+AC14</f>
        <v>0</v>
      </c>
      <c r="AF14" s="610">
        <v>3.6666666666666665</v>
      </c>
      <c r="AG14" s="609">
        <v>10.333333333333334</v>
      </c>
      <c r="AH14" s="728">
        <f>4+2</f>
        <v>6</v>
      </c>
      <c r="AI14" s="728"/>
      <c r="AJ14" s="729">
        <f t="shared" si="7"/>
        <v>6</v>
      </c>
      <c r="AK14" s="946">
        <f>SUM(AJ14:AJ15)</f>
        <v>20</v>
      </c>
      <c r="AL14" s="617">
        <f>35+20</f>
        <v>55</v>
      </c>
      <c r="AM14" s="602">
        <f t="shared" si="19"/>
        <v>3.6666666666666665</v>
      </c>
      <c r="AN14" s="602">
        <f>SUM(AM14:AM15)</f>
        <v>10.333333333333334</v>
      </c>
      <c r="AO14" s="602">
        <f t="shared" si="8"/>
        <v>0</v>
      </c>
      <c r="AP14" s="939">
        <f>SUM(AO14:AO15)</f>
        <v>0</v>
      </c>
      <c r="AQ14" s="721">
        <v>0</v>
      </c>
      <c r="AR14" s="728"/>
      <c r="AS14" s="728"/>
      <c r="AT14" s="729">
        <f t="shared" si="20"/>
        <v>0</v>
      </c>
      <c r="AU14" s="946">
        <f>SUM(AT14:AT15)</f>
        <v>2</v>
      </c>
      <c r="AV14" s="617"/>
      <c r="AW14" s="602">
        <f t="shared" si="21"/>
        <v>0</v>
      </c>
      <c r="AX14" s="939">
        <f>SUM(AW14:AW15)</f>
        <v>2</v>
      </c>
      <c r="AY14" s="602">
        <f t="shared" si="22"/>
        <v>0</v>
      </c>
      <c r="AZ14" s="939">
        <f>SUM(AY14:AY15)</f>
        <v>0</v>
      </c>
      <c r="BA14" s="961">
        <f>AK14+AU14</f>
        <v>22</v>
      </c>
      <c r="BB14" s="961">
        <f>AP14+AZ14</f>
        <v>0</v>
      </c>
      <c r="BC14" s="610">
        <f>SUM(BD14:BD15)</f>
        <v>15</v>
      </c>
      <c r="BD14" s="711">
        <v>7</v>
      </c>
      <c r="BE14" s="609">
        <v>7</v>
      </c>
      <c r="BF14" s="596">
        <f t="shared" si="27"/>
        <v>0</v>
      </c>
      <c r="BG14" s="728">
        <f>9+2+4</f>
        <v>15</v>
      </c>
      <c r="BH14" s="728">
        <v>1</v>
      </c>
      <c r="BI14" s="729">
        <f t="shared" si="23"/>
        <v>16</v>
      </c>
      <c r="BJ14" s="729">
        <f>SUM(BI14:BI15)</f>
        <v>32</v>
      </c>
      <c r="BK14" s="616">
        <f>116.67+83.33+150</f>
        <v>350</v>
      </c>
      <c r="BL14" s="603">
        <f t="shared" si="24"/>
        <v>7</v>
      </c>
      <c r="BM14" s="602">
        <f>SUM(BL14:BL15)</f>
        <v>15</v>
      </c>
      <c r="BN14" s="602">
        <f t="shared" si="9"/>
        <v>0</v>
      </c>
      <c r="BO14" s="939">
        <f>SUM(BN14:BN15)</f>
        <v>0</v>
      </c>
      <c r="BP14" s="817">
        <f t="shared" si="28"/>
        <v>0</v>
      </c>
      <c r="BS14" s="744">
        <v>0</v>
      </c>
      <c r="BT14" s="744">
        <v>0</v>
      </c>
      <c r="BU14" s="741">
        <f t="shared" si="10"/>
        <v>0</v>
      </c>
      <c r="BV14" s="744">
        <v>0</v>
      </c>
      <c r="BW14" s="744">
        <f>SUM(BV14:BV15)</f>
        <v>0</v>
      </c>
      <c r="BX14" s="744">
        <v>0</v>
      </c>
      <c r="BY14" s="744">
        <v>0</v>
      </c>
      <c r="BZ14" s="741">
        <f t="shared" si="25"/>
        <v>0</v>
      </c>
      <c r="CA14" s="744">
        <v>0</v>
      </c>
      <c r="CB14" s="744">
        <f>SUM(CA14:CA15)</f>
        <v>0</v>
      </c>
      <c r="CC14" s="741">
        <f t="shared" si="11"/>
        <v>0</v>
      </c>
      <c r="CD14" s="754">
        <f>SUM(CC14:CC15)</f>
        <v>0</v>
      </c>
      <c r="CE14" s="748"/>
      <c r="CF14" s="748"/>
      <c r="CG14" s="748">
        <f t="shared" si="26"/>
        <v>0</v>
      </c>
      <c r="CH14" s="765"/>
      <c r="CI14" s="744">
        <f>SUM(CH14:CH15)</f>
        <v>0</v>
      </c>
      <c r="CJ14" s="593">
        <f t="shared" si="12"/>
        <v>0</v>
      </c>
    </row>
    <row r="15" spans="1:90" ht="31.15" customHeight="1" x14ac:dyDescent="0.3">
      <c r="A15" s="596"/>
      <c r="B15" s="596" t="s">
        <v>13</v>
      </c>
      <c r="C15" s="597" t="s">
        <v>464</v>
      </c>
      <c r="D15" s="153" t="s">
        <v>431</v>
      </c>
      <c r="E15" s="598">
        <v>0</v>
      </c>
      <c r="F15" s="596">
        <v>0</v>
      </c>
      <c r="G15" s="598">
        <v>0</v>
      </c>
      <c r="H15" s="604"/>
      <c r="I15" s="604">
        <f t="shared" si="13"/>
        <v>0</v>
      </c>
      <c r="J15" s="730"/>
      <c r="K15" s="730"/>
      <c r="L15" s="731">
        <f t="shared" si="14"/>
        <v>0</v>
      </c>
      <c r="M15" s="947"/>
      <c r="N15" s="617"/>
      <c r="O15" s="602">
        <f t="shared" si="15"/>
        <v>0</v>
      </c>
      <c r="P15" s="939"/>
      <c r="Q15" s="603">
        <f t="shared" si="6"/>
        <v>0</v>
      </c>
      <c r="R15" s="939"/>
      <c r="S15" s="604">
        <v>0</v>
      </c>
      <c r="T15" s="604"/>
      <c r="U15" s="730"/>
      <c r="V15" s="730"/>
      <c r="W15" s="731">
        <f t="shared" si="16"/>
        <v>0</v>
      </c>
      <c r="X15" s="947"/>
      <c r="Y15" s="617"/>
      <c r="Z15" s="602">
        <f t="shared" si="17"/>
        <v>0</v>
      </c>
      <c r="AA15" s="602"/>
      <c r="AB15" s="602">
        <f t="shared" si="18"/>
        <v>0</v>
      </c>
      <c r="AC15" s="939"/>
      <c r="AD15" s="955"/>
      <c r="AE15" s="955"/>
      <c r="AF15" s="611">
        <v>6.666666666666667</v>
      </c>
      <c r="AG15" s="604"/>
      <c r="AH15" s="728">
        <v>11</v>
      </c>
      <c r="AI15" s="728">
        <v>3</v>
      </c>
      <c r="AJ15" s="729">
        <f t="shared" si="7"/>
        <v>14</v>
      </c>
      <c r="AK15" s="946"/>
      <c r="AL15" s="617">
        <v>100</v>
      </c>
      <c r="AM15" s="602">
        <f t="shared" si="19"/>
        <v>6.666666666666667</v>
      </c>
      <c r="AN15" s="602"/>
      <c r="AO15" s="602">
        <f t="shared" si="8"/>
        <v>0</v>
      </c>
      <c r="AP15" s="939"/>
      <c r="AQ15" s="721">
        <v>2</v>
      </c>
      <c r="AR15" s="728"/>
      <c r="AS15" s="728">
        <v>2</v>
      </c>
      <c r="AT15" s="729">
        <f t="shared" si="20"/>
        <v>2</v>
      </c>
      <c r="AU15" s="946"/>
      <c r="AV15" s="617">
        <v>30</v>
      </c>
      <c r="AW15" s="602">
        <f t="shared" si="21"/>
        <v>2</v>
      </c>
      <c r="AX15" s="939"/>
      <c r="AY15" s="602">
        <f t="shared" si="22"/>
        <v>0</v>
      </c>
      <c r="AZ15" s="939"/>
      <c r="BA15" s="961"/>
      <c r="BB15" s="961"/>
      <c r="BC15" s="611"/>
      <c r="BD15" s="712">
        <v>8</v>
      </c>
      <c r="BE15" s="596">
        <v>6</v>
      </c>
      <c r="BF15" s="596">
        <f t="shared" si="27"/>
        <v>2</v>
      </c>
      <c r="BG15" s="728">
        <v>11</v>
      </c>
      <c r="BH15" s="728">
        <f>2+3</f>
        <v>5</v>
      </c>
      <c r="BI15" s="729">
        <f t="shared" si="23"/>
        <v>16</v>
      </c>
      <c r="BJ15" s="729"/>
      <c r="BK15" s="616">
        <v>400</v>
      </c>
      <c r="BL15" s="603">
        <f t="shared" si="24"/>
        <v>8</v>
      </c>
      <c r="BM15" s="602"/>
      <c r="BN15" s="602">
        <f t="shared" si="9"/>
        <v>0</v>
      </c>
      <c r="BO15" s="939"/>
      <c r="BP15" s="817">
        <f t="shared" si="28"/>
        <v>0</v>
      </c>
      <c r="BS15" s="741">
        <v>0</v>
      </c>
      <c r="BT15" s="741">
        <v>0</v>
      </c>
      <c r="BU15" s="741">
        <f t="shared" si="10"/>
        <v>0</v>
      </c>
      <c r="BV15" s="741">
        <v>0</v>
      </c>
      <c r="BW15" s="741"/>
      <c r="BX15" s="741">
        <v>0</v>
      </c>
      <c r="BY15" s="741">
        <v>0</v>
      </c>
      <c r="BZ15" s="741">
        <f t="shared" si="25"/>
        <v>0</v>
      </c>
      <c r="CA15" s="741">
        <v>0</v>
      </c>
      <c r="CB15" s="741"/>
      <c r="CC15" s="741">
        <f t="shared" si="11"/>
        <v>0</v>
      </c>
      <c r="CD15" s="751"/>
      <c r="CE15" s="748"/>
      <c r="CF15" s="748"/>
      <c r="CG15" s="748">
        <f t="shared" si="26"/>
        <v>0</v>
      </c>
      <c r="CH15" s="759"/>
      <c r="CI15" s="742"/>
      <c r="CJ15" s="591">
        <f t="shared" si="12"/>
        <v>0</v>
      </c>
    </row>
    <row r="16" spans="1:90" ht="21.6" customHeight="1" x14ac:dyDescent="0.3">
      <c r="A16" s="596"/>
      <c r="B16" s="596"/>
      <c r="C16" s="597"/>
      <c r="D16" s="159"/>
      <c r="E16" s="598">
        <v>0</v>
      </c>
      <c r="F16" s="596">
        <v>0</v>
      </c>
      <c r="G16" s="598"/>
      <c r="H16" s="604"/>
      <c r="I16" s="604">
        <f t="shared" si="13"/>
        <v>0</v>
      </c>
      <c r="J16" s="730"/>
      <c r="K16" s="730"/>
      <c r="L16" s="731">
        <f t="shared" si="14"/>
        <v>0</v>
      </c>
      <c r="M16" s="947"/>
      <c r="N16" s="617"/>
      <c r="O16" s="602">
        <f t="shared" si="15"/>
        <v>0</v>
      </c>
      <c r="P16" s="939"/>
      <c r="Q16" s="603">
        <f t="shared" si="6"/>
        <v>0</v>
      </c>
      <c r="R16" s="939"/>
      <c r="S16" s="604">
        <v>0</v>
      </c>
      <c r="T16" s="604"/>
      <c r="U16" s="730"/>
      <c r="V16" s="730"/>
      <c r="W16" s="731">
        <f t="shared" si="16"/>
        <v>0</v>
      </c>
      <c r="X16" s="947"/>
      <c r="Y16" s="617"/>
      <c r="Z16" s="602">
        <f t="shared" si="17"/>
        <v>0</v>
      </c>
      <c r="AA16" s="602"/>
      <c r="AB16" s="602">
        <f t="shared" si="18"/>
        <v>0</v>
      </c>
      <c r="AC16" s="939"/>
      <c r="AD16" s="955"/>
      <c r="AE16" s="955"/>
      <c r="AF16" s="611"/>
      <c r="AG16" s="604"/>
      <c r="AH16" s="728"/>
      <c r="AI16" s="728"/>
      <c r="AJ16" s="729">
        <f t="shared" si="7"/>
        <v>0</v>
      </c>
      <c r="AK16" s="946"/>
      <c r="AL16" s="617"/>
      <c r="AM16" s="602">
        <f t="shared" si="19"/>
        <v>0</v>
      </c>
      <c r="AN16" s="602"/>
      <c r="AO16" s="602">
        <f t="shared" si="8"/>
        <v>0</v>
      </c>
      <c r="AP16" s="939"/>
      <c r="AQ16" s="721">
        <v>0</v>
      </c>
      <c r="AR16" s="728"/>
      <c r="AS16" s="728"/>
      <c r="AT16" s="729">
        <f t="shared" si="20"/>
        <v>0</v>
      </c>
      <c r="AU16" s="946"/>
      <c r="AV16" s="617"/>
      <c r="AW16" s="602">
        <f t="shared" si="21"/>
        <v>0</v>
      </c>
      <c r="AX16" s="939"/>
      <c r="AY16" s="602">
        <f t="shared" si="22"/>
        <v>0</v>
      </c>
      <c r="AZ16" s="939"/>
      <c r="BA16" s="961"/>
      <c r="BB16" s="961"/>
      <c r="BC16" s="611"/>
      <c r="BD16" s="712"/>
      <c r="BE16" s="596"/>
      <c r="BF16" s="596">
        <f t="shared" si="27"/>
        <v>0</v>
      </c>
      <c r="BG16" s="728"/>
      <c r="BH16" s="728"/>
      <c r="BI16" s="729">
        <f t="shared" si="23"/>
        <v>0</v>
      </c>
      <c r="BJ16" s="729"/>
      <c r="BK16" s="616"/>
      <c r="BL16" s="603">
        <f t="shared" si="24"/>
        <v>0</v>
      </c>
      <c r="BM16" s="602"/>
      <c r="BN16" s="602">
        <f t="shared" si="9"/>
        <v>0</v>
      </c>
      <c r="BO16" s="939"/>
      <c r="BP16" s="817">
        <f t="shared" si="28"/>
        <v>0</v>
      </c>
      <c r="BS16" s="741">
        <v>0</v>
      </c>
      <c r="BT16" s="741">
        <v>0</v>
      </c>
      <c r="BU16" s="741">
        <f t="shared" si="10"/>
        <v>0</v>
      </c>
      <c r="BV16" s="741">
        <v>0</v>
      </c>
      <c r="BW16" s="741"/>
      <c r="BX16" s="741">
        <v>0</v>
      </c>
      <c r="BY16" s="741">
        <v>0</v>
      </c>
      <c r="BZ16" s="741">
        <f t="shared" si="25"/>
        <v>0</v>
      </c>
      <c r="CA16" s="741">
        <v>0</v>
      </c>
      <c r="CB16" s="741"/>
      <c r="CC16" s="741">
        <f t="shared" si="11"/>
        <v>0</v>
      </c>
      <c r="CD16" s="751"/>
      <c r="CE16" s="748"/>
      <c r="CF16" s="748"/>
      <c r="CG16" s="748">
        <f t="shared" si="26"/>
        <v>0</v>
      </c>
      <c r="CH16" s="759"/>
      <c r="CI16" s="742"/>
      <c r="CJ16" s="591">
        <f t="shared" si="12"/>
        <v>0</v>
      </c>
    </row>
    <row r="17" spans="1:88" s="593" customFormat="1" ht="21.6" customHeight="1" x14ac:dyDescent="0.3">
      <c r="A17" s="606"/>
      <c r="B17" s="606" t="s">
        <v>371</v>
      </c>
      <c r="C17" s="607" t="s">
        <v>467</v>
      </c>
      <c r="D17" s="153" t="s">
        <v>431</v>
      </c>
      <c r="E17" s="608">
        <v>20</v>
      </c>
      <c r="F17" s="606">
        <v>20</v>
      </c>
      <c r="G17" s="608"/>
      <c r="H17" s="609"/>
      <c r="I17" s="609">
        <f t="shared" si="13"/>
        <v>20</v>
      </c>
      <c r="J17" s="730">
        <v>15</v>
      </c>
      <c r="K17" s="730">
        <v>4</v>
      </c>
      <c r="L17" s="731">
        <f t="shared" si="14"/>
        <v>19</v>
      </c>
      <c r="M17" s="947">
        <f>L17</f>
        <v>19</v>
      </c>
      <c r="N17" s="617">
        <v>300</v>
      </c>
      <c r="O17" s="602">
        <f t="shared" si="15"/>
        <v>20</v>
      </c>
      <c r="P17" s="939">
        <f>O17</f>
        <v>20</v>
      </c>
      <c r="Q17" s="603">
        <f t="shared" si="6"/>
        <v>0</v>
      </c>
      <c r="R17" s="939">
        <f>Q17</f>
        <v>0</v>
      </c>
      <c r="S17" s="604">
        <v>0</v>
      </c>
      <c r="T17" s="604">
        <f>S17</f>
        <v>0</v>
      </c>
      <c r="U17" s="730"/>
      <c r="V17" s="730"/>
      <c r="W17" s="731">
        <f t="shared" si="16"/>
        <v>0</v>
      </c>
      <c r="X17" s="947">
        <f>W17</f>
        <v>0</v>
      </c>
      <c r="Y17" s="617"/>
      <c r="Z17" s="602">
        <f t="shared" si="17"/>
        <v>0</v>
      </c>
      <c r="AA17" s="602">
        <f>Z17</f>
        <v>0</v>
      </c>
      <c r="AB17" s="602">
        <f t="shared" si="18"/>
        <v>0</v>
      </c>
      <c r="AC17" s="939">
        <f>AB17</f>
        <v>0</v>
      </c>
      <c r="AD17" s="955">
        <f>M17+X17</f>
        <v>19</v>
      </c>
      <c r="AE17" s="955">
        <f>R17+AC17</f>
        <v>0</v>
      </c>
      <c r="AF17" s="610"/>
      <c r="AG17" s="609"/>
      <c r="AH17" s="728"/>
      <c r="AI17" s="728"/>
      <c r="AJ17" s="729">
        <f t="shared" si="7"/>
        <v>0</v>
      </c>
      <c r="AK17" s="946">
        <f>AJ17</f>
        <v>0</v>
      </c>
      <c r="AL17" s="617"/>
      <c r="AM17" s="602">
        <f t="shared" si="19"/>
        <v>0</v>
      </c>
      <c r="AN17" s="602">
        <f>AM17</f>
        <v>0</v>
      </c>
      <c r="AO17" s="602">
        <f t="shared" si="8"/>
        <v>0</v>
      </c>
      <c r="AP17" s="939">
        <f>AO17</f>
        <v>0</v>
      </c>
      <c r="AQ17" s="721">
        <v>0</v>
      </c>
      <c r="AR17" s="728"/>
      <c r="AS17" s="728"/>
      <c r="AT17" s="729">
        <f t="shared" si="20"/>
        <v>0</v>
      </c>
      <c r="AU17" s="946">
        <f>AT17</f>
        <v>0</v>
      </c>
      <c r="AV17" s="617"/>
      <c r="AW17" s="602">
        <f t="shared" si="21"/>
        <v>0</v>
      </c>
      <c r="AX17" s="939">
        <f>AW17</f>
        <v>0</v>
      </c>
      <c r="AY17" s="602">
        <f t="shared" si="22"/>
        <v>0</v>
      </c>
      <c r="AZ17" s="939">
        <f>AY17</f>
        <v>0</v>
      </c>
      <c r="BA17" s="961">
        <f>AK17+AU17</f>
        <v>0</v>
      </c>
      <c r="BB17" s="961">
        <f>AP17+AZ17</f>
        <v>0</v>
      </c>
      <c r="BC17" s="610">
        <f>BD17</f>
        <v>20</v>
      </c>
      <c r="BD17" s="711">
        <v>20</v>
      </c>
      <c r="BE17" s="606">
        <v>0</v>
      </c>
      <c r="BF17" s="596">
        <f t="shared" si="27"/>
        <v>20</v>
      </c>
      <c r="BG17" s="728">
        <v>15</v>
      </c>
      <c r="BH17" s="728">
        <v>4</v>
      </c>
      <c r="BI17" s="729">
        <f t="shared" si="23"/>
        <v>19</v>
      </c>
      <c r="BJ17" s="729">
        <f>BI17</f>
        <v>19</v>
      </c>
      <c r="BK17" s="616">
        <v>1000</v>
      </c>
      <c r="BL17" s="603">
        <f t="shared" si="24"/>
        <v>20</v>
      </c>
      <c r="BM17" s="602">
        <f>BL17</f>
        <v>20</v>
      </c>
      <c r="BN17" s="602">
        <f t="shared" si="9"/>
        <v>0</v>
      </c>
      <c r="BO17" s="939">
        <f>BN17</f>
        <v>0</v>
      </c>
      <c r="BP17" s="817">
        <f t="shared" si="28"/>
        <v>0</v>
      </c>
      <c r="BS17" s="744">
        <v>15</v>
      </c>
      <c r="BT17" s="744">
        <v>4</v>
      </c>
      <c r="BU17" s="741">
        <f t="shared" si="10"/>
        <v>19</v>
      </c>
      <c r="BV17" s="744">
        <v>20</v>
      </c>
      <c r="BW17" s="744">
        <f>BV17</f>
        <v>20</v>
      </c>
      <c r="BX17" s="744">
        <v>0</v>
      </c>
      <c r="BY17" s="744">
        <v>0</v>
      </c>
      <c r="BZ17" s="741">
        <f t="shared" si="25"/>
        <v>0</v>
      </c>
      <c r="CA17" s="744">
        <v>0</v>
      </c>
      <c r="CB17" s="744">
        <f>CA17</f>
        <v>0</v>
      </c>
      <c r="CC17" s="741">
        <f t="shared" si="11"/>
        <v>20</v>
      </c>
      <c r="CD17" s="754">
        <f>CC17</f>
        <v>20</v>
      </c>
      <c r="CE17" s="748">
        <v>15</v>
      </c>
      <c r="CF17" s="748">
        <v>4</v>
      </c>
      <c r="CG17" s="748">
        <f t="shared" si="26"/>
        <v>19</v>
      </c>
      <c r="CH17" s="765">
        <v>20</v>
      </c>
      <c r="CI17" s="744">
        <f>CH17</f>
        <v>20</v>
      </c>
      <c r="CJ17" s="593">
        <f t="shared" si="12"/>
        <v>0</v>
      </c>
    </row>
    <row r="18" spans="1:88" ht="21.6" customHeight="1" x14ac:dyDescent="0.3">
      <c r="A18" s="596"/>
      <c r="B18" s="596"/>
      <c r="C18" s="597"/>
      <c r="D18" s="143"/>
      <c r="E18" s="598">
        <v>0</v>
      </c>
      <c r="F18" s="596">
        <v>0</v>
      </c>
      <c r="G18" s="598"/>
      <c r="H18" s="604"/>
      <c r="I18" s="604">
        <f t="shared" si="13"/>
        <v>0</v>
      </c>
      <c r="J18" s="730"/>
      <c r="K18" s="730"/>
      <c r="L18" s="731">
        <f t="shared" si="14"/>
        <v>0</v>
      </c>
      <c r="M18" s="947"/>
      <c r="N18" s="617"/>
      <c r="O18" s="602">
        <f t="shared" si="15"/>
        <v>0</v>
      </c>
      <c r="P18" s="939"/>
      <c r="Q18" s="603">
        <f t="shared" si="6"/>
        <v>0</v>
      </c>
      <c r="R18" s="939"/>
      <c r="S18" s="604">
        <v>0</v>
      </c>
      <c r="T18" s="604"/>
      <c r="U18" s="730"/>
      <c r="V18" s="730"/>
      <c r="W18" s="731">
        <f t="shared" si="16"/>
        <v>0</v>
      </c>
      <c r="X18" s="947"/>
      <c r="Y18" s="617"/>
      <c r="Z18" s="602">
        <f t="shared" si="17"/>
        <v>0</v>
      </c>
      <c r="AA18" s="602"/>
      <c r="AB18" s="602">
        <f t="shared" si="18"/>
        <v>0</v>
      </c>
      <c r="AC18" s="939"/>
      <c r="AD18" s="955"/>
      <c r="AE18" s="955"/>
      <c r="AF18" s="611"/>
      <c r="AG18" s="604"/>
      <c r="AH18" s="728"/>
      <c r="AI18" s="728"/>
      <c r="AJ18" s="729">
        <f t="shared" si="7"/>
        <v>0</v>
      </c>
      <c r="AK18" s="946"/>
      <c r="AL18" s="617"/>
      <c r="AM18" s="602">
        <f t="shared" si="19"/>
        <v>0</v>
      </c>
      <c r="AN18" s="602"/>
      <c r="AO18" s="602">
        <f t="shared" si="8"/>
        <v>0</v>
      </c>
      <c r="AP18" s="939"/>
      <c r="AQ18" s="721">
        <v>0</v>
      </c>
      <c r="AR18" s="728"/>
      <c r="AS18" s="728"/>
      <c r="AT18" s="729">
        <f t="shared" si="20"/>
        <v>0</v>
      </c>
      <c r="AU18" s="946"/>
      <c r="AV18" s="617"/>
      <c r="AW18" s="602">
        <f t="shared" si="21"/>
        <v>0</v>
      </c>
      <c r="AX18" s="939"/>
      <c r="AY18" s="602">
        <f t="shared" si="22"/>
        <v>0</v>
      </c>
      <c r="AZ18" s="939"/>
      <c r="BA18" s="961"/>
      <c r="BB18" s="961"/>
      <c r="BC18" s="611"/>
      <c r="BD18" s="712"/>
      <c r="BE18" s="596"/>
      <c r="BF18" s="596">
        <f t="shared" si="27"/>
        <v>0</v>
      </c>
      <c r="BG18" s="728"/>
      <c r="BH18" s="728"/>
      <c r="BI18" s="729">
        <f t="shared" si="23"/>
        <v>0</v>
      </c>
      <c r="BJ18" s="729"/>
      <c r="BK18" s="616"/>
      <c r="BL18" s="603">
        <f t="shared" si="24"/>
        <v>0</v>
      </c>
      <c r="BM18" s="602"/>
      <c r="BN18" s="602">
        <f t="shared" si="9"/>
        <v>0</v>
      </c>
      <c r="BO18" s="939"/>
      <c r="BP18" s="817">
        <f t="shared" si="28"/>
        <v>0</v>
      </c>
      <c r="BS18" s="741">
        <v>0</v>
      </c>
      <c r="BT18" s="741">
        <v>0</v>
      </c>
      <c r="BU18" s="741">
        <f t="shared" si="10"/>
        <v>0</v>
      </c>
      <c r="BV18" s="741">
        <v>0</v>
      </c>
      <c r="BW18" s="741"/>
      <c r="BX18" s="741">
        <v>0</v>
      </c>
      <c r="BY18" s="741">
        <v>0</v>
      </c>
      <c r="BZ18" s="741">
        <f t="shared" si="25"/>
        <v>0</v>
      </c>
      <c r="CA18" s="741">
        <v>0</v>
      </c>
      <c r="CB18" s="741"/>
      <c r="CC18" s="741">
        <f t="shared" si="11"/>
        <v>0</v>
      </c>
      <c r="CD18" s="751"/>
      <c r="CE18" s="748"/>
      <c r="CF18" s="748"/>
      <c r="CG18" s="748">
        <f t="shared" si="26"/>
        <v>0</v>
      </c>
      <c r="CH18" s="759"/>
      <c r="CI18" s="742"/>
      <c r="CJ18" s="591">
        <f t="shared" si="12"/>
        <v>0</v>
      </c>
    </row>
    <row r="19" spans="1:88" s="593" customFormat="1" ht="21.6" customHeight="1" x14ac:dyDescent="0.3">
      <c r="A19" s="606" t="s">
        <v>9</v>
      </c>
      <c r="B19" s="606" t="s">
        <v>15</v>
      </c>
      <c r="C19" s="607" t="s">
        <v>16</v>
      </c>
      <c r="D19" s="167" t="s">
        <v>431</v>
      </c>
      <c r="E19" s="608">
        <v>11.333333333333334</v>
      </c>
      <c r="F19" s="606">
        <v>11.333333333333334</v>
      </c>
      <c r="G19" s="608">
        <v>0</v>
      </c>
      <c r="H19" s="609">
        <v>0</v>
      </c>
      <c r="I19" s="609">
        <f t="shared" si="13"/>
        <v>11.333333333333334</v>
      </c>
      <c r="J19" s="730">
        <v>9</v>
      </c>
      <c r="K19" s="730">
        <v>12</v>
      </c>
      <c r="L19" s="731">
        <f t="shared" si="14"/>
        <v>21</v>
      </c>
      <c r="M19" s="947">
        <f>SUM(L19:L21)</f>
        <v>21</v>
      </c>
      <c r="N19" s="617">
        <v>170</v>
      </c>
      <c r="O19" s="602">
        <f t="shared" si="15"/>
        <v>11.333333333333334</v>
      </c>
      <c r="P19" s="939">
        <f>SUM(O19:O21)</f>
        <v>11.333333333333334</v>
      </c>
      <c r="Q19" s="603">
        <f t="shared" si="6"/>
        <v>0</v>
      </c>
      <c r="R19" s="939">
        <f>SUM(Q19:Q21)</f>
        <v>0</v>
      </c>
      <c r="S19" s="604">
        <v>0</v>
      </c>
      <c r="T19" s="604">
        <f>SUM(S19:S21)</f>
        <v>0</v>
      </c>
      <c r="U19" s="730"/>
      <c r="V19" s="730"/>
      <c r="W19" s="731">
        <f t="shared" si="16"/>
        <v>0</v>
      </c>
      <c r="X19" s="947">
        <f>SUM(W19:W21)</f>
        <v>0</v>
      </c>
      <c r="Y19" s="617"/>
      <c r="Z19" s="602">
        <f t="shared" si="17"/>
        <v>0</v>
      </c>
      <c r="AA19" s="602">
        <f>SUM(Z19:Z21)</f>
        <v>0</v>
      </c>
      <c r="AB19" s="602">
        <f t="shared" si="18"/>
        <v>0</v>
      </c>
      <c r="AC19" s="939">
        <f>SUM(AB19:AB21)</f>
        <v>0</v>
      </c>
      <c r="AD19" s="955">
        <f>M19+X19</f>
        <v>21</v>
      </c>
      <c r="AE19" s="955">
        <f>R19+AC19</f>
        <v>0</v>
      </c>
      <c r="AF19" s="610">
        <v>0</v>
      </c>
      <c r="AG19" s="609">
        <v>53</v>
      </c>
      <c r="AH19" s="728"/>
      <c r="AI19" s="728"/>
      <c r="AJ19" s="729">
        <f t="shared" si="7"/>
        <v>0</v>
      </c>
      <c r="AK19" s="946">
        <f>SUM(AJ19:AJ21)</f>
        <v>70</v>
      </c>
      <c r="AL19" s="617"/>
      <c r="AM19" s="602">
        <f t="shared" si="19"/>
        <v>0</v>
      </c>
      <c r="AN19" s="602">
        <f>SUM(AM19:AM21)</f>
        <v>53</v>
      </c>
      <c r="AO19" s="602">
        <f t="shared" si="8"/>
        <v>0</v>
      </c>
      <c r="AP19" s="939">
        <f>SUM(AO19:AO21)</f>
        <v>0</v>
      </c>
      <c r="AQ19" s="721">
        <v>0</v>
      </c>
      <c r="AR19" s="728"/>
      <c r="AS19" s="728"/>
      <c r="AT19" s="729">
        <f t="shared" si="20"/>
        <v>0</v>
      </c>
      <c r="AU19" s="946">
        <f>SUM(AT19:AT21)</f>
        <v>0</v>
      </c>
      <c r="AV19" s="617"/>
      <c r="AW19" s="602">
        <f t="shared" si="21"/>
        <v>0</v>
      </c>
      <c r="AX19" s="939">
        <f>SUM(AW19:AW21)</f>
        <v>0</v>
      </c>
      <c r="AY19" s="602">
        <f t="shared" si="22"/>
        <v>0</v>
      </c>
      <c r="AZ19" s="939">
        <f>SUM(AY19:AY21)</f>
        <v>0</v>
      </c>
      <c r="BA19" s="961">
        <f>AK19+AU19</f>
        <v>70</v>
      </c>
      <c r="BB19" s="961">
        <f>AP19+AZ19</f>
        <v>0</v>
      </c>
      <c r="BC19" s="610">
        <f>SUM(BD19:BD21)</f>
        <v>63</v>
      </c>
      <c r="BD19" s="711">
        <v>11</v>
      </c>
      <c r="BE19" s="609">
        <v>0</v>
      </c>
      <c r="BF19" s="596">
        <f t="shared" si="27"/>
        <v>11</v>
      </c>
      <c r="BG19" s="728">
        <v>14</v>
      </c>
      <c r="BH19" s="728">
        <v>13</v>
      </c>
      <c r="BI19" s="729">
        <f t="shared" si="23"/>
        <v>27</v>
      </c>
      <c r="BJ19" s="729">
        <f>SUM(BI19:BI21)</f>
        <v>97</v>
      </c>
      <c r="BK19" s="616">
        <v>550</v>
      </c>
      <c r="BL19" s="603">
        <f t="shared" si="24"/>
        <v>11</v>
      </c>
      <c r="BM19" s="602">
        <f>SUM(BL19:BL21)</f>
        <v>63</v>
      </c>
      <c r="BN19" s="602">
        <f t="shared" si="9"/>
        <v>0</v>
      </c>
      <c r="BO19" s="939">
        <f>SUM(BN19:BN21)</f>
        <v>0</v>
      </c>
      <c r="BP19" s="817">
        <f t="shared" si="28"/>
        <v>0</v>
      </c>
      <c r="BS19" s="744">
        <v>0</v>
      </c>
      <c r="BT19" s="744">
        <v>0</v>
      </c>
      <c r="BU19" s="741">
        <f t="shared" si="10"/>
        <v>0</v>
      </c>
      <c r="BV19" s="744">
        <v>0</v>
      </c>
      <c r="BW19" s="744">
        <f>SUM(BV19:BV21)</f>
        <v>0</v>
      </c>
      <c r="BX19" s="744">
        <v>0</v>
      </c>
      <c r="BY19" s="744">
        <v>0</v>
      </c>
      <c r="BZ19" s="741">
        <f t="shared" si="25"/>
        <v>0</v>
      </c>
      <c r="CA19" s="744">
        <v>0</v>
      </c>
      <c r="CB19" s="744">
        <f>SUM(CA19:CA21)</f>
        <v>0</v>
      </c>
      <c r="CC19" s="741">
        <f t="shared" si="11"/>
        <v>0</v>
      </c>
      <c r="CD19" s="754">
        <f>SUM(CC19:CC21)</f>
        <v>0</v>
      </c>
      <c r="CE19" s="748"/>
      <c r="CF19" s="748"/>
      <c r="CG19" s="748">
        <f t="shared" si="26"/>
        <v>0</v>
      </c>
      <c r="CH19" s="765"/>
      <c r="CI19" s="744">
        <f>SUM(CH19:CH21)</f>
        <v>0</v>
      </c>
      <c r="CJ19" s="593">
        <f t="shared" si="12"/>
        <v>0</v>
      </c>
    </row>
    <row r="20" spans="1:88" ht="21.6" customHeight="1" x14ac:dyDescent="0.3">
      <c r="A20" s="596"/>
      <c r="B20" s="596" t="s">
        <v>15</v>
      </c>
      <c r="C20" s="597" t="s">
        <v>595</v>
      </c>
      <c r="D20" s="171" t="s">
        <v>431</v>
      </c>
      <c r="E20" s="598">
        <v>0</v>
      </c>
      <c r="F20" s="596">
        <v>0</v>
      </c>
      <c r="G20" s="598">
        <v>0</v>
      </c>
      <c r="H20" s="604"/>
      <c r="I20" s="604">
        <f t="shared" si="13"/>
        <v>0</v>
      </c>
      <c r="J20" s="730"/>
      <c r="K20" s="730"/>
      <c r="L20" s="731">
        <f t="shared" si="14"/>
        <v>0</v>
      </c>
      <c r="M20" s="947"/>
      <c r="N20" s="617"/>
      <c r="O20" s="602">
        <f t="shared" si="15"/>
        <v>0</v>
      </c>
      <c r="P20" s="939"/>
      <c r="Q20" s="603">
        <f t="shared" si="6"/>
        <v>0</v>
      </c>
      <c r="R20" s="939"/>
      <c r="S20" s="604">
        <v>0</v>
      </c>
      <c r="T20" s="604"/>
      <c r="U20" s="730"/>
      <c r="V20" s="730"/>
      <c r="W20" s="731">
        <f t="shared" si="16"/>
        <v>0</v>
      </c>
      <c r="X20" s="947"/>
      <c r="Y20" s="617"/>
      <c r="Z20" s="602">
        <f t="shared" si="17"/>
        <v>0</v>
      </c>
      <c r="AA20" s="602"/>
      <c r="AB20" s="602">
        <f t="shared" si="18"/>
        <v>0</v>
      </c>
      <c r="AC20" s="939"/>
      <c r="AD20" s="955"/>
      <c r="AE20" s="955"/>
      <c r="AF20" s="611">
        <v>15</v>
      </c>
      <c r="AG20" s="604"/>
      <c r="AH20" s="728">
        <f>17+8</f>
        <v>25</v>
      </c>
      <c r="AI20" s="728">
        <f>2+5</f>
        <v>7</v>
      </c>
      <c r="AJ20" s="729">
        <f t="shared" si="7"/>
        <v>32</v>
      </c>
      <c r="AK20" s="946"/>
      <c r="AL20" s="617">
        <f>140+85</f>
        <v>225</v>
      </c>
      <c r="AM20" s="602">
        <f t="shared" si="19"/>
        <v>15</v>
      </c>
      <c r="AN20" s="602"/>
      <c r="AO20" s="602">
        <f t="shared" si="8"/>
        <v>0</v>
      </c>
      <c r="AP20" s="939"/>
      <c r="AQ20" s="721">
        <v>0</v>
      </c>
      <c r="AR20" s="728"/>
      <c r="AS20" s="728"/>
      <c r="AT20" s="729">
        <f t="shared" si="20"/>
        <v>0</v>
      </c>
      <c r="AU20" s="946"/>
      <c r="AV20" s="617"/>
      <c r="AW20" s="602">
        <f t="shared" si="21"/>
        <v>0</v>
      </c>
      <c r="AX20" s="939"/>
      <c r="AY20" s="602">
        <f t="shared" si="22"/>
        <v>0</v>
      </c>
      <c r="AZ20" s="939"/>
      <c r="BA20" s="961"/>
      <c r="BB20" s="961"/>
      <c r="BC20" s="611"/>
      <c r="BD20" s="712">
        <v>14</v>
      </c>
      <c r="BE20" s="604">
        <v>0</v>
      </c>
      <c r="BF20" s="596">
        <f t="shared" si="27"/>
        <v>14</v>
      </c>
      <c r="BG20" s="728">
        <v>26</v>
      </c>
      <c r="BH20" s="728">
        <v>6</v>
      </c>
      <c r="BI20" s="729">
        <f t="shared" si="23"/>
        <v>32</v>
      </c>
      <c r="BJ20" s="729"/>
      <c r="BK20" s="616">
        <v>700</v>
      </c>
      <c r="BL20" s="603">
        <f t="shared" si="24"/>
        <v>14</v>
      </c>
      <c r="BM20" s="602"/>
      <c r="BN20" s="602">
        <f t="shared" si="9"/>
        <v>0</v>
      </c>
      <c r="BO20" s="939"/>
      <c r="BP20" s="817">
        <f t="shared" si="28"/>
        <v>0</v>
      </c>
      <c r="BS20" s="741">
        <v>0</v>
      </c>
      <c r="BT20" s="741">
        <v>0</v>
      </c>
      <c r="BU20" s="741">
        <f t="shared" si="10"/>
        <v>0</v>
      </c>
      <c r="BV20" s="741">
        <v>0</v>
      </c>
      <c r="BW20" s="741"/>
      <c r="BX20" s="741">
        <v>0</v>
      </c>
      <c r="BY20" s="741">
        <v>0</v>
      </c>
      <c r="BZ20" s="741">
        <f t="shared" si="25"/>
        <v>0</v>
      </c>
      <c r="CA20" s="741">
        <v>0</v>
      </c>
      <c r="CB20" s="741"/>
      <c r="CC20" s="741">
        <f t="shared" si="11"/>
        <v>0</v>
      </c>
      <c r="CD20" s="751"/>
      <c r="CE20" s="748"/>
      <c r="CF20" s="748"/>
      <c r="CG20" s="748">
        <f t="shared" si="26"/>
        <v>0</v>
      </c>
      <c r="CH20" s="759"/>
      <c r="CI20" s="742"/>
      <c r="CJ20" s="591">
        <f t="shared" si="12"/>
        <v>0</v>
      </c>
    </row>
    <row r="21" spans="1:88" ht="21.6" customHeight="1" x14ac:dyDescent="0.3">
      <c r="A21" s="596"/>
      <c r="B21" s="596" t="s">
        <v>15</v>
      </c>
      <c r="C21" s="597" t="s">
        <v>597</v>
      </c>
      <c r="D21" s="171" t="s">
        <v>431</v>
      </c>
      <c r="E21" s="598">
        <v>0</v>
      </c>
      <c r="F21" s="596">
        <v>0</v>
      </c>
      <c r="G21" s="598">
        <v>0</v>
      </c>
      <c r="H21" s="604"/>
      <c r="I21" s="604">
        <f t="shared" si="13"/>
        <v>0</v>
      </c>
      <c r="J21" s="730"/>
      <c r="K21" s="730"/>
      <c r="L21" s="731">
        <f t="shared" si="14"/>
        <v>0</v>
      </c>
      <c r="M21" s="947"/>
      <c r="N21" s="617"/>
      <c r="O21" s="602">
        <f t="shared" si="15"/>
        <v>0</v>
      </c>
      <c r="P21" s="939"/>
      <c r="Q21" s="603">
        <f t="shared" si="6"/>
        <v>0</v>
      </c>
      <c r="R21" s="939"/>
      <c r="S21" s="604">
        <v>0</v>
      </c>
      <c r="T21" s="604"/>
      <c r="U21" s="730"/>
      <c r="V21" s="730"/>
      <c r="W21" s="731">
        <f t="shared" si="16"/>
        <v>0</v>
      </c>
      <c r="X21" s="947"/>
      <c r="Y21" s="617"/>
      <c r="Z21" s="602">
        <f t="shared" si="17"/>
        <v>0</v>
      </c>
      <c r="AA21" s="602"/>
      <c r="AB21" s="602">
        <f t="shared" si="18"/>
        <v>0</v>
      </c>
      <c r="AC21" s="939"/>
      <c r="AD21" s="955"/>
      <c r="AE21" s="955"/>
      <c r="AF21" s="611">
        <v>38</v>
      </c>
      <c r="AG21" s="604"/>
      <c r="AH21" s="728">
        <f>3+8</f>
        <v>11</v>
      </c>
      <c r="AI21" s="728">
        <f>16+11</f>
        <v>27</v>
      </c>
      <c r="AJ21" s="729">
        <f t="shared" si="7"/>
        <v>38</v>
      </c>
      <c r="AK21" s="946"/>
      <c r="AL21" s="617">
        <f>285+285</f>
        <v>570</v>
      </c>
      <c r="AM21" s="602">
        <f t="shared" si="19"/>
        <v>38</v>
      </c>
      <c r="AN21" s="602"/>
      <c r="AO21" s="602">
        <f t="shared" si="8"/>
        <v>0</v>
      </c>
      <c r="AP21" s="939"/>
      <c r="AQ21" s="721">
        <v>0</v>
      </c>
      <c r="AR21" s="728"/>
      <c r="AS21" s="728"/>
      <c r="AT21" s="729">
        <f t="shared" si="20"/>
        <v>0</v>
      </c>
      <c r="AU21" s="946"/>
      <c r="AV21" s="617"/>
      <c r="AW21" s="602">
        <f t="shared" si="21"/>
        <v>0</v>
      </c>
      <c r="AX21" s="939"/>
      <c r="AY21" s="602">
        <f t="shared" si="22"/>
        <v>0</v>
      </c>
      <c r="AZ21" s="939"/>
      <c r="BA21" s="961"/>
      <c r="BB21" s="961"/>
      <c r="BC21" s="611"/>
      <c r="BD21" s="712">
        <v>38</v>
      </c>
      <c r="BE21" s="604">
        <v>0</v>
      </c>
      <c r="BF21" s="596">
        <f t="shared" si="27"/>
        <v>38</v>
      </c>
      <c r="BG21" s="728">
        <v>11</v>
      </c>
      <c r="BH21" s="728">
        <v>27</v>
      </c>
      <c r="BI21" s="729">
        <f t="shared" si="23"/>
        <v>38</v>
      </c>
      <c r="BJ21" s="729"/>
      <c r="BK21" s="616">
        <v>1900</v>
      </c>
      <c r="BL21" s="603">
        <f t="shared" si="24"/>
        <v>38</v>
      </c>
      <c r="BM21" s="602"/>
      <c r="BN21" s="602">
        <f t="shared" si="9"/>
        <v>0</v>
      </c>
      <c r="BO21" s="939"/>
      <c r="BP21" s="817">
        <f t="shared" si="28"/>
        <v>0</v>
      </c>
      <c r="BS21" s="741">
        <v>0</v>
      </c>
      <c r="BT21" s="741">
        <v>0</v>
      </c>
      <c r="BU21" s="741">
        <f t="shared" si="10"/>
        <v>0</v>
      </c>
      <c r="BV21" s="741">
        <v>0</v>
      </c>
      <c r="BW21" s="741"/>
      <c r="BX21" s="741">
        <v>0</v>
      </c>
      <c r="BY21" s="741">
        <v>0</v>
      </c>
      <c r="BZ21" s="741">
        <f t="shared" si="25"/>
        <v>0</v>
      </c>
      <c r="CA21" s="741">
        <v>0</v>
      </c>
      <c r="CB21" s="741"/>
      <c r="CC21" s="741">
        <f t="shared" si="11"/>
        <v>0</v>
      </c>
      <c r="CD21" s="751"/>
      <c r="CE21" s="748"/>
      <c r="CF21" s="748"/>
      <c r="CG21" s="748">
        <f t="shared" si="26"/>
        <v>0</v>
      </c>
      <c r="CH21" s="759"/>
      <c r="CI21" s="742"/>
      <c r="CJ21" s="591">
        <f t="shared" si="12"/>
        <v>0</v>
      </c>
    </row>
    <row r="22" spans="1:88" ht="21.6" customHeight="1" x14ac:dyDescent="0.3">
      <c r="A22" s="596"/>
      <c r="B22" s="596"/>
      <c r="C22" s="597"/>
      <c r="D22" s="173"/>
      <c r="E22" s="598">
        <v>0</v>
      </c>
      <c r="F22" s="596">
        <v>0</v>
      </c>
      <c r="G22" s="598"/>
      <c r="H22" s="604"/>
      <c r="I22" s="604">
        <f t="shared" si="13"/>
        <v>0</v>
      </c>
      <c r="J22" s="730"/>
      <c r="K22" s="730"/>
      <c r="L22" s="731">
        <f t="shared" si="14"/>
        <v>0</v>
      </c>
      <c r="M22" s="947"/>
      <c r="N22" s="617"/>
      <c r="O22" s="602">
        <f t="shared" si="15"/>
        <v>0</v>
      </c>
      <c r="P22" s="939"/>
      <c r="Q22" s="603">
        <f t="shared" si="6"/>
        <v>0</v>
      </c>
      <c r="R22" s="939"/>
      <c r="S22" s="604">
        <v>0</v>
      </c>
      <c r="T22" s="604"/>
      <c r="U22" s="730"/>
      <c r="V22" s="730"/>
      <c r="W22" s="731">
        <f t="shared" si="16"/>
        <v>0</v>
      </c>
      <c r="X22" s="947"/>
      <c r="Y22" s="617"/>
      <c r="Z22" s="602">
        <f t="shared" si="17"/>
        <v>0</v>
      </c>
      <c r="AA22" s="602"/>
      <c r="AB22" s="602">
        <f t="shared" si="18"/>
        <v>0</v>
      </c>
      <c r="AC22" s="939"/>
      <c r="AD22" s="955"/>
      <c r="AE22" s="955"/>
      <c r="AF22" s="611"/>
      <c r="AG22" s="604"/>
      <c r="AH22" s="728"/>
      <c r="AI22" s="728"/>
      <c r="AJ22" s="729">
        <f t="shared" si="7"/>
        <v>0</v>
      </c>
      <c r="AK22" s="946"/>
      <c r="AL22" s="617"/>
      <c r="AM22" s="602">
        <f t="shared" si="19"/>
        <v>0</v>
      </c>
      <c r="AN22" s="602"/>
      <c r="AO22" s="602">
        <f t="shared" si="8"/>
        <v>0</v>
      </c>
      <c r="AP22" s="939"/>
      <c r="AQ22" s="721">
        <v>0</v>
      </c>
      <c r="AR22" s="728"/>
      <c r="AS22" s="728"/>
      <c r="AT22" s="729">
        <f t="shared" si="20"/>
        <v>0</v>
      </c>
      <c r="AU22" s="946"/>
      <c r="AV22" s="617"/>
      <c r="AW22" s="602">
        <f t="shared" si="21"/>
        <v>0</v>
      </c>
      <c r="AX22" s="939"/>
      <c r="AY22" s="602">
        <f t="shared" si="22"/>
        <v>0</v>
      </c>
      <c r="AZ22" s="939"/>
      <c r="BA22" s="961"/>
      <c r="BB22" s="961"/>
      <c r="BC22" s="611"/>
      <c r="BD22" s="712"/>
      <c r="BE22" s="596"/>
      <c r="BF22" s="596">
        <f t="shared" si="27"/>
        <v>0</v>
      </c>
      <c r="BG22" s="728"/>
      <c r="BH22" s="728"/>
      <c r="BI22" s="729">
        <f t="shared" si="23"/>
        <v>0</v>
      </c>
      <c r="BJ22" s="729"/>
      <c r="BK22" s="616"/>
      <c r="BL22" s="603">
        <f t="shared" si="24"/>
        <v>0</v>
      </c>
      <c r="BM22" s="602"/>
      <c r="BN22" s="602">
        <f t="shared" si="9"/>
        <v>0</v>
      </c>
      <c r="BO22" s="939"/>
      <c r="BP22" s="817">
        <f t="shared" si="28"/>
        <v>0</v>
      </c>
      <c r="BS22" s="741">
        <v>0</v>
      </c>
      <c r="BT22" s="741">
        <v>0</v>
      </c>
      <c r="BU22" s="741">
        <f t="shared" si="10"/>
        <v>0</v>
      </c>
      <c r="BV22" s="741">
        <v>0</v>
      </c>
      <c r="BW22" s="741"/>
      <c r="BX22" s="741">
        <v>0</v>
      </c>
      <c r="BY22" s="741">
        <v>0</v>
      </c>
      <c r="BZ22" s="741">
        <f t="shared" si="25"/>
        <v>0</v>
      </c>
      <c r="CA22" s="741">
        <v>0</v>
      </c>
      <c r="CB22" s="741"/>
      <c r="CC22" s="741">
        <f t="shared" si="11"/>
        <v>0</v>
      </c>
      <c r="CD22" s="751"/>
      <c r="CE22" s="748"/>
      <c r="CF22" s="748"/>
      <c r="CG22" s="748">
        <f t="shared" si="26"/>
        <v>0</v>
      </c>
      <c r="CH22" s="759"/>
      <c r="CI22" s="742"/>
      <c r="CJ22" s="591">
        <f t="shared" si="12"/>
        <v>0</v>
      </c>
    </row>
    <row r="23" spans="1:88" s="593" customFormat="1" ht="21.6" customHeight="1" x14ac:dyDescent="0.25">
      <c r="A23" s="606" t="s">
        <v>9</v>
      </c>
      <c r="B23" s="606" t="s">
        <v>17</v>
      </c>
      <c r="C23" s="607" t="s">
        <v>18</v>
      </c>
      <c r="D23" s="171" t="s">
        <v>431</v>
      </c>
      <c r="E23" s="608">
        <v>0</v>
      </c>
      <c r="F23" s="606">
        <v>24</v>
      </c>
      <c r="G23" s="608">
        <v>0</v>
      </c>
      <c r="H23" s="609">
        <v>0</v>
      </c>
      <c r="I23" s="609">
        <f t="shared" si="13"/>
        <v>24</v>
      </c>
      <c r="J23" s="730"/>
      <c r="K23" s="730"/>
      <c r="L23" s="731">
        <f t="shared" si="14"/>
        <v>0</v>
      </c>
      <c r="M23" s="947">
        <f>SUM(L23:L27)</f>
        <v>27</v>
      </c>
      <c r="N23" s="617"/>
      <c r="O23" s="602">
        <f t="shared" si="15"/>
        <v>0</v>
      </c>
      <c r="P23" s="939">
        <f>SUM(O23:O27)</f>
        <v>24</v>
      </c>
      <c r="Q23" s="603">
        <f t="shared" si="6"/>
        <v>0</v>
      </c>
      <c r="R23" s="939">
        <f>SUM(Q23:Q27)</f>
        <v>0</v>
      </c>
      <c r="S23" s="604">
        <v>0</v>
      </c>
      <c r="T23" s="604">
        <f>SUM(S23:S27)</f>
        <v>4</v>
      </c>
      <c r="U23" s="730"/>
      <c r="V23" s="730"/>
      <c r="W23" s="731">
        <f t="shared" si="16"/>
        <v>0</v>
      </c>
      <c r="X23" s="947">
        <f>SUM(W23:W27)</f>
        <v>4</v>
      </c>
      <c r="Y23" s="617"/>
      <c r="Z23" s="602">
        <f t="shared" si="17"/>
        <v>0</v>
      </c>
      <c r="AA23" s="602">
        <f>SUM(Z23:Z27)</f>
        <v>4</v>
      </c>
      <c r="AB23" s="602">
        <f t="shared" si="18"/>
        <v>0</v>
      </c>
      <c r="AC23" s="939">
        <f>SUM(AB23:AB27)</f>
        <v>0</v>
      </c>
      <c r="AD23" s="955">
        <f>M23+X23</f>
        <v>31</v>
      </c>
      <c r="AE23" s="955">
        <f>R23+AC23</f>
        <v>0</v>
      </c>
      <c r="AF23" s="610">
        <v>0</v>
      </c>
      <c r="AG23" s="609">
        <v>0</v>
      </c>
      <c r="AH23" s="728"/>
      <c r="AI23" s="728"/>
      <c r="AJ23" s="729">
        <f t="shared" si="7"/>
        <v>0</v>
      </c>
      <c r="AK23" s="946">
        <f>SUM(AJ23:AJ27)</f>
        <v>0</v>
      </c>
      <c r="AL23" s="617"/>
      <c r="AM23" s="602">
        <f t="shared" si="19"/>
        <v>0</v>
      </c>
      <c r="AN23" s="602">
        <f>SUM(AM23:AM27)</f>
        <v>0</v>
      </c>
      <c r="AO23" s="602">
        <f t="shared" si="8"/>
        <v>0</v>
      </c>
      <c r="AP23" s="939">
        <f>SUM(AO23:AO27)</f>
        <v>0</v>
      </c>
      <c r="AQ23" s="721">
        <v>5</v>
      </c>
      <c r="AR23" s="728"/>
      <c r="AS23" s="728"/>
      <c r="AT23" s="729">
        <f t="shared" si="20"/>
        <v>0</v>
      </c>
      <c r="AU23" s="946">
        <f>SUM(AT23:AT27)</f>
        <v>9</v>
      </c>
      <c r="AV23" s="617"/>
      <c r="AW23" s="602">
        <f t="shared" si="21"/>
        <v>0</v>
      </c>
      <c r="AX23" s="939">
        <f>SUM(AW23:AW27)</f>
        <v>4.5600000000000005</v>
      </c>
      <c r="AY23" s="602">
        <f t="shared" si="22"/>
        <v>5</v>
      </c>
      <c r="AZ23" s="939">
        <f>SUM(AY23:AY27)</f>
        <v>0.4399999999999995</v>
      </c>
      <c r="BA23" s="961">
        <f>AK23+AU23</f>
        <v>9</v>
      </c>
      <c r="BB23" s="961">
        <f>AP23+AZ23</f>
        <v>0.4399999999999995</v>
      </c>
      <c r="BC23" s="610">
        <f>SUM(BD23:BD27)</f>
        <v>24</v>
      </c>
      <c r="BD23" s="711">
        <v>0</v>
      </c>
      <c r="BE23" s="609">
        <v>0</v>
      </c>
      <c r="BF23" s="596">
        <f t="shared" si="27"/>
        <v>0</v>
      </c>
      <c r="BG23" s="728"/>
      <c r="BH23" s="728"/>
      <c r="BI23" s="729">
        <f t="shared" si="23"/>
        <v>0</v>
      </c>
      <c r="BJ23" s="729">
        <f>SUM(BI23:BI27)</f>
        <v>22</v>
      </c>
      <c r="BK23" s="616"/>
      <c r="BL23" s="603">
        <f t="shared" si="24"/>
        <v>0</v>
      </c>
      <c r="BM23" s="602">
        <f>SUM(BL23:BL27)</f>
        <v>26</v>
      </c>
      <c r="BN23" s="602">
        <f t="shared" si="9"/>
        <v>0</v>
      </c>
      <c r="BO23" s="939">
        <f>SUM(BN23:BN27)</f>
        <v>-2</v>
      </c>
      <c r="BP23" s="817">
        <f t="shared" si="28"/>
        <v>-1.5600000000000005</v>
      </c>
      <c r="BS23" s="744">
        <v>0</v>
      </c>
      <c r="BT23" s="744">
        <v>0</v>
      </c>
      <c r="BU23" s="741">
        <f t="shared" si="10"/>
        <v>0</v>
      </c>
      <c r="BV23" s="744">
        <v>0</v>
      </c>
      <c r="BW23" s="744">
        <f>SUM(BV23:BV27)</f>
        <v>0</v>
      </c>
      <c r="BX23" s="744">
        <v>0</v>
      </c>
      <c r="BY23" s="744">
        <v>0</v>
      </c>
      <c r="BZ23" s="741">
        <f t="shared" si="25"/>
        <v>0</v>
      </c>
      <c r="CA23" s="744">
        <v>0</v>
      </c>
      <c r="CB23" s="744">
        <f>SUM(CA23:CA27)</f>
        <v>0</v>
      </c>
      <c r="CC23" s="741">
        <f t="shared" si="11"/>
        <v>0</v>
      </c>
      <c r="CD23" s="754">
        <f>SUM(CC23:CC27)</f>
        <v>0</v>
      </c>
      <c r="CE23" s="748"/>
      <c r="CF23" s="748"/>
      <c r="CG23" s="748">
        <f t="shared" si="26"/>
        <v>0</v>
      </c>
      <c r="CH23" s="765"/>
      <c r="CI23" s="744">
        <f>SUM(CH23:CH27)</f>
        <v>0</v>
      </c>
      <c r="CJ23" s="593">
        <f t="shared" si="12"/>
        <v>5</v>
      </c>
    </row>
    <row r="24" spans="1:88" ht="21.6" customHeight="1" x14ac:dyDescent="0.3">
      <c r="A24" s="596" t="s">
        <v>9</v>
      </c>
      <c r="B24" s="596" t="s">
        <v>17</v>
      </c>
      <c r="C24" s="597" t="s">
        <v>19</v>
      </c>
      <c r="D24" s="167"/>
      <c r="E24" s="598">
        <v>0</v>
      </c>
      <c r="F24" s="596">
        <v>0</v>
      </c>
      <c r="G24" s="598">
        <v>0</v>
      </c>
      <c r="H24" s="604"/>
      <c r="I24" s="604">
        <f t="shared" si="13"/>
        <v>0</v>
      </c>
      <c r="J24" s="730"/>
      <c r="K24" s="730"/>
      <c r="L24" s="731">
        <f t="shared" si="14"/>
        <v>0</v>
      </c>
      <c r="M24" s="947"/>
      <c r="N24" s="617"/>
      <c r="O24" s="602">
        <f t="shared" si="15"/>
        <v>0</v>
      </c>
      <c r="P24" s="939"/>
      <c r="Q24" s="603">
        <f t="shared" si="6"/>
        <v>0</v>
      </c>
      <c r="R24" s="939"/>
      <c r="S24" s="604">
        <v>0</v>
      </c>
      <c r="T24" s="604"/>
      <c r="U24" s="730"/>
      <c r="V24" s="730"/>
      <c r="W24" s="731">
        <f t="shared" si="16"/>
        <v>0</v>
      </c>
      <c r="X24" s="947"/>
      <c r="Y24" s="617"/>
      <c r="Z24" s="602">
        <f t="shared" si="17"/>
        <v>0</v>
      </c>
      <c r="AA24" s="602"/>
      <c r="AB24" s="602">
        <f t="shared" si="18"/>
        <v>0</v>
      </c>
      <c r="AC24" s="939"/>
      <c r="AD24" s="955"/>
      <c r="AE24" s="955"/>
      <c r="AF24" s="611">
        <v>0</v>
      </c>
      <c r="AG24" s="604"/>
      <c r="AH24" s="728"/>
      <c r="AI24" s="728"/>
      <c r="AJ24" s="729">
        <f t="shared" si="7"/>
        <v>0</v>
      </c>
      <c r="AK24" s="946"/>
      <c r="AL24" s="617"/>
      <c r="AM24" s="602">
        <f t="shared" si="19"/>
        <v>0</v>
      </c>
      <c r="AN24" s="602"/>
      <c r="AO24" s="602">
        <f t="shared" si="8"/>
        <v>0</v>
      </c>
      <c r="AP24" s="939"/>
      <c r="AQ24" s="721">
        <v>0</v>
      </c>
      <c r="AR24" s="728"/>
      <c r="AS24" s="728"/>
      <c r="AT24" s="729">
        <f t="shared" si="20"/>
        <v>0</v>
      </c>
      <c r="AU24" s="946"/>
      <c r="AV24" s="617"/>
      <c r="AW24" s="602">
        <f t="shared" si="21"/>
        <v>0</v>
      </c>
      <c r="AX24" s="939"/>
      <c r="AY24" s="602">
        <f t="shared" si="22"/>
        <v>0</v>
      </c>
      <c r="AZ24" s="939"/>
      <c r="BA24" s="961"/>
      <c r="BB24" s="961"/>
      <c r="BC24" s="611"/>
      <c r="BD24" s="712">
        <v>0</v>
      </c>
      <c r="BE24" s="596">
        <v>0</v>
      </c>
      <c r="BF24" s="596">
        <f t="shared" si="27"/>
        <v>0</v>
      </c>
      <c r="BG24" s="728"/>
      <c r="BH24" s="728"/>
      <c r="BI24" s="729">
        <f t="shared" si="23"/>
        <v>0</v>
      </c>
      <c r="BJ24" s="729"/>
      <c r="BK24" s="616"/>
      <c r="BL24" s="603">
        <f t="shared" si="24"/>
        <v>0</v>
      </c>
      <c r="BM24" s="602"/>
      <c r="BN24" s="602">
        <f t="shared" si="9"/>
        <v>0</v>
      </c>
      <c r="BO24" s="939"/>
      <c r="BP24" s="817">
        <f t="shared" si="28"/>
        <v>0</v>
      </c>
      <c r="BS24" s="741">
        <v>0</v>
      </c>
      <c r="BT24" s="741">
        <v>0</v>
      </c>
      <c r="BU24" s="741">
        <f t="shared" si="10"/>
        <v>0</v>
      </c>
      <c r="BV24" s="741">
        <v>0</v>
      </c>
      <c r="BW24" s="741"/>
      <c r="BX24" s="741">
        <v>0</v>
      </c>
      <c r="BY24" s="741">
        <v>0</v>
      </c>
      <c r="BZ24" s="741">
        <f t="shared" si="25"/>
        <v>0</v>
      </c>
      <c r="CA24" s="741">
        <v>0</v>
      </c>
      <c r="CB24" s="741"/>
      <c r="CC24" s="741">
        <f t="shared" si="11"/>
        <v>0</v>
      </c>
      <c r="CD24" s="751"/>
      <c r="CE24" s="748"/>
      <c r="CF24" s="748"/>
      <c r="CG24" s="748">
        <f t="shared" si="26"/>
        <v>0</v>
      </c>
      <c r="CH24" s="759"/>
      <c r="CI24" s="742"/>
      <c r="CJ24" s="591">
        <f t="shared" si="12"/>
        <v>0</v>
      </c>
    </row>
    <row r="25" spans="1:88" ht="21.6" customHeight="1" x14ac:dyDescent="0.25">
      <c r="A25" s="596" t="s">
        <v>9</v>
      </c>
      <c r="B25" s="596" t="s">
        <v>17</v>
      </c>
      <c r="C25" s="597" t="s">
        <v>20</v>
      </c>
      <c r="D25" s="171" t="s">
        <v>431</v>
      </c>
      <c r="E25" s="598">
        <v>4</v>
      </c>
      <c r="F25" s="596">
        <v>0</v>
      </c>
      <c r="G25" s="598">
        <v>0</v>
      </c>
      <c r="H25" s="604"/>
      <c r="I25" s="604">
        <f t="shared" si="13"/>
        <v>0</v>
      </c>
      <c r="J25" s="730">
        <v>5</v>
      </c>
      <c r="K25" s="730"/>
      <c r="L25" s="731">
        <f t="shared" si="14"/>
        <v>5</v>
      </c>
      <c r="M25" s="947"/>
      <c r="N25" s="617">
        <v>60</v>
      </c>
      <c r="O25" s="602">
        <f t="shared" si="15"/>
        <v>4</v>
      </c>
      <c r="P25" s="939"/>
      <c r="Q25" s="603">
        <f t="shared" si="6"/>
        <v>0</v>
      </c>
      <c r="R25" s="939"/>
      <c r="S25" s="604">
        <v>0</v>
      </c>
      <c r="T25" s="604"/>
      <c r="U25" s="730"/>
      <c r="V25" s="730"/>
      <c r="W25" s="731">
        <f t="shared" si="16"/>
        <v>0</v>
      </c>
      <c r="X25" s="947"/>
      <c r="Y25" s="617"/>
      <c r="Z25" s="602">
        <f t="shared" si="17"/>
        <v>0</v>
      </c>
      <c r="AA25" s="602"/>
      <c r="AB25" s="602">
        <f t="shared" si="18"/>
        <v>0</v>
      </c>
      <c r="AC25" s="939"/>
      <c r="AD25" s="955"/>
      <c r="AE25" s="955"/>
      <c r="AF25" s="611">
        <v>0</v>
      </c>
      <c r="AG25" s="604"/>
      <c r="AH25" s="728"/>
      <c r="AI25" s="728"/>
      <c r="AJ25" s="729">
        <f t="shared" si="7"/>
        <v>0</v>
      </c>
      <c r="AK25" s="946"/>
      <c r="AL25" s="617"/>
      <c r="AM25" s="602">
        <f t="shared" si="19"/>
        <v>0</v>
      </c>
      <c r="AN25" s="602"/>
      <c r="AO25" s="602">
        <f t="shared" si="8"/>
        <v>0</v>
      </c>
      <c r="AP25" s="939"/>
      <c r="AQ25" s="721">
        <v>0</v>
      </c>
      <c r="AR25" s="728">
        <v>4</v>
      </c>
      <c r="AS25" s="728">
        <v>1</v>
      </c>
      <c r="AT25" s="729">
        <f t="shared" si="20"/>
        <v>5</v>
      </c>
      <c r="AU25" s="946"/>
      <c r="AV25" s="617">
        <v>27.3</v>
      </c>
      <c r="AW25" s="602">
        <f t="shared" si="21"/>
        <v>1.82</v>
      </c>
      <c r="AX25" s="939"/>
      <c r="AY25" s="602">
        <f t="shared" si="22"/>
        <v>-1.82</v>
      </c>
      <c r="AZ25" s="939"/>
      <c r="BA25" s="961"/>
      <c r="BB25" s="961"/>
      <c r="BC25" s="611"/>
      <c r="BD25" s="712">
        <v>4</v>
      </c>
      <c r="BE25" s="596">
        <v>0</v>
      </c>
      <c r="BF25" s="596">
        <f t="shared" si="27"/>
        <v>4</v>
      </c>
      <c r="BG25" s="728">
        <v>5</v>
      </c>
      <c r="BH25" s="728"/>
      <c r="BI25" s="729">
        <f t="shared" si="23"/>
        <v>5</v>
      </c>
      <c r="BJ25" s="729"/>
      <c r="BK25" s="616">
        <v>200</v>
      </c>
      <c r="BL25" s="603">
        <f t="shared" si="24"/>
        <v>4</v>
      </c>
      <c r="BM25" s="602"/>
      <c r="BN25" s="602">
        <f t="shared" si="9"/>
        <v>0</v>
      </c>
      <c r="BO25" s="939"/>
      <c r="BP25" s="817">
        <f t="shared" si="28"/>
        <v>0</v>
      </c>
      <c r="BS25" s="741">
        <v>0</v>
      </c>
      <c r="BT25" s="741">
        <v>0</v>
      </c>
      <c r="BU25" s="741">
        <f t="shared" si="10"/>
        <v>0</v>
      </c>
      <c r="BV25" s="741">
        <v>0</v>
      </c>
      <c r="BW25" s="741"/>
      <c r="BX25" s="741">
        <v>0</v>
      </c>
      <c r="BY25" s="741">
        <v>0</v>
      </c>
      <c r="BZ25" s="741">
        <f t="shared" si="25"/>
        <v>0</v>
      </c>
      <c r="CA25" s="741">
        <v>0</v>
      </c>
      <c r="CB25" s="741"/>
      <c r="CC25" s="741">
        <f t="shared" si="11"/>
        <v>0</v>
      </c>
      <c r="CD25" s="751"/>
      <c r="CE25" s="748"/>
      <c r="CF25" s="748"/>
      <c r="CG25" s="748">
        <f t="shared" si="26"/>
        <v>0</v>
      </c>
      <c r="CH25" s="759"/>
      <c r="CI25" s="742"/>
      <c r="CJ25" s="591">
        <f t="shared" si="12"/>
        <v>-1.82</v>
      </c>
    </row>
    <row r="26" spans="1:88" ht="21.6" customHeight="1" x14ac:dyDescent="0.25">
      <c r="A26" s="596" t="s">
        <v>9</v>
      </c>
      <c r="B26" s="596" t="s">
        <v>17</v>
      </c>
      <c r="C26" s="597" t="s">
        <v>21</v>
      </c>
      <c r="D26" s="167" t="s">
        <v>431</v>
      </c>
      <c r="E26" s="598">
        <v>9</v>
      </c>
      <c r="F26" s="596">
        <v>0</v>
      </c>
      <c r="G26" s="598">
        <v>0</v>
      </c>
      <c r="H26" s="604"/>
      <c r="I26" s="604">
        <f t="shared" si="13"/>
        <v>0</v>
      </c>
      <c r="J26" s="730">
        <f>5+6</f>
        <v>11</v>
      </c>
      <c r="K26" s="730">
        <v>2</v>
      </c>
      <c r="L26" s="731">
        <f t="shared" si="14"/>
        <v>13</v>
      </c>
      <c r="M26" s="947"/>
      <c r="N26" s="617">
        <f>135</f>
        <v>135</v>
      </c>
      <c r="O26" s="602">
        <f t="shared" si="15"/>
        <v>9</v>
      </c>
      <c r="P26" s="939"/>
      <c r="Q26" s="603">
        <f t="shared" si="6"/>
        <v>0</v>
      </c>
      <c r="R26" s="939"/>
      <c r="S26" s="604">
        <v>4</v>
      </c>
      <c r="T26" s="604"/>
      <c r="U26" s="730">
        <v>3</v>
      </c>
      <c r="V26" s="730">
        <v>1</v>
      </c>
      <c r="W26" s="731">
        <f t="shared" si="16"/>
        <v>4</v>
      </c>
      <c r="X26" s="947"/>
      <c r="Y26" s="617">
        <v>60</v>
      </c>
      <c r="Z26" s="602">
        <f t="shared" si="17"/>
        <v>4</v>
      </c>
      <c r="AA26" s="602"/>
      <c r="AB26" s="602">
        <f t="shared" si="18"/>
        <v>0</v>
      </c>
      <c r="AC26" s="939"/>
      <c r="AD26" s="955"/>
      <c r="AE26" s="955"/>
      <c r="AF26" s="611">
        <v>0</v>
      </c>
      <c r="AG26" s="604"/>
      <c r="AH26" s="728"/>
      <c r="AI26" s="728"/>
      <c r="AJ26" s="729">
        <f t="shared" si="7"/>
        <v>0</v>
      </c>
      <c r="AK26" s="946"/>
      <c r="AL26" s="617"/>
      <c r="AM26" s="602">
        <f t="shared" si="19"/>
        <v>0</v>
      </c>
      <c r="AN26" s="602"/>
      <c r="AO26" s="602">
        <f t="shared" si="8"/>
        <v>0</v>
      </c>
      <c r="AP26" s="939"/>
      <c r="AQ26" s="721">
        <v>0</v>
      </c>
      <c r="AR26" s="728">
        <v>4</v>
      </c>
      <c r="AS26" s="728">
        <v>0</v>
      </c>
      <c r="AT26" s="729">
        <f t="shared" si="20"/>
        <v>4</v>
      </c>
      <c r="AU26" s="946"/>
      <c r="AV26" s="617">
        <v>41.1</v>
      </c>
      <c r="AW26" s="602">
        <f t="shared" si="21"/>
        <v>2.74</v>
      </c>
      <c r="AX26" s="939"/>
      <c r="AY26" s="602">
        <f t="shared" si="22"/>
        <v>-2.74</v>
      </c>
      <c r="AZ26" s="939"/>
      <c r="BA26" s="961"/>
      <c r="BB26" s="961"/>
      <c r="BC26" s="611"/>
      <c r="BD26" s="712">
        <v>9</v>
      </c>
      <c r="BE26" s="596">
        <v>0</v>
      </c>
      <c r="BF26" s="596">
        <f t="shared" si="27"/>
        <v>9</v>
      </c>
      <c r="BG26" s="728">
        <v>6</v>
      </c>
      <c r="BH26" s="728">
        <v>2</v>
      </c>
      <c r="BI26" s="729">
        <f t="shared" si="23"/>
        <v>8</v>
      </c>
      <c r="BJ26" s="729"/>
      <c r="BK26" s="616">
        <v>550</v>
      </c>
      <c r="BL26" s="603">
        <f t="shared" si="24"/>
        <v>11</v>
      </c>
      <c r="BM26" s="602"/>
      <c r="BN26" s="602">
        <f t="shared" si="9"/>
        <v>-2</v>
      </c>
      <c r="BO26" s="939"/>
      <c r="BP26" s="817">
        <f t="shared" si="28"/>
        <v>0</v>
      </c>
      <c r="BS26" s="741"/>
      <c r="BT26" s="741"/>
      <c r="BU26" s="741">
        <f t="shared" si="10"/>
        <v>0</v>
      </c>
      <c r="BV26" s="741"/>
      <c r="BW26" s="741"/>
      <c r="BX26" s="741">
        <v>0</v>
      </c>
      <c r="BY26" s="741">
        <v>0</v>
      </c>
      <c r="BZ26" s="741">
        <f t="shared" si="25"/>
        <v>0</v>
      </c>
      <c r="CA26" s="741">
        <v>0</v>
      </c>
      <c r="CB26" s="741"/>
      <c r="CC26" s="741">
        <f t="shared" si="11"/>
        <v>0</v>
      </c>
      <c r="CD26" s="751"/>
      <c r="CE26" s="748"/>
      <c r="CF26" s="748"/>
      <c r="CG26" s="748">
        <f t="shared" si="26"/>
        <v>0</v>
      </c>
      <c r="CH26" s="759"/>
      <c r="CI26" s="742"/>
      <c r="CJ26" s="591">
        <f t="shared" si="12"/>
        <v>-4.74</v>
      </c>
    </row>
    <row r="27" spans="1:88" ht="21.6" customHeight="1" x14ac:dyDescent="0.25">
      <c r="A27" s="596" t="s">
        <v>9</v>
      </c>
      <c r="B27" s="596" t="s">
        <v>17</v>
      </c>
      <c r="C27" s="597" t="s">
        <v>22</v>
      </c>
      <c r="D27" s="171" t="s">
        <v>431</v>
      </c>
      <c r="E27" s="598">
        <v>11</v>
      </c>
      <c r="F27" s="596">
        <v>0</v>
      </c>
      <c r="G27" s="598">
        <v>0</v>
      </c>
      <c r="H27" s="604"/>
      <c r="I27" s="604">
        <f t="shared" si="13"/>
        <v>0</v>
      </c>
      <c r="J27" s="730">
        <v>9</v>
      </c>
      <c r="K27" s="730"/>
      <c r="L27" s="731">
        <f t="shared" si="14"/>
        <v>9</v>
      </c>
      <c r="M27" s="947"/>
      <c r="N27" s="617">
        <v>165</v>
      </c>
      <c r="O27" s="602">
        <f t="shared" si="15"/>
        <v>11</v>
      </c>
      <c r="P27" s="939"/>
      <c r="Q27" s="603">
        <f t="shared" si="6"/>
        <v>0</v>
      </c>
      <c r="R27" s="939"/>
      <c r="S27" s="604">
        <v>0</v>
      </c>
      <c r="T27" s="604"/>
      <c r="U27" s="730"/>
      <c r="V27" s="730"/>
      <c r="W27" s="731">
        <f t="shared" si="16"/>
        <v>0</v>
      </c>
      <c r="X27" s="947"/>
      <c r="Y27" s="617"/>
      <c r="Z27" s="602">
        <f t="shared" si="17"/>
        <v>0</v>
      </c>
      <c r="AA27" s="602"/>
      <c r="AB27" s="602">
        <f t="shared" si="18"/>
        <v>0</v>
      </c>
      <c r="AC27" s="939"/>
      <c r="AD27" s="955"/>
      <c r="AE27" s="955"/>
      <c r="AF27" s="611">
        <v>0</v>
      </c>
      <c r="AG27" s="604"/>
      <c r="AH27" s="728"/>
      <c r="AI27" s="728"/>
      <c r="AJ27" s="729">
        <f t="shared" si="7"/>
        <v>0</v>
      </c>
      <c r="AK27" s="946"/>
      <c r="AL27" s="617"/>
      <c r="AM27" s="602">
        <f t="shared" si="19"/>
        <v>0</v>
      </c>
      <c r="AN27" s="602"/>
      <c r="AO27" s="602">
        <f t="shared" si="8"/>
        <v>0</v>
      </c>
      <c r="AP27" s="939"/>
      <c r="AQ27" s="721">
        <v>0</v>
      </c>
      <c r="AR27" s="728"/>
      <c r="AS27" s="728"/>
      <c r="AT27" s="729">
        <f t="shared" si="20"/>
        <v>0</v>
      </c>
      <c r="AU27" s="946"/>
      <c r="AV27" s="617"/>
      <c r="AW27" s="602">
        <f t="shared" si="21"/>
        <v>0</v>
      </c>
      <c r="AX27" s="939"/>
      <c r="AY27" s="602">
        <f t="shared" si="22"/>
        <v>0</v>
      </c>
      <c r="AZ27" s="939"/>
      <c r="BA27" s="961"/>
      <c r="BB27" s="961"/>
      <c r="BC27" s="611"/>
      <c r="BD27" s="712">
        <v>11</v>
      </c>
      <c r="BE27" s="596">
        <v>0</v>
      </c>
      <c r="BF27" s="596">
        <f t="shared" si="27"/>
        <v>11</v>
      </c>
      <c r="BG27" s="728">
        <v>9</v>
      </c>
      <c r="BH27" s="728"/>
      <c r="BI27" s="729">
        <f t="shared" si="23"/>
        <v>9</v>
      </c>
      <c r="BJ27" s="729"/>
      <c r="BK27" s="616">
        <v>550</v>
      </c>
      <c r="BL27" s="603">
        <f t="shared" si="24"/>
        <v>11</v>
      </c>
      <c r="BM27" s="602"/>
      <c r="BN27" s="602">
        <f t="shared" si="9"/>
        <v>0</v>
      </c>
      <c r="BO27" s="939"/>
      <c r="BP27" s="817">
        <f t="shared" si="28"/>
        <v>0</v>
      </c>
      <c r="BS27" s="741">
        <v>0</v>
      </c>
      <c r="BT27" s="741">
        <v>0</v>
      </c>
      <c r="BU27" s="741">
        <f t="shared" si="10"/>
        <v>0</v>
      </c>
      <c r="BV27" s="741">
        <v>0</v>
      </c>
      <c r="BW27" s="741"/>
      <c r="BX27" s="741">
        <v>0</v>
      </c>
      <c r="BY27" s="741">
        <v>0</v>
      </c>
      <c r="BZ27" s="741">
        <f t="shared" si="25"/>
        <v>0</v>
      </c>
      <c r="CA27" s="741">
        <v>0</v>
      </c>
      <c r="CB27" s="741"/>
      <c r="CC27" s="741">
        <f t="shared" si="11"/>
        <v>0</v>
      </c>
      <c r="CD27" s="751"/>
      <c r="CE27" s="748"/>
      <c r="CF27" s="748"/>
      <c r="CG27" s="748">
        <f t="shared" si="26"/>
        <v>0</v>
      </c>
      <c r="CH27" s="759"/>
      <c r="CI27" s="742"/>
      <c r="CJ27" s="591">
        <f t="shared" si="12"/>
        <v>0</v>
      </c>
    </row>
    <row r="28" spans="1:88" ht="21.6" customHeight="1" x14ac:dyDescent="0.25">
      <c r="A28" s="596"/>
      <c r="B28" s="596"/>
      <c r="C28" s="597"/>
      <c r="D28" s="173"/>
      <c r="E28" s="598"/>
      <c r="F28" s="596"/>
      <c r="G28" s="598"/>
      <c r="H28" s="604"/>
      <c r="I28" s="604"/>
      <c r="J28" s="730"/>
      <c r="K28" s="730"/>
      <c r="L28" s="731"/>
      <c r="M28" s="947"/>
      <c r="N28" s="617"/>
      <c r="O28" s="602"/>
      <c r="P28" s="939"/>
      <c r="Q28" s="603"/>
      <c r="R28" s="939"/>
      <c r="S28" s="604"/>
      <c r="T28" s="604"/>
      <c r="U28" s="730"/>
      <c r="V28" s="730"/>
      <c r="W28" s="731"/>
      <c r="X28" s="947"/>
      <c r="Y28" s="617"/>
      <c r="Z28" s="602"/>
      <c r="AA28" s="602"/>
      <c r="AB28" s="602"/>
      <c r="AC28" s="939"/>
      <c r="AD28" s="955"/>
      <c r="AE28" s="955"/>
      <c r="AF28" s="611"/>
      <c r="AG28" s="604"/>
      <c r="AH28" s="728"/>
      <c r="AI28" s="728"/>
      <c r="AJ28" s="729"/>
      <c r="AK28" s="946"/>
      <c r="AL28" s="617"/>
      <c r="AM28" s="602"/>
      <c r="AN28" s="602"/>
      <c r="AO28" s="602"/>
      <c r="AP28" s="939"/>
      <c r="AQ28" s="721"/>
      <c r="AR28" s="728"/>
      <c r="AS28" s="728"/>
      <c r="AT28" s="729"/>
      <c r="AU28" s="946"/>
      <c r="AV28" s="617"/>
      <c r="AW28" s="602"/>
      <c r="AX28" s="939"/>
      <c r="AY28" s="602"/>
      <c r="AZ28" s="939"/>
      <c r="BA28" s="961"/>
      <c r="BB28" s="961"/>
      <c r="BC28" s="611"/>
      <c r="BD28" s="712"/>
      <c r="BE28" s="596"/>
      <c r="BF28" s="596"/>
      <c r="BG28" s="728"/>
      <c r="BH28" s="728"/>
      <c r="BI28" s="729"/>
      <c r="BJ28" s="729"/>
      <c r="BK28" s="616"/>
      <c r="BL28" s="603"/>
      <c r="BM28" s="602"/>
      <c r="BN28" s="602"/>
      <c r="BO28" s="939"/>
      <c r="BP28" s="817">
        <f t="shared" si="28"/>
        <v>0</v>
      </c>
      <c r="BS28" s="741"/>
      <c r="BT28" s="741"/>
      <c r="BU28" s="741"/>
      <c r="BV28" s="741"/>
      <c r="BW28" s="741"/>
      <c r="BX28" s="741"/>
      <c r="BY28" s="741"/>
      <c r="BZ28" s="741"/>
      <c r="CA28" s="741"/>
      <c r="CB28" s="741"/>
      <c r="CC28" s="741"/>
      <c r="CD28" s="751"/>
      <c r="CE28" s="748"/>
      <c r="CF28" s="748"/>
      <c r="CG28" s="748"/>
      <c r="CH28" s="759"/>
      <c r="CI28" s="742"/>
    </row>
    <row r="29" spans="1:88" s="593" customFormat="1" ht="49.5" customHeight="1" x14ac:dyDescent="0.25">
      <c r="A29" s="606"/>
      <c r="B29" s="606" t="s">
        <v>351</v>
      </c>
      <c r="C29" s="607" t="s">
        <v>352</v>
      </c>
      <c r="D29" s="175" t="s">
        <v>431</v>
      </c>
      <c r="E29" s="608">
        <v>2.6666666666666665</v>
      </c>
      <c r="F29" s="606">
        <v>97</v>
      </c>
      <c r="G29" s="608">
        <v>2.6666666666666665</v>
      </c>
      <c r="H29" s="609">
        <v>73</v>
      </c>
      <c r="I29" s="609">
        <f t="shared" si="13"/>
        <v>24</v>
      </c>
      <c r="J29" s="730">
        <f>4</f>
        <v>4</v>
      </c>
      <c r="K29" s="730">
        <f>2</f>
        <v>2</v>
      </c>
      <c r="L29" s="731">
        <f t="shared" si="14"/>
        <v>6</v>
      </c>
      <c r="M29" s="947">
        <f>SUM(L29:L37)</f>
        <v>139</v>
      </c>
      <c r="N29" s="617">
        <v>40</v>
      </c>
      <c r="O29" s="602">
        <f t="shared" si="15"/>
        <v>2.6666666666666665</v>
      </c>
      <c r="P29" s="939">
        <f>SUM(O29:O37)</f>
        <v>96.999999999999986</v>
      </c>
      <c r="Q29" s="603">
        <f t="shared" ref="Q29:Q49" si="29">E29-O29</f>
        <v>0</v>
      </c>
      <c r="R29" s="939">
        <f>SUM(Q29:Q37)</f>
        <v>0</v>
      </c>
      <c r="S29" s="604">
        <v>0</v>
      </c>
      <c r="T29" s="604">
        <f>SUM(S29:S37)</f>
        <v>0</v>
      </c>
      <c r="U29" s="730"/>
      <c r="V29" s="730"/>
      <c r="W29" s="731">
        <f t="shared" si="16"/>
        <v>0</v>
      </c>
      <c r="X29" s="947">
        <f>SUM(W29:W37)</f>
        <v>0</v>
      </c>
      <c r="Y29" s="617"/>
      <c r="Z29" s="602">
        <f t="shared" si="17"/>
        <v>0</v>
      </c>
      <c r="AA29" s="602">
        <f>SUM(Z29:Z37)</f>
        <v>0</v>
      </c>
      <c r="AB29" s="602">
        <f t="shared" si="18"/>
        <v>0</v>
      </c>
      <c r="AC29" s="939">
        <f>SUM(AB29:AB37)</f>
        <v>0</v>
      </c>
      <c r="AD29" s="955">
        <f>M29+X29</f>
        <v>139</v>
      </c>
      <c r="AE29" s="955">
        <f>R29+AC29</f>
        <v>0</v>
      </c>
      <c r="AF29" s="610">
        <v>5.333333333333333</v>
      </c>
      <c r="AG29" s="609">
        <v>74.333333333333329</v>
      </c>
      <c r="AH29" s="728">
        <v>9</v>
      </c>
      <c r="AI29" s="728"/>
      <c r="AJ29" s="729">
        <f t="shared" ref="AJ29:AJ49" si="30">AH29+AI29</f>
        <v>9</v>
      </c>
      <c r="AK29" s="946">
        <f>SUM(AJ29:AJ37)</f>
        <v>101</v>
      </c>
      <c r="AL29" s="617">
        <v>80</v>
      </c>
      <c r="AM29" s="602">
        <f t="shared" si="19"/>
        <v>5.333333333333333</v>
      </c>
      <c r="AN29" s="602">
        <f>SUM(AM29:AM37)</f>
        <v>74.333333333333329</v>
      </c>
      <c r="AO29" s="602">
        <f t="shared" ref="AO29:AO49" si="31">AF29-AM29</f>
        <v>0</v>
      </c>
      <c r="AP29" s="939">
        <f>SUM(AO29:AO37)</f>
        <v>0</v>
      </c>
      <c r="AQ29" s="721">
        <v>0</v>
      </c>
      <c r="AR29" s="728"/>
      <c r="AS29" s="728"/>
      <c r="AT29" s="729">
        <f t="shared" si="20"/>
        <v>0</v>
      </c>
      <c r="AU29" s="946">
        <f>SUM(AT29:AT37)</f>
        <v>7</v>
      </c>
      <c r="AV29" s="617"/>
      <c r="AW29" s="602">
        <f t="shared" si="21"/>
        <v>0</v>
      </c>
      <c r="AX29" s="939">
        <f>SUM(AW29:AW37)</f>
        <v>6</v>
      </c>
      <c r="AY29" s="602">
        <f t="shared" si="22"/>
        <v>0</v>
      </c>
      <c r="AZ29" s="939">
        <f>SUM(AY29:AY37)</f>
        <v>0</v>
      </c>
      <c r="BA29" s="961">
        <f>AK29+AU29</f>
        <v>108</v>
      </c>
      <c r="BB29" s="961">
        <f>AP29+AZ29</f>
        <v>0</v>
      </c>
      <c r="BC29" s="610">
        <f>SUM(BD29:BD37)</f>
        <v>175</v>
      </c>
      <c r="BD29" s="711">
        <v>7</v>
      </c>
      <c r="BE29" s="609">
        <v>7</v>
      </c>
      <c r="BF29" s="596">
        <f t="shared" si="27"/>
        <v>0</v>
      </c>
      <c r="BG29" s="728">
        <f>12</f>
        <v>12</v>
      </c>
      <c r="BH29" s="728">
        <f>2</f>
        <v>2</v>
      </c>
      <c r="BI29" s="729">
        <f t="shared" si="23"/>
        <v>14</v>
      </c>
      <c r="BJ29" s="729">
        <f>SUM(BI29:BI37)</f>
        <v>237</v>
      </c>
      <c r="BK29" s="616">
        <f>350</f>
        <v>350</v>
      </c>
      <c r="BL29" s="603">
        <f t="shared" si="24"/>
        <v>7</v>
      </c>
      <c r="BM29" s="602">
        <f>SUM(BL29:BL37)</f>
        <v>175</v>
      </c>
      <c r="BN29" s="602">
        <f t="shared" ref="BN29:BN49" si="32">BD29-BL29</f>
        <v>0</v>
      </c>
      <c r="BO29" s="939">
        <f>SUM(BN29:BN37)</f>
        <v>0</v>
      </c>
      <c r="BP29" s="817">
        <f t="shared" si="28"/>
        <v>0</v>
      </c>
      <c r="BS29" s="744">
        <v>0</v>
      </c>
      <c r="BT29" s="744">
        <v>0</v>
      </c>
      <c r="BU29" s="741">
        <f t="shared" si="10"/>
        <v>0</v>
      </c>
      <c r="BV29" s="744">
        <v>0</v>
      </c>
      <c r="BW29" s="744">
        <f>SUM(BV29:BV37)</f>
        <v>0</v>
      </c>
      <c r="BX29" s="744"/>
      <c r="BY29" s="744">
        <v>0</v>
      </c>
      <c r="BZ29" s="741">
        <f t="shared" si="25"/>
        <v>0</v>
      </c>
      <c r="CA29" s="744"/>
      <c r="CB29" s="744">
        <f>SUM(CA29:CA37)</f>
        <v>0</v>
      </c>
      <c r="CC29" s="741">
        <f t="shared" si="11"/>
        <v>0</v>
      </c>
      <c r="CD29" s="754">
        <f>SUM(CC29:CC37)</f>
        <v>0</v>
      </c>
      <c r="CE29" s="748"/>
      <c r="CF29" s="748"/>
      <c r="CG29" s="748">
        <f t="shared" si="26"/>
        <v>0</v>
      </c>
      <c r="CH29" s="765"/>
      <c r="CI29" s="744">
        <f>SUM(CH29:CH37)</f>
        <v>0</v>
      </c>
      <c r="CJ29" s="593">
        <f t="shared" ref="CJ29:CJ49" si="33">BN29+AY29+AO29+AB29+Q29</f>
        <v>0</v>
      </c>
    </row>
    <row r="30" spans="1:88" ht="26.45" customHeight="1" x14ac:dyDescent="0.25">
      <c r="A30" s="596"/>
      <c r="B30" s="596" t="s">
        <v>351</v>
      </c>
      <c r="C30" s="597" t="s">
        <v>353</v>
      </c>
      <c r="D30" s="175" t="s">
        <v>431</v>
      </c>
      <c r="E30" s="598">
        <v>4</v>
      </c>
      <c r="F30" s="596">
        <v>0</v>
      </c>
      <c r="G30" s="598">
        <v>0</v>
      </c>
      <c r="H30" s="604"/>
      <c r="I30" s="604">
        <f t="shared" si="13"/>
        <v>0</v>
      </c>
      <c r="J30" s="730">
        <v>7</v>
      </c>
      <c r="K30" s="730">
        <v>0</v>
      </c>
      <c r="L30" s="731">
        <f t="shared" si="14"/>
        <v>7</v>
      </c>
      <c r="M30" s="947"/>
      <c r="N30" s="617">
        <v>60</v>
      </c>
      <c r="O30" s="602">
        <f t="shared" si="15"/>
        <v>4</v>
      </c>
      <c r="P30" s="939"/>
      <c r="Q30" s="603">
        <f t="shared" si="29"/>
        <v>0</v>
      </c>
      <c r="R30" s="939"/>
      <c r="S30" s="604">
        <v>0</v>
      </c>
      <c r="T30" s="604"/>
      <c r="U30" s="730"/>
      <c r="V30" s="730"/>
      <c r="W30" s="731">
        <f t="shared" si="16"/>
        <v>0</v>
      </c>
      <c r="X30" s="947"/>
      <c r="Y30" s="617"/>
      <c r="Z30" s="602">
        <f t="shared" si="17"/>
        <v>0</v>
      </c>
      <c r="AA30" s="602"/>
      <c r="AB30" s="602">
        <f t="shared" si="18"/>
        <v>0</v>
      </c>
      <c r="AC30" s="939"/>
      <c r="AD30" s="955"/>
      <c r="AE30" s="955"/>
      <c r="AF30" s="611">
        <v>0</v>
      </c>
      <c r="AG30" s="604"/>
      <c r="AH30" s="728"/>
      <c r="AI30" s="728"/>
      <c r="AJ30" s="729">
        <f t="shared" si="30"/>
        <v>0</v>
      </c>
      <c r="AK30" s="946"/>
      <c r="AL30" s="617"/>
      <c r="AM30" s="602">
        <f t="shared" si="19"/>
        <v>0</v>
      </c>
      <c r="AN30" s="602"/>
      <c r="AO30" s="602">
        <f t="shared" si="31"/>
        <v>0</v>
      </c>
      <c r="AP30" s="939"/>
      <c r="AQ30" s="721">
        <v>6</v>
      </c>
      <c r="AR30" s="728">
        <v>4</v>
      </c>
      <c r="AS30" s="728">
        <v>3</v>
      </c>
      <c r="AT30" s="729">
        <f t="shared" si="20"/>
        <v>7</v>
      </c>
      <c r="AU30" s="946"/>
      <c r="AV30" s="617">
        <v>90</v>
      </c>
      <c r="AW30" s="602">
        <f t="shared" si="21"/>
        <v>6</v>
      </c>
      <c r="AX30" s="939"/>
      <c r="AY30" s="602">
        <f t="shared" si="22"/>
        <v>0</v>
      </c>
      <c r="AZ30" s="939"/>
      <c r="BA30" s="961"/>
      <c r="BB30" s="961"/>
      <c r="BC30" s="611"/>
      <c r="BD30" s="712">
        <v>10</v>
      </c>
      <c r="BE30" s="596">
        <v>0</v>
      </c>
      <c r="BF30" s="596">
        <f t="shared" si="27"/>
        <v>10</v>
      </c>
      <c r="BG30" s="728">
        <v>11</v>
      </c>
      <c r="BH30" s="728">
        <v>3</v>
      </c>
      <c r="BI30" s="729">
        <f t="shared" si="23"/>
        <v>14</v>
      </c>
      <c r="BJ30" s="729"/>
      <c r="BK30" s="616">
        <v>500</v>
      </c>
      <c r="BL30" s="603">
        <f t="shared" si="24"/>
        <v>10</v>
      </c>
      <c r="BM30" s="602"/>
      <c r="BN30" s="602">
        <f t="shared" si="32"/>
        <v>0</v>
      </c>
      <c r="BO30" s="939"/>
      <c r="BP30" s="817">
        <f t="shared" si="28"/>
        <v>0</v>
      </c>
      <c r="BS30" s="741">
        <v>0</v>
      </c>
      <c r="BT30" s="741">
        <v>0</v>
      </c>
      <c r="BU30" s="741">
        <f t="shared" si="10"/>
        <v>0</v>
      </c>
      <c r="BV30" s="741">
        <v>0</v>
      </c>
      <c r="BW30" s="741"/>
      <c r="BX30" s="741">
        <v>0</v>
      </c>
      <c r="BY30" s="741">
        <v>0</v>
      </c>
      <c r="BZ30" s="741">
        <f t="shared" si="25"/>
        <v>0</v>
      </c>
      <c r="CA30" s="741">
        <v>0</v>
      </c>
      <c r="CB30" s="741"/>
      <c r="CC30" s="741">
        <f t="shared" si="11"/>
        <v>0</v>
      </c>
      <c r="CD30" s="751"/>
      <c r="CE30" s="748"/>
      <c r="CF30" s="748"/>
      <c r="CG30" s="748">
        <f t="shared" si="26"/>
        <v>0</v>
      </c>
      <c r="CH30" s="759"/>
      <c r="CI30" s="742"/>
      <c r="CJ30" s="591">
        <f t="shared" si="33"/>
        <v>0</v>
      </c>
    </row>
    <row r="31" spans="1:88" ht="24.75" customHeight="1" x14ac:dyDescent="0.25">
      <c r="A31" s="596"/>
      <c r="B31" s="596" t="s">
        <v>351</v>
      </c>
      <c r="C31" s="597" t="s">
        <v>852</v>
      </c>
      <c r="D31" s="175" t="s">
        <v>431</v>
      </c>
      <c r="E31" s="598">
        <v>10</v>
      </c>
      <c r="F31" s="596">
        <v>0</v>
      </c>
      <c r="G31" s="598">
        <v>0</v>
      </c>
      <c r="H31" s="604"/>
      <c r="I31" s="604">
        <f t="shared" si="13"/>
        <v>0</v>
      </c>
      <c r="J31" s="730">
        <v>10</v>
      </c>
      <c r="K31" s="730">
        <v>16</v>
      </c>
      <c r="L31" s="731">
        <f t="shared" si="14"/>
        <v>26</v>
      </c>
      <c r="M31" s="947"/>
      <c r="N31" s="617">
        <v>150</v>
      </c>
      <c r="O31" s="602">
        <f t="shared" si="15"/>
        <v>10</v>
      </c>
      <c r="P31" s="939"/>
      <c r="Q31" s="603">
        <f t="shared" si="29"/>
        <v>0</v>
      </c>
      <c r="R31" s="939"/>
      <c r="S31" s="604">
        <v>0</v>
      </c>
      <c r="T31" s="604"/>
      <c r="U31" s="730"/>
      <c r="V31" s="730"/>
      <c r="W31" s="731">
        <f t="shared" si="16"/>
        <v>0</v>
      </c>
      <c r="X31" s="947"/>
      <c r="Y31" s="617"/>
      <c r="Z31" s="602">
        <f t="shared" si="17"/>
        <v>0</v>
      </c>
      <c r="AA31" s="602"/>
      <c r="AB31" s="602">
        <f t="shared" si="18"/>
        <v>0</v>
      </c>
      <c r="AC31" s="939"/>
      <c r="AD31" s="955"/>
      <c r="AE31" s="955"/>
      <c r="AF31" s="611">
        <v>0</v>
      </c>
      <c r="AG31" s="604"/>
      <c r="AH31" s="728"/>
      <c r="AI31" s="728"/>
      <c r="AJ31" s="729">
        <f t="shared" si="30"/>
        <v>0</v>
      </c>
      <c r="AK31" s="946"/>
      <c r="AL31" s="617"/>
      <c r="AM31" s="602">
        <f t="shared" si="19"/>
        <v>0</v>
      </c>
      <c r="AN31" s="602"/>
      <c r="AO31" s="602">
        <f t="shared" si="31"/>
        <v>0</v>
      </c>
      <c r="AP31" s="939"/>
      <c r="AQ31" s="721">
        <v>0</v>
      </c>
      <c r="AR31" s="728"/>
      <c r="AS31" s="728"/>
      <c r="AT31" s="729">
        <f t="shared" si="20"/>
        <v>0</v>
      </c>
      <c r="AU31" s="946"/>
      <c r="AV31" s="617"/>
      <c r="AW31" s="602">
        <f t="shared" si="21"/>
        <v>0</v>
      </c>
      <c r="AX31" s="939"/>
      <c r="AY31" s="602">
        <f t="shared" si="22"/>
        <v>0</v>
      </c>
      <c r="AZ31" s="939"/>
      <c r="BA31" s="961"/>
      <c r="BB31" s="961"/>
      <c r="BC31" s="611"/>
      <c r="BD31" s="712">
        <v>10</v>
      </c>
      <c r="BE31" s="596">
        <v>0</v>
      </c>
      <c r="BF31" s="596">
        <f t="shared" si="27"/>
        <v>10</v>
      </c>
      <c r="BG31" s="728">
        <v>10</v>
      </c>
      <c r="BH31" s="728">
        <v>16</v>
      </c>
      <c r="BI31" s="729">
        <f t="shared" si="23"/>
        <v>26</v>
      </c>
      <c r="BJ31" s="729"/>
      <c r="BK31" s="616">
        <v>500</v>
      </c>
      <c r="BL31" s="603">
        <f t="shared" si="24"/>
        <v>10</v>
      </c>
      <c r="BM31" s="602"/>
      <c r="BN31" s="602">
        <f t="shared" si="32"/>
        <v>0</v>
      </c>
      <c r="BO31" s="939"/>
      <c r="BP31" s="817">
        <f t="shared" si="28"/>
        <v>0</v>
      </c>
      <c r="BS31" s="741"/>
      <c r="BT31" s="741"/>
      <c r="BU31" s="741">
        <f t="shared" si="10"/>
        <v>0</v>
      </c>
      <c r="BV31" s="741"/>
      <c r="BW31" s="741"/>
      <c r="BX31" s="741">
        <v>0</v>
      </c>
      <c r="BY31" s="741">
        <v>0</v>
      </c>
      <c r="BZ31" s="741">
        <f t="shared" si="25"/>
        <v>0</v>
      </c>
      <c r="CA31" s="741">
        <v>0</v>
      </c>
      <c r="CB31" s="741"/>
      <c r="CC31" s="741">
        <f t="shared" si="11"/>
        <v>0</v>
      </c>
      <c r="CD31" s="751"/>
      <c r="CE31" s="748"/>
      <c r="CF31" s="748"/>
      <c r="CG31" s="748">
        <f t="shared" si="26"/>
        <v>0</v>
      </c>
      <c r="CH31" s="759"/>
      <c r="CI31" s="742"/>
      <c r="CJ31" s="591">
        <f t="shared" si="33"/>
        <v>0</v>
      </c>
    </row>
    <row r="32" spans="1:88" ht="21.6" customHeight="1" x14ac:dyDescent="0.25">
      <c r="A32" s="596"/>
      <c r="B32" s="596" t="s">
        <v>351</v>
      </c>
      <c r="C32" s="597" t="s">
        <v>354</v>
      </c>
      <c r="D32" s="175" t="s">
        <v>431</v>
      </c>
      <c r="E32" s="598">
        <v>14</v>
      </c>
      <c r="F32" s="596">
        <v>0</v>
      </c>
      <c r="G32" s="598">
        <v>14</v>
      </c>
      <c r="H32" s="604"/>
      <c r="I32" s="604">
        <f t="shared" si="13"/>
        <v>0</v>
      </c>
      <c r="J32" s="730">
        <f>11</f>
        <v>11</v>
      </c>
      <c r="K32" s="730">
        <f>2</f>
        <v>2</v>
      </c>
      <c r="L32" s="731">
        <f t="shared" si="14"/>
        <v>13</v>
      </c>
      <c r="M32" s="947"/>
      <c r="N32" s="617">
        <v>210</v>
      </c>
      <c r="O32" s="602">
        <f>N32/15</f>
        <v>14</v>
      </c>
      <c r="P32" s="939"/>
      <c r="Q32" s="603">
        <f t="shared" si="29"/>
        <v>0</v>
      </c>
      <c r="R32" s="939"/>
      <c r="S32" s="604">
        <v>0</v>
      </c>
      <c r="T32" s="604"/>
      <c r="U32" s="730"/>
      <c r="V32" s="730"/>
      <c r="W32" s="731">
        <f t="shared" si="16"/>
        <v>0</v>
      </c>
      <c r="X32" s="947"/>
      <c r="Y32" s="617"/>
      <c r="Z32" s="602">
        <f t="shared" si="17"/>
        <v>0</v>
      </c>
      <c r="AA32" s="602"/>
      <c r="AB32" s="602">
        <f t="shared" si="18"/>
        <v>0</v>
      </c>
      <c r="AC32" s="939"/>
      <c r="AD32" s="955"/>
      <c r="AE32" s="955"/>
      <c r="AF32" s="611">
        <v>11</v>
      </c>
      <c r="AG32" s="604"/>
      <c r="AH32" s="728">
        <v>10</v>
      </c>
      <c r="AI32" s="728">
        <v>3</v>
      </c>
      <c r="AJ32" s="729">
        <f t="shared" si="30"/>
        <v>13</v>
      </c>
      <c r="AK32" s="946"/>
      <c r="AL32" s="617">
        <v>165</v>
      </c>
      <c r="AM32" s="602">
        <f t="shared" si="19"/>
        <v>11</v>
      </c>
      <c r="AN32" s="602"/>
      <c r="AO32" s="602">
        <f t="shared" si="31"/>
        <v>0</v>
      </c>
      <c r="AP32" s="939"/>
      <c r="AQ32" s="721">
        <v>0</v>
      </c>
      <c r="AR32" s="728"/>
      <c r="AS32" s="728"/>
      <c r="AT32" s="729">
        <f t="shared" si="20"/>
        <v>0</v>
      </c>
      <c r="AU32" s="946"/>
      <c r="AV32" s="617"/>
      <c r="AW32" s="602">
        <f t="shared" si="21"/>
        <v>0</v>
      </c>
      <c r="AX32" s="939"/>
      <c r="AY32" s="602">
        <f t="shared" si="22"/>
        <v>0</v>
      </c>
      <c r="AZ32" s="939"/>
      <c r="BA32" s="961"/>
      <c r="BB32" s="961"/>
      <c r="BC32" s="611"/>
      <c r="BD32" s="712">
        <v>25</v>
      </c>
      <c r="BE32" s="596">
        <v>25</v>
      </c>
      <c r="BF32" s="596">
        <f t="shared" si="27"/>
        <v>0</v>
      </c>
      <c r="BG32" s="728">
        <v>21</v>
      </c>
      <c r="BH32" s="728">
        <v>5</v>
      </c>
      <c r="BI32" s="729">
        <f t="shared" si="23"/>
        <v>26</v>
      </c>
      <c r="BJ32" s="729"/>
      <c r="BK32" s="616">
        <v>1250</v>
      </c>
      <c r="BL32" s="603">
        <f t="shared" si="24"/>
        <v>25</v>
      </c>
      <c r="BM32" s="602"/>
      <c r="BN32" s="602">
        <f t="shared" si="32"/>
        <v>0</v>
      </c>
      <c r="BO32" s="939"/>
      <c r="BP32" s="817">
        <f t="shared" si="28"/>
        <v>0</v>
      </c>
      <c r="BS32" s="741">
        <v>0</v>
      </c>
      <c r="BT32" s="741">
        <v>0</v>
      </c>
      <c r="BU32" s="741">
        <f t="shared" si="10"/>
        <v>0</v>
      </c>
      <c r="BV32" s="741">
        <v>0</v>
      </c>
      <c r="BW32" s="741"/>
      <c r="BX32" s="741"/>
      <c r="BY32" s="741"/>
      <c r="BZ32" s="741">
        <f t="shared" si="25"/>
        <v>0</v>
      </c>
      <c r="CA32" s="741"/>
      <c r="CB32" s="741"/>
      <c r="CC32" s="741">
        <f t="shared" si="11"/>
        <v>0</v>
      </c>
      <c r="CD32" s="751"/>
      <c r="CE32" s="748"/>
      <c r="CF32" s="748"/>
      <c r="CG32" s="748">
        <f t="shared" si="26"/>
        <v>0</v>
      </c>
      <c r="CH32" s="759"/>
      <c r="CI32" s="742"/>
      <c r="CJ32" s="591">
        <f t="shared" si="33"/>
        <v>0</v>
      </c>
    </row>
    <row r="33" spans="1:88" ht="36" customHeight="1" x14ac:dyDescent="0.25">
      <c r="A33" s="596"/>
      <c r="B33" s="596" t="s">
        <v>351</v>
      </c>
      <c r="C33" s="597" t="s">
        <v>355</v>
      </c>
      <c r="D33" s="175" t="s">
        <v>431</v>
      </c>
      <c r="E33" s="598">
        <v>10</v>
      </c>
      <c r="F33" s="596">
        <v>0</v>
      </c>
      <c r="G33" s="598">
        <v>10</v>
      </c>
      <c r="H33" s="604"/>
      <c r="I33" s="604">
        <f t="shared" si="13"/>
        <v>0</v>
      </c>
      <c r="J33" s="730">
        <f>11</f>
        <v>11</v>
      </c>
      <c r="K33" s="730">
        <f>2</f>
        <v>2</v>
      </c>
      <c r="L33" s="731">
        <f t="shared" si="14"/>
        <v>13</v>
      </c>
      <c r="M33" s="947"/>
      <c r="N33" s="617">
        <v>150</v>
      </c>
      <c r="O33" s="602">
        <f t="shared" si="15"/>
        <v>10</v>
      </c>
      <c r="P33" s="939"/>
      <c r="Q33" s="603">
        <f t="shared" si="29"/>
        <v>0</v>
      </c>
      <c r="R33" s="939"/>
      <c r="S33" s="604">
        <v>0</v>
      </c>
      <c r="T33" s="604"/>
      <c r="U33" s="730"/>
      <c r="V33" s="730"/>
      <c r="W33" s="731">
        <f t="shared" si="16"/>
        <v>0</v>
      </c>
      <c r="X33" s="947"/>
      <c r="Y33" s="617"/>
      <c r="Z33" s="602">
        <f t="shared" si="17"/>
        <v>0</v>
      </c>
      <c r="AA33" s="602"/>
      <c r="AB33" s="602">
        <f t="shared" si="18"/>
        <v>0</v>
      </c>
      <c r="AC33" s="939"/>
      <c r="AD33" s="955"/>
      <c r="AE33" s="955"/>
      <c r="AF33" s="611">
        <v>10</v>
      </c>
      <c r="AG33" s="604"/>
      <c r="AH33" s="728">
        <v>6</v>
      </c>
      <c r="AI33" s="728">
        <v>7</v>
      </c>
      <c r="AJ33" s="729">
        <f t="shared" si="30"/>
        <v>13</v>
      </c>
      <c r="AK33" s="946"/>
      <c r="AL33" s="617">
        <v>150</v>
      </c>
      <c r="AM33" s="602">
        <f t="shared" si="19"/>
        <v>10</v>
      </c>
      <c r="AN33" s="602"/>
      <c r="AO33" s="602">
        <f t="shared" si="31"/>
        <v>0</v>
      </c>
      <c r="AP33" s="939"/>
      <c r="AQ33" s="721">
        <v>0</v>
      </c>
      <c r="AR33" s="728"/>
      <c r="AS33" s="728"/>
      <c r="AT33" s="729">
        <f t="shared" si="20"/>
        <v>0</v>
      </c>
      <c r="AU33" s="946"/>
      <c r="AV33" s="617"/>
      <c r="AW33" s="602">
        <f t="shared" si="21"/>
        <v>0</v>
      </c>
      <c r="AX33" s="939"/>
      <c r="AY33" s="602">
        <f t="shared" si="22"/>
        <v>0</v>
      </c>
      <c r="AZ33" s="939"/>
      <c r="BA33" s="961"/>
      <c r="BB33" s="961"/>
      <c r="BC33" s="611"/>
      <c r="BD33" s="712">
        <v>20</v>
      </c>
      <c r="BE33" s="596">
        <v>20</v>
      </c>
      <c r="BF33" s="596">
        <f t="shared" si="27"/>
        <v>0</v>
      </c>
      <c r="BG33" s="728">
        <v>16</v>
      </c>
      <c r="BH33" s="728">
        <v>9</v>
      </c>
      <c r="BI33" s="729">
        <f t="shared" si="23"/>
        <v>25</v>
      </c>
      <c r="BJ33" s="729"/>
      <c r="BK33" s="616">
        <v>1000</v>
      </c>
      <c r="BL33" s="603">
        <f t="shared" si="24"/>
        <v>20</v>
      </c>
      <c r="BM33" s="602"/>
      <c r="BN33" s="602">
        <f t="shared" si="32"/>
        <v>0</v>
      </c>
      <c r="BO33" s="939"/>
      <c r="BP33" s="817">
        <f t="shared" si="28"/>
        <v>0</v>
      </c>
      <c r="BS33" s="741">
        <v>0</v>
      </c>
      <c r="BT33" s="741">
        <v>0</v>
      </c>
      <c r="BU33" s="741">
        <f t="shared" si="10"/>
        <v>0</v>
      </c>
      <c r="BV33" s="741">
        <v>0</v>
      </c>
      <c r="BW33" s="741"/>
      <c r="BX33" s="741"/>
      <c r="BY33" s="741"/>
      <c r="BZ33" s="741">
        <f t="shared" si="25"/>
        <v>0</v>
      </c>
      <c r="CA33" s="741"/>
      <c r="CB33" s="741"/>
      <c r="CC33" s="741">
        <f t="shared" si="11"/>
        <v>0</v>
      </c>
      <c r="CD33" s="751"/>
      <c r="CE33" s="748"/>
      <c r="CF33" s="748"/>
      <c r="CG33" s="748">
        <f t="shared" si="26"/>
        <v>0</v>
      </c>
      <c r="CH33" s="759"/>
      <c r="CI33" s="742"/>
      <c r="CJ33" s="591">
        <f t="shared" si="33"/>
        <v>0</v>
      </c>
    </row>
    <row r="34" spans="1:88" ht="21.6" customHeight="1" x14ac:dyDescent="0.25">
      <c r="A34" s="596"/>
      <c r="B34" s="596" t="s">
        <v>351</v>
      </c>
      <c r="C34" s="597" t="s">
        <v>356</v>
      </c>
      <c r="D34" s="175" t="s">
        <v>431</v>
      </c>
      <c r="E34" s="598">
        <v>31</v>
      </c>
      <c r="F34" s="596">
        <v>0</v>
      </c>
      <c r="G34" s="598">
        <v>31</v>
      </c>
      <c r="H34" s="604"/>
      <c r="I34" s="604">
        <f t="shared" si="13"/>
        <v>0</v>
      </c>
      <c r="J34" s="730">
        <f>25</f>
        <v>25</v>
      </c>
      <c r="K34" s="730">
        <f>10</f>
        <v>10</v>
      </c>
      <c r="L34" s="731">
        <f t="shared" si="14"/>
        <v>35</v>
      </c>
      <c r="M34" s="947"/>
      <c r="N34" s="617">
        <v>465</v>
      </c>
      <c r="O34" s="602">
        <f t="shared" si="15"/>
        <v>31</v>
      </c>
      <c r="P34" s="939"/>
      <c r="Q34" s="603">
        <f t="shared" si="29"/>
        <v>0</v>
      </c>
      <c r="R34" s="939"/>
      <c r="S34" s="604">
        <v>0</v>
      </c>
      <c r="T34" s="604"/>
      <c r="U34" s="730"/>
      <c r="V34" s="730"/>
      <c r="W34" s="731">
        <f t="shared" si="16"/>
        <v>0</v>
      </c>
      <c r="X34" s="947"/>
      <c r="Y34" s="617"/>
      <c r="Z34" s="602">
        <f t="shared" si="17"/>
        <v>0</v>
      </c>
      <c r="AA34" s="602"/>
      <c r="AB34" s="602">
        <f t="shared" si="18"/>
        <v>0</v>
      </c>
      <c r="AC34" s="939"/>
      <c r="AD34" s="955"/>
      <c r="AE34" s="955"/>
      <c r="AF34" s="611">
        <v>34</v>
      </c>
      <c r="AG34" s="604"/>
      <c r="AH34" s="728">
        <v>37</v>
      </c>
      <c r="AI34" s="728">
        <v>12</v>
      </c>
      <c r="AJ34" s="729">
        <f t="shared" si="30"/>
        <v>49</v>
      </c>
      <c r="AK34" s="946"/>
      <c r="AL34" s="617">
        <v>510</v>
      </c>
      <c r="AM34" s="602">
        <f t="shared" si="19"/>
        <v>34</v>
      </c>
      <c r="AN34" s="602"/>
      <c r="AO34" s="602">
        <f t="shared" si="31"/>
        <v>0</v>
      </c>
      <c r="AP34" s="939"/>
      <c r="AQ34" s="721">
        <v>0</v>
      </c>
      <c r="AR34" s="728"/>
      <c r="AS34" s="728"/>
      <c r="AT34" s="729">
        <f t="shared" si="20"/>
        <v>0</v>
      </c>
      <c r="AU34" s="946"/>
      <c r="AV34" s="617"/>
      <c r="AW34" s="602">
        <f t="shared" si="21"/>
        <v>0</v>
      </c>
      <c r="AX34" s="939"/>
      <c r="AY34" s="602">
        <f t="shared" si="22"/>
        <v>0</v>
      </c>
      <c r="AZ34" s="939"/>
      <c r="BA34" s="961"/>
      <c r="BB34" s="961"/>
      <c r="BC34" s="611"/>
      <c r="BD34" s="712">
        <v>64</v>
      </c>
      <c r="BE34" s="596">
        <v>64</v>
      </c>
      <c r="BF34" s="596">
        <f t="shared" si="27"/>
        <v>0</v>
      </c>
      <c r="BG34" s="728">
        <f>19+15+15+7</f>
        <v>56</v>
      </c>
      <c r="BH34" s="728">
        <f>3+7+4+2</f>
        <v>16</v>
      </c>
      <c r="BI34" s="729">
        <f t="shared" si="23"/>
        <v>72</v>
      </c>
      <c r="BJ34" s="729"/>
      <c r="BK34" s="616">
        <v>3200</v>
      </c>
      <c r="BL34" s="603">
        <f t="shared" si="24"/>
        <v>64</v>
      </c>
      <c r="BM34" s="602"/>
      <c r="BN34" s="602">
        <f t="shared" si="32"/>
        <v>0</v>
      </c>
      <c r="BO34" s="939"/>
      <c r="BP34" s="817">
        <f t="shared" si="28"/>
        <v>0</v>
      </c>
      <c r="BS34" s="741">
        <v>0</v>
      </c>
      <c r="BT34" s="741">
        <v>0</v>
      </c>
      <c r="BU34" s="741">
        <f t="shared" si="10"/>
        <v>0</v>
      </c>
      <c r="BV34" s="741">
        <v>0</v>
      </c>
      <c r="BW34" s="741"/>
      <c r="BX34" s="741"/>
      <c r="BY34" s="741"/>
      <c r="BZ34" s="741">
        <f t="shared" si="25"/>
        <v>0</v>
      </c>
      <c r="CA34" s="741"/>
      <c r="CB34" s="741"/>
      <c r="CC34" s="741">
        <f t="shared" si="11"/>
        <v>0</v>
      </c>
      <c r="CD34" s="751"/>
      <c r="CE34" s="748"/>
      <c r="CF34" s="748"/>
      <c r="CG34" s="748">
        <f t="shared" si="26"/>
        <v>0</v>
      </c>
      <c r="CH34" s="759"/>
      <c r="CI34" s="742"/>
      <c r="CJ34" s="591">
        <f t="shared" si="33"/>
        <v>0</v>
      </c>
    </row>
    <row r="35" spans="1:88" ht="21.6" customHeight="1" x14ac:dyDescent="0.25">
      <c r="A35" s="596"/>
      <c r="B35" s="596" t="s">
        <v>351</v>
      </c>
      <c r="C35" s="597" t="s">
        <v>396</v>
      </c>
      <c r="D35" s="175" t="s">
        <v>431</v>
      </c>
      <c r="E35" s="598">
        <v>10</v>
      </c>
      <c r="F35" s="596">
        <v>0</v>
      </c>
      <c r="G35" s="598">
        <v>0</v>
      </c>
      <c r="H35" s="604"/>
      <c r="I35" s="604">
        <f t="shared" si="13"/>
        <v>0</v>
      </c>
      <c r="J35" s="730">
        <v>9</v>
      </c>
      <c r="K35" s="730">
        <v>11</v>
      </c>
      <c r="L35" s="731">
        <f t="shared" si="14"/>
        <v>20</v>
      </c>
      <c r="M35" s="947"/>
      <c r="N35" s="617">
        <v>150</v>
      </c>
      <c r="O35" s="602">
        <f t="shared" si="15"/>
        <v>10</v>
      </c>
      <c r="P35" s="939"/>
      <c r="Q35" s="603">
        <f t="shared" si="29"/>
        <v>0</v>
      </c>
      <c r="R35" s="939"/>
      <c r="S35" s="604">
        <v>0</v>
      </c>
      <c r="T35" s="604"/>
      <c r="U35" s="730"/>
      <c r="V35" s="730"/>
      <c r="W35" s="731">
        <f t="shared" si="16"/>
        <v>0</v>
      </c>
      <c r="X35" s="947"/>
      <c r="Y35" s="617"/>
      <c r="Z35" s="602">
        <f t="shared" si="17"/>
        <v>0</v>
      </c>
      <c r="AA35" s="602"/>
      <c r="AB35" s="602">
        <f t="shared" si="18"/>
        <v>0</v>
      </c>
      <c r="AC35" s="939"/>
      <c r="AD35" s="955"/>
      <c r="AE35" s="955"/>
      <c r="AF35" s="611">
        <v>0</v>
      </c>
      <c r="AG35" s="604"/>
      <c r="AH35" s="728"/>
      <c r="AI35" s="728"/>
      <c r="AJ35" s="729">
        <f t="shared" si="30"/>
        <v>0</v>
      </c>
      <c r="AK35" s="946"/>
      <c r="AL35" s="617"/>
      <c r="AM35" s="602">
        <f t="shared" si="19"/>
        <v>0</v>
      </c>
      <c r="AN35" s="602"/>
      <c r="AO35" s="602">
        <f t="shared" si="31"/>
        <v>0</v>
      </c>
      <c r="AP35" s="939"/>
      <c r="AQ35" s="721">
        <v>0</v>
      </c>
      <c r="AR35" s="728"/>
      <c r="AS35" s="728"/>
      <c r="AT35" s="729">
        <f t="shared" si="20"/>
        <v>0</v>
      </c>
      <c r="AU35" s="946"/>
      <c r="AV35" s="617"/>
      <c r="AW35" s="602">
        <f t="shared" si="21"/>
        <v>0</v>
      </c>
      <c r="AX35" s="939"/>
      <c r="AY35" s="602">
        <f t="shared" si="22"/>
        <v>0</v>
      </c>
      <c r="AZ35" s="939"/>
      <c r="BA35" s="961"/>
      <c r="BB35" s="961"/>
      <c r="BC35" s="611"/>
      <c r="BD35" s="712">
        <v>10</v>
      </c>
      <c r="BE35" s="596">
        <v>0</v>
      </c>
      <c r="BF35" s="596">
        <f t="shared" si="27"/>
        <v>10</v>
      </c>
      <c r="BG35" s="728">
        <v>9</v>
      </c>
      <c r="BH35" s="728">
        <v>11</v>
      </c>
      <c r="BI35" s="729">
        <f t="shared" si="23"/>
        <v>20</v>
      </c>
      <c r="BJ35" s="729"/>
      <c r="BK35" s="616">
        <v>500</v>
      </c>
      <c r="BL35" s="603">
        <f t="shared" si="24"/>
        <v>10</v>
      </c>
      <c r="BM35" s="602"/>
      <c r="BN35" s="602">
        <f t="shared" si="32"/>
        <v>0</v>
      </c>
      <c r="BO35" s="939"/>
      <c r="BP35" s="817">
        <f t="shared" si="28"/>
        <v>0</v>
      </c>
      <c r="BS35" s="741"/>
      <c r="BT35" s="741"/>
      <c r="BU35" s="741">
        <f t="shared" si="10"/>
        <v>0</v>
      </c>
      <c r="BV35" s="741"/>
      <c r="BW35" s="741"/>
      <c r="BX35" s="741">
        <v>0</v>
      </c>
      <c r="BY35" s="741">
        <v>0</v>
      </c>
      <c r="BZ35" s="741">
        <f t="shared" si="25"/>
        <v>0</v>
      </c>
      <c r="CA35" s="741">
        <v>0</v>
      </c>
      <c r="CB35" s="741"/>
      <c r="CC35" s="741">
        <f t="shared" si="11"/>
        <v>0</v>
      </c>
      <c r="CD35" s="751"/>
      <c r="CE35" s="748"/>
      <c r="CF35" s="748"/>
      <c r="CG35" s="748">
        <f t="shared" si="26"/>
        <v>0</v>
      </c>
      <c r="CH35" s="759"/>
      <c r="CI35" s="742"/>
      <c r="CJ35" s="591">
        <f t="shared" si="33"/>
        <v>0</v>
      </c>
    </row>
    <row r="36" spans="1:88" ht="21.6" customHeight="1" x14ac:dyDescent="0.25">
      <c r="A36" s="596"/>
      <c r="B36" s="596" t="s">
        <v>351</v>
      </c>
      <c r="C36" s="597" t="s">
        <v>357</v>
      </c>
      <c r="D36" s="175" t="s">
        <v>431</v>
      </c>
      <c r="E36" s="598">
        <v>5.333333333333333</v>
      </c>
      <c r="F36" s="596">
        <v>0</v>
      </c>
      <c r="G36" s="598">
        <v>5.333333333333333</v>
      </c>
      <c r="H36" s="604"/>
      <c r="I36" s="604">
        <f t="shared" si="13"/>
        <v>0</v>
      </c>
      <c r="J36" s="730">
        <f>9</f>
        <v>9</v>
      </c>
      <c r="K36" s="730">
        <f>0</f>
        <v>0</v>
      </c>
      <c r="L36" s="731">
        <f t="shared" si="14"/>
        <v>9</v>
      </c>
      <c r="M36" s="947"/>
      <c r="N36" s="617">
        <v>80</v>
      </c>
      <c r="O36" s="602">
        <f t="shared" si="15"/>
        <v>5.333333333333333</v>
      </c>
      <c r="P36" s="939"/>
      <c r="Q36" s="603">
        <f t="shared" si="29"/>
        <v>0</v>
      </c>
      <c r="R36" s="939"/>
      <c r="S36" s="604">
        <v>0</v>
      </c>
      <c r="T36" s="604"/>
      <c r="U36" s="730"/>
      <c r="V36" s="730"/>
      <c r="W36" s="731">
        <f t="shared" si="16"/>
        <v>0</v>
      </c>
      <c r="X36" s="947"/>
      <c r="Y36" s="617"/>
      <c r="Z36" s="602">
        <f t="shared" si="17"/>
        <v>0</v>
      </c>
      <c r="AA36" s="602"/>
      <c r="AB36" s="602">
        <f t="shared" si="18"/>
        <v>0</v>
      </c>
      <c r="AC36" s="939"/>
      <c r="AD36" s="955"/>
      <c r="AE36" s="955"/>
      <c r="AF36" s="611">
        <v>4</v>
      </c>
      <c r="AG36" s="604"/>
      <c r="AH36" s="728">
        <v>6</v>
      </c>
      <c r="AI36" s="728"/>
      <c r="AJ36" s="729">
        <f t="shared" si="30"/>
        <v>6</v>
      </c>
      <c r="AK36" s="946"/>
      <c r="AL36" s="617">
        <v>60</v>
      </c>
      <c r="AM36" s="602">
        <f t="shared" si="19"/>
        <v>4</v>
      </c>
      <c r="AN36" s="602"/>
      <c r="AO36" s="602">
        <f t="shared" si="31"/>
        <v>0</v>
      </c>
      <c r="AP36" s="939"/>
      <c r="AQ36" s="721">
        <v>0</v>
      </c>
      <c r="AR36" s="728"/>
      <c r="AS36" s="728"/>
      <c r="AT36" s="729">
        <f t="shared" si="20"/>
        <v>0</v>
      </c>
      <c r="AU36" s="946"/>
      <c r="AV36" s="617"/>
      <c r="AW36" s="602">
        <f t="shared" si="21"/>
        <v>0</v>
      </c>
      <c r="AX36" s="939"/>
      <c r="AY36" s="602">
        <f t="shared" si="22"/>
        <v>0</v>
      </c>
      <c r="AZ36" s="939"/>
      <c r="BA36" s="961"/>
      <c r="BB36" s="961"/>
      <c r="BC36" s="611"/>
      <c r="BD36" s="712">
        <v>9</v>
      </c>
      <c r="BE36" s="596">
        <v>9</v>
      </c>
      <c r="BF36" s="596">
        <f t="shared" si="27"/>
        <v>0</v>
      </c>
      <c r="BG36" s="728">
        <v>16</v>
      </c>
      <c r="BH36" s="728">
        <v>3</v>
      </c>
      <c r="BI36" s="729">
        <f t="shared" si="23"/>
        <v>19</v>
      </c>
      <c r="BJ36" s="729"/>
      <c r="BK36" s="616">
        <v>450</v>
      </c>
      <c r="BL36" s="603">
        <f t="shared" si="24"/>
        <v>9</v>
      </c>
      <c r="BM36" s="602"/>
      <c r="BN36" s="602">
        <f t="shared" si="32"/>
        <v>0</v>
      </c>
      <c r="BO36" s="939"/>
      <c r="BP36" s="817">
        <f t="shared" si="28"/>
        <v>0</v>
      </c>
      <c r="BS36" s="741">
        <v>0</v>
      </c>
      <c r="BT36" s="741">
        <v>0</v>
      </c>
      <c r="BU36" s="741">
        <f t="shared" si="10"/>
        <v>0</v>
      </c>
      <c r="BV36" s="741">
        <v>0</v>
      </c>
      <c r="BW36" s="741"/>
      <c r="BX36" s="741"/>
      <c r="BY36" s="741">
        <v>0</v>
      </c>
      <c r="BZ36" s="741">
        <f t="shared" si="25"/>
        <v>0</v>
      </c>
      <c r="CA36" s="741"/>
      <c r="CB36" s="741"/>
      <c r="CC36" s="741">
        <f t="shared" si="11"/>
        <v>0</v>
      </c>
      <c r="CD36" s="751"/>
      <c r="CE36" s="748"/>
      <c r="CF36" s="748"/>
      <c r="CG36" s="748">
        <f t="shared" si="26"/>
        <v>0</v>
      </c>
      <c r="CH36" s="759"/>
      <c r="CI36" s="742"/>
      <c r="CJ36" s="591">
        <f t="shared" si="33"/>
        <v>0</v>
      </c>
    </row>
    <row r="37" spans="1:88" ht="21.6" customHeight="1" x14ac:dyDescent="0.25">
      <c r="A37" s="596"/>
      <c r="B37" s="596" t="s">
        <v>351</v>
      </c>
      <c r="C37" s="597" t="s">
        <v>358</v>
      </c>
      <c r="D37" s="175" t="s">
        <v>431</v>
      </c>
      <c r="E37" s="598">
        <v>10</v>
      </c>
      <c r="F37" s="596">
        <v>0</v>
      </c>
      <c r="G37" s="598">
        <v>10</v>
      </c>
      <c r="H37" s="604"/>
      <c r="I37" s="604">
        <f t="shared" si="13"/>
        <v>0</v>
      </c>
      <c r="J37" s="730">
        <f>7</f>
        <v>7</v>
      </c>
      <c r="K37" s="730">
        <f>3</f>
        <v>3</v>
      </c>
      <c r="L37" s="731">
        <f t="shared" si="14"/>
        <v>10</v>
      </c>
      <c r="M37" s="947"/>
      <c r="N37" s="617">
        <v>150</v>
      </c>
      <c r="O37" s="602">
        <f t="shared" si="15"/>
        <v>10</v>
      </c>
      <c r="P37" s="939"/>
      <c r="Q37" s="603">
        <f t="shared" si="29"/>
        <v>0</v>
      </c>
      <c r="R37" s="939"/>
      <c r="S37" s="604">
        <v>0</v>
      </c>
      <c r="T37" s="604"/>
      <c r="U37" s="730"/>
      <c r="V37" s="730"/>
      <c r="W37" s="731">
        <f t="shared" si="16"/>
        <v>0</v>
      </c>
      <c r="X37" s="947"/>
      <c r="Y37" s="617"/>
      <c r="Z37" s="602">
        <f t="shared" si="17"/>
        <v>0</v>
      </c>
      <c r="AA37" s="602"/>
      <c r="AB37" s="602">
        <f t="shared" si="18"/>
        <v>0</v>
      </c>
      <c r="AC37" s="939"/>
      <c r="AD37" s="955"/>
      <c r="AE37" s="955"/>
      <c r="AF37" s="611">
        <v>10</v>
      </c>
      <c r="AG37" s="604"/>
      <c r="AH37" s="728">
        <v>10</v>
      </c>
      <c r="AI37" s="728">
        <v>1</v>
      </c>
      <c r="AJ37" s="729">
        <f t="shared" si="30"/>
        <v>11</v>
      </c>
      <c r="AK37" s="946"/>
      <c r="AL37" s="617">
        <v>150</v>
      </c>
      <c r="AM37" s="602">
        <f t="shared" si="19"/>
        <v>10</v>
      </c>
      <c r="AN37" s="602"/>
      <c r="AO37" s="602">
        <f t="shared" si="31"/>
        <v>0</v>
      </c>
      <c r="AP37" s="939"/>
      <c r="AQ37" s="721">
        <v>0</v>
      </c>
      <c r="AR37" s="728"/>
      <c r="AS37" s="728"/>
      <c r="AT37" s="729">
        <f t="shared" si="20"/>
        <v>0</v>
      </c>
      <c r="AU37" s="946"/>
      <c r="AV37" s="617"/>
      <c r="AW37" s="602">
        <f t="shared" si="21"/>
        <v>0</v>
      </c>
      <c r="AX37" s="939"/>
      <c r="AY37" s="602">
        <f t="shared" si="22"/>
        <v>0</v>
      </c>
      <c r="AZ37" s="939"/>
      <c r="BA37" s="961"/>
      <c r="BB37" s="961"/>
      <c r="BC37" s="611"/>
      <c r="BD37" s="712">
        <v>20</v>
      </c>
      <c r="BE37" s="596">
        <v>20</v>
      </c>
      <c r="BF37" s="596">
        <f t="shared" si="27"/>
        <v>0</v>
      </c>
      <c r="BG37" s="728">
        <v>17</v>
      </c>
      <c r="BH37" s="728">
        <v>4</v>
      </c>
      <c r="BI37" s="729">
        <f t="shared" si="23"/>
        <v>21</v>
      </c>
      <c r="BJ37" s="729"/>
      <c r="BK37" s="616">
        <v>1000</v>
      </c>
      <c r="BL37" s="603">
        <f t="shared" si="24"/>
        <v>20</v>
      </c>
      <c r="BM37" s="602"/>
      <c r="BN37" s="602">
        <f t="shared" si="32"/>
        <v>0</v>
      </c>
      <c r="BO37" s="939"/>
      <c r="BP37" s="817">
        <f t="shared" si="28"/>
        <v>0</v>
      </c>
      <c r="BS37" s="741">
        <v>0</v>
      </c>
      <c r="BT37" s="741">
        <v>0</v>
      </c>
      <c r="BU37" s="741">
        <f t="shared" si="10"/>
        <v>0</v>
      </c>
      <c r="BV37" s="741">
        <v>0</v>
      </c>
      <c r="BW37" s="741"/>
      <c r="BX37" s="741"/>
      <c r="BY37" s="741"/>
      <c r="BZ37" s="741">
        <f t="shared" si="25"/>
        <v>0</v>
      </c>
      <c r="CA37" s="741"/>
      <c r="CB37" s="741"/>
      <c r="CC37" s="741">
        <f t="shared" si="11"/>
        <v>0</v>
      </c>
      <c r="CD37" s="751"/>
      <c r="CE37" s="748"/>
      <c r="CF37" s="748"/>
      <c r="CG37" s="748">
        <f t="shared" si="26"/>
        <v>0</v>
      </c>
      <c r="CH37" s="759"/>
      <c r="CI37" s="742"/>
      <c r="CJ37" s="591">
        <f t="shared" si="33"/>
        <v>0</v>
      </c>
    </row>
    <row r="38" spans="1:88" ht="21.6" customHeight="1" x14ac:dyDescent="0.25">
      <c r="A38" s="596"/>
      <c r="B38" s="596"/>
      <c r="C38" s="597"/>
      <c r="D38" s="173"/>
      <c r="E38" s="598">
        <v>0</v>
      </c>
      <c r="F38" s="596">
        <v>0</v>
      </c>
      <c r="G38" s="598"/>
      <c r="H38" s="604"/>
      <c r="I38" s="604">
        <f t="shared" si="13"/>
        <v>0</v>
      </c>
      <c r="J38" s="730"/>
      <c r="K38" s="730"/>
      <c r="L38" s="731">
        <f t="shared" si="14"/>
        <v>0</v>
      </c>
      <c r="M38" s="947"/>
      <c r="N38" s="617"/>
      <c r="O38" s="602">
        <f t="shared" si="15"/>
        <v>0</v>
      </c>
      <c r="P38" s="939"/>
      <c r="Q38" s="603">
        <f t="shared" si="29"/>
        <v>0</v>
      </c>
      <c r="R38" s="939"/>
      <c r="S38" s="604">
        <v>0</v>
      </c>
      <c r="T38" s="604"/>
      <c r="U38" s="730"/>
      <c r="V38" s="730"/>
      <c r="W38" s="731">
        <f t="shared" si="16"/>
        <v>0</v>
      </c>
      <c r="X38" s="947"/>
      <c r="Y38" s="617"/>
      <c r="Z38" s="602">
        <f t="shared" si="17"/>
        <v>0</v>
      </c>
      <c r="AA38" s="602"/>
      <c r="AB38" s="602">
        <f t="shared" si="18"/>
        <v>0</v>
      </c>
      <c r="AC38" s="939"/>
      <c r="AD38" s="955"/>
      <c r="AE38" s="955"/>
      <c r="AF38" s="611"/>
      <c r="AG38" s="604"/>
      <c r="AH38" s="728"/>
      <c r="AI38" s="728"/>
      <c r="AJ38" s="729">
        <f t="shared" si="30"/>
        <v>0</v>
      </c>
      <c r="AK38" s="946"/>
      <c r="AL38" s="617"/>
      <c r="AM38" s="602">
        <f t="shared" si="19"/>
        <v>0</v>
      </c>
      <c r="AN38" s="602"/>
      <c r="AO38" s="602">
        <f t="shared" si="31"/>
        <v>0</v>
      </c>
      <c r="AP38" s="939"/>
      <c r="AQ38" s="721">
        <v>0</v>
      </c>
      <c r="AR38" s="728"/>
      <c r="AS38" s="728"/>
      <c r="AT38" s="729">
        <f t="shared" si="20"/>
        <v>0</v>
      </c>
      <c r="AU38" s="946"/>
      <c r="AV38" s="617"/>
      <c r="AW38" s="602">
        <f t="shared" si="21"/>
        <v>0</v>
      </c>
      <c r="AX38" s="939"/>
      <c r="AY38" s="602">
        <f t="shared" si="22"/>
        <v>0</v>
      </c>
      <c r="AZ38" s="939"/>
      <c r="BA38" s="961"/>
      <c r="BB38" s="961"/>
      <c r="BC38" s="611"/>
      <c r="BD38" s="712"/>
      <c r="BE38" s="596"/>
      <c r="BF38" s="596">
        <f t="shared" si="27"/>
        <v>0</v>
      </c>
      <c r="BG38" s="728"/>
      <c r="BH38" s="728"/>
      <c r="BI38" s="729">
        <f t="shared" si="23"/>
        <v>0</v>
      </c>
      <c r="BJ38" s="729"/>
      <c r="BK38" s="616"/>
      <c r="BL38" s="603">
        <f t="shared" si="24"/>
        <v>0</v>
      </c>
      <c r="BM38" s="602"/>
      <c r="BN38" s="602">
        <f t="shared" si="32"/>
        <v>0</v>
      </c>
      <c r="BO38" s="939"/>
      <c r="BP38" s="817">
        <f t="shared" si="28"/>
        <v>0</v>
      </c>
      <c r="BS38" s="741">
        <v>0</v>
      </c>
      <c r="BT38" s="741">
        <v>0</v>
      </c>
      <c r="BU38" s="741">
        <f t="shared" si="10"/>
        <v>0</v>
      </c>
      <c r="BV38" s="741">
        <v>0</v>
      </c>
      <c r="BW38" s="741"/>
      <c r="BX38" s="741">
        <v>0</v>
      </c>
      <c r="BY38" s="741">
        <v>0</v>
      </c>
      <c r="BZ38" s="741">
        <f t="shared" si="25"/>
        <v>0</v>
      </c>
      <c r="CA38" s="741">
        <v>0</v>
      </c>
      <c r="CB38" s="741"/>
      <c r="CC38" s="741">
        <f t="shared" si="11"/>
        <v>0</v>
      </c>
      <c r="CD38" s="751"/>
      <c r="CE38" s="748"/>
      <c r="CF38" s="748"/>
      <c r="CG38" s="748">
        <f t="shared" si="26"/>
        <v>0</v>
      </c>
      <c r="CH38" s="759"/>
      <c r="CI38" s="742"/>
      <c r="CJ38" s="591">
        <f t="shared" si="33"/>
        <v>0</v>
      </c>
    </row>
    <row r="39" spans="1:88" s="593" customFormat="1" ht="21.6" customHeight="1" x14ac:dyDescent="0.25">
      <c r="A39" s="606" t="s">
        <v>9</v>
      </c>
      <c r="B39" s="606" t="s">
        <v>23</v>
      </c>
      <c r="C39" s="607" t="s">
        <v>24</v>
      </c>
      <c r="D39" s="167"/>
      <c r="E39" s="608">
        <v>0</v>
      </c>
      <c r="F39" s="606">
        <v>0</v>
      </c>
      <c r="G39" s="608">
        <v>0</v>
      </c>
      <c r="H39" s="609">
        <v>0</v>
      </c>
      <c r="I39" s="609">
        <f t="shared" si="13"/>
        <v>0</v>
      </c>
      <c r="J39" s="730"/>
      <c r="K39" s="730"/>
      <c r="L39" s="731">
        <f t="shared" si="14"/>
        <v>0</v>
      </c>
      <c r="M39" s="947">
        <f>SUM(L39:L40)</f>
        <v>0</v>
      </c>
      <c r="N39" s="617"/>
      <c r="O39" s="602">
        <f t="shared" si="15"/>
        <v>0</v>
      </c>
      <c r="P39" s="939">
        <f>SUM(O39:O40)</f>
        <v>0</v>
      </c>
      <c r="Q39" s="603">
        <f t="shared" si="29"/>
        <v>0</v>
      </c>
      <c r="R39" s="939">
        <f>SUM(Q39:Q40)</f>
        <v>0</v>
      </c>
      <c r="S39" s="604">
        <v>0</v>
      </c>
      <c r="T39" s="604">
        <f>SUM(S39:S40)</f>
        <v>0</v>
      </c>
      <c r="U39" s="730"/>
      <c r="V39" s="730"/>
      <c r="W39" s="731">
        <f t="shared" si="16"/>
        <v>0</v>
      </c>
      <c r="X39" s="947">
        <f>SUM(W39:W40)</f>
        <v>0</v>
      </c>
      <c r="Y39" s="617"/>
      <c r="Z39" s="602">
        <f t="shared" si="17"/>
        <v>0</v>
      </c>
      <c r="AA39" s="602">
        <f>SUM(Z39:Z40)</f>
        <v>0</v>
      </c>
      <c r="AB39" s="602">
        <f t="shared" si="18"/>
        <v>0</v>
      </c>
      <c r="AC39" s="939">
        <f>SUM(AB39:AB40)</f>
        <v>0</v>
      </c>
      <c r="AD39" s="955">
        <f>M39+X39</f>
        <v>0</v>
      </c>
      <c r="AE39" s="955">
        <f>R39+AC39</f>
        <v>0</v>
      </c>
      <c r="AF39" s="610">
        <v>0</v>
      </c>
      <c r="AG39" s="609">
        <v>0</v>
      </c>
      <c r="AH39" s="728"/>
      <c r="AI39" s="728"/>
      <c r="AJ39" s="729">
        <f t="shared" si="30"/>
        <v>0</v>
      </c>
      <c r="AK39" s="946">
        <f>SUM(AJ39:AJ40)</f>
        <v>0</v>
      </c>
      <c r="AL39" s="617"/>
      <c r="AM39" s="602">
        <f t="shared" si="19"/>
        <v>0</v>
      </c>
      <c r="AN39" s="602">
        <f>SUM(AM39:AM40)</f>
        <v>0</v>
      </c>
      <c r="AO39" s="602">
        <f t="shared" si="31"/>
        <v>0</v>
      </c>
      <c r="AP39" s="939">
        <f>SUM(AO39:AO40)</f>
        <v>0</v>
      </c>
      <c r="AQ39" s="721">
        <v>0</v>
      </c>
      <c r="AR39" s="728"/>
      <c r="AS39" s="728"/>
      <c r="AT39" s="729">
        <f t="shared" si="20"/>
        <v>0</v>
      </c>
      <c r="AU39" s="946">
        <f>SUM(AT39:AT40)</f>
        <v>0</v>
      </c>
      <c r="AV39" s="617"/>
      <c r="AW39" s="602">
        <f t="shared" si="21"/>
        <v>0</v>
      </c>
      <c r="AX39" s="939">
        <f>SUM(AW39:AW40)</f>
        <v>0</v>
      </c>
      <c r="AY39" s="602">
        <f t="shared" si="22"/>
        <v>0</v>
      </c>
      <c r="AZ39" s="939">
        <f>SUM(AY39:AY40)</f>
        <v>0</v>
      </c>
      <c r="BA39" s="961">
        <f>AK39+AU39</f>
        <v>0</v>
      </c>
      <c r="BB39" s="961">
        <f>AP39+AZ39</f>
        <v>0</v>
      </c>
      <c r="BC39" s="610">
        <f>SUM(BD39:BD40)</f>
        <v>0</v>
      </c>
      <c r="BD39" s="711">
        <v>0</v>
      </c>
      <c r="BE39" s="609">
        <v>0</v>
      </c>
      <c r="BF39" s="596">
        <f t="shared" si="27"/>
        <v>0</v>
      </c>
      <c r="BG39" s="728"/>
      <c r="BH39" s="728"/>
      <c r="BI39" s="729">
        <f t="shared" si="23"/>
        <v>0</v>
      </c>
      <c r="BJ39" s="729">
        <f>SUM(BI39:BI40)</f>
        <v>0</v>
      </c>
      <c r="BK39" s="616"/>
      <c r="BL39" s="603">
        <f t="shared" si="24"/>
        <v>0</v>
      </c>
      <c r="BM39" s="602">
        <f>SUM(BL39:BL40)</f>
        <v>0</v>
      </c>
      <c r="BN39" s="602">
        <f t="shared" si="32"/>
        <v>0</v>
      </c>
      <c r="BO39" s="939">
        <f>SUM(BN39:BN40)</f>
        <v>0</v>
      </c>
      <c r="BP39" s="817">
        <f t="shared" si="28"/>
        <v>0</v>
      </c>
      <c r="BS39" s="744">
        <v>0</v>
      </c>
      <c r="BT39" s="744">
        <v>0</v>
      </c>
      <c r="BU39" s="741">
        <f t="shared" si="10"/>
        <v>0</v>
      </c>
      <c r="BV39" s="744">
        <v>0</v>
      </c>
      <c r="BW39" s="744">
        <f>SUM(BV39:BV40)</f>
        <v>0</v>
      </c>
      <c r="BX39" s="744">
        <v>0</v>
      </c>
      <c r="BY39" s="744">
        <v>0</v>
      </c>
      <c r="BZ39" s="741">
        <f t="shared" si="25"/>
        <v>0</v>
      </c>
      <c r="CA39" s="744">
        <v>0</v>
      </c>
      <c r="CB39" s="744">
        <f>SUM(CA39:CA40)</f>
        <v>0</v>
      </c>
      <c r="CC39" s="741">
        <f t="shared" si="11"/>
        <v>0</v>
      </c>
      <c r="CD39" s="754">
        <f>SUM(CC39:CC40)</f>
        <v>0</v>
      </c>
      <c r="CE39" s="748"/>
      <c r="CF39" s="748"/>
      <c r="CG39" s="748">
        <f t="shared" si="26"/>
        <v>0</v>
      </c>
      <c r="CH39" s="765"/>
      <c r="CI39" s="744">
        <f>SUM(CH39:CH40)</f>
        <v>0</v>
      </c>
      <c r="CJ39" s="593">
        <f t="shared" si="33"/>
        <v>0</v>
      </c>
    </row>
    <row r="40" spans="1:88" ht="21.6" customHeight="1" x14ac:dyDescent="0.25">
      <c r="A40" s="596" t="s">
        <v>9</v>
      </c>
      <c r="B40" s="596" t="s">
        <v>23</v>
      </c>
      <c r="C40" s="597" t="s">
        <v>25</v>
      </c>
      <c r="D40" s="171"/>
      <c r="E40" s="598">
        <v>0</v>
      </c>
      <c r="F40" s="596">
        <v>0</v>
      </c>
      <c r="G40" s="598">
        <v>0</v>
      </c>
      <c r="H40" s="604"/>
      <c r="I40" s="604">
        <f t="shared" si="13"/>
        <v>0</v>
      </c>
      <c r="J40" s="730"/>
      <c r="K40" s="730"/>
      <c r="L40" s="731">
        <f t="shared" si="14"/>
        <v>0</v>
      </c>
      <c r="M40" s="947"/>
      <c r="N40" s="617"/>
      <c r="O40" s="602">
        <f t="shared" si="15"/>
        <v>0</v>
      </c>
      <c r="P40" s="939"/>
      <c r="Q40" s="603">
        <f t="shared" si="29"/>
        <v>0</v>
      </c>
      <c r="R40" s="939"/>
      <c r="S40" s="604">
        <v>0</v>
      </c>
      <c r="T40" s="604"/>
      <c r="U40" s="730"/>
      <c r="V40" s="730"/>
      <c r="W40" s="731">
        <f t="shared" si="16"/>
        <v>0</v>
      </c>
      <c r="X40" s="947"/>
      <c r="Y40" s="617"/>
      <c r="Z40" s="602">
        <f t="shared" si="17"/>
        <v>0</v>
      </c>
      <c r="AA40" s="602"/>
      <c r="AB40" s="602">
        <f t="shared" si="18"/>
        <v>0</v>
      </c>
      <c r="AC40" s="939"/>
      <c r="AD40" s="955"/>
      <c r="AE40" s="955"/>
      <c r="AF40" s="611">
        <v>0</v>
      </c>
      <c r="AG40" s="604"/>
      <c r="AH40" s="728"/>
      <c r="AI40" s="728"/>
      <c r="AJ40" s="729">
        <f t="shared" si="30"/>
        <v>0</v>
      </c>
      <c r="AK40" s="946"/>
      <c r="AL40" s="617"/>
      <c r="AM40" s="602">
        <f t="shared" si="19"/>
        <v>0</v>
      </c>
      <c r="AN40" s="602"/>
      <c r="AO40" s="602">
        <f t="shared" si="31"/>
        <v>0</v>
      </c>
      <c r="AP40" s="939"/>
      <c r="AQ40" s="721">
        <v>0</v>
      </c>
      <c r="AR40" s="728"/>
      <c r="AS40" s="728"/>
      <c r="AT40" s="729">
        <f t="shared" si="20"/>
        <v>0</v>
      </c>
      <c r="AU40" s="946"/>
      <c r="AV40" s="617"/>
      <c r="AW40" s="602">
        <f t="shared" si="21"/>
        <v>0</v>
      </c>
      <c r="AX40" s="939"/>
      <c r="AY40" s="602">
        <f t="shared" si="22"/>
        <v>0</v>
      </c>
      <c r="AZ40" s="939"/>
      <c r="BA40" s="961"/>
      <c r="BB40" s="961"/>
      <c r="BC40" s="611"/>
      <c r="BD40" s="712">
        <v>0</v>
      </c>
      <c r="BE40" s="596">
        <v>0</v>
      </c>
      <c r="BF40" s="596">
        <f t="shared" si="27"/>
        <v>0</v>
      </c>
      <c r="BG40" s="728"/>
      <c r="BH40" s="728"/>
      <c r="BI40" s="729">
        <f t="shared" si="23"/>
        <v>0</v>
      </c>
      <c r="BJ40" s="729"/>
      <c r="BK40" s="616"/>
      <c r="BL40" s="603">
        <f t="shared" si="24"/>
        <v>0</v>
      </c>
      <c r="BM40" s="602"/>
      <c r="BN40" s="602">
        <f t="shared" si="32"/>
        <v>0</v>
      </c>
      <c r="BO40" s="939"/>
      <c r="BP40" s="817">
        <f t="shared" si="28"/>
        <v>0</v>
      </c>
      <c r="BS40" s="741">
        <v>0</v>
      </c>
      <c r="BT40" s="741">
        <v>0</v>
      </c>
      <c r="BU40" s="741">
        <f t="shared" si="10"/>
        <v>0</v>
      </c>
      <c r="BV40" s="741">
        <v>0</v>
      </c>
      <c r="BW40" s="741"/>
      <c r="BX40" s="741">
        <v>0</v>
      </c>
      <c r="BY40" s="741">
        <v>0</v>
      </c>
      <c r="BZ40" s="741">
        <f t="shared" si="25"/>
        <v>0</v>
      </c>
      <c r="CA40" s="741">
        <v>0</v>
      </c>
      <c r="CB40" s="741"/>
      <c r="CC40" s="741">
        <f t="shared" si="11"/>
        <v>0</v>
      </c>
      <c r="CD40" s="751"/>
      <c r="CE40" s="748"/>
      <c r="CF40" s="748"/>
      <c r="CG40" s="748">
        <f t="shared" si="26"/>
        <v>0</v>
      </c>
      <c r="CH40" s="759"/>
      <c r="CI40" s="742"/>
      <c r="CJ40" s="591">
        <f t="shared" si="33"/>
        <v>0</v>
      </c>
    </row>
    <row r="41" spans="1:88" ht="21.6" customHeight="1" x14ac:dyDescent="0.25">
      <c r="A41" s="596"/>
      <c r="B41" s="596"/>
      <c r="C41" s="597"/>
      <c r="D41" s="173"/>
      <c r="E41" s="598">
        <v>0</v>
      </c>
      <c r="F41" s="596">
        <v>0</v>
      </c>
      <c r="G41" s="598"/>
      <c r="H41" s="604"/>
      <c r="I41" s="604">
        <f t="shared" si="13"/>
        <v>0</v>
      </c>
      <c r="J41" s="730"/>
      <c r="K41" s="730"/>
      <c r="L41" s="731">
        <f t="shared" si="14"/>
        <v>0</v>
      </c>
      <c r="M41" s="947"/>
      <c r="N41" s="617"/>
      <c r="O41" s="602">
        <f t="shared" si="15"/>
        <v>0</v>
      </c>
      <c r="P41" s="939"/>
      <c r="Q41" s="603">
        <f t="shared" si="29"/>
        <v>0</v>
      </c>
      <c r="R41" s="939"/>
      <c r="S41" s="604">
        <v>0</v>
      </c>
      <c r="T41" s="604"/>
      <c r="U41" s="730"/>
      <c r="V41" s="730"/>
      <c r="W41" s="731">
        <f t="shared" si="16"/>
        <v>0</v>
      </c>
      <c r="X41" s="947"/>
      <c r="Y41" s="617"/>
      <c r="Z41" s="602">
        <f t="shared" si="17"/>
        <v>0</v>
      </c>
      <c r="AA41" s="602"/>
      <c r="AB41" s="602">
        <f t="shared" si="18"/>
        <v>0</v>
      </c>
      <c r="AC41" s="939"/>
      <c r="AD41" s="955"/>
      <c r="AE41" s="955"/>
      <c r="AF41" s="611"/>
      <c r="AG41" s="604"/>
      <c r="AH41" s="728"/>
      <c r="AI41" s="728"/>
      <c r="AJ41" s="729">
        <f t="shared" si="30"/>
        <v>0</v>
      </c>
      <c r="AK41" s="946"/>
      <c r="AL41" s="617"/>
      <c r="AM41" s="602">
        <f t="shared" si="19"/>
        <v>0</v>
      </c>
      <c r="AN41" s="602"/>
      <c r="AO41" s="602">
        <f t="shared" si="31"/>
        <v>0</v>
      </c>
      <c r="AP41" s="939"/>
      <c r="AQ41" s="721">
        <v>0</v>
      </c>
      <c r="AR41" s="728"/>
      <c r="AS41" s="728"/>
      <c r="AT41" s="729">
        <f t="shared" si="20"/>
        <v>0</v>
      </c>
      <c r="AU41" s="946"/>
      <c r="AV41" s="617"/>
      <c r="AW41" s="602">
        <f t="shared" si="21"/>
        <v>0</v>
      </c>
      <c r="AX41" s="939"/>
      <c r="AY41" s="602">
        <f t="shared" si="22"/>
        <v>0</v>
      </c>
      <c r="AZ41" s="939"/>
      <c r="BA41" s="961"/>
      <c r="BB41" s="961"/>
      <c r="BC41" s="611"/>
      <c r="BD41" s="712"/>
      <c r="BE41" s="596"/>
      <c r="BF41" s="596">
        <f t="shared" si="27"/>
        <v>0</v>
      </c>
      <c r="BG41" s="728"/>
      <c r="BH41" s="728"/>
      <c r="BI41" s="729">
        <f t="shared" si="23"/>
        <v>0</v>
      </c>
      <c r="BJ41" s="729"/>
      <c r="BK41" s="616"/>
      <c r="BL41" s="603">
        <f t="shared" si="24"/>
        <v>0</v>
      </c>
      <c r="BM41" s="602"/>
      <c r="BN41" s="602">
        <f t="shared" si="32"/>
        <v>0</v>
      </c>
      <c r="BO41" s="939"/>
      <c r="BP41" s="817">
        <f t="shared" si="28"/>
        <v>0</v>
      </c>
      <c r="BS41" s="741">
        <v>0</v>
      </c>
      <c r="BT41" s="741">
        <v>0</v>
      </c>
      <c r="BU41" s="741">
        <f t="shared" si="10"/>
        <v>0</v>
      </c>
      <c r="BV41" s="741">
        <v>0</v>
      </c>
      <c r="BW41" s="741"/>
      <c r="BX41" s="741">
        <v>0</v>
      </c>
      <c r="BY41" s="741">
        <v>0</v>
      </c>
      <c r="BZ41" s="741">
        <f t="shared" si="25"/>
        <v>0</v>
      </c>
      <c r="CA41" s="741">
        <v>0</v>
      </c>
      <c r="CB41" s="741"/>
      <c r="CC41" s="741">
        <f t="shared" si="11"/>
        <v>0</v>
      </c>
      <c r="CD41" s="751"/>
      <c r="CE41" s="748"/>
      <c r="CF41" s="748"/>
      <c r="CG41" s="748">
        <f t="shared" si="26"/>
        <v>0</v>
      </c>
      <c r="CH41" s="759"/>
      <c r="CI41" s="742"/>
      <c r="CJ41" s="591">
        <f t="shared" si="33"/>
        <v>0</v>
      </c>
    </row>
    <row r="42" spans="1:88" s="593" customFormat="1" ht="21.6" customHeight="1" x14ac:dyDescent="0.25">
      <c r="A42" s="606"/>
      <c r="B42" s="606" t="s">
        <v>26</v>
      </c>
      <c r="C42" s="607" t="s">
        <v>334</v>
      </c>
      <c r="D42" s="167" t="s">
        <v>431</v>
      </c>
      <c r="E42" s="608">
        <v>0</v>
      </c>
      <c r="F42" s="606">
        <v>0</v>
      </c>
      <c r="G42" s="608">
        <v>0</v>
      </c>
      <c r="H42" s="609">
        <v>0</v>
      </c>
      <c r="I42" s="609">
        <f t="shared" si="13"/>
        <v>0</v>
      </c>
      <c r="J42" s="730"/>
      <c r="K42" s="730"/>
      <c r="L42" s="731">
        <f t="shared" si="14"/>
        <v>0</v>
      </c>
      <c r="M42" s="947">
        <f>SUM(L42:L49)</f>
        <v>0</v>
      </c>
      <c r="N42" s="617"/>
      <c r="O42" s="602">
        <f t="shared" si="15"/>
        <v>0</v>
      </c>
      <c r="P42" s="939">
        <f>SUM(O42:O49)</f>
        <v>0</v>
      </c>
      <c r="Q42" s="603">
        <f t="shared" si="29"/>
        <v>0</v>
      </c>
      <c r="R42" s="939">
        <f>SUM(Q42:Q49)</f>
        <v>0</v>
      </c>
      <c r="S42" s="604">
        <v>5</v>
      </c>
      <c r="T42" s="604">
        <f>SUM(S42:S49)</f>
        <v>44</v>
      </c>
      <c r="U42" s="730">
        <f>7</f>
        <v>7</v>
      </c>
      <c r="V42" s="730">
        <v>8</v>
      </c>
      <c r="W42" s="731">
        <f t="shared" si="16"/>
        <v>15</v>
      </c>
      <c r="X42" s="947">
        <f>SUM(W42:W49)</f>
        <v>87</v>
      </c>
      <c r="Y42" s="617">
        <f>75</f>
        <v>75</v>
      </c>
      <c r="Z42" s="602">
        <f t="shared" si="17"/>
        <v>5</v>
      </c>
      <c r="AA42" s="602">
        <f>SUM(Z42:Z49)</f>
        <v>44</v>
      </c>
      <c r="AB42" s="602">
        <f t="shared" si="18"/>
        <v>0</v>
      </c>
      <c r="AC42" s="939">
        <f>SUM(AB42:AB49)</f>
        <v>0</v>
      </c>
      <c r="AD42" s="955">
        <f>M42+X42</f>
        <v>87</v>
      </c>
      <c r="AE42" s="955">
        <f>R42+AC42</f>
        <v>0</v>
      </c>
      <c r="AF42" s="610">
        <v>0</v>
      </c>
      <c r="AG42" s="609">
        <v>0</v>
      </c>
      <c r="AH42" s="728"/>
      <c r="AI42" s="728"/>
      <c r="AJ42" s="729">
        <f t="shared" si="30"/>
        <v>0</v>
      </c>
      <c r="AK42" s="946">
        <f>SUM(AJ42:AJ49)</f>
        <v>0</v>
      </c>
      <c r="AL42" s="617"/>
      <c r="AM42" s="602">
        <f t="shared" si="19"/>
        <v>0</v>
      </c>
      <c r="AN42" s="602">
        <f>SUM(AM42:AM49)</f>
        <v>0</v>
      </c>
      <c r="AO42" s="602">
        <f t="shared" si="31"/>
        <v>0</v>
      </c>
      <c r="AP42" s="939">
        <f>SUM(AO42:AO49)</f>
        <v>0</v>
      </c>
      <c r="AQ42" s="721">
        <v>3</v>
      </c>
      <c r="AR42" s="728">
        <v>4</v>
      </c>
      <c r="AS42" s="728">
        <v>4</v>
      </c>
      <c r="AT42" s="729">
        <f t="shared" si="20"/>
        <v>8</v>
      </c>
      <c r="AU42" s="946">
        <f>SUM(AT42:AT49)</f>
        <v>26</v>
      </c>
      <c r="AV42" s="617">
        <v>45</v>
      </c>
      <c r="AW42" s="602">
        <f t="shared" si="21"/>
        <v>3</v>
      </c>
      <c r="AX42" s="939">
        <f>SUM(AW42:AW49)</f>
        <v>11</v>
      </c>
      <c r="AY42" s="602">
        <f t="shared" si="22"/>
        <v>0</v>
      </c>
      <c r="AZ42" s="939">
        <f>SUM(AY42:AY49)</f>
        <v>0</v>
      </c>
      <c r="BA42" s="961">
        <f>AK42+AU42</f>
        <v>26</v>
      </c>
      <c r="BB42" s="961">
        <f>AP42+AZ42</f>
        <v>0</v>
      </c>
      <c r="BC42" s="610">
        <f>SUM(BD42:BD49)</f>
        <v>55</v>
      </c>
      <c r="BD42" s="711">
        <v>8</v>
      </c>
      <c r="BE42" s="609">
        <v>0</v>
      </c>
      <c r="BF42" s="596">
        <f t="shared" si="27"/>
        <v>8</v>
      </c>
      <c r="BG42" s="728">
        <f>4+7</f>
        <v>11</v>
      </c>
      <c r="BH42" s="728">
        <f>4+8</f>
        <v>12</v>
      </c>
      <c r="BI42" s="729">
        <f t="shared" si="23"/>
        <v>23</v>
      </c>
      <c r="BJ42" s="729">
        <f>SUM(BI42:BI49)</f>
        <v>105</v>
      </c>
      <c r="BK42" s="616">
        <f>150+233</f>
        <v>383</v>
      </c>
      <c r="BL42" s="603">
        <f t="shared" si="24"/>
        <v>7.66</v>
      </c>
      <c r="BM42" s="602">
        <f>SUM(BL42:BL49)</f>
        <v>48.674999999999997</v>
      </c>
      <c r="BN42" s="602">
        <f t="shared" si="32"/>
        <v>0.33999999999999986</v>
      </c>
      <c r="BO42" s="939">
        <f>SUM(BN42:BN49)</f>
        <v>6.3249999999999993</v>
      </c>
      <c r="BP42" s="817">
        <f t="shared" si="28"/>
        <v>6.3249999999999993</v>
      </c>
      <c r="BS42" s="744">
        <v>7</v>
      </c>
      <c r="BT42" s="744">
        <v>8</v>
      </c>
      <c r="BU42" s="741">
        <f t="shared" si="10"/>
        <v>15</v>
      </c>
      <c r="BV42" s="744">
        <v>5</v>
      </c>
      <c r="BW42" s="744">
        <f>SUM(BV42:BV49)</f>
        <v>15</v>
      </c>
      <c r="BX42" s="744">
        <v>4</v>
      </c>
      <c r="BY42" s="744">
        <v>4</v>
      </c>
      <c r="BZ42" s="741">
        <f t="shared" si="25"/>
        <v>8</v>
      </c>
      <c r="CA42" s="744">
        <v>3</v>
      </c>
      <c r="CB42" s="744">
        <f>SUM(CA42:CA49)</f>
        <v>11</v>
      </c>
      <c r="CC42" s="741">
        <f t="shared" si="11"/>
        <v>8</v>
      </c>
      <c r="CD42" s="754">
        <f>SUM(CC42:CC49)</f>
        <v>26</v>
      </c>
      <c r="CE42" s="748">
        <v>4</v>
      </c>
      <c r="CF42" s="748">
        <v>4</v>
      </c>
      <c r="CG42" s="748">
        <f t="shared" si="26"/>
        <v>8</v>
      </c>
      <c r="CH42" s="765">
        <v>3</v>
      </c>
      <c r="CI42" s="744">
        <f>SUM(CH42:CH49)</f>
        <v>11</v>
      </c>
      <c r="CJ42" s="593">
        <f t="shared" si="33"/>
        <v>0.33999999999999986</v>
      </c>
    </row>
    <row r="43" spans="1:88" s="593" customFormat="1" ht="21.6" customHeight="1" x14ac:dyDescent="0.25">
      <c r="A43" s="606"/>
      <c r="B43" s="606" t="s">
        <v>26</v>
      </c>
      <c r="C43" s="607" t="s">
        <v>902</v>
      </c>
      <c r="D43" s="167"/>
      <c r="E43" s="608"/>
      <c r="F43" s="606"/>
      <c r="G43" s="608"/>
      <c r="H43" s="609"/>
      <c r="I43" s="609"/>
      <c r="J43" s="730"/>
      <c r="K43" s="730"/>
      <c r="L43" s="731"/>
      <c r="M43" s="947"/>
      <c r="N43" s="617"/>
      <c r="O43" s="602"/>
      <c r="P43" s="939"/>
      <c r="Q43" s="603"/>
      <c r="R43" s="939"/>
      <c r="S43" s="604"/>
      <c r="T43" s="604"/>
      <c r="U43" s="730"/>
      <c r="V43" s="730"/>
      <c r="W43" s="731"/>
      <c r="X43" s="947"/>
      <c r="Y43" s="617"/>
      <c r="Z43" s="602"/>
      <c r="AA43" s="602"/>
      <c r="AB43" s="602"/>
      <c r="AC43" s="939"/>
      <c r="AD43" s="955"/>
      <c r="AE43" s="955"/>
      <c r="AF43" s="610"/>
      <c r="AG43" s="609"/>
      <c r="AH43" s="728"/>
      <c r="AI43" s="728"/>
      <c r="AJ43" s="729"/>
      <c r="AK43" s="946"/>
      <c r="AL43" s="617"/>
      <c r="AM43" s="602"/>
      <c r="AN43" s="602"/>
      <c r="AO43" s="602"/>
      <c r="AP43" s="939"/>
      <c r="AQ43" s="721"/>
      <c r="AR43" s="728"/>
      <c r="AS43" s="728"/>
      <c r="AT43" s="729"/>
      <c r="AU43" s="946"/>
      <c r="AV43" s="617"/>
      <c r="AW43" s="602"/>
      <c r="AX43" s="939"/>
      <c r="AY43" s="602"/>
      <c r="AZ43" s="939"/>
      <c r="BA43" s="961"/>
      <c r="BB43" s="961"/>
      <c r="BC43" s="610"/>
      <c r="BD43" s="711"/>
      <c r="BE43" s="609"/>
      <c r="BF43" s="1206"/>
      <c r="BG43" s="728"/>
      <c r="BH43" s="728"/>
      <c r="BI43" s="729"/>
      <c r="BJ43" s="729"/>
      <c r="BK43" s="616"/>
      <c r="BL43" s="603"/>
      <c r="BM43" s="602"/>
      <c r="BN43" s="602"/>
      <c r="BO43" s="939"/>
      <c r="BP43" s="817"/>
      <c r="BS43" s="744"/>
      <c r="BT43" s="744"/>
      <c r="BU43" s="1201"/>
      <c r="BV43" s="744"/>
      <c r="BW43" s="744"/>
      <c r="BX43" s="744"/>
      <c r="BY43" s="744"/>
      <c r="BZ43" s="1201"/>
      <c r="CA43" s="744"/>
      <c r="CB43" s="744"/>
      <c r="CC43" s="1201"/>
      <c r="CD43" s="754"/>
      <c r="CE43" s="849"/>
      <c r="CF43" s="849"/>
      <c r="CG43" s="849"/>
      <c r="CH43" s="765"/>
      <c r="CI43" s="744"/>
    </row>
    <row r="44" spans="1:88" s="593" customFormat="1" ht="21.6" customHeight="1" x14ac:dyDescent="0.25">
      <c r="A44" s="606"/>
      <c r="B44" s="606" t="s">
        <v>26</v>
      </c>
      <c r="C44" s="607" t="s">
        <v>903</v>
      </c>
      <c r="D44" s="167"/>
      <c r="E44" s="608"/>
      <c r="F44" s="606"/>
      <c r="G44" s="608"/>
      <c r="H44" s="609"/>
      <c r="I44" s="609"/>
      <c r="J44" s="730"/>
      <c r="K44" s="730"/>
      <c r="L44" s="731"/>
      <c r="M44" s="947"/>
      <c r="N44" s="617"/>
      <c r="O44" s="602"/>
      <c r="P44" s="939"/>
      <c r="Q44" s="603"/>
      <c r="R44" s="939"/>
      <c r="S44" s="604"/>
      <c r="T44" s="604"/>
      <c r="U44" s="730"/>
      <c r="V44" s="730"/>
      <c r="W44" s="731"/>
      <c r="X44" s="947"/>
      <c r="Y44" s="617"/>
      <c r="Z44" s="602"/>
      <c r="AA44" s="602"/>
      <c r="AB44" s="602"/>
      <c r="AC44" s="939"/>
      <c r="AD44" s="955"/>
      <c r="AE44" s="955"/>
      <c r="AF44" s="610"/>
      <c r="AG44" s="609"/>
      <c r="AH44" s="728"/>
      <c r="AI44" s="728"/>
      <c r="AJ44" s="729"/>
      <c r="AK44" s="946"/>
      <c r="AL44" s="617"/>
      <c r="AM44" s="602"/>
      <c r="AN44" s="602"/>
      <c r="AO44" s="602"/>
      <c r="AP44" s="939"/>
      <c r="AQ44" s="721"/>
      <c r="AR44" s="728"/>
      <c r="AS44" s="728"/>
      <c r="AT44" s="729"/>
      <c r="AU44" s="946"/>
      <c r="AV44" s="617"/>
      <c r="AW44" s="602"/>
      <c r="AX44" s="939"/>
      <c r="AY44" s="602"/>
      <c r="AZ44" s="939"/>
      <c r="BA44" s="961"/>
      <c r="BB44" s="961"/>
      <c r="BC44" s="610"/>
      <c r="BD44" s="711"/>
      <c r="BE44" s="609"/>
      <c r="BF44" s="1206"/>
      <c r="BG44" s="728"/>
      <c r="BH44" s="728"/>
      <c r="BI44" s="729"/>
      <c r="BJ44" s="729"/>
      <c r="BK44" s="616"/>
      <c r="BL44" s="603"/>
      <c r="BM44" s="602"/>
      <c r="BN44" s="602"/>
      <c r="BO44" s="939"/>
      <c r="BP44" s="817"/>
      <c r="BS44" s="744"/>
      <c r="BT44" s="744"/>
      <c r="BU44" s="1201"/>
      <c r="BV44" s="744"/>
      <c r="BW44" s="744"/>
      <c r="BX44" s="744"/>
      <c r="BY44" s="744"/>
      <c r="BZ44" s="1201"/>
      <c r="CA44" s="744"/>
      <c r="CB44" s="744"/>
      <c r="CC44" s="1201"/>
      <c r="CD44" s="754"/>
      <c r="CE44" s="849"/>
      <c r="CF44" s="849"/>
      <c r="CG44" s="849"/>
      <c r="CH44" s="765"/>
      <c r="CI44" s="744"/>
    </row>
    <row r="45" spans="1:88" ht="21.6" customHeight="1" x14ac:dyDescent="0.25">
      <c r="A45" s="596"/>
      <c r="B45" s="596" t="s">
        <v>26</v>
      </c>
      <c r="C45" s="597" t="s">
        <v>335</v>
      </c>
      <c r="D45" s="167" t="s">
        <v>431</v>
      </c>
      <c r="E45" s="598">
        <v>0</v>
      </c>
      <c r="F45" s="596">
        <v>0</v>
      </c>
      <c r="G45" s="598">
        <v>0</v>
      </c>
      <c r="H45" s="604"/>
      <c r="I45" s="604">
        <f t="shared" si="13"/>
        <v>0</v>
      </c>
      <c r="J45" s="730"/>
      <c r="K45" s="730"/>
      <c r="L45" s="731">
        <f t="shared" si="14"/>
        <v>0</v>
      </c>
      <c r="M45" s="947"/>
      <c r="N45" s="617"/>
      <c r="O45" s="602">
        <f t="shared" si="15"/>
        <v>0</v>
      </c>
      <c r="P45" s="939"/>
      <c r="Q45" s="603">
        <f t="shared" si="29"/>
        <v>0</v>
      </c>
      <c r="R45" s="939"/>
      <c r="S45" s="604">
        <v>15</v>
      </c>
      <c r="T45" s="604"/>
      <c r="U45" s="730">
        <f>15+13</f>
        <v>28</v>
      </c>
      <c r="V45" s="730">
        <v>2</v>
      </c>
      <c r="W45" s="731">
        <f t="shared" si="16"/>
        <v>30</v>
      </c>
      <c r="X45" s="947"/>
      <c r="Y45" s="617">
        <f>112.5+112.5</f>
        <v>225</v>
      </c>
      <c r="Z45" s="602">
        <f t="shared" si="17"/>
        <v>15</v>
      </c>
      <c r="AA45" s="602"/>
      <c r="AB45" s="602">
        <f t="shared" si="18"/>
        <v>0</v>
      </c>
      <c r="AC45" s="939"/>
      <c r="AD45" s="955"/>
      <c r="AE45" s="955"/>
      <c r="AF45" s="611">
        <v>0</v>
      </c>
      <c r="AG45" s="604"/>
      <c r="AH45" s="728"/>
      <c r="AI45" s="728"/>
      <c r="AJ45" s="729">
        <f t="shared" si="30"/>
        <v>0</v>
      </c>
      <c r="AK45" s="946"/>
      <c r="AL45" s="617"/>
      <c r="AM45" s="602">
        <f t="shared" si="19"/>
        <v>0</v>
      </c>
      <c r="AN45" s="602"/>
      <c r="AO45" s="602">
        <f t="shared" si="31"/>
        <v>0</v>
      </c>
      <c r="AP45" s="939"/>
      <c r="AQ45" s="721">
        <v>7</v>
      </c>
      <c r="AR45" s="728">
        <v>14</v>
      </c>
      <c r="AS45" s="728">
        <v>1</v>
      </c>
      <c r="AT45" s="729">
        <f t="shared" si="20"/>
        <v>15</v>
      </c>
      <c r="AU45" s="946"/>
      <c r="AV45" s="617">
        <v>105</v>
      </c>
      <c r="AW45" s="602">
        <f t="shared" si="21"/>
        <v>7</v>
      </c>
      <c r="AX45" s="939"/>
      <c r="AY45" s="602">
        <f t="shared" si="22"/>
        <v>0</v>
      </c>
      <c r="AZ45" s="939"/>
      <c r="BA45" s="961"/>
      <c r="BB45" s="961"/>
      <c r="BC45" s="611"/>
      <c r="BD45" s="712">
        <v>22</v>
      </c>
      <c r="BE45" s="596">
        <v>0</v>
      </c>
      <c r="BF45" s="596">
        <f t="shared" si="27"/>
        <v>22</v>
      </c>
      <c r="BG45" s="728">
        <f>14+8+8+5</f>
        <v>35</v>
      </c>
      <c r="BH45" s="728">
        <f>1+0+1+0</f>
        <v>2</v>
      </c>
      <c r="BI45" s="729">
        <f t="shared" si="23"/>
        <v>37</v>
      </c>
      <c r="BJ45" s="729"/>
      <c r="BK45" s="616">
        <f>350+207.5+220+23.25</f>
        <v>800.75</v>
      </c>
      <c r="BL45" s="603">
        <f t="shared" si="24"/>
        <v>16.015000000000001</v>
      </c>
      <c r="BM45" s="602"/>
      <c r="BN45" s="602">
        <f t="shared" si="32"/>
        <v>5.9849999999999994</v>
      </c>
      <c r="BO45" s="939"/>
      <c r="BP45" s="817">
        <f t="shared" si="28"/>
        <v>0</v>
      </c>
      <c r="BS45" s="741"/>
      <c r="BT45" s="741"/>
      <c r="BU45" s="741">
        <f t="shared" si="10"/>
        <v>0</v>
      </c>
      <c r="BV45" s="741"/>
      <c r="BW45" s="741"/>
      <c r="BX45" s="741">
        <v>14</v>
      </c>
      <c r="BY45" s="741">
        <v>1</v>
      </c>
      <c r="BZ45" s="741">
        <f t="shared" si="25"/>
        <v>15</v>
      </c>
      <c r="CA45" s="741">
        <v>7</v>
      </c>
      <c r="CB45" s="741"/>
      <c r="CC45" s="741">
        <f t="shared" si="11"/>
        <v>7</v>
      </c>
      <c r="CD45" s="751"/>
      <c r="CE45" s="748">
        <v>14</v>
      </c>
      <c r="CF45" s="748">
        <v>1</v>
      </c>
      <c r="CG45" s="748">
        <f t="shared" si="26"/>
        <v>15</v>
      </c>
      <c r="CH45" s="759">
        <v>7</v>
      </c>
      <c r="CI45" s="742"/>
      <c r="CJ45" s="591">
        <f t="shared" si="33"/>
        <v>5.9849999999999994</v>
      </c>
    </row>
    <row r="46" spans="1:88" ht="21.6" customHeight="1" x14ac:dyDescent="0.25">
      <c r="A46" s="596"/>
      <c r="B46" s="596" t="s">
        <v>26</v>
      </c>
      <c r="C46" s="597" t="s">
        <v>377</v>
      </c>
      <c r="D46" s="182" t="s">
        <v>431</v>
      </c>
      <c r="E46" s="598">
        <v>0</v>
      </c>
      <c r="F46" s="596">
        <v>0</v>
      </c>
      <c r="G46" s="598">
        <v>0</v>
      </c>
      <c r="H46" s="604"/>
      <c r="I46" s="604">
        <f t="shared" si="13"/>
        <v>0</v>
      </c>
      <c r="J46" s="730"/>
      <c r="K46" s="730"/>
      <c r="L46" s="731">
        <f t="shared" si="14"/>
        <v>0</v>
      </c>
      <c r="M46" s="947"/>
      <c r="N46" s="617"/>
      <c r="O46" s="602">
        <f t="shared" si="15"/>
        <v>0</v>
      </c>
      <c r="P46" s="939"/>
      <c r="Q46" s="603">
        <f t="shared" si="29"/>
        <v>0</v>
      </c>
      <c r="R46" s="939"/>
      <c r="S46" s="604">
        <v>10</v>
      </c>
      <c r="T46" s="604"/>
      <c r="U46" s="730">
        <v>8</v>
      </c>
      <c r="V46" s="730">
        <v>6</v>
      </c>
      <c r="W46" s="731">
        <f t="shared" si="16"/>
        <v>14</v>
      </c>
      <c r="X46" s="947"/>
      <c r="Y46" s="617">
        <v>150</v>
      </c>
      <c r="Z46" s="602">
        <f t="shared" si="17"/>
        <v>10</v>
      </c>
      <c r="AA46" s="602"/>
      <c r="AB46" s="602">
        <f t="shared" si="18"/>
        <v>0</v>
      </c>
      <c r="AC46" s="939"/>
      <c r="AD46" s="955"/>
      <c r="AE46" s="955"/>
      <c r="AF46" s="611">
        <v>0</v>
      </c>
      <c r="AG46" s="604"/>
      <c r="AH46" s="728"/>
      <c r="AI46" s="728"/>
      <c r="AJ46" s="729">
        <f t="shared" si="30"/>
        <v>0</v>
      </c>
      <c r="AK46" s="946"/>
      <c r="AL46" s="617"/>
      <c r="AM46" s="602">
        <f t="shared" si="19"/>
        <v>0</v>
      </c>
      <c r="AN46" s="602"/>
      <c r="AO46" s="602">
        <f t="shared" si="31"/>
        <v>0</v>
      </c>
      <c r="AP46" s="939"/>
      <c r="AQ46" s="721">
        <v>1</v>
      </c>
      <c r="AR46" s="728"/>
      <c r="AS46" s="728">
        <v>3</v>
      </c>
      <c r="AT46" s="729">
        <f t="shared" si="20"/>
        <v>3</v>
      </c>
      <c r="AU46" s="946"/>
      <c r="AV46" s="617">
        <v>15</v>
      </c>
      <c r="AW46" s="602">
        <f t="shared" si="21"/>
        <v>1</v>
      </c>
      <c r="AX46" s="939"/>
      <c r="AY46" s="602">
        <f t="shared" si="22"/>
        <v>0</v>
      </c>
      <c r="AZ46" s="939"/>
      <c r="BA46" s="961"/>
      <c r="BB46" s="961"/>
      <c r="BC46" s="611"/>
      <c r="BD46" s="712">
        <v>11</v>
      </c>
      <c r="BE46" s="596">
        <v>0</v>
      </c>
      <c r="BF46" s="596">
        <f t="shared" si="27"/>
        <v>11</v>
      </c>
      <c r="BG46" s="728">
        <f>0+8</f>
        <v>8</v>
      </c>
      <c r="BH46" s="728">
        <f>3+6</f>
        <v>9</v>
      </c>
      <c r="BI46" s="729">
        <f t="shared" si="23"/>
        <v>17</v>
      </c>
      <c r="BJ46" s="729"/>
      <c r="BK46" s="616">
        <f>50+500</f>
        <v>550</v>
      </c>
      <c r="BL46" s="603">
        <f t="shared" si="24"/>
        <v>11</v>
      </c>
      <c r="BM46" s="602"/>
      <c r="BN46" s="602">
        <f t="shared" si="32"/>
        <v>0</v>
      </c>
      <c r="BO46" s="939"/>
      <c r="BP46" s="817">
        <f t="shared" si="28"/>
        <v>0</v>
      </c>
      <c r="BS46" s="741">
        <v>8</v>
      </c>
      <c r="BT46" s="741">
        <v>6</v>
      </c>
      <c r="BU46" s="741">
        <f t="shared" si="10"/>
        <v>14</v>
      </c>
      <c r="BV46" s="741">
        <v>10</v>
      </c>
      <c r="BW46" s="741"/>
      <c r="BX46" s="741">
        <v>0</v>
      </c>
      <c r="BY46" s="741">
        <v>3</v>
      </c>
      <c r="BZ46" s="741">
        <f t="shared" si="25"/>
        <v>3</v>
      </c>
      <c r="CA46" s="741">
        <v>1</v>
      </c>
      <c r="CB46" s="741"/>
      <c r="CC46" s="741">
        <f t="shared" si="11"/>
        <v>11</v>
      </c>
      <c r="CD46" s="751"/>
      <c r="CE46" s="748"/>
      <c r="CF46" s="748">
        <v>3</v>
      </c>
      <c r="CG46" s="748">
        <f t="shared" si="26"/>
        <v>3</v>
      </c>
      <c r="CH46" s="759">
        <v>1</v>
      </c>
      <c r="CI46" s="742"/>
      <c r="CJ46" s="591">
        <f t="shared" si="33"/>
        <v>0</v>
      </c>
    </row>
    <row r="47" spans="1:88" ht="21.6" customHeight="1" x14ac:dyDescent="0.25">
      <c r="A47" s="1215"/>
      <c r="B47" s="1215"/>
      <c r="C47" s="597" t="s">
        <v>904</v>
      </c>
      <c r="D47" s="182"/>
      <c r="E47" s="598"/>
      <c r="F47" s="1215"/>
      <c r="G47" s="598"/>
      <c r="H47" s="604"/>
      <c r="I47" s="604"/>
      <c r="J47" s="730"/>
      <c r="K47" s="730"/>
      <c r="L47" s="731"/>
      <c r="M47" s="947"/>
      <c r="N47" s="617"/>
      <c r="O47" s="602"/>
      <c r="P47" s="939"/>
      <c r="Q47" s="603"/>
      <c r="R47" s="939"/>
      <c r="S47" s="604"/>
      <c r="T47" s="604"/>
      <c r="U47" s="730"/>
      <c r="V47" s="730"/>
      <c r="W47" s="731"/>
      <c r="X47" s="947"/>
      <c r="Y47" s="617"/>
      <c r="Z47" s="602"/>
      <c r="AA47" s="602"/>
      <c r="AB47" s="602"/>
      <c r="AC47" s="939"/>
      <c r="AD47" s="955"/>
      <c r="AE47" s="955"/>
      <c r="AF47" s="611"/>
      <c r="AG47" s="604"/>
      <c r="AH47" s="728"/>
      <c r="AI47" s="728"/>
      <c r="AJ47" s="729"/>
      <c r="AK47" s="946"/>
      <c r="AL47" s="617"/>
      <c r="AM47" s="602"/>
      <c r="AN47" s="602"/>
      <c r="AO47" s="602"/>
      <c r="AP47" s="939"/>
      <c r="AQ47" s="721"/>
      <c r="AR47" s="728"/>
      <c r="AS47" s="728"/>
      <c r="AT47" s="729"/>
      <c r="AU47" s="946"/>
      <c r="AV47" s="617"/>
      <c r="AW47" s="602"/>
      <c r="AX47" s="939"/>
      <c r="AY47" s="602"/>
      <c r="AZ47" s="939"/>
      <c r="BA47" s="961"/>
      <c r="BB47" s="961"/>
      <c r="BC47" s="611"/>
      <c r="BD47" s="712"/>
      <c r="BE47" s="1215"/>
      <c r="BF47" s="1215"/>
      <c r="BG47" s="728"/>
      <c r="BH47" s="728"/>
      <c r="BI47" s="729"/>
      <c r="BJ47" s="729"/>
      <c r="BK47" s="616"/>
      <c r="BL47" s="603"/>
      <c r="BM47" s="602"/>
      <c r="BN47" s="602"/>
      <c r="BO47" s="939"/>
      <c r="BP47" s="817"/>
      <c r="BS47" s="1209"/>
      <c r="BT47" s="1209"/>
      <c r="BU47" s="1209"/>
      <c r="BV47" s="1209"/>
      <c r="BW47" s="1209"/>
      <c r="BX47" s="1209"/>
      <c r="BY47" s="1209"/>
      <c r="BZ47" s="1209"/>
      <c r="CA47" s="1209"/>
      <c r="CB47" s="1209"/>
      <c r="CC47" s="1209"/>
      <c r="CD47" s="751"/>
      <c r="CE47" s="849"/>
      <c r="CF47" s="849"/>
      <c r="CG47" s="849"/>
      <c r="CH47" s="759"/>
      <c r="CI47" s="1209"/>
    </row>
    <row r="48" spans="1:88" ht="21.6" customHeight="1" x14ac:dyDescent="0.25">
      <c r="A48" s="596"/>
      <c r="B48" s="596" t="s">
        <v>26</v>
      </c>
      <c r="C48" s="597" t="s">
        <v>659</v>
      </c>
      <c r="D48" s="182" t="s">
        <v>437</v>
      </c>
      <c r="E48" s="598">
        <v>0</v>
      </c>
      <c r="F48" s="596">
        <v>0</v>
      </c>
      <c r="G48" s="598"/>
      <c r="H48" s="604"/>
      <c r="I48" s="604">
        <f t="shared" si="13"/>
        <v>0</v>
      </c>
      <c r="J48" s="730"/>
      <c r="K48" s="730"/>
      <c r="L48" s="731">
        <f t="shared" si="14"/>
        <v>0</v>
      </c>
      <c r="M48" s="947"/>
      <c r="N48" s="617"/>
      <c r="O48" s="602">
        <f t="shared" si="15"/>
        <v>0</v>
      </c>
      <c r="P48" s="939"/>
      <c r="Q48" s="603">
        <f t="shared" si="29"/>
        <v>0</v>
      </c>
      <c r="R48" s="939"/>
      <c r="S48" s="604">
        <v>14</v>
      </c>
      <c r="T48" s="604"/>
      <c r="U48" s="730">
        <f>12+13</f>
        <v>25</v>
      </c>
      <c r="V48" s="730">
        <v>3</v>
      </c>
      <c r="W48" s="731">
        <f t="shared" si="16"/>
        <v>28</v>
      </c>
      <c r="X48" s="947"/>
      <c r="Y48" s="617">
        <f>105+105</f>
        <v>210</v>
      </c>
      <c r="Z48" s="602">
        <f t="shared" si="17"/>
        <v>14</v>
      </c>
      <c r="AA48" s="602"/>
      <c r="AB48" s="602">
        <f t="shared" si="18"/>
        <v>0</v>
      </c>
      <c r="AC48" s="939"/>
      <c r="AD48" s="955"/>
      <c r="AE48" s="955"/>
      <c r="AF48" s="611"/>
      <c r="AG48" s="604"/>
      <c r="AH48" s="728"/>
      <c r="AI48" s="728"/>
      <c r="AJ48" s="729">
        <f t="shared" si="30"/>
        <v>0</v>
      </c>
      <c r="AK48" s="946"/>
      <c r="AL48" s="617"/>
      <c r="AM48" s="602">
        <f t="shared" si="19"/>
        <v>0</v>
      </c>
      <c r="AN48" s="602"/>
      <c r="AO48" s="602">
        <f t="shared" si="31"/>
        <v>0</v>
      </c>
      <c r="AP48" s="939"/>
      <c r="AQ48" s="721">
        <v>0</v>
      </c>
      <c r="AR48" s="728"/>
      <c r="AS48" s="728"/>
      <c r="AT48" s="729">
        <f t="shared" si="20"/>
        <v>0</v>
      </c>
      <c r="AU48" s="946"/>
      <c r="AV48" s="617"/>
      <c r="AW48" s="602">
        <f t="shared" si="21"/>
        <v>0</v>
      </c>
      <c r="AX48" s="939"/>
      <c r="AY48" s="602">
        <f t="shared" si="22"/>
        <v>0</v>
      </c>
      <c r="AZ48" s="939"/>
      <c r="BA48" s="961"/>
      <c r="BB48" s="961"/>
      <c r="BC48" s="611"/>
      <c r="BD48" s="712">
        <v>14</v>
      </c>
      <c r="BE48" s="596">
        <v>0</v>
      </c>
      <c r="BF48" s="596">
        <f t="shared" si="27"/>
        <v>14</v>
      </c>
      <c r="BG48" s="728">
        <f>12+13</f>
        <v>25</v>
      </c>
      <c r="BH48" s="728">
        <f>3+0</f>
        <v>3</v>
      </c>
      <c r="BI48" s="729">
        <f t="shared" si="23"/>
        <v>28</v>
      </c>
      <c r="BJ48" s="729"/>
      <c r="BK48" s="616">
        <f>350+350</f>
        <v>700</v>
      </c>
      <c r="BL48" s="603">
        <f t="shared" si="24"/>
        <v>14</v>
      </c>
      <c r="BM48" s="602"/>
      <c r="BN48" s="602">
        <f t="shared" si="32"/>
        <v>0</v>
      </c>
      <c r="BO48" s="939"/>
      <c r="BP48" s="817">
        <f t="shared" si="28"/>
        <v>0</v>
      </c>
      <c r="BS48" s="741"/>
      <c r="BT48" s="741"/>
      <c r="BU48" s="741">
        <f t="shared" si="10"/>
        <v>0</v>
      </c>
      <c r="BV48" s="741"/>
      <c r="BW48" s="741"/>
      <c r="BX48" s="741">
        <v>0</v>
      </c>
      <c r="BY48" s="741">
        <v>0</v>
      </c>
      <c r="BZ48" s="741">
        <f t="shared" si="25"/>
        <v>0</v>
      </c>
      <c r="CA48" s="741">
        <v>0</v>
      </c>
      <c r="CB48" s="741"/>
      <c r="CC48" s="741">
        <f t="shared" si="11"/>
        <v>0</v>
      </c>
      <c r="CD48" s="751"/>
      <c r="CE48" s="748"/>
      <c r="CF48" s="748"/>
      <c r="CG48" s="748">
        <f t="shared" si="26"/>
        <v>0</v>
      </c>
      <c r="CH48" s="759"/>
      <c r="CI48" s="742"/>
      <c r="CJ48" s="591">
        <f t="shared" si="33"/>
        <v>0</v>
      </c>
    </row>
    <row r="49" spans="1:88" ht="21.6" customHeight="1" x14ac:dyDescent="0.25">
      <c r="A49" s="596"/>
      <c r="B49" s="596" t="s">
        <v>26</v>
      </c>
      <c r="C49" s="597" t="s">
        <v>27</v>
      </c>
      <c r="D49" s="167"/>
      <c r="E49" s="598">
        <v>0</v>
      </c>
      <c r="F49" s="596">
        <v>0</v>
      </c>
      <c r="G49" s="598">
        <v>0</v>
      </c>
      <c r="H49" s="604"/>
      <c r="I49" s="604">
        <f t="shared" si="13"/>
        <v>0</v>
      </c>
      <c r="J49" s="730"/>
      <c r="K49" s="730"/>
      <c r="L49" s="731">
        <f t="shared" si="14"/>
        <v>0</v>
      </c>
      <c r="M49" s="947"/>
      <c r="N49" s="617"/>
      <c r="O49" s="602">
        <f>N49/15</f>
        <v>0</v>
      </c>
      <c r="P49" s="939"/>
      <c r="Q49" s="603">
        <f t="shared" si="29"/>
        <v>0</v>
      </c>
      <c r="R49" s="939"/>
      <c r="S49" s="604">
        <v>0</v>
      </c>
      <c r="T49" s="604"/>
      <c r="U49" s="730"/>
      <c r="V49" s="730"/>
      <c r="W49" s="731">
        <f t="shared" si="16"/>
        <v>0</v>
      </c>
      <c r="X49" s="947"/>
      <c r="Y49" s="617"/>
      <c r="Z49" s="602">
        <f t="shared" si="17"/>
        <v>0</v>
      </c>
      <c r="AA49" s="602"/>
      <c r="AB49" s="602">
        <f t="shared" si="18"/>
        <v>0</v>
      </c>
      <c r="AC49" s="939"/>
      <c r="AD49" s="955"/>
      <c r="AE49" s="955"/>
      <c r="AF49" s="611">
        <v>0</v>
      </c>
      <c r="AG49" s="604"/>
      <c r="AH49" s="728"/>
      <c r="AI49" s="728"/>
      <c r="AJ49" s="729">
        <f t="shared" si="30"/>
        <v>0</v>
      </c>
      <c r="AK49" s="946"/>
      <c r="AL49" s="617"/>
      <c r="AM49" s="602">
        <f t="shared" si="19"/>
        <v>0</v>
      </c>
      <c r="AN49" s="602"/>
      <c r="AO49" s="602">
        <f t="shared" si="31"/>
        <v>0</v>
      </c>
      <c r="AP49" s="939"/>
      <c r="AQ49" s="721">
        <v>0</v>
      </c>
      <c r="AR49" s="728"/>
      <c r="AS49" s="728"/>
      <c r="AT49" s="729">
        <f t="shared" si="20"/>
        <v>0</v>
      </c>
      <c r="AU49" s="946"/>
      <c r="AV49" s="617"/>
      <c r="AW49" s="602">
        <f t="shared" si="21"/>
        <v>0</v>
      </c>
      <c r="AX49" s="939"/>
      <c r="AY49" s="602">
        <f t="shared" si="22"/>
        <v>0</v>
      </c>
      <c r="AZ49" s="939"/>
      <c r="BA49" s="961"/>
      <c r="BB49" s="961"/>
      <c r="BC49" s="611"/>
      <c r="BD49" s="712">
        <v>0</v>
      </c>
      <c r="BE49" s="596">
        <v>0</v>
      </c>
      <c r="BF49" s="596">
        <f t="shared" si="27"/>
        <v>0</v>
      </c>
      <c r="BG49" s="728"/>
      <c r="BH49" s="728"/>
      <c r="BI49" s="729">
        <f t="shared" si="23"/>
        <v>0</v>
      </c>
      <c r="BJ49" s="729"/>
      <c r="BK49" s="616"/>
      <c r="BL49" s="603">
        <f t="shared" si="24"/>
        <v>0</v>
      </c>
      <c r="BM49" s="602"/>
      <c r="BN49" s="602">
        <f t="shared" si="32"/>
        <v>0</v>
      </c>
      <c r="BO49" s="939"/>
      <c r="BP49" s="817">
        <f t="shared" si="28"/>
        <v>0</v>
      </c>
      <c r="BS49" s="741">
        <v>0</v>
      </c>
      <c r="BT49" s="741">
        <v>0</v>
      </c>
      <c r="BU49" s="741">
        <f t="shared" si="10"/>
        <v>0</v>
      </c>
      <c r="BV49" s="741">
        <v>0</v>
      </c>
      <c r="BW49" s="741"/>
      <c r="BX49" s="741">
        <v>0</v>
      </c>
      <c r="BY49" s="741">
        <v>0</v>
      </c>
      <c r="BZ49" s="741">
        <f t="shared" si="25"/>
        <v>0</v>
      </c>
      <c r="CA49" s="741">
        <v>0</v>
      </c>
      <c r="CB49" s="741"/>
      <c r="CC49" s="741">
        <f t="shared" si="11"/>
        <v>0</v>
      </c>
      <c r="CD49" s="751"/>
      <c r="CE49" s="748"/>
      <c r="CF49" s="748"/>
      <c r="CG49" s="748">
        <f t="shared" si="26"/>
        <v>0</v>
      </c>
      <c r="CH49" s="759"/>
      <c r="CI49" s="742"/>
      <c r="CJ49" s="591">
        <f t="shared" si="33"/>
        <v>0</v>
      </c>
    </row>
    <row r="50" spans="1:88" s="592" customFormat="1" ht="21.6" customHeight="1" x14ac:dyDescent="0.25">
      <c r="A50" s="662" t="s">
        <v>28</v>
      </c>
      <c r="B50" s="662" t="s">
        <v>28</v>
      </c>
      <c r="C50" s="605"/>
      <c r="D50" s="189"/>
      <c r="E50" s="600">
        <v>2543.3333333333335</v>
      </c>
      <c r="F50" s="662">
        <v>2543.3333333333335</v>
      </c>
      <c r="G50" s="600">
        <v>1223.3333333333333</v>
      </c>
      <c r="H50" s="662">
        <v>1223.3333333333333</v>
      </c>
      <c r="I50" s="662">
        <f t="shared" si="13"/>
        <v>1320.0000000000002</v>
      </c>
      <c r="J50" s="728">
        <f>SUM(J52:J223)</f>
        <v>1900</v>
      </c>
      <c r="K50" s="728">
        <f t="shared" ref="K50:BP50" si="34">SUM(K52:K223)</f>
        <v>761</v>
      </c>
      <c r="L50" s="729">
        <f t="shared" si="34"/>
        <v>2661</v>
      </c>
      <c r="M50" s="946">
        <f t="shared" ref="M50" si="35">SUM(M52:M223)</f>
        <v>2661</v>
      </c>
      <c r="N50" s="616">
        <f t="shared" si="34"/>
        <v>38184.36</v>
      </c>
      <c r="O50" s="835">
        <f t="shared" si="34"/>
        <v>2545.6239999999993</v>
      </c>
      <c r="P50" s="940">
        <f t="shared" si="34"/>
        <v>2545.6239999999998</v>
      </c>
      <c r="Q50" s="835">
        <f t="shared" si="34"/>
        <v>-2.2906666666666595</v>
      </c>
      <c r="R50" s="940">
        <f t="shared" si="34"/>
        <v>-2.2906666666666595</v>
      </c>
      <c r="S50" s="727">
        <f t="shared" si="34"/>
        <v>205</v>
      </c>
      <c r="T50" s="727">
        <f t="shared" si="34"/>
        <v>205</v>
      </c>
      <c r="U50" s="616">
        <f t="shared" si="34"/>
        <v>125</v>
      </c>
      <c r="V50" s="616">
        <f t="shared" si="34"/>
        <v>42</v>
      </c>
      <c r="W50" s="835">
        <f t="shared" si="34"/>
        <v>167</v>
      </c>
      <c r="X50" s="940">
        <f>SUM(X52:X223)</f>
        <v>167</v>
      </c>
      <c r="Y50" s="616">
        <f t="shared" si="34"/>
        <v>3090</v>
      </c>
      <c r="Z50" s="835">
        <f t="shared" si="34"/>
        <v>206</v>
      </c>
      <c r="AA50" s="835">
        <f t="shared" si="34"/>
        <v>206</v>
      </c>
      <c r="AB50" s="835">
        <f t="shared" si="34"/>
        <v>-1</v>
      </c>
      <c r="AC50" s="940">
        <f>SUM(AC52:AC223)</f>
        <v>-1</v>
      </c>
      <c r="AD50" s="956">
        <f>SUM(AD52:AD223)</f>
        <v>2828</v>
      </c>
      <c r="AE50" s="956">
        <f>SUM(AE52:AE223)</f>
        <v>-3.2906666666666595</v>
      </c>
      <c r="AF50" s="727">
        <f t="shared" si="34"/>
        <v>876.00000000000011</v>
      </c>
      <c r="AG50" s="727">
        <f t="shared" si="34"/>
        <v>875.99999999999966</v>
      </c>
      <c r="AH50" s="616">
        <f t="shared" si="34"/>
        <v>552</v>
      </c>
      <c r="AI50" s="616">
        <f t="shared" si="34"/>
        <v>192</v>
      </c>
      <c r="AJ50" s="835">
        <f t="shared" si="34"/>
        <v>744</v>
      </c>
      <c r="AK50" s="940">
        <f>SUM(AK52:AK223)</f>
        <v>744</v>
      </c>
      <c r="AL50" s="616">
        <f t="shared" si="34"/>
        <v>13170.25</v>
      </c>
      <c r="AM50" s="835">
        <f t="shared" si="34"/>
        <v>878.01666666666688</v>
      </c>
      <c r="AN50" s="835">
        <f t="shared" si="34"/>
        <v>878.01666666666665</v>
      </c>
      <c r="AO50" s="835">
        <f t="shared" si="34"/>
        <v>-2.0166666666666666</v>
      </c>
      <c r="AP50" s="940">
        <f t="shared" si="34"/>
        <v>-2.0166666666666666</v>
      </c>
      <c r="AQ50" s="940">
        <f t="shared" si="34"/>
        <v>196.99999999999997</v>
      </c>
      <c r="AR50" s="616">
        <f t="shared" si="34"/>
        <v>147</v>
      </c>
      <c r="AS50" s="616">
        <f t="shared" si="34"/>
        <v>70</v>
      </c>
      <c r="AT50" s="989">
        <f t="shared" si="34"/>
        <v>217</v>
      </c>
      <c r="AU50" s="940">
        <f>SUM(AU52:AU223)</f>
        <v>217</v>
      </c>
      <c r="AV50" s="616">
        <f t="shared" si="34"/>
        <v>2955</v>
      </c>
      <c r="AW50" s="987">
        <f t="shared" si="34"/>
        <v>196.99999999999997</v>
      </c>
      <c r="AX50" s="940">
        <f t="shared" si="34"/>
        <v>197</v>
      </c>
      <c r="AY50" s="989">
        <f t="shared" si="34"/>
        <v>-4.4408920985006262E-16</v>
      </c>
      <c r="AZ50" s="940">
        <f>SUM(AZ52:AZ223)</f>
        <v>-4.4408920985006262E-16</v>
      </c>
      <c r="BA50" s="940">
        <f t="shared" ref="BA50:BB50" si="36">SUM(BA52:BA223)</f>
        <v>961</v>
      </c>
      <c r="BB50" s="940">
        <f t="shared" si="36"/>
        <v>-2.0166666666666671</v>
      </c>
      <c r="BC50" s="727">
        <f t="shared" si="34"/>
        <v>3589</v>
      </c>
      <c r="BD50" s="727">
        <f t="shared" si="34"/>
        <v>3589</v>
      </c>
      <c r="BE50" s="727">
        <f t="shared" si="34"/>
        <v>1601</v>
      </c>
      <c r="BF50" s="727">
        <f t="shared" si="34"/>
        <v>1988</v>
      </c>
      <c r="BG50" s="616">
        <f t="shared" si="34"/>
        <v>2239</v>
      </c>
      <c r="BH50" s="616">
        <f t="shared" si="34"/>
        <v>878</v>
      </c>
      <c r="BI50" s="964">
        <f t="shared" si="34"/>
        <v>3117</v>
      </c>
      <c r="BJ50" s="964">
        <f t="shared" ref="BJ50" si="37">SUM(BJ52:BJ223)</f>
        <v>3117</v>
      </c>
      <c r="BK50" s="616">
        <f t="shared" si="34"/>
        <v>180708.55</v>
      </c>
      <c r="BL50" s="964">
        <f t="shared" si="34"/>
        <v>3614.1710000000003</v>
      </c>
      <c r="BM50" s="964">
        <f t="shared" si="34"/>
        <v>3614.1710000000003</v>
      </c>
      <c r="BN50" s="964">
        <f t="shared" si="34"/>
        <v>-25.170999999999996</v>
      </c>
      <c r="BO50" s="940">
        <f t="shared" si="34"/>
        <v>-25.170999999999996</v>
      </c>
      <c r="BP50" s="606">
        <f t="shared" si="34"/>
        <v>-30.478333333333321</v>
      </c>
      <c r="BQ50" s="733"/>
      <c r="BR50" s="733">
        <f t="shared" ref="BR50:CF50" si="38">SUM(BR52:BR223)</f>
        <v>0</v>
      </c>
      <c r="BS50" s="733">
        <f t="shared" si="38"/>
        <v>648</v>
      </c>
      <c r="BT50" s="733">
        <f t="shared" si="38"/>
        <v>194</v>
      </c>
      <c r="BU50" s="733">
        <f t="shared" si="38"/>
        <v>842</v>
      </c>
      <c r="BV50" s="733">
        <f t="shared" si="38"/>
        <v>851.33333333333326</v>
      </c>
      <c r="BW50" s="733">
        <f t="shared" si="38"/>
        <v>851.33333333333326</v>
      </c>
      <c r="BX50" s="733">
        <f t="shared" si="38"/>
        <v>358</v>
      </c>
      <c r="BY50" s="733">
        <f t="shared" si="38"/>
        <v>99</v>
      </c>
      <c r="BZ50" s="733">
        <f t="shared" si="38"/>
        <v>457</v>
      </c>
      <c r="CA50" s="733">
        <f t="shared" si="38"/>
        <v>402.33333333333331</v>
      </c>
      <c r="CB50" s="733">
        <f t="shared" si="38"/>
        <v>402.33333333333331</v>
      </c>
      <c r="CC50" s="733">
        <f t="shared" si="38"/>
        <v>1253.6666666666667</v>
      </c>
      <c r="CD50" s="740">
        <f t="shared" si="38"/>
        <v>1253.6666666666665</v>
      </c>
      <c r="CE50" s="743">
        <f>SUM(CE52:CE223)</f>
        <v>1268</v>
      </c>
      <c r="CF50" s="743">
        <f t="shared" si="38"/>
        <v>373</v>
      </c>
      <c r="CG50" s="743">
        <f>SUM(CG52:CG223)</f>
        <v>1641</v>
      </c>
      <c r="CH50" s="743">
        <f t="shared" ref="CH50:CJ50" si="39">SUM(CH52:CH223)</f>
        <v>1471</v>
      </c>
      <c r="CI50" s="743">
        <f t="shared" si="39"/>
        <v>1471</v>
      </c>
      <c r="CJ50" s="743">
        <f t="shared" si="39"/>
        <v>-30.478333333333318</v>
      </c>
    </row>
    <row r="51" spans="1:88" ht="21.6" customHeight="1" x14ac:dyDescent="0.25">
      <c r="A51" s="596"/>
      <c r="B51" s="596"/>
      <c r="C51" s="597"/>
      <c r="D51" s="194"/>
      <c r="E51" s="598">
        <v>0</v>
      </c>
      <c r="F51" s="596">
        <v>0</v>
      </c>
      <c r="G51" s="598"/>
      <c r="H51" s="596"/>
      <c r="I51" s="596">
        <f t="shared" si="13"/>
        <v>0</v>
      </c>
      <c r="J51" s="728"/>
      <c r="K51" s="728"/>
      <c r="L51" s="731">
        <f t="shared" si="14"/>
        <v>0</v>
      </c>
      <c r="M51" s="947"/>
      <c r="N51" s="617"/>
      <c r="O51" s="835"/>
      <c r="P51" s="940"/>
      <c r="Q51" s="600">
        <f t="shared" ref="Q51:Q77" si="40">E51-O51</f>
        <v>0</v>
      </c>
      <c r="R51" s="940"/>
      <c r="S51" s="596">
        <v>0</v>
      </c>
      <c r="T51" s="724"/>
      <c r="U51" s="728"/>
      <c r="V51" s="728"/>
      <c r="W51" s="731">
        <f t="shared" si="16"/>
        <v>0</v>
      </c>
      <c r="X51" s="947"/>
      <c r="Y51" s="616"/>
      <c r="Z51" s="602">
        <f t="shared" si="17"/>
        <v>0</v>
      </c>
      <c r="AA51" s="835"/>
      <c r="AB51" s="602">
        <f t="shared" si="18"/>
        <v>0</v>
      </c>
      <c r="AC51" s="940"/>
      <c r="AD51" s="956"/>
      <c r="AE51" s="956"/>
      <c r="AF51" s="598"/>
      <c r="AG51" s="596"/>
      <c r="AH51" s="728"/>
      <c r="AI51" s="728"/>
      <c r="AJ51" s="729">
        <f t="shared" ref="AJ51:AJ82" si="41">AH51+AI51</f>
        <v>0</v>
      </c>
      <c r="AK51" s="946"/>
      <c r="AL51" s="616"/>
      <c r="AM51" s="602">
        <f t="shared" si="19"/>
        <v>0</v>
      </c>
      <c r="AN51" s="835"/>
      <c r="AO51" s="835">
        <f t="shared" ref="AO51:AO77" si="42">AF51-AM51</f>
        <v>0</v>
      </c>
      <c r="AP51" s="940"/>
      <c r="AQ51" s="722">
        <v>0</v>
      </c>
      <c r="AR51" s="728"/>
      <c r="AS51" s="728"/>
      <c r="AT51" s="729">
        <f t="shared" ref="AT51:AT114" si="43">AR51+AS51</f>
        <v>0</v>
      </c>
      <c r="AU51" s="946"/>
      <c r="AV51" s="616"/>
      <c r="AW51" s="602">
        <f t="shared" si="21"/>
        <v>0</v>
      </c>
      <c r="AX51" s="940"/>
      <c r="AY51" s="602">
        <f t="shared" si="22"/>
        <v>0</v>
      </c>
      <c r="AZ51" s="940"/>
      <c r="BA51" s="962"/>
      <c r="BB51" s="962"/>
      <c r="BC51" s="598"/>
      <c r="BD51" s="665"/>
      <c r="BE51" s="596"/>
      <c r="BF51" s="596">
        <f t="shared" si="27"/>
        <v>0</v>
      </c>
      <c r="BG51" s="728"/>
      <c r="BH51" s="728"/>
      <c r="BI51" s="729">
        <f t="shared" si="23"/>
        <v>0</v>
      </c>
      <c r="BJ51" s="729"/>
      <c r="BK51" s="616"/>
      <c r="BL51" s="603">
        <f t="shared" si="24"/>
        <v>0</v>
      </c>
      <c r="BM51" s="964"/>
      <c r="BN51" s="602">
        <f t="shared" ref="BN51:BN77" si="44">BD51-BL51</f>
        <v>0</v>
      </c>
      <c r="BO51" s="940"/>
      <c r="BP51" s="593">
        <f t="shared" ref="BP51:BP82" si="45">BO51+AZ51+AP51+AC51+R51</f>
        <v>0</v>
      </c>
      <c r="BS51" s="741">
        <v>0</v>
      </c>
      <c r="BT51" s="741">
        <v>0</v>
      </c>
      <c r="BU51" s="741">
        <f t="shared" ref="BU51:BU82" si="46">BS51+BT51</f>
        <v>0</v>
      </c>
      <c r="BV51" s="741">
        <v>0</v>
      </c>
      <c r="BW51" s="741"/>
      <c r="BX51" s="741">
        <v>0</v>
      </c>
      <c r="BY51" s="741">
        <v>0</v>
      </c>
      <c r="BZ51" s="741">
        <f t="shared" si="25"/>
        <v>0</v>
      </c>
      <c r="CA51" s="741">
        <v>0</v>
      </c>
      <c r="CB51" s="741"/>
      <c r="CC51" s="741">
        <f t="shared" ref="CC51:CC82" si="47">BV51+CA51</f>
        <v>0</v>
      </c>
      <c r="CD51" s="751"/>
      <c r="CE51" s="748"/>
      <c r="CF51" s="748"/>
      <c r="CG51" s="748">
        <f t="shared" ref="CG51:CG114" si="48">CE51+CF51</f>
        <v>0</v>
      </c>
      <c r="CH51" s="759"/>
      <c r="CI51" s="742"/>
      <c r="CJ51" s="591">
        <f t="shared" ref="CJ51:CJ82" si="49">BN51+AY51+AO51+AB51+Q51</f>
        <v>0</v>
      </c>
    </row>
    <row r="52" spans="1:88" s="593" customFormat="1" ht="21.6" customHeight="1" x14ac:dyDescent="0.25">
      <c r="A52" s="606" t="s">
        <v>28</v>
      </c>
      <c r="B52" s="606" t="s">
        <v>29</v>
      </c>
      <c r="C52" s="607" t="s">
        <v>380</v>
      </c>
      <c r="D52" s="166"/>
      <c r="E52" s="608">
        <v>0</v>
      </c>
      <c r="F52" s="606">
        <v>90.333333333333329</v>
      </c>
      <c r="G52" s="608">
        <v>0</v>
      </c>
      <c r="H52" s="606">
        <v>90.333333333333329</v>
      </c>
      <c r="I52" s="606">
        <f t="shared" si="13"/>
        <v>0</v>
      </c>
      <c r="J52" s="728"/>
      <c r="K52" s="728"/>
      <c r="L52" s="731">
        <f t="shared" si="14"/>
        <v>0</v>
      </c>
      <c r="M52" s="947">
        <f>SUM(L52:L60)</f>
        <v>109</v>
      </c>
      <c r="N52" s="617"/>
      <c r="O52" s="602">
        <f>N52/15</f>
        <v>0</v>
      </c>
      <c r="P52" s="940">
        <f>SUM(O52:O60)</f>
        <v>90.333333333333329</v>
      </c>
      <c r="Q52" s="600">
        <f t="shared" si="40"/>
        <v>0</v>
      </c>
      <c r="R52" s="940">
        <f>SUM(Q52:Q60)</f>
        <v>0</v>
      </c>
      <c r="S52" s="596">
        <v>0</v>
      </c>
      <c r="T52" s="724">
        <f>SUM(S52:S60)</f>
        <v>13.666666666666666</v>
      </c>
      <c r="U52" s="728"/>
      <c r="V52" s="728"/>
      <c r="W52" s="731">
        <f t="shared" si="16"/>
        <v>0</v>
      </c>
      <c r="X52" s="947">
        <f>SUM(W52:W60)</f>
        <v>19</v>
      </c>
      <c r="Y52" s="616"/>
      <c r="Z52" s="602">
        <f t="shared" si="17"/>
        <v>0</v>
      </c>
      <c r="AA52" s="835">
        <f>SUM(Z52:Z60)</f>
        <v>14.666666666666666</v>
      </c>
      <c r="AB52" s="602">
        <f t="shared" si="18"/>
        <v>0</v>
      </c>
      <c r="AC52" s="940">
        <f>SUM(AB52:AB60)</f>
        <v>-1</v>
      </c>
      <c r="AD52" s="955">
        <f>M52+X52</f>
        <v>128</v>
      </c>
      <c r="AE52" s="955">
        <f>R52+AC52</f>
        <v>-1</v>
      </c>
      <c r="AF52" s="608">
        <v>0</v>
      </c>
      <c r="AG52" s="606">
        <v>0</v>
      </c>
      <c r="AH52" s="728"/>
      <c r="AI52" s="728"/>
      <c r="AJ52" s="729">
        <f t="shared" si="41"/>
        <v>0</v>
      </c>
      <c r="AK52" s="946">
        <f>SUM(AJ52:AJ60)</f>
        <v>0</v>
      </c>
      <c r="AL52" s="616"/>
      <c r="AM52" s="602">
        <f t="shared" si="19"/>
        <v>0</v>
      </c>
      <c r="AN52" s="835">
        <f>SUM(AM52:AM60)</f>
        <v>0</v>
      </c>
      <c r="AO52" s="835">
        <f t="shared" si="42"/>
        <v>0</v>
      </c>
      <c r="AP52" s="940">
        <f>SUM(AO52:AO60)</f>
        <v>0</v>
      </c>
      <c r="AQ52" s="722">
        <v>0</v>
      </c>
      <c r="AR52" s="728"/>
      <c r="AS52" s="728"/>
      <c r="AT52" s="729">
        <f t="shared" si="43"/>
        <v>0</v>
      </c>
      <c r="AU52" s="946">
        <f>SUM(AT52:AT60)</f>
        <v>0</v>
      </c>
      <c r="AV52" s="616"/>
      <c r="AW52" s="602">
        <f t="shared" si="21"/>
        <v>0</v>
      </c>
      <c r="AX52" s="940">
        <f>SUM(AW52:AW60)</f>
        <v>0</v>
      </c>
      <c r="AY52" s="602">
        <f t="shared" si="22"/>
        <v>0</v>
      </c>
      <c r="AZ52" s="940">
        <f>SUM(AY52:AY60)</f>
        <v>0</v>
      </c>
      <c r="BA52" s="961">
        <f>AK52+AU52</f>
        <v>0</v>
      </c>
      <c r="BB52" s="961">
        <f>AP52+AZ52</f>
        <v>0</v>
      </c>
      <c r="BC52" s="608">
        <f>SUM(BD52:BD60)</f>
        <v>90</v>
      </c>
      <c r="BD52" s="713">
        <v>0</v>
      </c>
      <c r="BE52" s="606">
        <v>0</v>
      </c>
      <c r="BF52" s="596">
        <f t="shared" si="27"/>
        <v>0</v>
      </c>
      <c r="BG52" s="728"/>
      <c r="BH52" s="728"/>
      <c r="BI52" s="729">
        <f t="shared" si="23"/>
        <v>0</v>
      </c>
      <c r="BJ52" s="729">
        <f>SUM(BI52:BI60)</f>
        <v>107</v>
      </c>
      <c r="BK52" s="616"/>
      <c r="BL52" s="603">
        <f t="shared" si="24"/>
        <v>0</v>
      </c>
      <c r="BM52" s="964">
        <f>SUM(BL52:BL60)</f>
        <v>100</v>
      </c>
      <c r="BN52" s="602">
        <f t="shared" si="44"/>
        <v>0</v>
      </c>
      <c r="BO52" s="940">
        <f>SUM(BN52:BN60)</f>
        <v>-10</v>
      </c>
      <c r="BP52" s="593">
        <f t="shared" si="45"/>
        <v>-11</v>
      </c>
      <c r="BS52" s="744"/>
      <c r="BT52" s="744"/>
      <c r="BU52" s="741">
        <f t="shared" si="46"/>
        <v>0</v>
      </c>
      <c r="BV52" s="744"/>
      <c r="BW52" s="744">
        <f>SUM(BV52:BV60)</f>
        <v>0</v>
      </c>
      <c r="BX52" s="744">
        <v>0</v>
      </c>
      <c r="BY52" s="744">
        <v>0</v>
      </c>
      <c r="BZ52" s="741">
        <f t="shared" si="25"/>
        <v>0</v>
      </c>
      <c r="CA52" s="744">
        <v>0</v>
      </c>
      <c r="CB52" s="744">
        <f>SUM(CA52:CA60)</f>
        <v>0</v>
      </c>
      <c r="CC52" s="741">
        <f t="shared" si="47"/>
        <v>0</v>
      </c>
      <c r="CD52" s="754">
        <f>SUM(CC52:CC60)</f>
        <v>0</v>
      </c>
      <c r="CE52" s="748"/>
      <c r="CF52" s="748"/>
      <c r="CG52" s="748">
        <f t="shared" si="48"/>
        <v>0</v>
      </c>
      <c r="CH52" s="765"/>
      <c r="CI52" s="744">
        <f>SUM(CH52:CH60)</f>
        <v>0</v>
      </c>
      <c r="CJ52" s="593">
        <f t="shared" si="49"/>
        <v>0</v>
      </c>
    </row>
    <row r="53" spans="1:88" ht="45" customHeight="1" x14ac:dyDescent="0.25">
      <c r="A53" s="596"/>
      <c r="B53" s="596" t="s">
        <v>29</v>
      </c>
      <c r="C53" s="597" t="s">
        <v>413</v>
      </c>
      <c r="D53" s="166" t="s">
        <v>431</v>
      </c>
      <c r="E53" s="598">
        <v>2</v>
      </c>
      <c r="F53" s="596">
        <v>0</v>
      </c>
      <c r="G53" s="598">
        <v>2</v>
      </c>
      <c r="H53" s="596"/>
      <c r="I53" s="596">
        <f t="shared" si="13"/>
        <v>0</v>
      </c>
      <c r="J53" s="728">
        <f>5+2</f>
        <v>7</v>
      </c>
      <c r="K53" s="728">
        <f>5+3</f>
        <v>8</v>
      </c>
      <c r="L53" s="731">
        <f t="shared" si="14"/>
        <v>15</v>
      </c>
      <c r="M53" s="947"/>
      <c r="N53" s="617">
        <v>30</v>
      </c>
      <c r="O53" s="602">
        <f t="shared" ref="O53:O118" si="50">N53/15</f>
        <v>2</v>
      </c>
      <c r="P53" s="940"/>
      <c r="Q53" s="600">
        <f t="shared" si="40"/>
        <v>0</v>
      </c>
      <c r="R53" s="940"/>
      <c r="S53" s="596">
        <v>0</v>
      </c>
      <c r="T53" s="724"/>
      <c r="U53" s="728"/>
      <c r="V53" s="728"/>
      <c r="W53" s="731">
        <f t="shared" si="16"/>
        <v>0</v>
      </c>
      <c r="X53" s="947"/>
      <c r="Y53" s="616"/>
      <c r="Z53" s="602">
        <f t="shared" si="17"/>
        <v>0</v>
      </c>
      <c r="AA53" s="835"/>
      <c r="AB53" s="602">
        <f t="shared" si="18"/>
        <v>0</v>
      </c>
      <c r="AC53" s="940"/>
      <c r="AD53" s="956"/>
      <c r="AE53" s="956"/>
      <c r="AF53" s="598">
        <v>0</v>
      </c>
      <c r="AG53" s="596"/>
      <c r="AH53" s="728"/>
      <c r="AI53" s="728"/>
      <c r="AJ53" s="729">
        <f t="shared" si="41"/>
        <v>0</v>
      </c>
      <c r="AK53" s="946"/>
      <c r="AL53" s="616"/>
      <c r="AM53" s="602">
        <f t="shared" si="19"/>
        <v>0</v>
      </c>
      <c r="AN53" s="835"/>
      <c r="AO53" s="835">
        <f t="shared" si="42"/>
        <v>0</v>
      </c>
      <c r="AP53" s="940"/>
      <c r="AQ53" s="722">
        <v>0</v>
      </c>
      <c r="AR53" s="728"/>
      <c r="AS53" s="728"/>
      <c r="AT53" s="729">
        <f t="shared" si="43"/>
        <v>0</v>
      </c>
      <c r="AU53" s="946"/>
      <c r="AV53" s="616"/>
      <c r="AW53" s="602">
        <f t="shared" si="21"/>
        <v>0</v>
      </c>
      <c r="AX53" s="940"/>
      <c r="AY53" s="602">
        <f t="shared" si="22"/>
        <v>0</v>
      </c>
      <c r="AZ53" s="940"/>
      <c r="BA53" s="962"/>
      <c r="BB53" s="962"/>
      <c r="BC53" s="598"/>
      <c r="BD53" s="665">
        <v>2</v>
      </c>
      <c r="BE53" s="596">
        <v>0</v>
      </c>
      <c r="BF53" s="596">
        <f t="shared" si="27"/>
        <v>2</v>
      </c>
      <c r="BG53" s="728">
        <v>5</v>
      </c>
      <c r="BH53" s="728">
        <v>5</v>
      </c>
      <c r="BI53" s="729">
        <f t="shared" si="23"/>
        <v>10</v>
      </c>
      <c r="BJ53" s="729"/>
      <c r="BK53" s="616">
        <v>100</v>
      </c>
      <c r="BL53" s="603">
        <f t="shared" si="24"/>
        <v>2</v>
      </c>
      <c r="BM53" s="964"/>
      <c r="BN53" s="602">
        <f t="shared" si="44"/>
        <v>0</v>
      </c>
      <c r="BO53" s="940"/>
      <c r="BP53" s="593">
        <f t="shared" si="45"/>
        <v>0</v>
      </c>
      <c r="BS53" s="741"/>
      <c r="BT53" s="741"/>
      <c r="BU53" s="741">
        <f t="shared" si="46"/>
        <v>0</v>
      </c>
      <c r="BV53" s="741"/>
      <c r="BW53" s="741"/>
      <c r="BX53" s="741">
        <v>0</v>
      </c>
      <c r="BY53" s="741">
        <v>0</v>
      </c>
      <c r="BZ53" s="741">
        <f t="shared" si="25"/>
        <v>0</v>
      </c>
      <c r="CA53" s="741">
        <v>0</v>
      </c>
      <c r="CB53" s="741"/>
      <c r="CC53" s="741">
        <f t="shared" si="47"/>
        <v>0</v>
      </c>
      <c r="CD53" s="751"/>
      <c r="CE53" s="748"/>
      <c r="CF53" s="748"/>
      <c r="CG53" s="748">
        <f t="shared" si="48"/>
        <v>0</v>
      </c>
      <c r="CH53" s="759"/>
      <c r="CI53" s="742"/>
      <c r="CJ53" s="591">
        <f t="shared" si="49"/>
        <v>0</v>
      </c>
    </row>
    <row r="54" spans="1:88" ht="21.6" customHeight="1" x14ac:dyDescent="0.25">
      <c r="A54" s="596"/>
      <c r="B54" s="596" t="s">
        <v>29</v>
      </c>
      <c r="C54" s="597" t="s">
        <v>536</v>
      </c>
      <c r="D54" s="166" t="s">
        <v>431</v>
      </c>
      <c r="E54" s="598">
        <v>17</v>
      </c>
      <c r="F54" s="596">
        <v>0</v>
      </c>
      <c r="G54" s="598">
        <v>17</v>
      </c>
      <c r="H54" s="596"/>
      <c r="I54" s="596">
        <f t="shared" si="13"/>
        <v>0</v>
      </c>
      <c r="J54" s="728">
        <f>7+6</f>
        <v>13</v>
      </c>
      <c r="K54" s="728">
        <f>0+4</f>
        <v>4</v>
      </c>
      <c r="L54" s="731">
        <f t="shared" si="14"/>
        <v>17</v>
      </c>
      <c r="M54" s="947"/>
      <c r="N54" s="617">
        <v>255</v>
      </c>
      <c r="O54" s="602">
        <f t="shared" si="50"/>
        <v>17</v>
      </c>
      <c r="P54" s="940"/>
      <c r="Q54" s="600">
        <f t="shared" si="40"/>
        <v>0</v>
      </c>
      <c r="R54" s="940"/>
      <c r="S54" s="596">
        <v>13</v>
      </c>
      <c r="T54" s="724"/>
      <c r="U54" s="728">
        <v>10</v>
      </c>
      <c r="V54" s="728">
        <v>5</v>
      </c>
      <c r="W54" s="731">
        <f t="shared" si="16"/>
        <v>15</v>
      </c>
      <c r="X54" s="947"/>
      <c r="Y54" s="616">
        <v>195</v>
      </c>
      <c r="Z54" s="602">
        <f t="shared" si="17"/>
        <v>13</v>
      </c>
      <c r="AA54" s="835"/>
      <c r="AB54" s="602">
        <f t="shared" si="18"/>
        <v>0</v>
      </c>
      <c r="AC54" s="940"/>
      <c r="AD54" s="956"/>
      <c r="AE54" s="956"/>
      <c r="AF54" s="598"/>
      <c r="AG54" s="596"/>
      <c r="AH54" s="728"/>
      <c r="AI54" s="728"/>
      <c r="AJ54" s="729">
        <f t="shared" si="41"/>
        <v>0</v>
      </c>
      <c r="AK54" s="946"/>
      <c r="AL54" s="616"/>
      <c r="AM54" s="602">
        <f t="shared" si="19"/>
        <v>0</v>
      </c>
      <c r="AN54" s="835"/>
      <c r="AO54" s="835">
        <f t="shared" si="42"/>
        <v>0</v>
      </c>
      <c r="AP54" s="940"/>
      <c r="AQ54" s="722">
        <v>0</v>
      </c>
      <c r="AR54" s="728"/>
      <c r="AS54" s="728"/>
      <c r="AT54" s="729">
        <f t="shared" si="43"/>
        <v>0</v>
      </c>
      <c r="AU54" s="946"/>
      <c r="AV54" s="616"/>
      <c r="AW54" s="602">
        <f t="shared" si="21"/>
        <v>0</v>
      </c>
      <c r="AX54" s="940"/>
      <c r="AY54" s="602">
        <f t="shared" si="22"/>
        <v>0</v>
      </c>
      <c r="AZ54" s="940"/>
      <c r="BA54" s="962"/>
      <c r="BB54" s="962"/>
      <c r="BC54" s="598"/>
      <c r="BD54" s="665">
        <v>17</v>
      </c>
      <c r="BE54" s="596">
        <v>0</v>
      </c>
      <c r="BF54" s="596">
        <f t="shared" si="27"/>
        <v>17</v>
      </c>
      <c r="BG54" s="728">
        <v>12</v>
      </c>
      <c r="BH54" s="728">
        <v>5</v>
      </c>
      <c r="BI54" s="729">
        <f t="shared" si="23"/>
        <v>17</v>
      </c>
      <c r="BJ54" s="729"/>
      <c r="BK54" s="616">
        <v>850</v>
      </c>
      <c r="BL54" s="603">
        <f t="shared" si="24"/>
        <v>17</v>
      </c>
      <c r="BM54" s="964"/>
      <c r="BN54" s="602">
        <f t="shared" si="44"/>
        <v>0</v>
      </c>
      <c r="BO54" s="940"/>
      <c r="BP54" s="593">
        <f t="shared" si="45"/>
        <v>0</v>
      </c>
      <c r="BS54" s="741"/>
      <c r="BT54" s="741"/>
      <c r="BU54" s="741">
        <f t="shared" si="46"/>
        <v>0</v>
      </c>
      <c r="BV54" s="741"/>
      <c r="BW54" s="741"/>
      <c r="BX54" s="741">
        <v>0</v>
      </c>
      <c r="BY54" s="741">
        <v>0</v>
      </c>
      <c r="BZ54" s="741">
        <f t="shared" si="25"/>
        <v>0</v>
      </c>
      <c r="CA54" s="741">
        <v>0</v>
      </c>
      <c r="CB54" s="741"/>
      <c r="CC54" s="741">
        <f t="shared" si="47"/>
        <v>0</v>
      </c>
      <c r="CD54" s="751"/>
      <c r="CE54" s="748"/>
      <c r="CF54" s="748"/>
      <c r="CG54" s="748">
        <f t="shared" si="48"/>
        <v>0</v>
      </c>
      <c r="CH54" s="759"/>
      <c r="CI54" s="742"/>
      <c r="CJ54" s="591">
        <f t="shared" si="49"/>
        <v>0</v>
      </c>
    </row>
    <row r="55" spans="1:88" ht="21.6" customHeight="1" x14ac:dyDescent="0.25">
      <c r="A55" s="596"/>
      <c r="B55" s="596" t="s">
        <v>29</v>
      </c>
      <c r="C55" s="597" t="s">
        <v>411</v>
      </c>
      <c r="D55" s="166"/>
      <c r="E55" s="598">
        <v>0</v>
      </c>
      <c r="F55" s="596">
        <v>0</v>
      </c>
      <c r="G55" s="598">
        <v>0</v>
      </c>
      <c r="H55" s="596"/>
      <c r="I55" s="596">
        <f t="shared" si="13"/>
        <v>0</v>
      </c>
      <c r="J55" s="728"/>
      <c r="K55" s="728"/>
      <c r="L55" s="731">
        <f t="shared" si="14"/>
        <v>0</v>
      </c>
      <c r="M55" s="947"/>
      <c r="N55" s="617"/>
      <c r="O55" s="602">
        <f t="shared" si="50"/>
        <v>0</v>
      </c>
      <c r="P55" s="940"/>
      <c r="Q55" s="600">
        <f t="shared" si="40"/>
        <v>0</v>
      </c>
      <c r="R55" s="940"/>
      <c r="S55" s="596">
        <v>0</v>
      </c>
      <c r="T55" s="724"/>
      <c r="U55" s="728"/>
      <c r="V55" s="728"/>
      <c r="W55" s="731">
        <f t="shared" si="16"/>
        <v>0</v>
      </c>
      <c r="X55" s="947"/>
      <c r="Y55" s="616"/>
      <c r="Z55" s="602">
        <f t="shared" si="17"/>
        <v>0</v>
      </c>
      <c r="AA55" s="835"/>
      <c r="AB55" s="602">
        <f t="shared" si="18"/>
        <v>0</v>
      </c>
      <c r="AC55" s="940"/>
      <c r="AD55" s="956"/>
      <c r="AE55" s="956"/>
      <c r="AF55" s="598">
        <v>0</v>
      </c>
      <c r="AG55" s="596"/>
      <c r="AH55" s="728"/>
      <c r="AI55" s="728"/>
      <c r="AJ55" s="729">
        <f t="shared" si="41"/>
        <v>0</v>
      </c>
      <c r="AK55" s="946"/>
      <c r="AL55" s="616"/>
      <c r="AM55" s="602">
        <f t="shared" si="19"/>
        <v>0</v>
      </c>
      <c r="AN55" s="835"/>
      <c r="AO55" s="835">
        <f t="shared" si="42"/>
        <v>0</v>
      </c>
      <c r="AP55" s="940"/>
      <c r="AQ55" s="722">
        <v>0</v>
      </c>
      <c r="AR55" s="728"/>
      <c r="AS55" s="728"/>
      <c r="AT55" s="729">
        <f t="shared" si="43"/>
        <v>0</v>
      </c>
      <c r="AU55" s="946"/>
      <c r="AV55" s="616"/>
      <c r="AW55" s="602">
        <f t="shared" si="21"/>
        <v>0</v>
      </c>
      <c r="AX55" s="940"/>
      <c r="AY55" s="602">
        <f t="shared" si="22"/>
        <v>0</v>
      </c>
      <c r="AZ55" s="940"/>
      <c r="BA55" s="962"/>
      <c r="BB55" s="962"/>
      <c r="BC55" s="598"/>
      <c r="BD55" s="665">
        <v>0</v>
      </c>
      <c r="BE55" s="596">
        <v>0</v>
      </c>
      <c r="BF55" s="596">
        <f t="shared" si="27"/>
        <v>0</v>
      </c>
      <c r="BG55" s="728"/>
      <c r="BH55" s="728"/>
      <c r="BI55" s="729">
        <f t="shared" si="23"/>
        <v>0</v>
      </c>
      <c r="BJ55" s="729"/>
      <c r="BK55" s="616"/>
      <c r="BL55" s="603">
        <f t="shared" si="24"/>
        <v>0</v>
      </c>
      <c r="BM55" s="964"/>
      <c r="BN55" s="602">
        <f t="shared" si="44"/>
        <v>0</v>
      </c>
      <c r="BO55" s="940"/>
      <c r="BP55" s="593">
        <f t="shared" si="45"/>
        <v>0</v>
      </c>
      <c r="BS55" s="741"/>
      <c r="BT55" s="741"/>
      <c r="BU55" s="741">
        <f t="shared" si="46"/>
        <v>0</v>
      </c>
      <c r="BV55" s="741"/>
      <c r="BW55" s="741"/>
      <c r="BX55" s="741">
        <v>0</v>
      </c>
      <c r="BY55" s="741">
        <v>0</v>
      </c>
      <c r="BZ55" s="741">
        <f t="shared" si="25"/>
        <v>0</v>
      </c>
      <c r="CA55" s="741">
        <v>0</v>
      </c>
      <c r="CB55" s="741"/>
      <c r="CC55" s="741">
        <f t="shared" si="47"/>
        <v>0</v>
      </c>
      <c r="CD55" s="751"/>
      <c r="CE55" s="748"/>
      <c r="CF55" s="748"/>
      <c r="CG55" s="748">
        <f t="shared" si="48"/>
        <v>0</v>
      </c>
      <c r="CH55" s="759"/>
      <c r="CI55" s="742"/>
      <c r="CJ55" s="591">
        <f t="shared" si="49"/>
        <v>0</v>
      </c>
    </row>
    <row r="56" spans="1:88" ht="21.6" customHeight="1" x14ac:dyDescent="0.25">
      <c r="A56" s="596"/>
      <c r="B56" s="596" t="s">
        <v>29</v>
      </c>
      <c r="C56" s="597" t="s">
        <v>381</v>
      </c>
      <c r="D56" s="204" t="s">
        <v>431</v>
      </c>
      <c r="E56" s="598">
        <v>17</v>
      </c>
      <c r="F56" s="596">
        <v>0</v>
      </c>
      <c r="G56" s="598">
        <v>17</v>
      </c>
      <c r="H56" s="596"/>
      <c r="I56" s="596">
        <f t="shared" si="13"/>
        <v>0</v>
      </c>
      <c r="J56" s="728">
        <f>11+9</f>
        <v>20</v>
      </c>
      <c r="K56" s="728">
        <f>2+5</f>
        <v>7</v>
      </c>
      <c r="L56" s="731">
        <f t="shared" si="14"/>
        <v>27</v>
      </c>
      <c r="M56" s="947"/>
      <c r="N56" s="617">
        <v>255</v>
      </c>
      <c r="O56" s="602">
        <f t="shared" si="50"/>
        <v>17</v>
      </c>
      <c r="P56" s="940"/>
      <c r="Q56" s="600">
        <f t="shared" si="40"/>
        <v>0</v>
      </c>
      <c r="R56" s="940"/>
      <c r="S56" s="596">
        <v>0.66666666666666663</v>
      </c>
      <c r="T56" s="724"/>
      <c r="U56" s="728">
        <v>2</v>
      </c>
      <c r="V56" s="728">
        <v>2</v>
      </c>
      <c r="W56" s="731">
        <f t="shared" si="16"/>
        <v>4</v>
      </c>
      <c r="X56" s="947"/>
      <c r="Y56" s="616">
        <v>25</v>
      </c>
      <c r="Z56" s="602">
        <f t="shared" si="17"/>
        <v>1.6666666666666667</v>
      </c>
      <c r="AA56" s="835"/>
      <c r="AB56" s="602">
        <f t="shared" si="18"/>
        <v>-1</v>
      </c>
      <c r="AC56" s="940"/>
      <c r="AD56" s="956"/>
      <c r="AE56" s="956"/>
      <c r="AF56" s="598">
        <v>0</v>
      </c>
      <c r="AG56" s="596"/>
      <c r="AH56" s="728"/>
      <c r="AI56" s="728"/>
      <c r="AJ56" s="729">
        <f t="shared" si="41"/>
        <v>0</v>
      </c>
      <c r="AK56" s="946"/>
      <c r="AL56" s="616"/>
      <c r="AM56" s="602">
        <f t="shared" si="19"/>
        <v>0</v>
      </c>
      <c r="AN56" s="835"/>
      <c r="AO56" s="835">
        <f t="shared" si="42"/>
        <v>0</v>
      </c>
      <c r="AP56" s="940"/>
      <c r="AQ56" s="722">
        <v>0</v>
      </c>
      <c r="AR56" s="728"/>
      <c r="AS56" s="728"/>
      <c r="AT56" s="729">
        <f t="shared" si="43"/>
        <v>0</v>
      </c>
      <c r="AU56" s="946"/>
      <c r="AV56" s="616"/>
      <c r="AW56" s="602">
        <f t="shared" si="21"/>
        <v>0</v>
      </c>
      <c r="AX56" s="940"/>
      <c r="AY56" s="602">
        <f t="shared" si="22"/>
        <v>0</v>
      </c>
      <c r="AZ56" s="940"/>
      <c r="BA56" s="962"/>
      <c r="BB56" s="962"/>
      <c r="BC56" s="598"/>
      <c r="BD56" s="665">
        <v>17</v>
      </c>
      <c r="BE56" s="596">
        <v>0</v>
      </c>
      <c r="BF56" s="596">
        <f t="shared" si="27"/>
        <v>17</v>
      </c>
      <c r="BG56" s="728">
        <v>23</v>
      </c>
      <c r="BH56" s="728">
        <v>7</v>
      </c>
      <c r="BI56" s="729">
        <f t="shared" si="23"/>
        <v>30</v>
      </c>
      <c r="BJ56" s="729"/>
      <c r="BK56" s="616">
        <v>1350</v>
      </c>
      <c r="BL56" s="603">
        <f t="shared" si="24"/>
        <v>27</v>
      </c>
      <c r="BM56" s="964"/>
      <c r="BN56" s="602">
        <f t="shared" si="44"/>
        <v>-10</v>
      </c>
      <c r="BO56" s="940"/>
      <c r="BP56" s="593">
        <f t="shared" si="45"/>
        <v>0</v>
      </c>
      <c r="BS56" s="741"/>
      <c r="BT56" s="741"/>
      <c r="BU56" s="741">
        <f t="shared" si="46"/>
        <v>0</v>
      </c>
      <c r="BV56" s="741"/>
      <c r="BW56" s="741"/>
      <c r="BX56" s="741">
        <v>0</v>
      </c>
      <c r="BY56" s="741">
        <v>0</v>
      </c>
      <c r="BZ56" s="741">
        <f t="shared" si="25"/>
        <v>0</v>
      </c>
      <c r="CA56" s="741">
        <v>0</v>
      </c>
      <c r="CB56" s="741"/>
      <c r="CC56" s="741">
        <f t="shared" si="47"/>
        <v>0</v>
      </c>
      <c r="CD56" s="751"/>
      <c r="CE56" s="748"/>
      <c r="CF56" s="748"/>
      <c r="CG56" s="748">
        <f t="shared" si="48"/>
        <v>0</v>
      </c>
      <c r="CH56" s="759"/>
      <c r="CI56" s="742"/>
      <c r="CJ56" s="591">
        <f t="shared" si="49"/>
        <v>-11</v>
      </c>
    </row>
    <row r="57" spans="1:88" ht="21.6" customHeight="1" x14ac:dyDescent="0.25">
      <c r="A57" s="596"/>
      <c r="B57" s="596" t="s">
        <v>29</v>
      </c>
      <c r="C57" s="597" t="s">
        <v>382</v>
      </c>
      <c r="D57" s="204" t="s">
        <v>431</v>
      </c>
      <c r="E57" s="598">
        <v>30</v>
      </c>
      <c r="F57" s="596">
        <v>0</v>
      </c>
      <c r="G57" s="598">
        <v>30</v>
      </c>
      <c r="H57" s="596"/>
      <c r="I57" s="596">
        <f t="shared" si="13"/>
        <v>0</v>
      </c>
      <c r="J57" s="728">
        <f>14+14</f>
        <v>28</v>
      </c>
      <c r="K57" s="728">
        <f>1+1</f>
        <v>2</v>
      </c>
      <c r="L57" s="731">
        <f t="shared" si="14"/>
        <v>30</v>
      </c>
      <c r="M57" s="947"/>
      <c r="N57" s="617">
        <v>450</v>
      </c>
      <c r="O57" s="602">
        <f t="shared" si="50"/>
        <v>30</v>
      </c>
      <c r="P57" s="940"/>
      <c r="Q57" s="600">
        <f t="shared" si="40"/>
        <v>0</v>
      </c>
      <c r="R57" s="940"/>
      <c r="S57" s="596">
        <v>0</v>
      </c>
      <c r="T57" s="724"/>
      <c r="U57" s="728"/>
      <c r="V57" s="728"/>
      <c r="W57" s="731">
        <f t="shared" si="16"/>
        <v>0</v>
      </c>
      <c r="X57" s="947"/>
      <c r="Y57" s="616"/>
      <c r="Z57" s="602">
        <f t="shared" si="17"/>
        <v>0</v>
      </c>
      <c r="AA57" s="835"/>
      <c r="AB57" s="602">
        <f t="shared" si="18"/>
        <v>0</v>
      </c>
      <c r="AC57" s="940"/>
      <c r="AD57" s="956"/>
      <c r="AE57" s="956"/>
      <c r="AF57" s="598">
        <v>0</v>
      </c>
      <c r="AG57" s="596"/>
      <c r="AH57" s="728"/>
      <c r="AI57" s="728"/>
      <c r="AJ57" s="729">
        <f t="shared" si="41"/>
        <v>0</v>
      </c>
      <c r="AK57" s="946"/>
      <c r="AL57" s="616"/>
      <c r="AM57" s="602">
        <f t="shared" si="19"/>
        <v>0</v>
      </c>
      <c r="AN57" s="835"/>
      <c r="AO57" s="835">
        <f t="shared" si="42"/>
        <v>0</v>
      </c>
      <c r="AP57" s="940"/>
      <c r="AQ57" s="722">
        <v>0</v>
      </c>
      <c r="AR57" s="728"/>
      <c r="AS57" s="728"/>
      <c r="AT57" s="729">
        <f t="shared" si="43"/>
        <v>0</v>
      </c>
      <c r="AU57" s="946"/>
      <c r="AV57" s="616"/>
      <c r="AW57" s="602">
        <f t="shared" si="21"/>
        <v>0</v>
      </c>
      <c r="AX57" s="940"/>
      <c r="AY57" s="602">
        <f t="shared" si="22"/>
        <v>0</v>
      </c>
      <c r="AZ57" s="940"/>
      <c r="BA57" s="962"/>
      <c r="BB57" s="962"/>
      <c r="BC57" s="598"/>
      <c r="BD57" s="665">
        <v>30</v>
      </c>
      <c r="BE57" s="596">
        <v>0</v>
      </c>
      <c r="BF57" s="596">
        <f t="shared" si="27"/>
        <v>30</v>
      </c>
      <c r="BG57" s="728">
        <v>29</v>
      </c>
      <c r="BH57" s="728">
        <v>1</v>
      </c>
      <c r="BI57" s="729">
        <f t="shared" si="23"/>
        <v>30</v>
      </c>
      <c r="BJ57" s="729"/>
      <c r="BK57" s="616">
        <v>1500</v>
      </c>
      <c r="BL57" s="603">
        <f t="shared" si="24"/>
        <v>30</v>
      </c>
      <c r="BM57" s="964"/>
      <c r="BN57" s="602">
        <f t="shared" si="44"/>
        <v>0</v>
      </c>
      <c r="BO57" s="940"/>
      <c r="BP57" s="593">
        <f t="shared" si="45"/>
        <v>0</v>
      </c>
      <c r="BS57" s="741"/>
      <c r="BT57" s="741"/>
      <c r="BU57" s="741">
        <f t="shared" si="46"/>
        <v>0</v>
      </c>
      <c r="BV57" s="741"/>
      <c r="BW57" s="741"/>
      <c r="BX57" s="741">
        <v>0</v>
      </c>
      <c r="BY57" s="741">
        <v>0</v>
      </c>
      <c r="BZ57" s="741">
        <f t="shared" si="25"/>
        <v>0</v>
      </c>
      <c r="CA57" s="741">
        <v>0</v>
      </c>
      <c r="CB57" s="741"/>
      <c r="CC57" s="741">
        <f t="shared" si="47"/>
        <v>0</v>
      </c>
      <c r="CD57" s="751"/>
      <c r="CE57" s="748"/>
      <c r="CF57" s="748"/>
      <c r="CG57" s="748">
        <f t="shared" si="48"/>
        <v>0</v>
      </c>
      <c r="CH57" s="759"/>
      <c r="CI57" s="742"/>
      <c r="CJ57" s="591">
        <f t="shared" si="49"/>
        <v>0</v>
      </c>
    </row>
    <row r="58" spans="1:88" ht="21.6" customHeight="1" x14ac:dyDescent="0.25">
      <c r="A58" s="596"/>
      <c r="B58" s="596" t="s">
        <v>29</v>
      </c>
      <c r="C58" s="597" t="s">
        <v>383</v>
      </c>
      <c r="D58" s="204"/>
      <c r="E58" s="598">
        <v>0</v>
      </c>
      <c r="F58" s="596">
        <v>0</v>
      </c>
      <c r="G58" s="598">
        <v>0</v>
      </c>
      <c r="H58" s="596"/>
      <c r="I58" s="596">
        <f t="shared" si="13"/>
        <v>0</v>
      </c>
      <c r="J58" s="728"/>
      <c r="K58" s="728"/>
      <c r="L58" s="731">
        <f t="shared" si="14"/>
        <v>0</v>
      </c>
      <c r="M58" s="947"/>
      <c r="N58" s="617"/>
      <c r="O58" s="602">
        <f t="shared" si="50"/>
        <v>0</v>
      </c>
      <c r="P58" s="940"/>
      <c r="Q58" s="600">
        <f t="shared" si="40"/>
        <v>0</v>
      </c>
      <c r="R58" s="940"/>
      <c r="S58" s="596">
        <v>0</v>
      </c>
      <c r="T58" s="724"/>
      <c r="U58" s="728"/>
      <c r="V58" s="728"/>
      <c r="W58" s="731">
        <f t="shared" si="16"/>
        <v>0</v>
      </c>
      <c r="X58" s="947"/>
      <c r="Y58" s="616"/>
      <c r="Z58" s="602">
        <f t="shared" si="17"/>
        <v>0</v>
      </c>
      <c r="AA58" s="835"/>
      <c r="AB58" s="602">
        <f t="shared" si="18"/>
        <v>0</v>
      </c>
      <c r="AC58" s="940"/>
      <c r="AD58" s="956"/>
      <c r="AE58" s="956"/>
      <c r="AF58" s="598">
        <v>0</v>
      </c>
      <c r="AG58" s="596"/>
      <c r="AH58" s="728"/>
      <c r="AI58" s="728"/>
      <c r="AJ58" s="729">
        <f t="shared" si="41"/>
        <v>0</v>
      </c>
      <c r="AK58" s="946"/>
      <c r="AL58" s="616"/>
      <c r="AM58" s="602">
        <f t="shared" si="19"/>
        <v>0</v>
      </c>
      <c r="AN58" s="835"/>
      <c r="AO58" s="835">
        <f t="shared" si="42"/>
        <v>0</v>
      </c>
      <c r="AP58" s="940"/>
      <c r="AQ58" s="722">
        <v>0</v>
      </c>
      <c r="AR58" s="728"/>
      <c r="AS58" s="728"/>
      <c r="AT58" s="729">
        <f t="shared" si="43"/>
        <v>0</v>
      </c>
      <c r="AU58" s="946"/>
      <c r="AV58" s="616"/>
      <c r="AW58" s="602">
        <f t="shared" si="21"/>
        <v>0</v>
      </c>
      <c r="AX58" s="940"/>
      <c r="AY58" s="602">
        <f t="shared" si="22"/>
        <v>0</v>
      </c>
      <c r="AZ58" s="940"/>
      <c r="BA58" s="962"/>
      <c r="BB58" s="962"/>
      <c r="BC58" s="598"/>
      <c r="BD58" s="665">
        <v>0</v>
      </c>
      <c r="BE58" s="596">
        <v>0</v>
      </c>
      <c r="BF58" s="596">
        <f t="shared" si="27"/>
        <v>0</v>
      </c>
      <c r="BG58" s="728"/>
      <c r="BH58" s="728"/>
      <c r="BI58" s="729">
        <f t="shared" si="23"/>
        <v>0</v>
      </c>
      <c r="BJ58" s="729"/>
      <c r="BK58" s="616"/>
      <c r="BL58" s="603">
        <f t="shared" si="24"/>
        <v>0</v>
      </c>
      <c r="BM58" s="964"/>
      <c r="BN58" s="602">
        <f t="shared" si="44"/>
        <v>0</v>
      </c>
      <c r="BO58" s="940"/>
      <c r="BP58" s="593">
        <f t="shared" si="45"/>
        <v>0</v>
      </c>
      <c r="BS58" s="741"/>
      <c r="BT58" s="741"/>
      <c r="BU58" s="741">
        <f t="shared" si="46"/>
        <v>0</v>
      </c>
      <c r="BV58" s="741"/>
      <c r="BW58" s="741"/>
      <c r="BX58" s="741">
        <v>0</v>
      </c>
      <c r="BY58" s="741">
        <v>0</v>
      </c>
      <c r="BZ58" s="741">
        <f t="shared" si="25"/>
        <v>0</v>
      </c>
      <c r="CA58" s="741">
        <v>0</v>
      </c>
      <c r="CB58" s="741"/>
      <c r="CC58" s="741">
        <f t="shared" si="47"/>
        <v>0</v>
      </c>
      <c r="CD58" s="751"/>
      <c r="CE58" s="748"/>
      <c r="CF58" s="748"/>
      <c r="CG58" s="748">
        <f t="shared" si="48"/>
        <v>0</v>
      </c>
      <c r="CH58" s="759"/>
      <c r="CI58" s="742"/>
      <c r="CJ58" s="591">
        <f t="shared" si="49"/>
        <v>0</v>
      </c>
    </row>
    <row r="59" spans="1:88" ht="34.5" customHeight="1" x14ac:dyDescent="0.25">
      <c r="A59" s="596"/>
      <c r="B59" s="596" t="s">
        <v>29</v>
      </c>
      <c r="C59" s="597" t="s">
        <v>412</v>
      </c>
      <c r="D59" s="167" t="s">
        <v>431</v>
      </c>
      <c r="E59" s="598">
        <v>15.333333333333334</v>
      </c>
      <c r="F59" s="596">
        <v>0</v>
      </c>
      <c r="G59" s="598">
        <v>15.333333333333334</v>
      </c>
      <c r="H59" s="596"/>
      <c r="I59" s="596">
        <f t="shared" si="13"/>
        <v>0</v>
      </c>
      <c r="J59" s="728">
        <f>5</f>
        <v>5</v>
      </c>
      <c r="K59" s="728">
        <f>5</f>
        <v>5</v>
      </c>
      <c r="L59" s="731">
        <f t="shared" si="14"/>
        <v>10</v>
      </c>
      <c r="M59" s="947"/>
      <c r="N59" s="617">
        <v>230</v>
      </c>
      <c r="O59" s="602">
        <f t="shared" si="50"/>
        <v>15.333333333333334</v>
      </c>
      <c r="P59" s="940"/>
      <c r="Q59" s="600">
        <f t="shared" si="40"/>
        <v>0</v>
      </c>
      <c r="R59" s="940"/>
      <c r="S59" s="596">
        <v>0</v>
      </c>
      <c r="T59" s="724"/>
      <c r="U59" s="728"/>
      <c r="V59" s="728"/>
      <c r="W59" s="731">
        <f t="shared" si="16"/>
        <v>0</v>
      </c>
      <c r="X59" s="947"/>
      <c r="Y59" s="616"/>
      <c r="Z59" s="602">
        <f t="shared" si="17"/>
        <v>0</v>
      </c>
      <c r="AA59" s="835"/>
      <c r="AB59" s="602">
        <f t="shared" si="18"/>
        <v>0</v>
      </c>
      <c r="AC59" s="940"/>
      <c r="AD59" s="956"/>
      <c r="AE59" s="956"/>
      <c r="AF59" s="598">
        <v>0</v>
      </c>
      <c r="AG59" s="596"/>
      <c r="AH59" s="728"/>
      <c r="AI59" s="728"/>
      <c r="AJ59" s="729">
        <f t="shared" si="41"/>
        <v>0</v>
      </c>
      <c r="AK59" s="946"/>
      <c r="AL59" s="616"/>
      <c r="AM59" s="602">
        <f t="shared" si="19"/>
        <v>0</v>
      </c>
      <c r="AN59" s="835"/>
      <c r="AO59" s="835">
        <f t="shared" si="42"/>
        <v>0</v>
      </c>
      <c r="AP59" s="940"/>
      <c r="AQ59" s="722">
        <v>0</v>
      </c>
      <c r="AR59" s="728"/>
      <c r="AS59" s="728"/>
      <c r="AT59" s="729">
        <f t="shared" si="43"/>
        <v>0</v>
      </c>
      <c r="AU59" s="946"/>
      <c r="AV59" s="616"/>
      <c r="AW59" s="602">
        <f t="shared" si="21"/>
        <v>0</v>
      </c>
      <c r="AX59" s="940"/>
      <c r="AY59" s="602">
        <f t="shared" si="22"/>
        <v>0</v>
      </c>
      <c r="AZ59" s="940"/>
      <c r="BA59" s="962"/>
      <c r="BB59" s="962"/>
      <c r="BC59" s="598"/>
      <c r="BD59" s="665">
        <v>15</v>
      </c>
      <c r="BE59" s="596">
        <v>0</v>
      </c>
      <c r="BF59" s="596">
        <f t="shared" si="27"/>
        <v>15</v>
      </c>
      <c r="BG59" s="728">
        <v>5</v>
      </c>
      <c r="BH59" s="728">
        <v>5</v>
      </c>
      <c r="BI59" s="729">
        <f t="shared" si="23"/>
        <v>10</v>
      </c>
      <c r="BJ59" s="729"/>
      <c r="BK59" s="616">
        <v>750</v>
      </c>
      <c r="BL59" s="603">
        <f t="shared" si="24"/>
        <v>15</v>
      </c>
      <c r="BM59" s="964"/>
      <c r="BN59" s="602">
        <f t="shared" si="44"/>
        <v>0</v>
      </c>
      <c r="BO59" s="940"/>
      <c r="BP59" s="593">
        <f t="shared" si="45"/>
        <v>0</v>
      </c>
      <c r="BS59" s="741"/>
      <c r="BT59" s="741"/>
      <c r="BU59" s="741">
        <f t="shared" si="46"/>
        <v>0</v>
      </c>
      <c r="BV59" s="741"/>
      <c r="BW59" s="741"/>
      <c r="BX59" s="741">
        <v>0</v>
      </c>
      <c r="BY59" s="741">
        <v>0</v>
      </c>
      <c r="BZ59" s="741">
        <f t="shared" si="25"/>
        <v>0</v>
      </c>
      <c r="CA59" s="741">
        <v>0</v>
      </c>
      <c r="CB59" s="741"/>
      <c r="CC59" s="741">
        <f t="shared" si="47"/>
        <v>0</v>
      </c>
      <c r="CD59" s="751"/>
      <c r="CE59" s="748"/>
      <c r="CF59" s="748"/>
      <c r="CG59" s="748">
        <f t="shared" si="48"/>
        <v>0</v>
      </c>
      <c r="CH59" s="759"/>
      <c r="CI59" s="742"/>
      <c r="CJ59" s="591">
        <f t="shared" si="49"/>
        <v>0</v>
      </c>
    </row>
    <row r="60" spans="1:88" ht="21.6" customHeight="1" x14ac:dyDescent="0.25">
      <c r="A60" s="596"/>
      <c r="B60" s="596" t="s">
        <v>29</v>
      </c>
      <c r="C60" s="597" t="s">
        <v>129</v>
      </c>
      <c r="D60" s="167" t="s">
        <v>431</v>
      </c>
      <c r="E60" s="598">
        <v>9</v>
      </c>
      <c r="F60" s="596">
        <v>0</v>
      </c>
      <c r="G60" s="598">
        <v>9</v>
      </c>
      <c r="H60" s="596"/>
      <c r="I60" s="596">
        <f t="shared" si="13"/>
        <v>0</v>
      </c>
      <c r="J60" s="728">
        <f>8</f>
        <v>8</v>
      </c>
      <c r="K60" s="728">
        <f>2</f>
        <v>2</v>
      </c>
      <c r="L60" s="731">
        <f t="shared" si="14"/>
        <v>10</v>
      </c>
      <c r="M60" s="947"/>
      <c r="N60" s="617">
        <v>135</v>
      </c>
      <c r="O60" s="602">
        <f t="shared" si="50"/>
        <v>9</v>
      </c>
      <c r="P60" s="940"/>
      <c r="Q60" s="600">
        <f t="shared" si="40"/>
        <v>0</v>
      </c>
      <c r="R60" s="940"/>
      <c r="S60" s="596">
        <v>0</v>
      </c>
      <c r="T60" s="724"/>
      <c r="U60" s="728"/>
      <c r="V60" s="728"/>
      <c r="W60" s="731">
        <f t="shared" si="16"/>
        <v>0</v>
      </c>
      <c r="X60" s="947"/>
      <c r="Y60" s="616"/>
      <c r="Z60" s="602">
        <f t="shared" si="17"/>
        <v>0</v>
      </c>
      <c r="AA60" s="835"/>
      <c r="AB60" s="602">
        <f t="shared" si="18"/>
        <v>0</v>
      </c>
      <c r="AC60" s="940"/>
      <c r="AD60" s="956"/>
      <c r="AE60" s="956"/>
      <c r="AF60" s="598">
        <v>0</v>
      </c>
      <c r="AG60" s="596"/>
      <c r="AH60" s="728"/>
      <c r="AI60" s="728"/>
      <c r="AJ60" s="729">
        <f t="shared" si="41"/>
        <v>0</v>
      </c>
      <c r="AK60" s="946"/>
      <c r="AL60" s="616"/>
      <c r="AM60" s="602">
        <f t="shared" si="19"/>
        <v>0</v>
      </c>
      <c r="AN60" s="835"/>
      <c r="AO60" s="835">
        <f t="shared" si="42"/>
        <v>0</v>
      </c>
      <c r="AP60" s="940"/>
      <c r="AQ60" s="722">
        <v>0</v>
      </c>
      <c r="AR60" s="728"/>
      <c r="AS60" s="728"/>
      <c r="AT60" s="729">
        <f t="shared" si="43"/>
        <v>0</v>
      </c>
      <c r="AU60" s="946"/>
      <c r="AV60" s="616"/>
      <c r="AW60" s="602">
        <f t="shared" si="21"/>
        <v>0</v>
      </c>
      <c r="AX60" s="940"/>
      <c r="AY60" s="602">
        <f t="shared" si="22"/>
        <v>0</v>
      </c>
      <c r="AZ60" s="940"/>
      <c r="BA60" s="962"/>
      <c r="BB60" s="962"/>
      <c r="BC60" s="598"/>
      <c r="BD60" s="665">
        <v>9</v>
      </c>
      <c r="BE60" s="596">
        <v>0</v>
      </c>
      <c r="BF60" s="596">
        <f t="shared" si="27"/>
        <v>9</v>
      </c>
      <c r="BG60" s="728">
        <v>8</v>
      </c>
      <c r="BH60" s="728">
        <v>2</v>
      </c>
      <c r="BI60" s="729">
        <f t="shared" si="23"/>
        <v>10</v>
      </c>
      <c r="BJ60" s="729"/>
      <c r="BK60" s="616">
        <v>450</v>
      </c>
      <c r="BL60" s="603">
        <f t="shared" si="24"/>
        <v>9</v>
      </c>
      <c r="BM60" s="964"/>
      <c r="BN60" s="602">
        <f t="shared" si="44"/>
        <v>0</v>
      </c>
      <c r="BO60" s="940"/>
      <c r="BP60" s="593">
        <f t="shared" si="45"/>
        <v>0</v>
      </c>
      <c r="BS60" s="741"/>
      <c r="BT60" s="741"/>
      <c r="BU60" s="741">
        <f t="shared" si="46"/>
        <v>0</v>
      </c>
      <c r="BV60" s="741"/>
      <c r="BW60" s="741"/>
      <c r="BX60" s="741">
        <v>0</v>
      </c>
      <c r="BY60" s="741">
        <v>0</v>
      </c>
      <c r="BZ60" s="741">
        <f t="shared" si="25"/>
        <v>0</v>
      </c>
      <c r="CA60" s="741">
        <v>0</v>
      </c>
      <c r="CB60" s="741"/>
      <c r="CC60" s="741">
        <f t="shared" si="47"/>
        <v>0</v>
      </c>
      <c r="CD60" s="751"/>
      <c r="CE60" s="748"/>
      <c r="CF60" s="748"/>
      <c r="CG60" s="748">
        <f t="shared" si="48"/>
        <v>0</v>
      </c>
      <c r="CH60" s="759"/>
      <c r="CI60" s="742"/>
      <c r="CJ60" s="591">
        <f t="shared" si="49"/>
        <v>0</v>
      </c>
    </row>
    <row r="61" spans="1:88" ht="18" customHeight="1" x14ac:dyDescent="0.25">
      <c r="A61" s="596"/>
      <c r="B61" s="596"/>
      <c r="C61" s="597"/>
      <c r="D61" s="143"/>
      <c r="E61" s="598">
        <v>0</v>
      </c>
      <c r="F61" s="596">
        <v>0</v>
      </c>
      <c r="G61" s="598"/>
      <c r="H61" s="596"/>
      <c r="I61" s="596">
        <f t="shared" si="13"/>
        <v>0</v>
      </c>
      <c r="J61" s="728"/>
      <c r="K61" s="728"/>
      <c r="L61" s="731">
        <f t="shared" si="14"/>
        <v>0</v>
      </c>
      <c r="M61" s="947"/>
      <c r="N61" s="617"/>
      <c r="O61" s="602">
        <f t="shared" si="50"/>
        <v>0</v>
      </c>
      <c r="P61" s="940"/>
      <c r="Q61" s="600">
        <f t="shared" si="40"/>
        <v>0</v>
      </c>
      <c r="R61" s="940"/>
      <c r="S61" s="596">
        <v>0</v>
      </c>
      <c r="T61" s="724"/>
      <c r="U61" s="728"/>
      <c r="V61" s="728"/>
      <c r="W61" s="731">
        <f t="shared" si="16"/>
        <v>0</v>
      </c>
      <c r="X61" s="947"/>
      <c r="Y61" s="616"/>
      <c r="Z61" s="602">
        <f t="shared" si="17"/>
        <v>0</v>
      </c>
      <c r="AA61" s="835"/>
      <c r="AB61" s="602">
        <f t="shared" si="18"/>
        <v>0</v>
      </c>
      <c r="AC61" s="940"/>
      <c r="AD61" s="956"/>
      <c r="AE61" s="956"/>
      <c r="AF61" s="598"/>
      <c r="AG61" s="596"/>
      <c r="AH61" s="728"/>
      <c r="AI61" s="728"/>
      <c r="AJ61" s="729">
        <f t="shared" si="41"/>
        <v>0</v>
      </c>
      <c r="AK61" s="946"/>
      <c r="AL61" s="616"/>
      <c r="AM61" s="602">
        <f t="shared" si="19"/>
        <v>0</v>
      </c>
      <c r="AN61" s="835"/>
      <c r="AO61" s="835">
        <f t="shared" si="42"/>
        <v>0</v>
      </c>
      <c r="AP61" s="940"/>
      <c r="AQ61" s="722">
        <v>0</v>
      </c>
      <c r="AR61" s="728"/>
      <c r="AS61" s="728"/>
      <c r="AT61" s="729">
        <f t="shared" si="43"/>
        <v>0</v>
      </c>
      <c r="AU61" s="946"/>
      <c r="AV61" s="616"/>
      <c r="AW61" s="602">
        <f t="shared" si="21"/>
        <v>0</v>
      </c>
      <c r="AX61" s="940"/>
      <c r="AY61" s="602">
        <f t="shared" si="22"/>
        <v>0</v>
      </c>
      <c r="AZ61" s="940"/>
      <c r="BA61" s="962"/>
      <c r="BB61" s="962"/>
      <c r="BC61" s="611"/>
      <c r="BD61" s="712"/>
      <c r="BE61" s="596"/>
      <c r="BF61" s="596">
        <f t="shared" si="27"/>
        <v>0</v>
      </c>
      <c r="BG61" s="728"/>
      <c r="BH61" s="728"/>
      <c r="BI61" s="729">
        <f t="shared" si="23"/>
        <v>0</v>
      </c>
      <c r="BJ61" s="729"/>
      <c r="BK61" s="616"/>
      <c r="BL61" s="603">
        <f t="shared" si="24"/>
        <v>0</v>
      </c>
      <c r="BM61" s="964"/>
      <c r="BN61" s="602">
        <f t="shared" si="44"/>
        <v>0</v>
      </c>
      <c r="BO61" s="940"/>
      <c r="BP61" s="593">
        <f t="shared" si="45"/>
        <v>0</v>
      </c>
      <c r="BS61" s="741"/>
      <c r="BT61" s="741"/>
      <c r="BU61" s="741">
        <f t="shared" si="46"/>
        <v>0</v>
      </c>
      <c r="BV61" s="741">
        <v>0</v>
      </c>
      <c r="BW61" s="741"/>
      <c r="BX61" s="741">
        <v>0</v>
      </c>
      <c r="BY61" s="741">
        <v>0</v>
      </c>
      <c r="BZ61" s="741">
        <f t="shared" si="25"/>
        <v>0</v>
      </c>
      <c r="CA61" s="741">
        <v>0</v>
      </c>
      <c r="CB61" s="741"/>
      <c r="CC61" s="741">
        <f t="shared" si="47"/>
        <v>0</v>
      </c>
      <c r="CD61" s="751"/>
      <c r="CE61" s="748"/>
      <c r="CF61" s="748"/>
      <c r="CG61" s="748">
        <f t="shared" si="48"/>
        <v>0</v>
      </c>
      <c r="CH61" s="759"/>
      <c r="CI61" s="742"/>
      <c r="CJ61" s="591">
        <f t="shared" si="49"/>
        <v>0</v>
      </c>
    </row>
    <row r="62" spans="1:88" s="593" customFormat="1" ht="36" customHeight="1" x14ac:dyDescent="0.25">
      <c r="A62" s="606" t="s">
        <v>28</v>
      </c>
      <c r="B62" s="606" t="s">
        <v>30</v>
      </c>
      <c r="C62" s="607" t="s">
        <v>31</v>
      </c>
      <c r="D62" s="153" t="s">
        <v>437</v>
      </c>
      <c r="E62" s="608">
        <v>19</v>
      </c>
      <c r="F62" s="606">
        <v>84</v>
      </c>
      <c r="G62" s="608">
        <v>19</v>
      </c>
      <c r="H62" s="606">
        <v>37</v>
      </c>
      <c r="I62" s="606">
        <f t="shared" si="13"/>
        <v>47</v>
      </c>
      <c r="J62" s="728">
        <f>16</f>
        <v>16</v>
      </c>
      <c r="K62" s="728">
        <f>9</f>
        <v>9</v>
      </c>
      <c r="L62" s="731">
        <f t="shared" si="14"/>
        <v>25</v>
      </c>
      <c r="M62" s="947">
        <f>SUM(L62:L74)</f>
        <v>160</v>
      </c>
      <c r="N62" s="617">
        <v>285</v>
      </c>
      <c r="O62" s="602">
        <f t="shared" si="50"/>
        <v>19</v>
      </c>
      <c r="P62" s="940">
        <f>SUM(O62:O74)</f>
        <v>84</v>
      </c>
      <c r="Q62" s="600">
        <f t="shared" si="40"/>
        <v>0</v>
      </c>
      <c r="R62" s="940">
        <f>SUM(Q62:Q74)</f>
        <v>0</v>
      </c>
      <c r="S62" s="596">
        <v>0</v>
      </c>
      <c r="T62" s="724">
        <f>SUM(S62:S74)</f>
        <v>23</v>
      </c>
      <c r="U62" s="728"/>
      <c r="V62" s="728"/>
      <c r="W62" s="731">
        <f t="shared" si="16"/>
        <v>0</v>
      </c>
      <c r="X62" s="947">
        <f>SUM(W62:W74)</f>
        <v>32</v>
      </c>
      <c r="Y62" s="616"/>
      <c r="Z62" s="602">
        <f t="shared" si="17"/>
        <v>0</v>
      </c>
      <c r="AA62" s="835">
        <f>SUM(Z62:Z74)</f>
        <v>23</v>
      </c>
      <c r="AB62" s="602">
        <f t="shared" si="18"/>
        <v>0</v>
      </c>
      <c r="AC62" s="940">
        <f>SUM(AB62:AB74)</f>
        <v>0</v>
      </c>
      <c r="AD62" s="955">
        <f>M62+X62</f>
        <v>192</v>
      </c>
      <c r="AE62" s="955">
        <f>R62+AC62</f>
        <v>0</v>
      </c>
      <c r="AF62" s="608">
        <v>12</v>
      </c>
      <c r="AG62" s="606">
        <v>22</v>
      </c>
      <c r="AH62" s="728">
        <v>19</v>
      </c>
      <c r="AI62" s="728">
        <v>6</v>
      </c>
      <c r="AJ62" s="729">
        <f t="shared" si="41"/>
        <v>25</v>
      </c>
      <c r="AK62" s="946">
        <f>SUM(AJ62:AJ74)</f>
        <v>54</v>
      </c>
      <c r="AL62" s="616">
        <v>180</v>
      </c>
      <c r="AM62" s="602">
        <f t="shared" si="19"/>
        <v>12</v>
      </c>
      <c r="AN62" s="835">
        <f>SUM(AM62:AM74)</f>
        <v>22</v>
      </c>
      <c r="AO62" s="835">
        <f t="shared" si="42"/>
        <v>0</v>
      </c>
      <c r="AP62" s="940">
        <f>SUM(AO62:AO74)</f>
        <v>0</v>
      </c>
      <c r="AQ62" s="722">
        <v>0</v>
      </c>
      <c r="AR62" s="728"/>
      <c r="AS62" s="728"/>
      <c r="AT62" s="729">
        <f t="shared" si="43"/>
        <v>0</v>
      </c>
      <c r="AU62" s="946">
        <f>SUM(AT62:AT74)</f>
        <v>23</v>
      </c>
      <c r="AV62" s="616"/>
      <c r="AW62" s="602">
        <f t="shared" si="21"/>
        <v>0</v>
      </c>
      <c r="AX62" s="940">
        <f>SUM(AW62:AW74)</f>
        <v>8</v>
      </c>
      <c r="AY62" s="602">
        <f t="shared" si="22"/>
        <v>0</v>
      </c>
      <c r="AZ62" s="940">
        <f>SUM(AY62:AY74)</f>
        <v>0</v>
      </c>
      <c r="BA62" s="961">
        <f>AK62+AU62</f>
        <v>77</v>
      </c>
      <c r="BB62" s="961">
        <f>AP62+AZ62</f>
        <v>0</v>
      </c>
      <c r="BC62" s="608">
        <f>SUM(BD62:BD74)</f>
        <v>129</v>
      </c>
      <c r="BD62" s="713">
        <v>31</v>
      </c>
      <c r="BE62" s="606">
        <v>19</v>
      </c>
      <c r="BF62" s="596">
        <f t="shared" si="27"/>
        <v>12</v>
      </c>
      <c r="BG62" s="728">
        <f>19+16</f>
        <v>35</v>
      </c>
      <c r="BH62" s="728">
        <f>6+9</f>
        <v>15</v>
      </c>
      <c r="BI62" s="729">
        <f t="shared" si="23"/>
        <v>50</v>
      </c>
      <c r="BJ62" s="729">
        <f>SUM(BI62:BI74)</f>
        <v>247</v>
      </c>
      <c r="BK62" s="616">
        <f>600+950</f>
        <v>1550</v>
      </c>
      <c r="BL62" s="603">
        <f t="shared" si="24"/>
        <v>31</v>
      </c>
      <c r="BM62" s="964">
        <f>SUM(BL62:BL74)</f>
        <v>129</v>
      </c>
      <c r="BN62" s="602">
        <f t="shared" si="44"/>
        <v>0</v>
      </c>
      <c r="BO62" s="940">
        <f>SUM(BN62:BN74)</f>
        <v>0</v>
      </c>
      <c r="BP62" s="593">
        <f t="shared" si="45"/>
        <v>0</v>
      </c>
      <c r="BS62" s="744">
        <v>0</v>
      </c>
      <c r="BT62" s="744">
        <v>0</v>
      </c>
      <c r="BU62" s="741">
        <f t="shared" si="46"/>
        <v>0</v>
      </c>
      <c r="BV62" s="744">
        <v>0</v>
      </c>
      <c r="BW62" s="744">
        <f>SUM(BV62:BV74)</f>
        <v>0</v>
      </c>
      <c r="BX62" s="744">
        <v>0</v>
      </c>
      <c r="BY62" s="744">
        <v>0</v>
      </c>
      <c r="BZ62" s="741">
        <f t="shared" si="25"/>
        <v>0</v>
      </c>
      <c r="CA62" s="744">
        <v>0</v>
      </c>
      <c r="CB62" s="744">
        <f>SUM(CA62:CA74)</f>
        <v>0</v>
      </c>
      <c r="CC62" s="741">
        <f t="shared" si="47"/>
        <v>0</v>
      </c>
      <c r="CD62" s="754">
        <f>SUM(CC62:CC74)</f>
        <v>0</v>
      </c>
      <c r="CE62" s="748"/>
      <c r="CF62" s="748"/>
      <c r="CG62" s="748">
        <f t="shared" si="48"/>
        <v>0</v>
      </c>
      <c r="CH62" s="765"/>
      <c r="CI62" s="744">
        <f>SUM(CH62:CH74)</f>
        <v>0</v>
      </c>
      <c r="CJ62" s="593">
        <f t="shared" si="49"/>
        <v>0</v>
      </c>
    </row>
    <row r="63" spans="1:88" ht="21.6" customHeight="1" x14ac:dyDescent="0.25">
      <c r="A63" s="596" t="s">
        <v>28</v>
      </c>
      <c r="B63" s="596" t="s">
        <v>30</v>
      </c>
      <c r="C63" s="597" t="s">
        <v>32</v>
      </c>
      <c r="D63" s="166"/>
      <c r="E63" s="598">
        <v>0</v>
      </c>
      <c r="F63" s="596">
        <v>0</v>
      </c>
      <c r="G63" s="598">
        <v>0</v>
      </c>
      <c r="H63" s="596"/>
      <c r="I63" s="596">
        <f t="shared" si="13"/>
        <v>0</v>
      </c>
      <c r="J63" s="728"/>
      <c r="K63" s="728"/>
      <c r="L63" s="731">
        <f t="shared" si="14"/>
        <v>0</v>
      </c>
      <c r="M63" s="947"/>
      <c r="N63" s="617"/>
      <c r="O63" s="602">
        <f t="shared" si="50"/>
        <v>0</v>
      </c>
      <c r="P63" s="940"/>
      <c r="Q63" s="600">
        <f t="shared" si="40"/>
        <v>0</v>
      </c>
      <c r="R63" s="940"/>
      <c r="S63" s="596">
        <v>0</v>
      </c>
      <c r="T63" s="724"/>
      <c r="U63" s="728"/>
      <c r="V63" s="728"/>
      <c r="W63" s="731">
        <f t="shared" si="16"/>
        <v>0</v>
      </c>
      <c r="X63" s="947"/>
      <c r="Y63" s="616"/>
      <c r="Z63" s="602">
        <f t="shared" si="17"/>
        <v>0</v>
      </c>
      <c r="AA63" s="835"/>
      <c r="AB63" s="602">
        <f t="shared" si="18"/>
        <v>0</v>
      </c>
      <c r="AC63" s="940"/>
      <c r="AD63" s="956"/>
      <c r="AE63" s="956"/>
      <c r="AF63" s="598">
        <v>0</v>
      </c>
      <c r="AG63" s="596"/>
      <c r="AH63" s="728"/>
      <c r="AI63" s="728"/>
      <c r="AJ63" s="729">
        <f t="shared" si="41"/>
        <v>0</v>
      </c>
      <c r="AK63" s="946"/>
      <c r="AL63" s="616"/>
      <c r="AM63" s="602">
        <f t="shared" si="19"/>
        <v>0</v>
      </c>
      <c r="AN63" s="835"/>
      <c r="AO63" s="835">
        <f t="shared" si="42"/>
        <v>0</v>
      </c>
      <c r="AP63" s="940"/>
      <c r="AQ63" s="722">
        <v>0</v>
      </c>
      <c r="AR63" s="728"/>
      <c r="AS63" s="728"/>
      <c r="AT63" s="729">
        <f t="shared" si="43"/>
        <v>0</v>
      </c>
      <c r="AU63" s="946"/>
      <c r="AV63" s="616"/>
      <c r="AW63" s="602">
        <f t="shared" si="21"/>
        <v>0</v>
      </c>
      <c r="AX63" s="940"/>
      <c r="AY63" s="602">
        <f t="shared" si="22"/>
        <v>0</v>
      </c>
      <c r="AZ63" s="940"/>
      <c r="BA63" s="962"/>
      <c r="BB63" s="962"/>
      <c r="BC63" s="598"/>
      <c r="BD63" s="665">
        <v>0</v>
      </c>
      <c r="BE63" s="596">
        <v>0</v>
      </c>
      <c r="BF63" s="596">
        <f t="shared" si="27"/>
        <v>0</v>
      </c>
      <c r="BG63" s="728"/>
      <c r="BH63" s="728"/>
      <c r="BI63" s="729">
        <f t="shared" si="23"/>
        <v>0</v>
      </c>
      <c r="BJ63" s="729"/>
      <c r="BK63" s="616"/>
      <c r="BL63" s="603">
        <f t="shared" si="24"/>
        <v>0</v>
      </c>
      <c r="BM63" s="964"/>
      <c r="BN63" s="602">
        <f t="shared" si="44"/>
        <v>0</v>
      </c>
      <c r="BO63" s="940"/>
      <c r="BP63" s="593">
        <f t="shared" si="45"/>
        <v>0</v>
      </c>
      <c r="BS63" s="741">
        <v>0</v>
      </c>
      <c r="BT63" s="741">
        <v>0</v>
      </c>
      <c r="BU63" s="741">
        <f t="shared" si="46"/>
        <v>0</v>
      </c>
      <c r="BV63" s="741">
        <v>0</v>
      </c>
      <c r="BW63" s="741"/>
      <c r="BX63" s="741">
        <v>0</v>
      </c>
      <c r="BY63" s="741">
        <v>0</v>
      </c>
      <c r="BZ63" s="741">
        <f t="shared" si="25"/>
        <v>0</v>
      </c>
      <c r="CA63" s="741">
        <v>0</v>
      </c>
      <c r="CB63" s="741"/>
      <c r="CC63" s="741">
        <f t="shared" si="47"/>
        <v>0</v>
      </c>
      <c r="CD63" s="751"/>
      <c r="CE63" s="748"/>
      <c r="CF63" s="748"/>
      <c r="CG63" s="748">
        <f t="shared" si="48"/>
        <v>0</v>
      </c>
      <c r="CH63" s="759"/>
      <c r="CI63" s="742"/>
      <c r="CJ63" s="591">
        <f t="shared" si="49"/>
        <v>0</v>
      </c>
    </row>
    <row r="64" spans="1:88" ht="21.6" customHeight="1" x14ac:dyDescent="0.25">
      <c r="A64" s="596" t="s">
        <v>28</v>
      </c>
      <c r="B64" s="596" t="s">
        <v>30</v>
      </c>
      <c r="C64" s="597" t="s">
        <v>33</v>
      </c>
      <c r="D64" s="174" t="s">
        <v>437</v>
      </c>
      <c r="E64" s="598">
        <v>0</v>
      </c>
      <c r="F64" s="596">
        <v>0</v>
      </c>
      <c r="G64" s="598">
        <v>0</v>
      </c>
      <c r="H64" s="596"/>
      <c r="I64" s="596">
        <f t="shared" si="13"/>
        <v>0</v>
      </c>
      <c r="J64" s="728"/>
      <c r="K64" s="728"/>
      <c r="L64" s="731">
        <f t="shared" si="14"/>
        <v>0</v>
      </c>
      <c r="M64" s="947"/>
      <c r="N64" s="617"/>
      <c r="O64" s="602">
        <f t="shared" si="50"/>
        <v>0</v>
      </c>
      <c r="P64" s="940"/>
      <c r="Q64" s="600">
        <f t="shared" si="40"/>
        <v>0</v>
      </c>
      <c r="R64" s="940"/>
      <c r="S64" s="596">
        <v>14</v>
      </c>
      <c r="T64" s="724"/>
      <c r="U64" s="728">
        <v>14</v>
      </c>
      <c r="V64" s="728">
        <v>2</v>
      </c>
      <c r="W64" s="731">
        <f t="shared" si="16"/>
        <v>16</v>
      </c>
      <c r="X64" s="947"/>
      <c r="Y64" s="616">
        <v>210</v>
      </c>
      <c r="Z64" s="602">
        <f t="shared" si="17"/>
        <v>14</v>
      </c>
      <c r="AA64" s="835"/>
      <c r="AB64" s="602">
        <f t="shared" si="18"/>
        <v>0</v>
      </c>
      <c r="AC64" s="940"/>
      <c r="AD64" s="956"/>
      <c r="AE64" s="956"/>
      <c r="AF64" s="598">
        <v>0</v>
      </c>
      <c r="AG64" s="596"/>
      <c r="AH64" s="728"/>
      <c r="AI64" s="728"/>
      <c r="AJ64" s="729">
        <f t="shared" si="41"/>
        <v>0</v>
      </c>
      <c r="AK64" s="946"/>
      <c r="AL64" s="616"/>
      <c r="AM64" s="602">
        <f t="shared" si="19"/>
        <v>0</v>
      </c>
      <c r="AN64" s="835"/>
      <c r="AO64" s="835">
        <f t="shared" si="42"/>
        <v>0</v>
      </c>
      <c r="AP64" s="940"/>
      <c r="AQ64" s="722">
        <v>0</v>
      </c>
      <c r="AR64" s="728"/>
      <c r="AS64" s="728"/>
      <c r="AT64" s="729">
        <f t="shared" si="43"/>
        <v>0</v>
      </c>
      <c r="AU64" s="946"/>
      <c r="AV64" s="616"/>
      <c r="AW64" s="602">
        <f t="shared" si="21"/>
        <v>0</v>
      </c>
      <c r="AX64" s="940"/>
      <c r="AY64" s="602">
        <f t="shared" si="22"/>
        <v>0</v>
      </c>
      <c r="AZ64" s="940"/>
      <c r="BA64" s="962"/>
      <c r="BB64" s="962"/>
      <c r="BC64" s="598"/>
      <c r="BD64" s="665">
        <v>14</v>
      </c>
      <c r="BE64" s="596">
        <v>0</v>
      </c>
      <c r="BF64" s="596">
        <f t="shared" si="27"/>
        <v>14</v>
      </c>
      <c r="BG64" s="728">
        <v>15</v>
      </c>
      <c r="BH64" s="728">
        <v>2</v>
      </c>
      <c r="BI64" s="729">
        <f t="shared" si="23"/>
        <v>17</v>
      </c>
      <c r="BJ64" s="729"/>
      <c r="BK64" s="616">
        <v>700</v>
      </c>
      <c r="BL64" s="603">
        <f t="shared" si="24"/>
        <v>14</v>
      </c>
      <c r="BM64" s="964"/>
      <c r="BN64" s="602">
        <f t="shared" si="44"/>
        <v>0</v>
      </c>
      <c r="BO64" s="940"/>
      <c r="BP64" s="593">
        <f t="shared" si="45"/>
        <v>0</v>
      </c>
      <c r="BS64" s="741">
        <v>0</v>
      </c>
      <c r="BT64" s="741">
        <v>0</v>
      </c>
      <c r="BU64" s="741">
        <f t="shared" si="46"/>
        <v>0</v>
      </c>
      <c r="BV64" s="741">
        <v>0</v>
      </c>
      <c r="BW64" s="741"/>
      <c r="BX64" s="741">
        <v>0</v>
      </c>
      <c r="BY64" s="741">
        <v>0</v>
      </c>
      <c r="BZ64" s="741">
        <f t="shared" si="25"/>
        <v>0</v>
      </c>
      <c r="CA64" s="741">
        <v>0</v>
      </c>
      <c r="CB64" s="741"/>
      <c r="CC64" s="741">
        <f t="shared" si="47"/>
        <v>0</v>
      </c>
      <c r="CD64" s="751"/>
      <c r="CE64" s="748"/>
      <c r="CF64" s="748"/>
      <c r="CG64" s="748">
        <f t="shared" si="48"/>
        <v>0</v>
      </c>
      <c r="CH64" s="759"/>
      <c r="CI64" s="742"/>
      <c r="CJ64" s="591">
        <f t="shared" si="49"/>
        <v>0</v>
      </c>
    </row>
    <row r="65" spans="1:88" ht="21.6" customHeight="1" x14ac:dyDescent="0.25">
      <c r="A65" s="596"/>
      <c r="B65" s="596" t="s">
        <v>30</v>
      </c>
      <c r="C65" s="597" t="s">
        <v>610</v>
      </c>
      <c r="D65" s="174" t="s">
        <v>431</v>
      </c>
      <c r="E65" s="598">
        <v>0</v>
      </c>
      <c r="F65" s="596">
        <v>0</v>
      </c>
      <c r="G65" s="598"/>
      <c r="H65" s="596"/>
      <c r="I65" s="596">
        <f t="shared" si="13"/>
        <v>0</v>
      </c>
      <c r="J65" s="728"/>
      <c r="K65" s="728"/>
      <c r="L65" s="731">
        <f t="shared" si="14"/>
        <v>0</v>
      </c>
      <c r="M65" s="947"/>
      <c r="N65" s="617"/>
      <c r="O65" s="602">
        <f t="shared" si="50"/>
        <v>0</v>
      </c>
      <c r="P65" s="940"/>
      <c r="Q65" s="600">
        <f t="shared" si="40"/>
        <v>0</v>
      </c>
      <c r="R65" s="940"/>
      <c r="S65" s="596">
        <v>9</v>
      </c>
      <c r="T65" s="724"/>
      <c r="U65" s="728">
        <v>9</v>
      </c>
      <c r="V65" s="728">
        <v>7</v>
      </c>
      <c r="W65" s="731">
        <f t="shared" si="16"/>
        <v>16</v>
      </c>
      <c r="X65" s="947"/>
      <c r="Y65" s="616">
        <v>135</v>
      </c>
      <c r="Z65" s="602">
        <f t="shared" si="17"/>
        <v>9</v>
      </c>
      <c r="AA65" s="835"/>
      <c r="AB65" s="602">
        <f t="shared" si="18"/>
        <v>0</v>
      </c>
      <c r="AC65" s="940"/>
      <c r="AD65" s="956"/>
      <c r="AE65" s="956"/>
      <c r="AF65" s="598"/>
      <c r="AG65" s="596"/>
      <c r="AH65" s="728"/>
      <c r="AI65" s="728"/>
      <c r="AJ65" s="729">
        <f t="shared" si="41"/>
        <v>0</v>
      </c>
      <c r="AK65" s="946"/>
      <c r="AL65" s="616"/>
      <c r="AM65" s="602">
        <f t="shared" si="19"/>
        <v>0</v>
      </c>
      <c r="AN65" s="835"/>
      <c r="AO65" s="835">
        <f t="shared" si="42"/>
        <v>0</v>
      </c>
      <c r="AP65" s="940"/>
      <c r="AQ65" s="722">
        <v>0</v>
      </c>
      <c r="AR65" s="728"/>
      <c r="AS65" s="728"/>
      <c r="AT65" s="729">
        <f t="shared" si="43"/>
        <v>0</v>
      </c>
      <c r="AU65" s="946"/>
      <c r="AV65" s="616"/>
      <c r="AW65" s="602">
        <f t="shared" si="21"/>
        <v>0</v>
      </c>
      <c r="AX65" s="940"/>
      <c r="AY65" s="602">
        <f t="shared" si="22"/>
        <v>0</v>
      </c>
      <c r="AZ65" s="940"/>
      <c r="BA65" s="962"/>
      <c r="BB65" s="962"/>
      <c r="BC65" s="598"/>
      <c r="BD65" s="665">
        <v>9</v>
      </c>
      <c r="BE65" s="596">
        <v>0</v>
      </c>
      <c r="BF65" s="596">
        <f t="shared" si="27"/>
        <v>9</v>
      </c>
      <c r="BG65" s="728">
        <v>9</v>
      </c>
      <c r="BH65" s="728">
        <v>7</v>
      </c>
      <c r="BI65" s="729">
        <f t="shared" si="23"/>
        <v>16</v>
      </c>
      <c r="BJ65" s="729"/>
      <c r="BK65" s="616">
        <v>450</v>
      </c>
      <c r="BL65" s="603">
        <f t="shared" si="24"/>
        <v>9</v>
      </c>
      <c r="BM65" s="964"/>
      <c r="BN65" s="602">
        <f t="shared" si="44"/>
        <v>0</v>
      </c>
      <c r="BO65" s="940"/>
      <c r="BP65" s="593">
        <f t="shared" si="45"/>
        <v>0</v>
      </c>
      <c r="BS65" s="741">
        <v>0</v>
      </c>
      <c r="BT65" s="741">
        <v>0</v>
      </c>
      <c r="BU65" s="741">
        <f t="shared" si="46"/>
        <v>0</v>
      </c>
      <c r="BV65" s="741">
        <v>0</v>
      </c>
      <c r="BW65" s="741"/>
      <c r="BX65" s="741">
        <v>0</v>
      </c>
      <c r="BY65" s="741">
        <v>0</v>
      </c>
      <c r="BZ65" s="741">
        <f t="shared" si="25"/>
        <v>0</v>
      </c>
      <c r="CA65" s="741">
        <v>0</v>
      </c>
      <c r="CB65" s="741"/>
      <c r="CC65" s="741">
        <f t="shared" si="47"/>
        <v>0</v>
      </c>
      <c r="CD65" s="751"/>
      <c r="CE65" s="748"/>
      <c r="CF65" s="748"/>
      <c r="CG65" s="748">
        <f t="shared" si="48"/>
        <v>0</v>
      </c>
      <c r="CH65" s="759"/>
      <c r="CI65" s="742"/>
      <c r="CJ65" s="591">
        <f t="shared" si="49"/>
        <v>0</v>
      </c>
    </row>
    <row r="66" spans="1:88" ht="21.6" customHeight="1" x14ac:dyDescent="0.25">
      <c r="A66" s="596" t="s">
        <v>28</v>
      </c>
      <c r="B66" s="596" t="s">
        <v>30</v>
      </c>
      <c r="C66" s="597" t="s">
        <v>34</v>
      </c>
      <c r="D66" s="166" t="s">
        <v>431</v>
      </c>
      <c r="E66" s="598">
        <v>0</v>
      </c>
      <c r="F66" s="596">
        <v>0</v>
      </c>
      <c r="G66" s="598">
        <v>0</v>
      </c>
      <c r="H66" s="596"/>
      <c r="I66" s="596">
        <f t="shared" si="13"/>
        <v>0</v>
      </c>
      <c r="J66" s="728"/>
      <c r="K66" s="728"/>
      <c r="L66" s="731">
        <f t="shared" si="14"/>
        <v>0</v>
      </c>
      <c r="M66" s="947"/>
      <c r="N66" s="617"/>
      <c r="O66" s="602">
        <f t="shared" si="50"/>
        <v>0</v>
      </c>
      <c r="P66" s="940"/>
      <c r="Q66" s="600">
        <f t="shared" si="40"/>
        <v>0</v>
      </c>
      <c r="R66" s="940"/>
      <c r="S66" s="596">
        <v>0</v>
      </c>
      <c r="T66" s="724"/>
      <c r="U66" s="728"/>
      <c r="V66" s="728"/>
      <c r="W66" s="731">
        <f t="shared" si="16"/>
        <v>0</v>
      </c>
      <c r="X66" s="947"/>
      <c r="Y66" s="616"/>
      <c r="Z66" s="602">
        <f t="shared" si="17"/>
        <v>0</v>
      </c>
      <c r="AA66" s="835"/>
      <c r="AB66" s="602">
        <f t="shared" si="18"/>
        <v>0</v>
      </c>
      <c r="AC66" s="940"/>
      <c r="AD66" s="956"/>
      <c r="AE66" s="956"/>
      <c r="AF66" s="598">
        <v>10</v>
      </c>
      <c r="AG66" s="596"/>
      <c r="AH66" s="728">
        <v>22</v>
      </c>
      <c r="AI66" s="728">
        <v>7</v>
      </c>
      <c r="AJ66" s="729">
        <f t="shared" si="41"/>
        <v>29</v>
      </c>
      <c r="AK66" s="946"/>
      <c r="AL66" s="616">
        <v>150</v>
      </c>
      <c r="AM66" s="602">
        <f t="shared" si="19"/>
        <v>10</v>
      </c>
      <c r="AN66" s="835"/>
      <c r="AO66" s="835">
        <f t="shared" si="42"/>
        <v>0</v>
      </c>
      <c r="AP66" s="940"/>
      <c r="AQ66" s="722">
        <v>0</v>
      </c>
      <c r="AR66" s="728"/>
      <c r="AS66" s="728"/>
      <c r="AT66" s="729">
        <f t="shared" si="43"/>
        <v>0</v>
      </c>
      <c r="AU66" s="946"/>
      <c r="AV66" s="616"/>
      <c r="AW66" s="602">
        <f t="shared" si="21"/>
        <v>0</v>
      </c>
      <c r="AX66" s="940"/>
      <c r="AY66" s="602">
        <f t="shared" si="22"/>
        <v>0</v>
      </c>
      <c r="AZ66" s="940"/>
      <c r="BA66" s="962"/>
      <c r="BB66" s="962"/>
      <c r="BC66" s="598"/>
      <c r="BD66" s="665">
        <v>10</v>
      </c>
      <c r="BE66" s="596">
        <v>0</v>
      </c>
      <c r="BF66" s="596">
        <f t="shared" si="27"/>
        <v>10</v>
      </c>
      <c r="BG66" s="728">
        <v>22</v>
      </c>
      <c r="BH66" s="728">
        <v>7</v>
      </c>
      <c r="BI66" s="729">
        <f t="shared" si="23"/>
        <v>29</v>
      </c>
      <c r="BJ66" s="729"/>
      <c r="BK66" s="616">
        <v>500</v>
      </c>
      <c r="BL66" s="603">
        <f t="shared" si="24"/>
        <v>10</v>
      </c>
      <c r="BM66" s="964"/>
      <c r="BN66" s="602">
        <f t="shared" si="44"/>
        <v>0</v>
      </c>
      <c r="BO66" s="940"/>
      <c r="BP66" s="593">
        <f t="shared" si="45"/>
        <v>0</v>
      </c>
      <c r="BS66" s="741">
        <v>0</v>
      </c>
      <c r="BT66" s="741">
        <v>0</v>
      </c>
      <c r="BU66" s="741">
        <f t="shared" si="46"/>
        <v>0</v>
      </c>
      <c r="BV66" s="741">
        <v>0</v>
      </c>
      <c r="BW66" s="741"/>
      <c r="BX66" s="741">
        <v>0</v>
      </c>
      <c r="BY66" s="741">
        <v>0</v>
      </c>
      <c r="BZ66" s="741">
        <f t="shared" si="25"/>
        <v>0</v>
      </c>
      <c r="CA66" s="741">
        <v>0</v>
      </c>
      <c r="CB66" s="741"/>
      <c r="CC66" s="741">
        <f t="shared" si="47"/>
        <v>0</v>
      </c>
      <c r="CD66" s="751"/>
      <c r="CE66" s="748"/>
      <c r="CF66" s="748"/>
      <c r="CG66" s="748">
        <f t="shared" si="48"/>
        <v>0</v>
      </c>
      <c r="CH66" s="759"/>
      <c r="CI66" s="742"/>
      <c r="CJ66" s="591">
        <f t="shared" si="49"/>
        <v>0</v>
      </c>
    </row>
    <row r="67" spans="1:88" ht="21.6" customHeight="1" x14ac:dyDescent="0.25">
      <c r="A67" s="596" t="s">
        <v>28</v>
      </c>
      <c r="B67" s="596" t="s">
        <v>30</v>
      </c>
      <c r="C67" s="597" t="s">
        <v>35</v>
      </c>
      <c r="D67" s="174"/>
      <c r="E67" s="598">
        <v>0</v>
      </c>
      <c r="F67" s="596">
        <v>0</v>
      </c>
      <c r="G67" s="598">
        <v>0</v>
      </c>
      <c r="H67" s="596"/>
      <c r="I67" s="596">
        <f t="shared" si="13"/>
        <v>0</v>
      </c>
      <c r="J67" s="728"/>
      <c r="K67" s="728"/>
      <c r="L67" s="731">
        <f t="shared" si="14"/>
        <v>0</v>
      </c>
      <c r="M67" s="947"/>
      <c r="N67" s="617"/>
      <c r="O67" s="602">
        <f t="shared" si="50"/>
        <v>0</v>
      </c>
      <c r="P67" s="940"/>
      <c r="Q67" s="600">
        <f t="shared" si="40"/>
        <v>0</v>
      </c>
      <c r="R67" s="940"/>
      <c r="S67" s="596">
        <v>0</v>
      </c>
      <c r="T67" s="724"/>
      <c r="U67" s="728"/>
      <c r="V67" s="728"/>
      <c r="W67" s="731">
        <f t="shared" si="16"/>
        <v>0</v>
      </c>
      <c r="X67" s="947"/>
      <c r="Y67" s="616"/>
      <c r="Z67" s="602">
        <f t="shared" si="17"/>
        <v>0</v>
      </c>
      <c r="AA67" s="835"/>
      <c r="AB67" s="602">
        <f t="shared" si="18"/>
        <v>0</v>
      </c>
      <c r="AC67" s="940"/>
      <c r="AD67" s="956"/>
      <c r="AE67" s="956"/>
      <c r="AF67" s="598">
        <v>0</v>
      </c>
      <c r="AG67" s="596"/>
      <c r="AH67" s="728"/>
      <c r="AI67" s="728"/>
      <c r="AJ67" s="729">
        <f t="shared" si="41"/>
        <v>0</v>
      </c>
      <c r="AK67" s="946"/>
      <c r="AL67" s="616"/>
      <c r="AM67" s="602">
        <f t="shared" si="19"/>
        <v>0</v>
      </c>
      <c r="AN67" s="835"/>
      <c r="AO67" s="835">
        <f t="shared" si="42"/>
        <v>0</v>
      </c>
      <c r="AP67" s="940"/>
      <c r="AQ67" s="722">
        <v>0</v>
      </c>
      <c r="AR67" s="728"/>
      <c r="AS67" s="728"/>
      <c r="AT67" s="729">
        <f t="shared" si="43"/>
        <v>0</v>
      </c>
      <c r="AU67" s="946"/>
      <c r="AV67" s="616"/>
      <c r="AW67" s="602">
        <f t="shared" si="21"/>
        <v>0</v>
      </c>
      <c r="AX67" s="940"/>
      <c r="AY67" s="602">
        <f t="shared" si="22"/>
        <v>0</v>
      </c>
      <c r="AZ67" s="940"/>
      <c r="BA67" s="962"/>
      <c r="BB67" s="962"/>
      <c r="BC67" s="598"/>
      <c r="BD67" s="665">
        <v>0</v>
      </c>
      <c r="BE67" s="596">
        <v>0</v>
      </c>
      <c r="BF67" s="596">
        <f t="shared" si="27"/>
        <v>0</v>
      </c>
      <c r="BG67" s="728"/>
      <c r="BH67" s="728"/>
      <c r="BI67" s="729">
        <f t="shared" si="23"/>
        <v>0</v>
      </c>
      <c r="BJ67" s="729"/>
      <c r="BK67" s="616"/>
      <c r="BL67" s="603">
        <f t="shared" si="24"/>
        <v>0</v>
      </c>
      <c r="BM67" s="964"/>
      <c r="BN67" s="602">
        <f t="shared" si="44"/>
        <v>0</v>
      </c>
      <c r="BO67" s="940"/>
      <c r="BP67" s="593">
        <f t="shared" si="45"/>
        <v>0</v>
      </c>
      <c r="BS67" s="741">
        <v>0</v>
      </c>
      <c r="BT67" s="741">
        <v>0</v>
      </c>
      <c r="BU67" s="741">
        <f t="shared" si="46"/>
        <v>0</v>
      </c>
      <c r="BV67" s="741">
        <v>0</v>
      </c>
      <c r="BW67" s="741"/>
      <c r="BX67" s="741">
        <v>0</v>
      </c>
      <c r="BY67" s="741">
        <v>0</v>
      </c>
      <c r="BZ67" s="741">
        <f t="shared" si="25"/>
        <v>0</v>
      </c>
      <c r="CA67" s="741">
        <v>0</v>
      </c>
      <c r="CB67" s="741"/>
      <c r="CC67" s="741">
        <f t="shared" si="47"/>
        <v>0</v>
      </c>
      <c r="CD67" s="751"/>
      <c r="CE67" s="748"/>
      <c r="CF67" s="748"/>
      <c r="CG67" s="748">
        <f t="shared" si="48"/>
        <v>0</v>
      </c>
      <c r="CH67" s="759"/>
      <c r="CI67" s="742"/>
      <c r="CJ67" s="591">
        <f t="shared" si="49"/>
        <v>0</v>
      </c>
    </row>
    <row r="68" spans="1:88" ht="21.6" customHeight="1" x14ac:dyDescent="0.25">
      <c r="A68" s="596" t="s">
        <v>28</v>
      </c>
      <c r="B68" s="596" t="s">
        <v>30</v>
      </c>
      <c r="C68" s="597" t="s">
        <v>36</v>
      </c>
      <c r="D68" s="166" t="s">
        <v>431</v>
      </c>
      <c r="E68" s="598">
        <v>9</v>
      </c>
      <c r="F68" s="596">
        <v>0</v>
      </c>
      <c r="G68" s="598">
        <v>0</v>
      </c>
      <c r="H68" s="596"/>
      <c r="I68" s="596">
        <f t="shared" si="13"/>
        <v>0</v>
      </c>
      <c r="J68" s="728">
        <v>14</v>
      </c>
      <c r="K68" s="728">
        <v>1</v>
      </c>
      <c r="L68" s="731">
        <f t="shared" si="14"/>
        <v>15</v>
      </c>
      <c r="M68" s="947"/>
      <c r="N68" s="617">
        <v>135</v>
      </c>
      <c r="O68" s="602">
        <f t="shared" si="50"/>
        <v>9</v>
      </c>
      <c r="P68" s="940"/>
      <c r="Q68" s="600">
        <f t="shared" si="40"/>
        <v>0</v>
      </c>
      <c r="R68" s="940"/>
      <c r="S68" s="596">
        <v>0</v>
      </c>
      <c r="T68" s="724"/>
      <c r="U68" s="728"/>
      <c r="V68" s="728"/>
      <c r="W68" s="731">
        <f t="shared" si="16"/>
        <v>0</v>
      </c>
      <c r="X68" s="947"/>
      <c r="Y68" s="616"/>
      <c r="Z68" s="602">
        <f t="shared" si="17"/>
        <v>0</v>
      </c>
      <c r="AA68" s="835"/>
      <c r="AB68" s="602">
        <f t="shared" si="18"/>
        <v>0</v>
      </c>
      <c r="AC68" s="940"/>
      <c r="AD68" s="956"/>
      <c r="AE68" s="956"/>
      <c r="AF68" s="598">
        <v>0</v>
      </c>
      <c r="AG68" s="596"/>
      <c r="AH68" s="728"/>
      <c r="AI68" s="728"/>
      <c r="AJ68" s="729">
        <f t="shared" si="41"/>
        <v>0</v>
      </c>
      <c r="AK68" s="946"/>
      <c r="AL68" s="616"/>
      <c r="AM68" s="602">
        <f t="shared" si="19"/>
        <v>0</v>
      </c>
      <c r="AN68" s="835"/>
      <c r="AO68" s="835">
        <f t="shared" si="42"/>
        <v>0</v>
      </c>
      <c r="AP68" s="940"/>
      <c r="AQ68" s="722">
        <v>0</v>
      </c>
      <c r="AR68" s="728"/>
      <c r="AS68" s="728"/>
      <c r="AT68" s="729">
        <f t="shared" si="43"/>
        <v>0</v>
      </c>
      <c r="AU68" s="946"/>
      <c r="AV68" s="616"/>
      <c r="AW68" s="602">
        <f t="shared" si="21"/>
        <v>0</v>
      </c>
      <c r="AX68" s="940"/>
      <c r="AY68" s="602">
        <f t="shared" si="22"/>
        <v>0</v>
      </c>
      <c r="AZ68" s="940"/>
      <c r="BA68" s="962"/>
      <c r="BB68" s="962"/>
      <c r="BC68" s="598"/>
      <c r="BD68" s="665">
        <v>9</v>
      </c>
      <c r="BE68" s="596">
        <v>0</v>
      </c>
      <c r="BF68" s="596">
        <f t="shared" si="27"/>
        <v>9</v>
      </c>
      <c r="BG68" s="728">
        <v>13</v>
      </c>
      <c r="BH68" s="728">
        <v>2</v>
      </c>
      <c r="BI68" s="729">
        <f t="shared" si="23"/>
        <v>15</v>
      </c>
      <c r="BJ68" s="729"/>
      <c r="BK68" s="616">
        <v>450</v>
      </c>
      <c r="BL68" s="603">
        <f t="shared" si="24"/>
        <v>9</v>
      </c>
      <c r="BM68" s="964"/>
      <c r="BN68" s="602">
        <f t="shared" si="44"/>
        <v>0</v>
      </c>
      <c r="BO68" s="940"/>
      <c r="BP68" s="593">
        <f t="shared" si="45"/>
        <v>0</v>
      </c>
      <c r="BS68" s="741">
        <v>0</v>
      </c>
      <c r="BT68" s="741">
        <v>0</v>
      </c>
      <c r="BU68" s="741">
        <f t="shared" si="46"/>
        <v>0</v>
      </c>
      <c r="BV68" s="741">
        <v>0</v>
      </c>
      <c r="BW68" s="741"/>
      <c r="BX68" s="741">
        <v>0</v>
      </c>
      <c r="BY68" s="741">
        <v>0</v>
      </c>
      <c r="BZ68" s="741">
        <f t="shared" si="25"/>
        <v>0</v>
      </c>
      <c r="CA68" s="741">
        <v>0</v>
      </c>
      <c r="CB68" s="741"/>
      <c r="CC68" s="741">
        <f t="shared" si="47"/>
        <v>0</v>
      </c>
      <c r="CD68" s="751"/>
      <c r="CE68" s="748"/>
      <c r="CF68" s="748"/>
      <c r="CG68" s="748">
        <f t="shared" si="48"/>
        <v>0</v>
      </c>
      <c r="CH68" s="759"/>
      <c r="CI68" s="742"/>
      <c r="CJ68" s="591">
        <f t="shared" si="49"/>
        <v>0</v>
      </c>
    </row>
    <row r="69" spans="1:88" ht="21.6" customHeight="1" x14ac:dyDescent="0.25">
      <c r="A69" s="596" t="s">
        <v>28</v>
      </c>
      <c r="B69" s="596" t="s">
        <v>30</v>
      </c>
      <c r="C69" s="597" t="s">
        <v>37</v>
      </c>
      <c r="D69" s="166" t="s">
        <v>431</v>
      </c>
      <c r="E69" s="598">
        <v>12</v>
      </c>
      <c r="F69" s="596">
        <v>0</v>
      </c>
      <c r="G69" s="598">
        <v>0</v>
      </c>
      <c r="H69" s="596"/>
      <c r="I69" s="596">
        <f t="shared" si="13"/>
        <v>0</v>
      </c>
      <c r="J69" s="728">
        <v>16</v>
      </c>
      <c r="K69" s="728">
        <v>10</v>
      </c>
      <c r="L69" s="731">
        <f t="shared" si="14"/>
        <v>26</v>
      </c>
      <c r="M69" s="947"/>
      <c r="N69" s="617">
        <v>180</v>
      </c>
      <c r="O69" s="602">
        <f t="shared" si="50"/>
        <v>12</v>
      </c>
      <c r="P69" s="940"/>
      <c r="Q69" s="600">
        <f t="shared" si="40"/>
        <v>0</v>
      </c>
      <c r="R69" s="940"/>
      <c r="S69" s="596">
        <v>0</v>
      </c>
      <c r="T69" s="724"/>
      <c r="U69" s="728"/>
      <c r="V69" s="728"/>
      <c r="W69" s="731">
        <f t="shared" si="16"/>
        <v>0</v>
      </c>
      <c r="X69" s="947"/>
      <c r="Y69" s="616"/>
      <c r="Z69" s="602">
        <f t="shared" si="17"/>
        <v>0</v>
      </c>
      <c r="AA69" s="835"/>
      <c r="AB69" s="602">
        <f t="shared" si="18"/>
        <v>0</v>
      </c>
      <c r="AC69" s="940"/>
      <c r="AD69" s="956"/>
      <c r="AE69" s="956"/>
      <c r="AF69" s="598">
        <v>0</v>
      </c>
      <c r="AG69" s="596"/>
      <c r="AH69" s="728"/>
      <c r="AI69" s="728"/>
      <c r="AJ69" s="729">
        <f t="shared" si="41"/>
        <v>0</v>
      </c>
      <c r="AK69" s="946"/>
      <c r="AL69" s="616"/>
      <c r="AM69" s="602">
        <f t="shared" si="19"/>
        <v>0</v>
      </c>
      <c r="AN69" s="835"/>
      <c r="AO69" s="835">
        <f t="shared" si="42"/>
        <v>0</v>
      </c>
      <c r="AP69" s="940"/>
      <c r="AQ69" s="722">
        <v>0</v>
      </c>
      <c r="AR69" s="728"/>
      <c r="AS69" s="728"/>
      <c r="AT69" s="729">
        <f t="shared" si="43"/>
        <v>0</v>
      </c>
      <c r="AU69" s="946"/>
      <c r="AV69" s="616"/>
      <c r="AW69" s="602">
        <f t="shared" si="21"/>
        <v>0</v>
      </c>
      <c r="AX69" s="940"/>
      <c r="AY69" s="602">
        <f t="shared" si="22"/>
        <v>0</v>
      </c>
      <c r="AZ69" s="940"/>
      <c r="BA69" s="962"/>
      <c r="BB69" s="962"/>
      <c r="BC69" s="598"/>
      <c r="BD69" s="665">
        <v>12</v>
      </c>
      <c r="BE69" s="596">
        <v>0</v>
      </c>
      <c r="BF69" s="596">
        <f t="shared" si="27"/>
        <v>12</v>
      </c>
      <c r="BG69" s="728">
        <v>16</v>
      </c>
      <c r="BH69" s="728">
        <v>10</v>
      </c>
      <c r="BI69" s="729">
        <f t="shared" si="23"/>
        <v>26</v>
      </c>
      <c r="BJ69" s="729"/>
      <c r="BK69" s="616">
        <v>600</v>
      </c>
      <c r="BL69" s="603">
        <f t="shared" si="24"/>
        <v>12</v>
      </c>
      <c r="BM69" s="964"/>
      <c r="BN69" s="602">
        <f t="shared" si="44"/>
        <v>0</v>
      </c>
      <c r="BO69" s="940"/>
      <c r="BP69" s="593">
        <f t="shared" si="45"/>
        <v>0</v>
      </c>
      <c r="BS69" s="741">
        <v>0</v>
      </c>
      <c r="BT69" s="741">
        <v>0</v>
      </c>
      <c r="BU69" s="741">
        <f t="shared" si="46"/>
        <v>0</v>
      </c>
      <c r="BV69" s="741">
        <v>0</v>
      </c>
      <c r="BW69" s="741"/>
      <c r="BX69" s="741">
        <v>0</v>
      </c>
      <c r="BY69" s="741">
        <v>0</v>
      </c>
      <c r="BZ69" s="741">
        <f t="shared" si="25"/>
        <v>0</v>
      </c>
      <c r="CA69" s="741">
        <v>0</v>
      </c>
      <c r="CB69" s="741"/>
      <c r="CC69" s="741">
        <f t="shared" si="47"/>
        <v>0</v>
      </c>
      <c r="CD69" s="751"/>
      <c r="CE69" s="748"/>
      <c r="CF69" s="748"/>
      <c r="CG69" s="748">
        <f t="shared" si="48"/>
        <v>0</v>
      </c>
      <c r="CH69" s="759"/>
      <c r="CI69" s="742"/>
      <c r="CJ69" s="591">
        <f t="shared" si="49"/>
        <v>0</v>
      </c>
    </row>
    <row r="70" spans="1:88" ht="22.5" customHeight="1" x14ac:dyDescent="0.25">
      <c r="A70" s="596" t="s">
        <v>28</v>
      </c>
      <c r="B70" s="596" t="s">
        <v>30</v>
      </c>
      <c r="C70" s="597" t="s">
        <v>38</v>
      </c>
      <c r="D70" s="166" t="s">
        <v>431</v>
      </c>
      <c r="E70" s="598">
        <v>14</v>
      </c>
      <c r="F70" s="596">
        <v>0</v>
      </c>
      <c r="G70" s="598">
        <v>0</v>
      </c>
      <c r="H70" s="596"/>
      <c r="I70" s="596">
        <f t="shared" si="13"/>
        <v>0</v>
      </c>
      <c r="J70" s="728">
        <v>29</v>
      </c>
      <c r="K70" s="728">
        <v>11</v>
      </c>
      <c r="L70" s="731">
        <f t="shared" si="14"/>
        <v>40</v>
      </c>
      <c r="M70" s="947"/>
      <c r="N70" s="617">
        <v>210</v>
      </c>
      <c r="O70" s="602">
        <f t="shared" si="50"/>
        <v>14</v>
      </c>
      <c r="P70" s="940"/>
      <c r="Q70" s="600">
        <f t="shared" si="40"/>
        <v>0</v>
      </c>
      <c r="R70" s="940"/>
      <c r="S70" s="596">
        <v>0</v>
      </c>
      <c r="T70" s="724"/>
      <c r="U70" s="728"/>
      <c r="V70" s="728"/>
      <c r="W70" s="731">
        <f t="shared" si="16"/>
        <v>0</v>
      </c>
      <c r="X70" s="947"/>
      <c r="Y70" s="616"/>
      <c r="Z70" s="602">
        <f t="shared" si="17"/>
        <v>0</v>
      </c>
      <c r="AA70" s="835"/>
      <c r="AB70" s="602">
        <f t="shared" si="18"/>
        <v>0</v>
      </c>
      <c r="AC70" s="940"/>
      <c r="AD70" s="956"/>
      <c r="AE70" s="956"/>
      <c r="AF70" s="598">
        <v>0</v>
      </c>
      <c r="AG70" s="596"/>
      <c r="AH70" s="728"/>
      <c r="AI70" s="728"/>
      <c r="AJ70" s="729">
        <f t="shared" si="41"/>
        <v>0</v>
      </c>
      <c r="AK70" s="946"/>
      <c r="AL70" s="616"/>
      <c r="AM70" s="602">
        <f t="shared" si="19"/>
        <v>0</v>
      </c>
      <c r="AN70" s="835"/>
      <c r="AO70" s="835">
        <f t="shared" si="42"/>
        <v>0</v>
      </c>
      <c r="AP70" s="940"/>
      <c r="AQ70" s="722">
        <v>0</v>
      </c>
      <c r="AR70" s="728"/>
      <c r="AS70" s="728"/>
      <c r="AT70" s="729">
        <f t="shared" si="43"/>
        <v>0</v>
      </c>
      <c r="AU70" s="946"/>
      <c r="AV70" s="616"/>
      <c r="AW70" s="602">
        <f t="shared" si="21"/>
        <v>0</v>
      </c>
      <c r="AX70" s="940"/>
      <c r="AY70" s="602">
        <f t="shared" si="22"/>
        <v>0</v>
      </c>
      <c r="AZ70" s="940"/>
      <c r="BA70" s="962"/>
      <c r="BB70" s="962"/>
      <c r="BC70" s="598"/>
      <c r="BD70" s="665">
        <v>14</v>
      </c>
      <c r="BE70" s="596">
        <v>0</v>
      </c>
      <c r="BF70" s="596">
        <f t="shared" si="27"/>
        <v>14</v>
      </c>
      <c r="BG70" s="728">
        <v>29</v>
      </c>
      <c r="BH70" s="728">
        <v>11</v>
      </c>
      <c r="BI70" s="729">
        <f t="shared" si="23"/>
        <v>40</v>
      </c>
      <c r="BJ70" s="729"/>
      <c r="BK70" s="616">
        <v>700</v>
      </c>
      <c r="BL70" s="603">
        <f t="shared" si="24"/>
        <v>14</v>
      </c>
      <c r="BM70" s="964"/>
      <c r="BN70" s="602">
        <f t="shared" si="44"/>
        <v>0</v>
      </c>
      <c r="BO70" s="940"/>
      <c r="BP70" s="593">
        <f t="shared" si="45"/>
        <v>0</v>
      </c>
      <c r="BS70" s="741">
        <v>0</v>
      </c>
      <c r="BT70" s="741">
        <v>0</v>
      </c>
      <c r="BU70" s="741">
        <f t="shared" si="46"/>
        <v>0</v>
      </c>
      <c r="BV70" s="741">
        <v>0</v>
      </c>
      <c r="BW70" s="741"/>
      <c r="BX70" s="741">
        <v>0</v>
      </c>
      <c r="BY70" s="741">
        <v>0</v>
      </c>
      <c r="BZ70" s="741">
        <f t="shared" si="25"/>
        <v>0</v>
      </c>
      <c r="CA70" s="741">
        <v>0</v>
      </c>
      <c r="CB70" s="741"/>
      <c r="CC70" s="741">
        <f t="shared" si="47"/>
        <v>0</v>
      </c>
      <c r="CD70" s="751"/>
      <c r="CE70" s="748"/>
      <c r="CF70" s="748"/>
      <c r="CG70" s="748">
        <f t="shared" si="48"/>
        <v>0</v>
      </c>
      <c r="CH70" s="759"/>
      <c r="CI70" s="742"/>
      <c r="CJ70" s="591">
        <f t="shared" si="49"/>
        <v>0</v>
      </c>
    </row>
    <row r="71" spans="1:88" ht="33" customHeight="1" x14ac:dyDescent="0.25">
      <c r="A71" s="596" t="s">
        <v>28</v>
      </c>
      <c r="B71" s="596" t="s">
        <v>30</v>
      </c>
      <c r="C71" s="597" t="s">
        <v>39</v>
      </c>
      <c r="D71" s="166"/>
      <c r="E71" s="598">
        <v>0</v>
      </c>
      <c r="F71" s="596">
        <v>0</v>
      </c>
      <c r="G71" s="598">
        <v>0</v>
      </c>
      <c r="H71" s="596"/>
      <c r="I71" s="596">
        <f t="shared" si="13"/>
        <v>0</v>
      </c>
      <c r="J71" s="728"/>
      <c r="K71" s="728"/>
      <c r="L71" s="731">
        <f t="shared" si="14"/>
        <v>0</v>
      </c>
      <c r="M71" s="947"/>
      <c r="N71" s="617"/>
      <c r="O71" s="602">
        <f t="shared" si="50"/>
        <v>0</v>
      </c>
      <c r="P71" s="940"/>
      <c r="Q71" s="600">
        <f t="shared" si="40"/>
        <v>0</v>
      </c>
      <c r="R71" s="940"/>
      <c r="S71" s="596">
        <v>0</v>
      </c>
      <c r="T71" s="724"/>
      <c r="U71" s="728"/>
      <c r="V71" s="728"/>
      <c r="W71" s="731">
        <f t="shared" si="16"/>
        <v>0</v>
      </c>
      <c r="X71" s="947"/>
      <c r="Y71" s="616"/>
      <c r="Z71" s="602">
        <f t="shared" si="17"/>
        <v>0</v>
      </c>
      <c r="AA71" s="835"/>
      <c r="AB71" s="602">
        <f t="shared" si="18"/>
        <v>0</v>
      </c>
      <c r="AC71" s="940"/>
      <c r="AD71" s="956"/>
      <c r="AE71" s="956"/>
      <c r="AF71" s="598">
        <v>0</v>
      </c>
      <c r="AG71" s="596"/>
      <c r="AH71" s="728"/>
      <c r="AI71" s="728"/>
      <c r="AJ71" s="729">
        <f t="shared" si="41"/>
        <v>0</v>
      </c>
      <c r="AK71" s="946"/>
      <c r="AL71" s="616"/>
      <c r="AM71" s="602">
        <f t="shared" si="19"/>
        <v>0</v>
      </c>
      <c r="AN71" s="835"/>
      <c r="AO71" s="835">
        <f t="shared" si="42"/>
        <v>0</v>
      </c>
      <c r="AP71" s="940"/>
      <c r="AQ71" s="722">
        <v>0</v>
      </c>
      <c r="AR71" s="728"/>
      <c r="AS71" s="728"/>
      <c r="AT71" s="729">
        <f t="shared" si="43"/>
        <v>0</v>
      </c>
      <c r="AU71" s="946"/>
      <c r="AV71" s="616"/>
      <c r="AW71" s="602">
        <f t="shared" si="21"/>
        <v>0</v>
      </c>
      <c r="AX71" s="940"/>
      <c r="AY71" s="602">
        <f t="shared" si="22"/>
        <v>0</v>
      </c>
      <c r="AZ71" s="940"/>
      <c r="BA71" s="962"/>
      <c r="BB71" s="962"/>
      <c r="BC71" s="598"/>
      <c r="BD71" s="665">
        <v>0</v>
      </c>
      <c r="BE71" s="596">
        <v>0</v>
      </c>
      <c r="BF71" s="596">
        <f t="shared" si="27"/>
        <v>0</v>
      </c>
      <c r="BG71" s="728"/>
      <c r="BH71" s="728"/>
      <c r="BI71" s="729">
        <f t="shared" si="23"/>
        <v>0</v>
      </c>
      <c r="BJ71" s="729"/>
      <c r="BK71" s="616"/>
      <c r="BL71" s="603">
        <f t="shared" si="24"/>
        <v>0</v>
      </c>
      <c r="BM71" s="964"/>
      <c r="BN71" s="602">
        <f t="shared" si="44"/>
        <v>0</v>
      </c>
      <c r="BO71" s="940"/>
      <c r="BP71" s="593">
        <f t="shared" si="45"/>
        <v>0</v>
      </c>
      <c r="BS71" s="741">
        <v>0</v>
      </c>
      <c r="BT71" s="741">
        <v>0</v>
      </c>
      <c r="BU71" s="741">
        <f t="shared" si="46"/>
        <v>0</v>
      </c>
      <c r="BV71" s="741">
        <v>0</v>
      </c>
      <c r="BW71" s="741"/>
      <c r="BX71" s="741">
        <v>0</v>
      </c>
      <c r="BY71" s="741">
        <v>0</v>
      </c>
      <c r="BZ71" s="741">
        <f t="shared" si="25"/>
        <v>0</v>
      </c>
      <c r="CA71" s="741">
        <v>0</v>
      </c>
      <c r="CB71" s="741"/>
      <c r="CC71" s="741">
        <f t="shared" si="47"/>
        <v>0</v>
      </c>
      <c r="CD71" s="751"/>
      <c r="CE71" s="748"/>
      <c r="CF71" s="748"/>
      <c r="CG71" s="748">
        <f t="shared" si="48"/>
        <v>0</v>
      </c>
      <c r="CH71" s="759"/>
      <c r="CI71" s="742"/>
      <c r="CJ71" s="591">
        <f t="shared" si="49"/>
        <v>0</v>
      </c>
    </row>
    <row r="72" spans="1:88" ht="54.75" customHeight="1" x14ac:dyDescent="0.25">
      <c r="A72" s="596" t="s">
        <v>28</v>
      </c>
      <c r="B72" s="596" t="s">
        <v>30</v>
      </c>
      <c r="C72" s="597" t="s">
        <v>40</v>
      </c>
      <c r="D72" s="166" t="s">
        <v>431</v>
      </c>
      <c r="E72" s="598">
        <v>12</v>
      </c>
      <c r="F72" s="596">
        <v>0</v>
      </c>
      <c r="G72" s="598">
        <v>0</v>
      </c>
      <c r="H72" s="596"/>
      <c r="I72" s="596">
        <f t="shared" si="13"/>
        <v>0</v>
      </c>
      <c r="J72" s="728">
        <v>19</v>
      </c>
      <c r="K72" s="728">
        <v>10</v>
      </c>
      <c r="L72" s="731">
        <f t="shared" si="14"/>
        <v>29</v>
      </c>
      <c r="M72" s="947"/>
      <c r="N72" s="617">
        <v>180</v>
      </c>
      <c r="O72" s="602">
        <f t="shared" si="50"/>
        <v>12</v>
      </c>
      <c r="P72" s="940"/>
      <c r="Q72" s="600">
        <f t="shared" si="40"/>
        <v>0</v>
      </c>
      <c r="R72" s="940"/>
      <c r="S72" s="596">
        <v>0</v>
      </c>
      <c r="T72" s="724"/>
      <c r="U72" s="728"/>
      <c r="V72" s="728"/>
      <c r="W72" s="731">
        <f t="shared" si="16"/>
        <v>0</v>
      </c>
      <c r="X72" s="947"/>
      <c r="Y72" s="616"/>
      <c r="Z72" s="602">
        <f t="shared" si="17"/>
        <v>0</v>
      </c>
      <c r="AA72" s="835"/>
      <c r="AB72" s="602">
        <f t="shared" si="18"/>
        <v>0</v>
      </c>
      <c r="AC72" s="940"/>
      <c r="AD72" s="956"/>
      <c r="AE72" s="956"/>
      <c r="AF72" s="598">
        <v>0</v>
      </c>
      <c r="AG72" s="596"/>
      <c r="AH72" s="728"/>
      <c r="AI72" s="728"/>
      <c r="AJ72" s="729">
        <f t="shared" si="41"/>
        <v>0</v>
      </c>
      <c r="AK72" s="946"/>
      <c r="AL72" s="616"/>
      <c r="AM72" s="602">
        <f t="shared" si="19"/>
        <v>0</v>
      </c>
      <c r="AN72" s="835"/>
      <c r="AO72" s="835">
        <f t="shared" si="42"/>
        <v>0</v>
      </c>
      <c r="AP72" s="940"/>
      <c r="AQ72" s="722">
        <v>0</v>
      </c>
      <c r="AR72" s="728"/>
      <c r="AS72" s="728"/>
      <c r="AT72" s="729">
        <f t="shared" si="43"/>
        <v>0</v>
      </c>
      <c r="AU72" s="946"/>
      <c r="AV72" s="616"/>
      <c r="AW72" s="602">
        <f t="shared" si="21"/>
        <v>0</v>
      </c>
      <c r="AX72" s="940"/>
      <c r="AY72" s="602">
        <f t="shared" si="22"/>
        <v>0</v>
      </c>
      <c r="AZ72" s="940"/>
      <c r="BA72" s="962"/>
      <c r="BB72" s="962"/>
      <c r="BC72" s="598"/>
      <c r="BD72" s="665">
        <v>12</v>
      </c>
      <c r="BE72" s="596">
        <v>0</v>
      </c>
      <c r="BF72" s="596">
        <f t="shared" si="27"/>
        <v>12</v>
      </c>
      <c r="BG72" s="728">
        <v>19</v>
      </c>
      <c r="BH72" s="728">
        <v>10</v>
      </c>
      <c r="BI72" s="729">
        <f t="shared" si="23"/>
        <v>29</v>
      </c>
      <c r="BJ72" s="729"/>
      <c r="BK72" s="616">
        <v>600</v>
      </c>
      <c r="BL72" s="603">
        <f t="shared" si="24"/>
        <v>12</v>
      </c>
      <c r="BM72" s="964"/>
      <c r="BN72" s="602">
        <f t="shared" si="44"/>
        <v>0</v>
      </c>
      <c r="BO72" s="940"/>
      <c r="BP72" s="593">
        <f t="shared" si="45"/>
        <v>0</v>
      </c>
      <c r="BS72" s="741">
        <v>0</v>
      </c>
      <c r="BT72" s="741">
        <v>0</v>
      </c>
      <c r="BU72" s="741">
        <f t="shared" si="46"/>
        <v>0</v>
      </c>
      <c r="BV72" s="741">
        <v>0</v>
      </c>
      <c r="BW72" s="741"/>
      <c r="BX72" s="741">
        <v>0</v>
      </c>
      <c r="BY72" s="741">
        <v>0</v>
      </c>
      <c r="BZ72" s="741">
        <f t="shared" si="25"/>
        <v>0</v>
      </c>
      <c r="CA72" s="741">
        <v>0</v>
      </c>
      <c r="CB72" s="741"/>
      <c r="CC72" s="741">
        <f t="shared" si="47"/>
        <v>0</v>
      </c>
      <c r="CD72" s="751"/>
      <c r="CE72" s="748"/>
      <c r="CF72" s="748"/>
      <c r="CG72" s="748">
        <f t="shared" si="48"/>
        <v>0</v>
      </c>
      <c r="CH72" s="759"/>
      <c r="CI72" s="742"/>
      <c r="CJ72" s="591">
        <f t="shared" si="49"/>
        <v>0</v>
      </c>
    </row>
    <row r="73" spans="1:88" ht="58.5" customHeight="1" x14ac:dyDescent="0.25">
      <c r="A73" s="596"/>
      <c r="B73" s="596" t="s">
        <v>30</v>
      </c>
      <c r="C73" s="597" t="s">
        <v>537</v>
      </c>
      <c r="D73" s="166" t="s">
        <v>431</v>
      </c>
      <c r="E73" s="598">
        <v>0</v>
      </c>
      <c r="F73" s="596">
        <v>0</v>
      </c>
      <c r="G73" s="598"/>
      <c r="H73" s="596"/>
      <c r="I73" s="596">
        <f t="shared" si="13"/>
        <v>0</v>
      </c>
      <c r="J73" s="728"/>
      <c r="K73" s="728"/>
      <c r="L73" s="731">
        <f t="shared" si="14"/>
        <v>0</v>
      </c>
      <c r="M73" s="947"/>
      <c r="N73" s="617"/>
      <c r="O73" s="602">
        <f t="shared" si="50"/>
        <v>0</v>
      </c>
      <c r="P73" s="940"/>
      <c r="Q73" s="600">
        <f t="shared" si="40"/>
        <v>0</v>
      </c>
      <c r="R73" s="940"/>
      <c r="S73" s="596">
        <v>0</v>
      </c>
      <c r="T73" s="724"/>
      <c r="U73" s="728"/>
      <c r="V73" s="728"/>
      <c r="W73" s="731">
        <f t="shared" si="16"/>
        <v>0</v>
      </c>
      <c r="X73" s="947"/>
      <c r="Y73" s="616"/>
      <c r="Z73" s="602">
        <f t="shared" si="17"/>
        <v>0</v>
      </c>
      <c r="AA73" s="835"/>
      <c r="AB73" s="602">
        <f t="shared" si="18"/>
        <v>0</v>
      </c>
      <c r="AC73" s="940"/>
      <c r="AD73" s="956"/>
      <c r="AE73" s="956"/>
      <c r="AF73" s="598">
        <v>0</v>
      </c>
      <c r="AG73" s="596"/>
      <c r="AH73" s="728"/>
      <c r="AI73" s="728"/>
      <c r="AJ73" s="729">
        <f t="shared" si="41"/>
        <v>0</v>
      </c>
      <c r="AK73" s="946"/>
      <c r="AL73" s="616"/>
      <c r="AM73" s="602">
        <f t="shared" si="19"/>
        <v>0</v>
      </c>
      <c r="AN73" s="835"/>
      <c r="AO73" s="835">
        <f t="shared" si="42"/>
        <v>0</v>
      </c>
      <c r="AP73" s="940"/>
      <c r="AQ73" s="722">
        <v>8</v>
      </c>
      <c r="AR73" s="728">
        <v>21</v>
      </c>
      <c r="AS73" s="728">
        <v>2</v>
      </c>
      <c r="AT73" s="729">
        <f t="shared" si="43"/>
        <v>23</v>
      </c>
      <c r="AU73" s="946"/>
      <c r="AV73" s="616">
        <v>120</v>
      </c>
      <c r="AW73" s="602">
        <f t="shared" si="21"/>
        <v>8</v>
      </c>
      <c r="AX73" s="940"/>
      <c r="AY73" s="602">
        <f t="shared" si="22"/>
        <v>0</v>
      </c>
      <c r="AZ73" s="940"/>
      <c r="BA73" s="962"/>
      <c r="BB73" s="962"/>
      <c r="BC73" s="598"/>
      <c r="BD73" s="665">
        <v>0</v>
      </c>
      <c r="BE73" s="596">
        <v>0</v>
      </c>
      <c r="BF73" s="596">
        <f t="shared" si="27"/>
        <v>0</v>
      </c>
      <c r="BG73" s="728"/>
      <c r="BH73" s="728"/>
      <c r="BI73" s="729">
        <f t="shared" si="23"/>
        <v>0</v>
      </c>
      <c r="BJ73" s="729"/>
      <c r="BK73" s="616"/>
      <c r="BL73" s="603">
        <f t="shared" si="24"/>
        <v>0</v>
      </c>
      <c r="BM73" s="964"/>
      <c r="BN73" s="602">
        <f t="shared" si="44"/>
        <v>0</v>
      </c>
      <c r="BO73" s="940"/>
      <c r="BP73" s="593">
        <f t="shared" si="45"/>
        <v>0</v>
      </c>
      <c r="BS73" s="741">
        <v>0</v>
      </c>
      <c r="BT73" s="741">
        <v>0</v>
      </c>
      <c r="BU73" s="741">
        <f t="shared" si="46"/>
        <v>0</v>
      </c>
      <c r="BV73" s="741">
        <v>0</v>
      </c>
      <c r="BW73" s="741"/>
      <c r="BX73" s="741">
        <v>0</v>
      </c>
      <c r="BY73" s="741">
        <v>0</v>
      </c>
      <c r="BZ73" s="741">
        <f t="shared" si="25"/>
        <v>0</v>
      </c>
      <c r="CA73" s="741">
        <v>0</v>
      </c>
      <c r="CB73" s="741"/>
      <c r="CC73" s="741">
        <f t="shared" si="47"/>
        <v>0</v>
      </c>
      <c r="CD73" s="751"/>
      <c r="CE73" s="748"/>
      <c r="CF73" s="748"/>
      <c r="CG73" s="748">
        <f t="shared" si="48"/>
        <v>0</v>
      </c>
      <c r="CH73" s="759"/>
      <c r="CI73" s="742"/>
      <c r="CJ73" s="591">
        <f t="shared" si="49"/>
        <v>0</v>
      </c>
    </row>
    <row r="74" spans="1:88" ht="63.75" customHeight="1" x14ac:dyDescent="0.25">
      <c r="A74" s="596" t="s">
        <v>28</v>
      </c>
      <c r="B74" s="596" t="s">
        <v>30</v>
      </c>
      <c r="C74" s="597" t="s">
        <v>41</v>
      </c>
      <c r="D74" s="204" t="s">
        <v>431</v>
      </c>
      <c r="E74" s="598">
        <v>18</v>
      </c>
      <c r="F74" s="596">
        <v>0</v>
      </c>
      <c r="G74" s="598">
        <v>18</v>
      </c>
      <c r="H74" s="596"/>
      <c r="I74" s="596">
        <f t="shared" ref="I74:I139" si="51">F74-H74</f>
        <v>0</v>
      </c>
      <c r="J74" s="728">
        <f>17</f>
        <v>17</v>
      </c>
      <c r="K74" s="728">
        <f>8</f>
        <v>8</v>
      </c>
      <c r="L74" s="731">
        <f t="shared" si="14"/>
        <v>25</v>
      </c>
      <c r="M74" s="947"/>
      <c r="N74" s="617">
        <v>270</v>
      </c>
      <c r="O74" s="602">
        <f t="shared" si="50"/>
        <v>18</v>
      </c>
      <c r="P74" s="940"/>
      <c r="Q74" s="600">
        <f t="shared" si="40"/>
        <v>0</v>
      </c>
      <c r="R74" s="940"/>
      <c r="S74" s="596">
        <v>0</v>
      </c>
      <c r="T74" s="724"/>
      <c r="U74" s="728"/>
      <c r="V74" s="728"/>
      <c r="W74" s="731">
        <f t="shared" si="16"/>
        <v>0</v>
      </c>
      <c r="X74" s="947"/>
      <c r="Y74" s="616"/>
      <c r="Z74" s="602">
        <f t="shared" si="17"/>
        <v>0</v>
      </c>
      <c r="AA74" s="835"/>
      <c r="AB74" s="602">
        <f t="shared" si="18"/>
        <v>0</v>
      </c>
      <c r="AC74" s="940"/>
      <c r="AD74" s="956"/>
      <c r="AE74" s="956"/>
      <c r="AF74" s="598">
        <v>0</v>
      </c>
      <c r="AG74" s="596"/>
      <c r="AH74" s="728"/>
      <c r="AI74" s="728"/>
      <c r="AJ74" s="729">
        <f t="shared" si="41"/>
        <v>0</v>
      </c>
      <c r="AK74" s="946"/>
      <c r="AL74" s="616"/>
      <c r="AM74" s="602">
        <f t="shared" si="19"/>
        <v>0</v>
      </c>
      <c r="AN74" s="835"/>
      <c r="AO74" s="835">
        <f t="shared" si="42"/>
        <v>0</v>
      </c>
      <c r="AP74" s="940"/>
      <c r="AQ74" s="722">
        <v>0</v>
      </c>
      <c r="AR74" s="728"/>
      <c r="AS74" s="728"/>
      <c r="AT74" s="729">
        <f t="shared" si="43"/>
        <v>0</v>
      </c>
      <c r="AU74" s="946"/>
      <c r="AV74" s="616"/>
      <c r="AW74" s="602">
        <f t="shared" si="21"/>
        <v>0</v>
      </c>
      <c r="AX74" s="940"/>
      <c r="AY74" s="602">
        <f t="shared" si="22"/>
        <v>0</v>
      </c>
      <c r="AZ74" s="940"/>
      <c r="BA74" s="962"/>
      <c r="BB74" s="962"/>
      <c r="BC74" s="598"/>
      <c r="BD74" s="665">
        <v>18</v>
      </c>
      <c r="BE74" s="596">
        <v>18</v>
      </c>
      <c r="BF74" s="596">
        <f t="shared" si="27"/>
        <v>0</v>
      </c>
      <c r="BG74" s="728">
        <v>17</v>
      </c>
      <c r="BH74" s="728">
        <v>8</v>
      </c>
      <c r="BI74" s="729">
        <f t="shared" si="23"/>
        <v>25</v>
      </c>
      <c r="BJ74" s="729"/>
      <c r="BK74" s="616">
        <v>900</v>
      </c>
      <c r="BL74" s="603">
        <f t="shared" si="24"/>
        <v>18</v>
      </c>
      <c r="BM74" s="964"/>
      <c r="BN74" s="602">
        <f t="shared" si="44"/>
        <v>0</v>
      </c>
      <c r="BO74" s="940"/>
      <c r="BP74" s="593">
        <f t="shared" si="45"/>
        <v>0</v>
      </c>
      <c r="BS74" s="741">
        <v>0</v>
      </c>
      <c r="BT74" s="741">
        <v>0</v>
      </c>
      <c r="BU74" s="741">
        <f t="shared" si="46"/>
        <v>0</v>
      </c>
      <c r="BV74" s="741">
        <v>0</v>
      </c>
      <c r="BW74" s="741"/>
      <c r="BX74" s="741">
        <v>0</v>
      </c>
      <c r="BY74" s="741">
        <v>0</v>
      </c>
      <c r="BZ74" s="741">
        <f t="shared" si="25"/>
        <v>0</v>
      </c>
      <c r="CA74" s="741">
        <v>0</v>
      </c>
      <c r="CB74" s="741"/>
      <c r="CC74" s="741">
        <f t="shared" si="47"/>
        <v>0</v>
      </c>
      <c r="CD74" s="751"/>
      <c r="CE74" s="748"/>
      <c r="CF74" s="748"/>
      <c r="CG74" s="748">
        <f t="shared" si="48"/>
        <v>0</v>
      </c>
      <c r="CH74" s="759"/>
      <c r="CI74" s="742"/>
      <c r="CJ74" s="591">
        <f t="shared" si="49"/>
        <v>0</v>
      </c>
    </row>
    <row r="75" spans="1:88" ht="21.6" customHeight="1" x14ac:dyDescent="0.25">
      <c r="A75" s="596"/>
      <c r="B75" s="596"/>
      <c r="C75" s="597"/>
      <c r="D75" s="143"/>
      <c r="E75" s="598">
        <v>0</v>
      </c>
      <c r="F75" s="596">
        <v>0</v>
      </c>
      <c r="G75" s="598"/>
      <c r="H75" s="596"/>
      <c r="I75" s="596">
        <f t="shared" si="51"/>
        <v>0</v>
      </c>
      <c r="J75" s="728"/>
      <c r="K75" s="728"/>
      <c r="L75" s="731">
        <f t="shared" si="14"/>
        <v>0</v>
      </c>
      <c r="M75" s="947"/>
      <c r="N75" s="617"/>
      <c r="O75" s="602">
        <f t="shared" si="50"/>
        <v>0</v>
      </c>
      <c r="P75" s="940"/>
      <c r="Q75" s="600">
        <f t="shared" si="40"/>
        <v>0</v>
      </c>
      <c r="R75" s="940"/>
      <c r="S75" s="596">
        <v>0</v>
      </c>
      <c r="T75" s="724"/>
      <c r="U75" s="728"/>
      <c r="V75" s="728"/>
      <c r="W75" s="731">
        <f t="shared" si="16"/>
        <v>0</v>
      </c>
      <c r="X75" s="947"/>
      <c r="Y75" s="616"/>
      <c r="Z75" s="602">
        <f t="shared" si="17"/>
        <v>0</v>
      </c>
      <c r="AA75" s="835"/>
      <c r="AB75" s="602">
        <f t="shared" si="18"/>
        <v>0</v>
      </c>
      <c r="AC75" s="940"/>
      <c r="AD75" s="956"/>
      <c r="AE75" s="956"/>
      <c r="AF75" s="598"/>
      <c r="AG75" s="596"/>
      <c r="AH75" s="728"/>
      <c r="AI75" s="728"/>
      <c r="AJ75" s="729">
        <f t="shared" si="41"/>
        <v>0</v>
      </c>
      <c r="AK75" s="946"/>
      <c r="AL75" s="616"/>
      <c r="AM75" s="602">
        <f t="shared" si="19"/>
        <v>0</v>
      </c>
      <c r="AN75" s="835"/>
      <c r="AO75" s="835">
        <f t="shared" si="42"/>
        <v>0</v>
      </c>
      <c r="AP75" s="940"/>
      <c r="AQ75" s="722">
        <v>0</v>
      </c>
      <c r="AR75" s="728"/>
      <c r="AS75" s="728"/>
      <c r="AT75" s="729">
        <f t="shared" si="43"/>
        <v>0</v>
      </c>
      <c r="AU75" s="946"/>
      <c r="AV75" s="616"/>
      <c r="AW75" s="602">
        <f t="shared" si="21"/>
        <v>0</v>
      </c>
      <c r="AX75" s="940"/>
      <c r="AY75" s="602">
        <f t="shared" si="22"/>
        <v>0</v>
      </c>
      <c r="AZ75" s="940"/>
      <c r="BA75" s="962"/>
      <c r="BB75" s="962"/>
      <c r="BC75" s="611"/>
      <c r="BD75" s="712"/>
      <c r="BE75" s="596"/>
      <c r="BF75" s="596">
        <f t="shared" si="27"/>
        <v>0</v>
      </c>
      <c r="BG75" s="728"/>
      <c r="BH75" s="728"/>
      <c r="BI75" s="729">
        <f t="shared" si="23"/>
        <v>0</v>
      </c>
      <c r="BJ75" s="729"/>
      <c r="BK75" s="616"/>
      <c r="BL75" s="603">
        <f t="shared" si="24"/>
        <v>0</v>
      </c>
      <c r="BM75" s="964"/>
      <c r="BN75" s="602">
        <f t="shared" si="44"/>
        <v>0</v>
      </c>
      <c r="BO75" s="940"/>
      <c r="BP75" s="593">
        <f t="shared" si="45"/>
        <v>0</v>
      </c>
      <c r="BS75" s="741">
        <v>0</v>
      </c>
      <c r="BT75" s="741">
        <v>0</v>
      </c>
      <c r="BU75" s="741">
        <f t="shared" si="46"/>
        <v>0</v>
      </c>
      <c r="BV75" s="741">
        <v>0</v>
      </c>
      <c r="BW75" s="741"/>
      <c r="BX75" s="741">
        <v>0</v>
      </c>
      <c r="BY75" s="741">
        <v>0</v>
      </c>
      <c r="BZ75" s="741">
        <f t="shared" si="25"/>
        <v>0</v>
      </c>
      <c r="CA75" s="741">
        <v>0</v>
      </c>
      <c r="CB75" s="741"/>
      <c r="CC75" s="741">
        <f t="shared" si="47"/>
        <v>0</v>
      </c>
      <c r="CD75" s="751"/>
      <c r="CE75" s="748"/>
      <c r="CF75" s="748"/>
      <c r="CG75" s="748">
        <f t="shared" si="48"/>
        <v>0</v>
      </c>
      <c r="CH75" s="759"/>
      <c r="CI75" s="742"/>
      <c r="CJ75" s="591">
        <f t="shared" si="49"/>
        <v>0</v>
      </c>
    </row>
    <row r="76" spans="1:88" s="593" customFormat="1" ht="63" customHeight="1" x14ac:dyDescent="0.25">
      <c r="A76" s="606"/>
      <c r="B76" s="606" t="s">
        <v>42</v>
      </c>
      <c r="C76" s="607" t="s">
        <v>280</v>
      </c>
      <c r="D76" s="182" t="s">
        <v>431</v>
      </c>
      <c r="E76" s="608">
        <v>22</v>
      </c>
      <c r="F76" s="606">
        <v>142</v>
      </c>
      <c r="G76" s="608">
        <v>22</v>
      </c>
      <c r="H76" s="606">
        <v>142</v>
      </c>
      <c r="I76" s="606">
        <f t="shared" si="51"/>
        <v>0</v>
      </c>
      <c r="J76" s="728">
        <v>7</v>
      </c>
      <c r="K76" s="728">
        <v>11</v>
      </c>
      <c r="L76" s="731">
        <f t="shared" ref="L76:L139" si="52">J76+K76</f>
        <v>18</v>
      </c>
      <c r="M76" s="947">
        <f>SUM(L76:L89)</f>
        <v>140</v>
      </c>
      <c r="N76" s="617">
        <v>330</v>
      </c>
      <c r="O76" s="602">
        <f t="shared" si="50"/>
        <v>22</v>
      </c>
      <c r="P76" s="940">
        <f>SUM(O76:O89)</f>
        <v>142</v>
      </c>
      <c r="Q76" s="600">
        <f t="shared" si="40"/>
        <v>0</v>
      </c>
      <c r="R76" s="940">
        <f>SUM(Q76:Q89)</f>
        <v>0</v>
      </c>
      <c r="S76" s="596">
        <v>0</v>
      </c>
      <c r="T76" s="724">
        <f>SUM(S76:S89)</f>
        <v>0</v>
      </c>
      <c r="U76" s="728"/>
      <c r="V76" s="728"/>
      <c r="W76" s="731">
        <f t="shared" ref="W76:W139" si="53">U76+V76</f>
        <v>0</v>
      </c>
      <c r="X76" s="947">
        <f>SUM(W76:W89)</f>
        <v>0</v>
      </c>
      <c r="Y76" s="616"/>
      <c r="Z76" s="602">
        <f t="shared" ref="Z76:Z141" si="54">Y76/15</f>
        <v>0</v>
      </c>
      <c r="AA76" s="835">
        <f>SUM(Z76:Z89)</f>
        <v>0</v>
      </c>
      <c r="AB76" s="602">
        <f t="shared" ref="AB76:AB141" si="55">S76-Z76</f>
        <v>0</v>
      </c>
      <c r="AC76" s="940">
        <f>SUM(AB76:AB89)</f>
        <v>0</v>
      </c>
      <c r="AD76" s="955">
        <f>M76+X76</f>
        <v>140</v>
      </c>
      <c r="AE76" s="955">
        <f>R76+AC76</f>
        <v>0</v>
      </c>
      <c r="AF76" s="608">
        <v>25</v>
      </c>
      <c r="AG76" s="606">
        <v>137.33333333333331</v>
      </c>
      <c r="AH76" s="728">
        <v>9</v>
      </c>
      <c r="AI76" s="728">
        <v>8</v>
      </c>
      <c r="AJ76" s="729">
        <f t="shared" si="41"/>
        <v>17</v>
      </c>
      <c r="AK76" s="946">
        <f>SUM(AJ76:AJ89)</f>
        <v>156</v>
      </c>
      <c r="AL76" s="616">
        <v>375</v>
      </c>
      <c r="AM76" s="602">
        <f t="shared" ref="AM76:AM141" si="56">AL76/15</f>
        <v>25</v>
      </c>
      <c r="AN76" s="835">
        <f>SUM(AM76:AM89)</f>
        <v>137.33333333333331</v>
      </c>
      <c r="AO76" s="835">
        <f t="shared" si="42"/>
        <v>0</v>
      </c>
      <c r="AP76" s="940">
        <f>SUM(AO76:AO89)</f>
        <v>0</v>
      </c>
      <c r="AQ76" s="722">
        <v>0</v>
      </c>
      <c r="AR76" s="728"/>
      <c r="AS76" s="728"/>
      <c r="AT76" s="729">
        <f t="shared" si="43"/>
        <v>0</v>
      </c>
      <c r="AU76" s="946">
        <f>SUM(AT76:AT89)</f>
        <v>0</v>
      </c>
      <c r="AV76" s="616"/>
      <c r="AW76" s="602">
        <f t="shared" ref="AW76:AW141" si="57">AV76/15</f>
        <v>0</v>
      </c>
      <c r="AX76" s="940">
        <f>SUM(AW76:AW89)</f>
        <v>0</v>
      </c>
      <c r="AY76" s="602">
        <f t="shared" ref="AY76:AY141" si="58">AQ76-AW76</f>
        <v>0</v>
      </c>
      <c r="AZ76" s="940">
        <f>SUM(AY76:AY89)</f>
        <v>0</v>
      </c>
      <c r="BA76" s="961">
        <f>AK76+AU76</f>
        <v>156</v>
      </c>
      <c r="BB76" s="961">
        <f>AP76+AZ76</f>
        <v>0</v>
      </c>
      <c r="BC76" s="608">
        <f>SUM(BD76:BD89)</f>
        <v>279</v>
      </c>
      <c r="BD76" s="713">
        <v>47</v>
      </c>
      <c r="BE76" s="606">
        <v>47</v>
      </c>
      <c r="BF76" s="596">
        <f t="shared" si="27"/>
        <v>0</v>
      </c>
      <c r="BG76" s="728">
        <f>9+7</f>
        <v>16</v>
      </c>
      <c r="BH76" s="728">
        <f>8+11</f>
        <v>19</v>
      </c>
      <c r="BI76" s="729">
        <f t="shared" ref="BI76:BI139" si="59">BG76+BH76</f>
        <v>35</v>
      </c>
      <c r="BJ76" s="729">
        <f>SUM(BI76:BI89)</f>
        <v>308</v>
      </c>
      <c r="BK76" s="616">
        <f>1250+1150</f>
        <v>2400</v>
      </c>
      <c r="BL76" s="603">
        <f t="shared" ref="BL76:BL141" si="60">BK76/50</f>
        <v>48</v>
      </c>
      <c r="BM76" s="964">
        <f>SUM(BL76:BL89)</f>
        <v>280</v>
      </c>
      <c r="BN76" s="602">
        <f t="shared" si="44"/>
        <v>-1</v>
      </c>
      <c r="BO76" s="940">
        <f>SUM(BN76:BN89)</f>
        <v>-1</v>
      </c>
      <c r="BP76" s="593">
        <f t="shared" si="45"/>
        <v>-1</v>
      </c>
      <c r="BS76" s="744">
        <v>0</v>
      </c>
      <c r="BT76" s="744">
        <v>0</v>
      </c>
      <c r="BU76" s="741">
        <f t="shared" si="46"/>
        <v>0</v>
      </c>
      <c r="BV76" s="744">
        <v>0</v>
      </c>
      <c r="BW76" s="744">
        <f>SUM(BV76:BV89)</f>
        <v>0</v>
      </c>
      <c r="BX76" s="744">
        <v>0</v>
      </c>
      <c r="BY76" s="744">
        <v>0</v>
      </c>
      <c r="BZ76" s="741">
        <f t="shared" ref="BZ76:BZ139" si="61">BX76+BY76</f>
        <v>0</v>
      </c>
      <c r="CA76" s="744">
        <v>0</v>
      </c>
      <c r="CB76" s="744">
        <f>SUM(CA76:CA89)</f>
        <v>0</v>
      </c>
      <c r="CC76" s="741">
        <f t="shared" si="47"/>
        <v>0</v>
      </c>
      <c r="CD76" s="754">
        <f>SUM(CC76:CC89)</f>
        <v>0</v>
      </c>
      <c r="CE76" s="748"/>
      <c r="CF76" s="748"/>
      <c r="CG76" s="748">
        <f t="shared" si="48"/>
        <v>0</v>
      </c>
      <c r="CH76" s="765"/>
      <c r="CI76" s="744">
        <f>SUM(CH76:CH89)</f>
        <v>0</v>
      </c>
      <c r="CJ76" s="593">
        <f t="shared" si="49"/>
        <v>-1</v>
      </c>
    </row>
    <row r="77" spans="1:88" ht="46.5" customHeight="1" x14ac:dyDescent="0.25">
      <c r="A77" s="596" t="s">
        <v>28</v>
      </c>
      <c r="B77" s="596" t="s">
        <v>42</v>
      </c>
      <c r="C77" s="597" t="s">
        <v>43</v>
      </c>
      <c r="D77" s="182" t="s">
        <v>437</v>
      </c>
      <c r="E77" s="598">
        <v>3</v>
      </c>
      <c r="F77" s="596">
        <v>0</v>
      </c>
      <c r="G77" s="598">
        <v>3</v>
      </c>
      <c r="H77" s="596"/>
      <c r="I77" s="596">
        <f t="shared" si="51"/>
        <v>0</v>
      </c>
      <c r="J77" s="728">
        <v>5</v>
      </c>
      <c r="K77" s="728"/>
      <c r="L77" s="731">
        <f t="shared" si="52"/>
        <v>5</v>
      </c>
      <c r="M77" s="947"/>
      <c r="N77" s="617">
        <v>45</v>
      </c>
      <c r="O77" s="602">
        <f t="shared" si="50"/>
        <v>3</v>
      </c>
      <c r="P77" s="940"/>
      <c r="Q77" s="600">
        <f t="shared" si="40"/>
        <v>0</v>
      </c>
      <c r="R77" s="940"/>
      <c r="S77" s="596">
        <v>0</v>
      </c>
      <c r="T77" s="724"/>
      <c r="U77" s="728"/>
      <c r="V77" s="728"/>
      <c r="W77" s="731">
        <f t="shared" si="53"/>
        <v>0</v>
      </c>
      <c r="X77" s="947"/>
      <c r="Y77" s="616"/>
      <c r="Z77" s="602">
        <f t="shared" si="54"/>
        <v>0</v>
      </c>
      <c r="AA77" s="835"/>
      <c r="AB77" s="602">
        <f t="shared" si="55"/>
        <v>0</v>
      </c>
      <c r="AC77" s="940"/>
      <c r="AD77" s="956"/>
      <c r="AE77" s="956"/>
      <c r="AF77" s="598">
        <v>34</v>
      </c>
      <c r="AG77" s="596"/>
      <c r="AH77" s="728">
        <v>39</v>
      </c>
      <c r="AI77" s="728">
        <v>20</v>
      </c>
      <c r="AJ77" s="729">
        <f t="shared" si="41"/>
        <v>59</v>
      </c>
      <c r="AK77" s="946"/>
      <c r="AL77" s="616">
        <v>510</v>
      </c>
      <c r="AM77" s="602">
        <f t="shared" si="56"/>
        <v>34</v>
      </c>
      <c r="AN77" s="835"/>
      <c r="AO77" s="835">
        <f t="shared" si="42"/>
        <v>0</v>
      </c>
      <c r="AP77" s="940"/>
      <c r="AQ77" s="722">
        <v>0</v>
      </c>
      <c r="AR77" s="728"/>
      <c r="AS77" s="728"/>
      <c r="AT77" s="729">
        <f t="shared" si="43"/>
        <v>0</v>
      </c>
      <c r="AU77" s="946"/>
      <c r="AV77" s="616"/>
      <c r="AW77" s="602">
        <f t="shared" si="57"/>
        <v>0</v>
      </c>
      <c r="AX77" s="940"/>
      <c r="AY77" s="602">
        <f t="shared" si="58"/>
        <v>0</v>
      </c>
      <c r="AZ77" s="940"/>
      <c r="BA77" s="962"/>
      <c r="BB77" s="962"/>
      <c r="BC77" s="598"/>
      <c r="BD77" s="665">
        <v>37</v>
      </c>
      <c r="BE77" s="596">
        <v>37</v>
      </c>
      <c r="BF77" s="596">
        <f t="shared" ref="BF77:BF142" si="62">BD77-BE77</f>
        <v>0</v>
      </c>
      <c r="BG77" s="728">
        <f>39+5</f>
        <v>44</v>
      </c>
      <c r="BH77" s="728">
        <v>20</v>
      </c>
      <c r="BI77" s="729">
        <f t="shared" si="59"/>
        <v>64</v>
      </c>
      <c r="BJ77" s="729"/>
      <c r="BK77" s="616">
        <f>1700+150</f>
        <v>1850</v>
      </c>
      <c r="BL77" s="603">
        <f t="shared" si="60"/>
        <v>37</v>
      </c>
      <c r="BM77" s="964"/>
      <c r="BN77" s="602">
        <f t="shared" si="44"/>
        <v>0</v>
      </c>
      <c r="BO77" s="940"/>
      <c r="BP77" s="593">
        <f t="shared" si="45"/>
        <v>0</v>
      </c>
      <c r="BS77" s="741">
        <v>0</v>
      </c>
      <c r="BT77" s="741">
        <v>0</v>
      </c>
      <c r="BU77" s="741">
        <f t="shared" si="46"/>
        <v>0</v>
      </c>
      <c r="BV77" s="741">
        <v>0</v>
      </c>
      <c r="BW77" s="741"/>
      <c r="BX77" s="741">
        <v>0</v>
      </c>
      <c r="BY77" s="741">
        <v>0</v>
      </c>
      <c r="BZ77" s="741">
        <f t="shared" si="61"/>
        <v>0</v>
      </c>
      <c r="CA77" s="741">
        <v>0</v>
      </c>
      <c r="CB77" s="741"/>
      <c r="CC77" s="741">
        <f t="shared" si="47"/>
        <v>0</v>
      </c>
      <c r="CD77" s="751"/>
      <c r="CE77" s="748"/>
      <c r="CF77" s="748"/>
      <c r="CG77" s="748">
        <f t="shared" si="48"/>
        <v>0</v>
      </c>
      <c r="CH77" s="759"/>
      <c r="CI77" s="742"/>
      <c r="CJ77" s="591">
        <f t="shared" si="49"/>
        <v>0</v>
      </c>
    </row>
    <row r="78" spans="1:88" ht="21.6" customHeight="1" x14ac:dyDescent="0.25">
      <c r="A78" s="726"/>
      <c r="B78" s="726" t="s">
        <v>42</v>
      </c>
      <c r="C78" s="597" t="s">
        <v>770</v>
      </c>
      <c r="D78" s="182" t="s">
        <v>437</v>
      </c>
      <c r="E78" s="598"/>
      <c r="F78" s="726"/>
      <c r="G78" s="598"/>
      <c r="H78" s="726"/>
      <c r="I78" s="726"/>
      <c r="J78" s="728"/>
      <c r="K78" s="728"/>
      <c r="L78" s="731">
        <f t="shared" si="52"/>
        <v>0</v>
      </c>
      <c r="M78" s="947"/>
      <c r="N78" s="617"/>
      <c r="O78" s="602"/>
      <c r="P78" s="940"/>
      <c r="Q78" s="600"/>
      <c r="R78" s="940"/>
      <c r="S78" s="726"/>
      <c r="T78" s="726"/>
      <c r="U78" s="728"/>
      <c r="V78" s="728"/>
      <c r="W78" s="731">
        <f t="shared" si="53"/>
        <v>0</v>
      </c>
      <c r="X78" s="947"/>
      <c r="Y78" s="616"/>
      <c r="Z78" s="602"/>
      <c r="AA78" s="835"/>
      <c r="AB78" s="602"/>
      <c r="AC78" s="940"/>
      <c r="AD78" s="956"/>
      <c r="AE78" s="956"/>
      <c r="AF78" s="598"/>
      <c r="AG78" s="726"/>
      <c r="AH78" s="728"/>
      <c r="AI78" s="728"/>
      <c r="AJ78" s="729">
        <f t="shared" si="41"/>
        <v>0</v>
      </c>
      <c r="AK78" s="946"/>
      <c r="AL78" s="616"/>
      <c r="AM78" s="602"/>
      <c r="AN78" s="835"/>
      <c r="AO78" s="835"/>
      <c r="AP78" s="940"/>
      <c r="AQ78" s="722"/>
      <c r="AR78" s="728"/>
      <c r="AS78" s="728"/>
      <c r="AT78" s="729">
        <f t="shared" si="43"/>
        <v>0</v>
      </c>
      <c r="AU78" s="946"/>
      <c r="AV78" s="616"/>
      <c r="AW78" s="602"/>
      <c r="AX78" s="940"/>
      <c r="AY78" s="602"/>
      <c r="AZ78" s="940"/>
      <c r="BA78" s="962"/>
      <c r="BB78" s="962"/>
      <c r="BC78" s="598"/>
      <c r="BD78" s="665"/>
      <c r="BE78" s="726"/>
      <c r="BF78" s="726"/>
      <c r="BG78" s="728"/>
      <c r="BH78" s="728"/>
      <c r="BI78" s="729">
        <f t="shared" si="59"/>
        <v>0</v>
      </c>
      <c r="BJ78" s="729"/>
      <c r="BK78" s="616"/>
      <c r="BL78" s="603"/>
      <c r="BM78" s="964"/>
      <c r="BN78" s="602"/>
      <c r="BO78" s="940"/>
      <c r="BP78" s="593">
        <f t="shared" si="45"/>
        <v>0</v>
      </c>
      <c r="BS78" s="741">
        <v>0</v>
      </c>
      <c r="BT78" s="741">
        <v>0</v>
      </c>
      <c r="BU78" s="741">
        <f t="shared" si="46"/>
        <v>0</v>
      </c>
      <c r="BV78" s="741">
        <v>0</v>
      </c>
      <c r="BW78" s="741"/>
      <c r="BX78" s="741">
        <v>0</v>
      </c>
      <c r="BY78" s="741">
        <v>0</v>
      </c>
      <c r="BZ78" s="741">
        <f t="shared" si="61"/>
        <v>0</v>
      </c>
      <c r="CA78" s="741">
        <v>0</v>
      </c>
      <c r="CB78" s="741"/>
      <c r="CC78" s="741">
        <f t="shared" si="47"/>
        <v>0</v>
      </c>
      <c r="CD78" s="751"/>
      <c r="CE78" s="748"/>
      <c r="CF78" s="748"/>
      <c r="CG78" s="748">
        <f t="shared" si="48"/>
        <v>0</v>
      </c>
      <c r="CH78" s="759"/>
      <c r="CI78" s="742"/>
      <c r="CJ78" s="591">
        <f t="shared" si="49"/>
        <v>0</v>
      </c>
    </row>
    <row r="79" spans="1:88" ht="30.75" customHeight="1" x14ac:dyDescent="0.25">
      <c r="A79" s="596" t="s">
        <v>28</v>
      </c>
      <c r="B79" s="596" t="s">
        <v>42</v>
      </c>
      <c r="C79" s="597" t="s">
        <v>44</v>
      </c>
      <c r="D79" s="167" t="s">
        <v>431</v>
      </c>
      <c r="E79" s="598">
        <v>21</v>
      </c>
      <c r="F79" s="596">
        <v>0</v>
      </c>
      <c r="G79" s="598">
        <v>21</v>
      </c>
      <c r="H79" s="596"/>
      <c r="I79" s="596">
        <f t="shared" si="51"/>
        <v>0</v>
      </c>
      <c r="J79" s="728">
        <v>13</v>
      </c>
      <c r="K79" s="728">
        <v>8</v>
      </c>
      <c r="L79" s="731">
        <f t="shared" si="52"/>
        <v>21</v>
      </c>
      <c r="M79" s="947"/>
      <c r="N79" s="617">
        <v>315</v>
      </c>
      <c r="O79" s="602">
        <f t="shared" si="50"/>
        <v>21</v>
      </c>
      <c r="P79" s="940"/>
      <c r="Q79" s="600">
        <f>E79-O79</f>
        <v>0</v>
      </c>
      <c r="R79" s="940"/>
      <c r="S79" s="596">
        <v>0</v>
      </c>
      <c r="T79" s="724"/>
      <c r="U79" s="728"/>
      <c r="V79" s="728"/>
      <c r="W79" s="731">
        <f t="shared" si="53"/>
        <v>0</v>
      </c>
      <c r="X79" s="947"/>
      <c r="Y79" s="616"/>
      <c r="Z79" s="602">
        <f t="shared" si="54"/>
        <v>0</v>
      </c>
      <c r="AA79" s="835"/>
      <c r="AB79" s="602">
        <f t="shared" si="55"/>
        <v>0</v>
      </c>
      <c r="AC79" s="940"/>
      <c r="AD79" s="956"/>
      <c r="AE79" s="956"/>
      <c r="AF79" s="598">
        <v>0</v>
      </c>
      <c r="AG79" s="596"/>
      <c r="AH79" s="728"/>
      <c r="AI79" s="728"/>
      <c r="AJ79" s="729">
        <f t="shared" si="41"/>
        <v>0</v>
      </c>
      <c r="AK79" s="946"/>
      <c r="AL79" s="616"/>
      <c r="AM79" s="602">
        <f t="shared" si="56"/>
        <v>0</v>
      </c>
      <c r="AN79" s="835"/>
      <c r="AO79" s="835">
        <f>AF79-AM79</f>
        <v>0</v>
      </c>
      <c r="AP79" s="940"/>
      <c r="AQ79" s="722">
        <v>0</v>
      </c>
      <c r="AR79" s="728"/>
      <c r="AS79" s="728"/>
      <c r="AT79" s="729">
        <f t="shared" si="43"/>
        <v>0</v>
      </c>
      <c r="AU79" s="946"/>
      <c r="AV79" s="616"/>
      <c r="AW79" s="602">
        <f t="shared" si="57"/>
        <v>0</v>
      </c>
      <c r="AX79" s="940"/>
      <c r="AY79" s="602">
        <f t="shared" si="58"/>
        <v>0</v>
      </c>
      <c r="AZ79" s="940"/>
      <c r="BA79" s="962"/>
      <c r="BB79" s="962"/>
      <c r="BC79" s="598"/>
      <c r="BD79" s="665">
        <v>21</v>
      </c>
      <c r="BE79" s="596">
        <v>21</v>
      </c>
      <c r="BF79" s="596">
        <f t="shared" si="62"/>
        <v>0</v>
      </c>
      <c r="BG79" s="728">
        <v>13</v>
      </c>
      <c r="BH79" s="728">
        <v>8</v>
      </c>
      <c r="BI79" s="729">
        <f t="shared" si="59"/>
        <v>21</v>
      </c>
      <c r="BJ79" s="729"/>
      <c r="BK79" s="616">
        <v>1050</v>
      </c>
      <c r="BL79" s="603">
        <f t="shared" si="60"/>
        <v>21</v>
      </c>
      <c r="BM79" s="964"/>
      <c r="BN79" s="602">
        <f>BD79-BL79</f>
        <v>0</v>
      </c>
      <c r="BO79" s="940"/>
      <c r="BP79" s="593">
        <f t="shared" si="45"/>
        <v>0</v>
      </c>
      <c r="BS79" s="741">
        <v>0</v>
      </c>
      <c r="BT79" s="741">
        <v>0</v>
      </c>
      <c r="BU79" s="741">
        <f t="shared" si="46"/>
        <v>0</v>
      </c>
      <c r="BV79" s="741">
        <v>0</v>
      </c>
      <c r="BW79" s="741"/>
      <c r="BX79" s="741">
        <v>0</v>
      </c>
      <c r="BY79" s="741">
        <v>0</v>
      </c>
      <c r="BZ79" s="741">
        <f t="shared" si="61"/>
        <v>0</v>
      </c>
      <c r="CA79" s="741">
        <v>0</v>
      </c>
      <c r="CB79" s="741"/>
      <c r="CC79" s="741">
        <f t="shared" si="47"/>
        <v>0</v>
      </c>
      <c r="CD79" s="751"/>
      <c r="CE79" s="748"/>
      <c r="CF79" s="748"/>
      <c r="CG79" s="748">
        <f t="shared" si="48"/>
        <v>0</v>
      </c>
      <c r="CH79" s="759"/>
      <c r="CI79" s="742"/>
      <c r="CJ79" s="591">
        <f t="shared" si="49"/>
        <v>0</v>
      </c>
    </row>
    <row r="80" spans="1:88" ht="21.6" customHeight="1" x14ac:dyDescent="0.25">
      <c r="A80" s="596" t="s">
        <v>28</v>
      </c>
      <c r="B80" s="596" t="s">
        <v>42</v>
      </c>
      <c r="C80" s="597" t="s">
        <v>45</v>
      </c>
      <c r="D80" s="182" t="s">
        <v>437</v>
      </c>
      <c r="E80" s="598">
        <v>12.333333333333334</v>
      </c>
      <c r="F80" s="596">
        <v>0</v>
      </c>
      <c r="G80" s="598">
        <v>12.333333333333334</v>
      </c>
      <c r="H80" s="596"/>
      <c r="I80" s="596">
        <f t="shared" si="51"/>
        <v>0</v>
      </c>
      <c r="J80" s="728">
        <f>6</f>
        <v>6</v>
      </c>
      <c r="K80" s="728">
        <f>7</f>
        <v>7</v>
      </c>
      <c r="L80" s="731">
        <f t="shared" si="52"/>
        <v>13</v>
      </c>
      <c r="M80" s="947"/>
      <c r="N80" s="617">
        <v>185</v>
      </c>
      <c r="O80" s="602">
        <f t="shared" si="50"/>
        <v>12.333333333333334</v>
      </c>
      <c r="P80" s="940"/>
      <c r="Q80" s="600">
        <f>E80-O80</f>
        <v>0</v>
      </c>
      <c r="R80" s="940"/>
      <c r="S80" s="596">
        <v>0</v>
      </c>
      <c r="T80" s="724"/>
      <c r="U80" s="728"/>
      <c r="V80" s="728"/>
      <c r="W80" s="731">
        <f t="shared" si="53"/>
        <v>0</v>
      </c>
      <c r="X80" s="947"/>
      <c r="Y80" s="616"/>
      <c r="Z80" s="602">
        <f t="shared" si="54"/>
        <v>0</v>
      </c>
      <c r="AA80" s="835"/>
      <c r="AB80" s="602">
        <f t="shared" si="55"/>
        <v>0</v>
      </c>
      <c r="AC80" s="940"/>
      <c r="AD80" s="956"/>
      <c r="AE80" s="956"/>
      <c r="AF80" s="598">
        <v>2</v>
      </c>
      <c r="AG80" s="596"/>
      <c r="AH80" s="728"/>
      <c r="AI80" s="728">
        <v>2</v>
      </c>
      <c r="AJ80" s="729">
        <f t="shared" si="41"/>
        <v>2</v>
      </c>
      <c r="AK80" s="946"/>
      <c r="AL80" s="616">
        <v>30</v>
      </c>
      <c r="AM80" s="602">
        <f t="shared" si="56"/>
        <v>2</v>
      </c>
      <c r="AN80" s="835"/>
      <c r="AO80" s="835">
        <f>AF80-AM80</f>
        <v>0</v>
      </c>
      <c r="AP80" s="940"/>
      <c r="AQ80" s="722">
        <v>0</v>
      </c>
      <c r="AR80" s="728"/>
      <c r="AS80" s="728"/>
      <c r="AT80" s="729">
        <f t="shared" si="43"/>
        <v>0</v>
      </c>
      <c r="AU80" s="946"/>
      <c r="AV80" s="616"/>
      <c r="AW80" s="602">
        <f t="shared" si="57"/>
        <v>0</v>
      </c>
      <c r="AX80" s="940"/>
      <c r="AY80" s="602">
        <f t="shared" si="58"/>
        <v>0</v>
      </c>
      <c r="AZ80" s="940"/>
      <c r="BA80" s="962"/>
      <c r="BB80" s="962"/>
      <c r="BC80" s="598"/>
      <c r="BD80" s="665">
        <v>14</v>
      </c>
      <c r="BE80" s="596">
        <v>14</v>
      </c>
      <c r="BF80" s="596">
        <f t="shared" si="62"/>
        <v>0</v>
      </c>
      <c r="BG80" s="728">
        <v>6</v>
      </c>
      <c r="BH80" s="728">
        <f>2+7</f>
        <v>9</v>
      </c>
      <c r="BI80" s="729">
        <f t="shared" si="59"/>
        <v>15</v>
      </c>
      <c r="BJ80" s="729"/>
      <c r="BK80" s="616">
        <f>100+600</f>
        <v>700</v>
      </c>
      <c r="BL80" s="603">
        <f t="shared" si="60"/>
        <v>14</v>
      </c>
      <c r="BM80" s="964"/>
      <c r="BN80" s="602">
        <f>BD80-BL80</f>
        <v>0</v>
      </c>
      <c r="BO80" s="940"/>
      <c r="BP80" s="593">
        <f t="shared" si="45"/>
        <v>0</v>
      </c>
      <c r="BS80" s="741">
        <v>0</v>
      </c>
      <c r="BT80" s="741">
        <v>0</v>
      </c>
      <c r="BU80" s="741">
        <f t="shared" si="46"/>
        <v>0</v>
      </c>
      <c r="BV80" s="741">
        <v>0</v>
      </c>
      <c r="BW80" s="741"/>
      <c r="BX80" s="741">
        <v>0</v>
      </c>
      <c r="BY80" s="741">
        <v>0</v>
      </c>
      <c r="BZ80" s="741">
        <f t="shared" si="61"/>
        <v>0</v>
      </c>
      <c r="CA80" s="741">
        <v>0</v>
      </c>
      <c r="CB80" s="741"/>
      <c r="CC80" s="741">
        <f t="shared" si="47"/>
        <v>0</v>
      </c>
      <c r="CD80" s="751"/>
      <c r="CE80" s="748"/>
      <c r="CF80" s="748"/>
      <c r="CG80" s="748">
        <f t="shared" si="48"/>
        <v>0</v>
      </c>
      <c r="CH80" s="759"/>
      <c r="CI80" s="742"/>
      <c r="CJ80" s="591">
        <f t="shared" si="49"/>
        <v>0</v>
      </c>
    </row>
    <row r="81" spans="1:88" ht="33" customHeight="1" x14ac:dyDescent="0.25">
      <c r="A81" s="596" t="s">
        <v>28</v>
      </c>
      <c r="B81" s="596" t="s">
        <v>42</v>
      </c>
      <c r="C81" s="597" t="s">
        <v>46</v>
      </c>
      <c r="D81" s="182" t="s">
        <v>431</v>
      </c>
      <c r="E81" s="598">
        <v>3.6666666666666665</v>
      </c>
      <c r="F81" s="596">
        <v>0</v>
      </c>
      <c r="G81" s="598">
        <v>3.6666666666666665</v>
      </c>
      <c r="H81" s="596"/>
      <c r="I81" s="596">
        <f t="shared" si="51"/>
        <v>0</v>
      </c>
      <c r="J81" s="728">
        <f>2</f>
        <v>2</v>
      </c>
      <c r="K81" s="728">
        <f>2</f>
        <v>2</v>
      </c>
      <c r="L81" s="731">
        <f t="shared" si="52"/>
        <v>4</v>
      </c>
      <c r="M81" s="947"/>
      <c r="N81" s="617">
        <v>55</v>
      </c>
      <c r="O81" s="602">
        <f t="shared" si="50"/>
        <v>3.6666666666666665</v>
      </c>
      <c r="P81" s="940"/>
      <c r="Q81" s="600">
        <f>E81-O81</f>
        <v>0</v>
      </c>
      <c r="R81" s="940"/>
      <c r="S81" s="596">
        <v>0</v>
      </c>
      <c r="T81" s="724"/>
      <c r="U81" s="728"/>
      <c r="V81" s="728"/>
      <c r="W81" s="731">
        <f t="shared" si="53"/>
        <v>0</v>
      </c>
      <c r="X81" s="947"/>
      <c r="Y81" s="616"/>
      <c r="Z81" s="602">
        <f t="shared" si="54"/>
        <v>0</v>
      </c>
      <c r="AA81" s="835"/>
      <c r="AB81" s="602">
        <f t="shared" si="55"/>
        <v>0</v>
      </c>
      <c r="AC81" s="940"/>
      <c r="AD81" s="956"/>
      <c r="AE81" s="956"/>
      <c r="AF81" s="598">
        <v>31.333333333333332</v>
      </c>
      <c r="AG81" s="596"/>
      <c r="AH81" s="728">
        <v>18</v>
      </c>
      <c r="AI81" s="728">
        <v>15</v>
      </c>
      <c r="AJ81" s="729">
        <f t="shared" si="41"/>
        <v>33</v>
      </c>
      <c r="AK81" s="946"/>
      <c r="AL81" s="616">
        <v>470</v>
      </c>
      <c r="AM81" s="602">
        <f t="shared" si="56"/>
        <v>31.333333333333332</v>
      </c>
      <c r="AN81" s="835"/>
      <c r="AO81" s="835">
        <f>AF81-AM81</f>
        <v>0</v>
      </c>
      <c r="AP81" s="940"/>
      <c r="AQ81" s="722">
        <v>0</v>
      </c>
      <c r="AR81" s="728"/>
      <c r="AS81" s="728"/>
      <c r="AT81" s="729">
        <f t="shared" si="43"/>
        <v>0</v>
      </c>
      <c r="AU81" s="946"/>
      <c r="AV81" s="616"/>
      <c r="AW81" s="602">
        <f t="shared" si="57"/>
        <v>0</v>
      </c>
      <c r="AX81" s="940"/>
      <c r="AY81" s="602">
        <f t="shared" si="58"/>
        <v>0</v>
      </c>
      <c r="AZ81" s="940"/>
      <c r="BA81" s="962"/>
      <c r="BB81" s="962"/>
      <c r="BC81" s="598"/>
      <c r="BD81" s="665">
        <v>35</v>
      </c>
      <c r="BE81" s="596">
        <v>35</v>
      </c>
      <c r="BF81" s="596">
        <f t="shared" si="62"/>
        <v>0</v>
      </c>
      <c r="BG81" s="728">
        <f>18+1+2</f>
        <v>21</v>
      </c>
      <c r="BH81" s="728">
        <f>14+1+2</f>
        <v>17</v>
      </c>
      <c r="BI81" s="729">
        <f t="shared" si="59"/>
        <v>38</v>
      </c>
      <c r="BJ81" s="729"/>
      <c r="BK81" s="616">
        <f>200+1500+50</f>
        <v>1750</v>
      </c>
      <c r="BL81" s="603">
        <f t="shared" si="60"/>
        <v>35</v>
      </c>
      <c r="BM81" s="964"/>
      <c r="BN81" s="602">
        <f>BD81-BL81</f>
        <v>0</v>
      </c>
      <c r="BO81" s="940"/>
      <c r="BP81" s="593">
        <f t="shared" si="45"/>
        <v>0</v>
      </c>
      <c r="BS81" s="741">
        <v>0</v>
      </c>
      <c r="BT81" s="741">
        <v>0</v>
      </c>
      <c r="BU81" s="741">
        <f t="shared" si="46"/>
        <v>0</v>
      </c>
      <c r="BV81" s="741">
        <v>0</v>
      </c>
      <c r="BW81" s="741"/>
      <c r="BX81" s="741">
        <v>0</v>
      </c>
      <c r="BY81" s="741">
        <v>0</v>
      </c>
      <c r="BZ81" s="741">
        <f t="shared" si="61"/>
        <v>0</v>
      </c>
      <c r="CA81" s="741">
        <v>0</v>
      </c>
      <c r="CB81" s="741"/>
      <c r="CC81" s="741">
        <f t="shared" si="47"/>
        <v>0</v>
      </c>
      <c r="CD81" s="751"/>
      <c r="CE81" s="748"/>
      <c r="CF81" s="748"/>
      <c r="CG81" s="748">
        <f t="shared" si="48"/>
        <v>0</v>
      </c>
      <c r="CH81" s="759"/>
      <c r="CI81" s="742"/>
      <c r="CJ81" s="591">
        <f t="shared" si="49"/>
        <v>0</v>
      </c>
    </row>
    <row r="82" spans="1:88" ht="36.75" customHeight="1" x14ac:dyDescent="0.25">
      <c r="A82" s="596" t="s">
        <v>28</v>
      </c>
      <c r="B82" s="596" t="s">
        <v>42</v>
      </c>
      <c r="C82" s="597" t="s">
        <v>379</v>
      </c>
      <c r="D82" s="182" t="s">
        <v>431</v>
      </c>
      <c r="E82" s="598">
        <v>16</v>
      </c>
      <c r="F82" s="596">
        <v>0</v>
      </c>
      <c r="G82" s="598">
        <v>16</v>
      </c>
      <c r="H82" s="596"/>
      <c r="I82" s="596">
        <f t="shared" si="51"/>
        <v>0</v>
      </c>
      <c r="J82" s="728">
        <f>10</f>
        <v>10</v>
      </c>
      <c r="K82" s="728">
        <f>6</f>
        <v>6</v>
      </c>
      <c r="L82" s="731">
        <f t="shared" si="52"/>
        <v>16</v>
      </c>
      <c r="M82" s="947"/>
      <c r="N82" s="617">
        <v>240</v>
      </c>
      <c r="O82" s="602">
        <f t="shared" si="50"/>
        <v>16</v>
      </c>
      <c r="P82" s="940"/>
      <c r="Q82" s="600">
        <f>E82-O82</f>
        <v>0</v>
      </c>
      <c r="R82" s="940"/>
      <c r="S82" s="596">
        <v>0</v>
      </c>
      <c r="T82" s="724"/>
      <c r="U82" s="728"/>
      <c r="V82" s="728"/>
      <c r="W82" s="731">
        <f t="shared" si="53"/>
        <v>0</v>
      </c>
      <c r="X82" s="947"/>
      <c r="Y82" s="616"/>
      <c r="Z82" s="602">
        <f t="shared" si="54"/>
        <v>0</v>
      </c>
      <c r="AA82" s="835"/>
      <c r="AB82" s="602">
        <f t="shared" si="55"/>
        <v>0</v>
      </c>
      <c r="AC82" s="940"/>
      <c r="AD82" s="956"/>
      <c r="AE82" s="956"/>
      <c r="AF82" s="598">
        <v>0</v>
      </c>
      <c r="AG82" s="596"/>
      <c r="AH82" s="728"/>
      <c r="AI82" s="728"/>
      <c r="AJ82" s="729">
        <f t="shared" si="41"/>
        <v>0</v>
      </c>
      <c r="AK82" s="946"/>
      <c r="AL82" s="616"/>
      <c r="AM82" s="602">
        <f t="shared" si="56"/>
        <v>0</v>
      </c>
      <c r="AN82" s="835"/>
      <c r="AO82" s="835">
        <f>AF82-AM82</f>
        <v>0</v>
      </c>
      <c r="AP82" s="940"/>
      <c r="AQ82" s="722">
        <v>0</v>
      </c>
      <c r="AR82" s="728"/>
      <c r="AS82" s="728"/>
      <c r="AT82" s="729">
        <f t="shared" si="43"/>
        <v>0</v>
      </c>
      <c r="AU82" s="946"/>
      <c r="AV82" s="616"/>
      <c r="AW82" s="602">
        <f t="shared" si="57"/>
        <v>0</v>
      </c>
      <c r="AX82" s="940"/>
      <c r="AY82" s="602">
        <f t="shared" si="58"/>
        <v>0</v>
      </c>
      <c r="AZ82" s="940"/>
      <c r="BA82" s="962"/>
      <c r="BB82" s="962"/>
      <c r="BC82" s="598"/>
      <c r="BD82" s="665">
        <v>16</v>
      </c>
      <c r="BE82" s="596">
        <v>16</v>
      </c>
      <c r="BF82" s="596">
        <f t="shared" si="62"/>
        <v>0</v>
      </c>
      <c r="BG82" s="728">
        <v>10</v>
      </c>
      <c r="BH82" s="728">
        <v>16</v>
      </c>
      <c r="BI82" s="729">
        <f t="shared" si="59"/>
        <v>26</v>
      </c>
      <c r="BJ82" s="729"/>
      <c r="BK82" s="616">
        <v>800</v>
      </c>
      <c r="BL82" s="603">
        <f t="shared" si="60"/>
        <v>16</v>
      </c>
      <c r="BM82" s="964"/>
      <c r="BN82" s="602">
        <f>BD82-BL82</f>
        <v>0</v>
      </c>
      <c r="BO82" s="940"/>
      <c r="BP82" s="593">
        <f t="shared" si="45"/>
        <v>0</v>
      </c>
      <c r="BS82" s="741">
        <v>0</v>
      </c>
      <c r="BT82" s="741">
        <v>0</v>
      </c>
      <c r="BU82" s="741">
        <f t="shared" si="46"/>
        <v>0</v>
      </c>
      <c r="BV82" s="741">
        <v>0</v>
      </c>
      <c r="BW82" s="741"/>
      <c r="BX82" s="741">
        <v>0</v>
      </c>
      <c r="BY82" s="741">
        <v>0</v>
      </c>
      <c r="BZ82" s="741">
        <f t="shared" si="61"/>
        <v>0</v>
      </c>
      <c r="CA82" s="741">
        <v>0</v>
      </c>
      <c r="CB82" s="741"/>
      <c r="CC82" s="741">
        <f t="shared" si="47"/>
        <v>0</v>
      </c>
      <c r="CD82" s="751"/>
      <c r="CE82" s="748"/>
      <c r="CF82" s="748"/>
      <c r="CG82" s="748">
        <f t="shared" si="48"/>
        <v>0</v>
      </c>
      <c r="CH82" s="759"/>
      <c r="CI82" s="742"/>
      <c r="CJ82" s="591">
        <f t="shared" si="49"/>
        <v>0</v>
      </c>
    </row>
    <row r="83" spans="1:88" ht="30.75" customHeight="1" x14ac:dyDescent="0.25">
      <c r="A83" s="726"/>
      <c r="B83" s="726" t="s">
        <v>42</v>
      </c>
      <c r="C83" s="597" t="s">
        <v>771</v>
      </c>
      <c r="D83" s="182" t="s">
        <v>437</v>
      </c>
      <c r="E83" s="598"/>
      <c r="F83" s="726"/>
      <c r="G83" s="598"/>
      <c r="H83" s="726"/>
      <c r="I83" s="726"/>
      <c r="J83" s="728"/>
      <c r="K83" s="728"/>
      <c r="L83" s="731">
        <f t="shared" si="52"/>
        <v>0</v>
      </c>
      <c r="M83" s="947"/>
      <c r="N83" s="617"/>
      <c r="O83" s="602"/>
      <c r="P83" s="940"/>
      <c r="Q83" s="600"/>
      <c r="R83" s="940"/>
      <c r="S83" s="726"/>
      <c r="T83" s="726"/>
      <c r="U83" s="728"/>
      <c r="V83" s="728"/>
      <c r="W83" s="731">
        <f t="shared" si="53"/>
        <v>0</v>
      </c>
      <c r="X83" s="947"/>
      <c r="Y83" s="616"/>
      <c r="Z83" s="602"/>
      <c r="AA83" s="835"/>
      <c r="AB83" s="602"/>
      <c r="AC83" s="940"/>
      <c r="AD83" s="956"/>
      <c r="AE83" s="956"/>
      <c r="AF83" s="598"/>
      <c r="AG83" s="726"/>
      <c r="AH83" s="728"/>
      <c r="AI83" s="728"/>
      <c r="AJ83" s="729">
        <f t="shared" ref="AJ83:AJ114" si="63">AH83+AI83</f>
        <v>0</v>
      </c>
      <c r="AK83" s="946"/>
      <c r="AL83" s="616"/>
      <c r="AM83" s="602"/>
      <c r="AN83" s="835"/>
      <c r="AO83" s="835"/>
      <c r="AP83" s="940"/>
      <c r="AQ83" s="722"/>
      <c r="AR83" s="728"/>
      <c r="AS83" s="728"/>
      <c r="AT83" s="729">
        <f t="shared" si="43"/>
        <v>0</v>
      </c>
      <c r="AU83" s="946"/>
      <c r="AV83" s="616"/>
      <c r="AW83" s="602"/>
      <c r="AX83" s="940"/>
      <c r="AY83" s="602"/>
      <c r="AZ83" s="940"/>
      <c r="BA83" s="962"/>
      <c r="BB83" s="962"/>
      <c r="BC83" s="598"/>
      <c r="BD83" s="665"/>
      <c r="BE83" s="726"/>
      <c r="BF83" s="726"/>
      <c r="BG83" s="728"/>
      <c r="BH83" s="728"/>
      <c r="BI83" s="729">
        <f t="shared" si="59"/>
        <v>0</v>
      </c>
      <c r="BJ83" s="729"/>
      <c r="BK83" s="616"/>
      <c r="BL83" s="603"/>
      <c r="BM83" s="964"/>
      <c r="BN83" s="602"/>
      <c r="BO83" s="940"/>
      <c r="BP83" s="593">
        <f t="shared" ref="BP83:BP114" si="64">BO83+AZ83+AP83+AC83+R83</f>
        <v>0</v>
      </c>
      <c r="BS83" s="741">
        <v>0</v>
      </c>
      <c r="BT83" s="741">
        <v>0</v>
      </c>
      <c r="BU83" s="741">
        <f t="shared" ref="BU83:BU114" si="65">BS83+BT83</f>
        <v>0</v>
      </c>
      <c r="BV83" s="741">
        <v>0</v>
      </c>
      <c r="BW83" s="741"/>
      <c r="BX83" s="741">
        <v>0</v>
      </c>
      <c r="BY83" s="741">
        <v>0</v>
      </c>
      <c r="BZ83" s="741">
        <f t="shared" si="61"/>
        <v>0</v>
      </c>
      <c r="CA83" s="741">
        <v>0</v>
      </c>
      <c r="CB83" s="741"/>
      <c r="CC83" s="741">
        <f t="shared" ref="CC83:CC114" si="66">BV83+CA83</f>
        <v>0</v>
      </c>
      <c r="CD83" s="751"/>
      <c r="CE83" s="748"/>
      <c r="CF83" s="748"/>
      <c r="CG83" s="748">
        <f t="shared" si="48"/>
        <v>0</v>
      </c>
      <c r="CH83" s="759"/>
      <c r="CI83" s="742"/>
      <c r="CJ83" s="591">
        <f t="shared" ref="CJ83:CJ114" si="67">BN83+AY83+AO83+AB83+Q83</f>
        <v>0</v>
      </c>
    </row>
    <row r="84" spans="1:88" ht="21.6" customHeight="1" x14ac:dyDescent="0.25">
      <c r="A84" s="596"/>
      <c r="B84" s="596" t="s">
        <v>42</v>
      </c>
      <c r="C84" s="597" t="s">
        <v>611</v>
      </c>
      <c r="D84" s="182" t="s">
        <v>431</v>
      </c>
      <c r="E84" s="598">
        <v>17</v>
      </c>
      <c r="F84" s="596">
        <v>0</v>
      </c>
      <c r="G84" s="598">
        <v>17</v>
      </c>
      <c r="H84" s="596"/>
      <c r="I84" s="596">
        <f t="shared" si="51"/>
        <v>0</v>
      </c>
      <c r="J84" s="728">
        <f>2</f>
        <v>2</v>
      </c>
      <c r="K84" s="728">
        <f>12</f>
        <v>12</v>
      </c>
      <c r="L84" s="731">
        <f t="shared" si="52"/>
        <v>14</v>
      </c>
      <c r="M84" s="947"/>
      <c r="N84" s="617">
        <v>255</v>
      </c>
      <c r="O84" s="602">
        <f t="shared" si="50"/>
        <v>17</v>
      </c>
      <c r="P84" s="940"/>
      <c r="Q84" s="600">
        <f t="shared" ref="Q84:Q115" si="68">E84-O84</f>
        <v>0</v>
      </c>
      <c r="R84" s="940"/>
      <c r="S84" s="596">
        <v>0</v>
      </c>
      <c r="T84" s="724"/>
      <c r="U84" s="728"/>
      <c r="V84" s="728"/>
      <c r="W84" s="731">
        <f t="shared" si="53"/>
        <v>0</v>
      </c>
      <c r="X84" s="947"/>
      <c r="Y84" s="616"/>
      <c r="Z84" s="602">
        <f t="shared" si="54"/>
        <v>0</v>
      </c>
      <c r="AA84" s="835"/>
      <c r="AB84" s="602">
        <f t="shared" si="55"/>
        <v>0</v>
      </c>
      <c r="AC84" s="940"/>
      <c r="AD84" s="956"/>
      <c r="AE84" s="956"/>
      <c r="AF84" s="598">
        <v>19</v>
      </c>
      <c r="AG84" s="596"/>
      <c r="AH84" s="728">
        <v>7</v>
      </c>
      <c r="AI84" s="728">
        <v>12</v>
      </c>
      <c r="AJ84" s="729">
        <f t="shared" si="63"/>
        <v>19</v>
      </c>
      <c r="AK84" s="946"/>
      <c r="AL84" s="616">
        <v>285</v>
      </c>
      <c r="AM84" s="602">
        <f t="shared" si="56"/>
        <v>19</v>
      </c>
      <c r="AN84" s="835"/>
      <c r="AO84" s="835">
        <f t="shared" ref="AO84:AO115" si="69">AF84-AM84</f>
        <v>0</v>
      </c>
      <c r="AP84" s="940"/>
      <c r="AQ84" s="722">
        <v>0</v>
      </c>
      <c r="AR84" s="728"/>
      <c r="AS84" s="728"/>
      <c r="AT84" s="729">
        <f t="shared" si="43"/>
        <v>0</v>
      </c>
      <c r="AU84" s="946"/>
      <c r="AV84" s="616"/>
      <c r="AW84" s="602">
        <f t="shared" si="57"/>
        <v>0</v>
      </c>
      <c r="AX84" s="940"/>
      <c r="AY84" s="602">
        <f t="shared" si="58"/>
        <v>0</v>
      </c>
      <c r="AZ84" s="940"/>
      <c r="BA84" s="962"/>
      <c r="BB84" s="962"/>
      <c r="BC84" s="598"/>
      <c r="BD84" s="665">
        <v>36</v>
      </c>
      <c r="BE84" s="596">
        <v>0</v>
      </c>
      <c r="BF84" s="596">
        <f t="shared" si="62"/>
        <v>36</v>
      </c>
      <c r="BG84" s="728">
        <f>2+7</f>
        <v>9</v>
      </c>
      <c r="BH84" s="728">
        <f>12+12</f>
        <v>24</v>
      </c>
      <c r="BI84" s="729">
        <f t="shared" si="59"/>
        <v>33</v>
      </c>
      <c r="BJ84" s="729"/>
      <c r="BK84" s="616">
        <f>950+850</f>
        <v>1800</v>
      </c>
      <c r="BL84" s="603">
        <f t="shared" si="60"/>
        <v>36</v>
      </c>
      <c r="BM84" s="964"/>
      <c r="BN84" s="602">
        <f t="shared" ref="BN84:BN115" si="70">BD84-BL84</f>
        <v>0</v>
      </c>
      <c r="BO84" s="940"/>
      <c r="BP84" s="593">
        <f t="shared" si="64"/>
        <v>0</v>
      </c>
      <c r="BS84" s="741">
        <v>0</v>
      </c>
      <c r="BT84" s="741">
        <v>0</v>
      </c>
      <c r="BU84" s="741">
        <f t="shared" si="65"/>
        <v>0</v>
      </c>
      <c r="BV84" s="741">
        <v>0</v>
      </c>
      <c r="BW84" s="741"/>
      <c r="BX84" s="741">
        <v>0</v>
      </c>
      <c r="BY84" s="741">
        <v>0</v>
      </c>
      <c r="BZ84" s="741">
        <f t="shared" si="61"/>
        <v>0</v>
      </c>
      <c r="CA84" s="741">
        <v>0</v>
      </c>
      <c r="CB84" s="741"/>
      <c r="CC84" s="741">
        <f t="shared" si="66"/>
        <v>0</v>
      </c>
      <c r="CD84" s="751"/>
      <c r="CE84" s="748"/>
      <c r="CF84" s="748"/>
      <c r="CG84" s="748">
        <f t="shared" si="48"/>
        <v>0</v>
      </c>
      <c r="CH84" s="759"/>
      <c r="CI84" s="742"/>
      <c r="CJ84" s="591">
        <f t="shared" si="67"/>
        <v>0</v>
      </c>
    </row>
    <row r="85" spans="1:88" ht="24" customHeight="1" x14ac:dyDescent="0.25">
      <c r="A85" s="596" t="s">
        <v>28</v>
      </c>
      <c r="B85" s="596" t="s">
        <v>42</v>
      </c>
      <c r="C85" s="597" t="s">
        <v>47</v>
      </c>
      <c r="D85" s="182" t="s">
        <v>437</v>
      </c>
      <c r="E85" s="598">
        <v>0</v>
      </c>
      <c r="F85" s="596">
        <v>0</v>
      </c>
      <c r="G85" s="598">
        <v>0</v>
      </c>
      <c r="H85" s="596"/>
      <c r="I85" s="596">
        <f t="shared" si="51"/>
        <v>0</v>
      </c>
      <c r="J85" s="728"/>
      <c r="K85" s="728"/>
      <c r="L85" s="731">
        <f t="shared" si="52"/>
        <v>0</v>
      </c>
      <c r="M85" s="947"/>
      <c r="N85" s="617"/>
      <c r="O85" s="602">
        <f t="shared" si="50"/>
        <v>0</v>
      </c>
      <c r="P85" s="940"/>
      <c r="Q85" s="600">
        <f t="shared" si="68"/>
        <v>0</v>
      </c>
      <c r="R85" s="940"/>
      <c r="S85" s="596">
        <v>0</v>
      </c>
      <c r="T85" s="724"/>
      <c r="U85" s="728"/>
      <c r="V85" s="728"/>
      <c r="W85" s="731">
        <f t="shared" si="53"/>
        <v>0</v>
      </c>
      <c r="X85" s="947"/>
      <c r="Y85" s="616"/>
      <c r="Z85" s="602">
        <f t="shared" si="54"/>
        <v>0</v>
      </c>
      <c r="AA85" s="835"/>
      <c r="AB85" s="602">
        <f t="shared" si="55"/>
        <v>0</v>
      </c>
      <c r="AC85" s="940"/>
      <c r="AD85" s="956"/>
      <c r="AE85" s="956"/>
      <c r="AF85" s="598">
        <v>9</v>
      </c>
      <c r="AG85" s="596"/>
      <c r="AH85" s="728">
        <v>8</v>
      </c>
      <c r="AI85" s="728">
        <v>2</v>
      </c>
      <c r="AJ85" s="729">
        <f t="shared" si="63"/>
        <v>10</v>
      </c>
      <c r="AK85" s="946"/>
      <c r="AL85" s="616">
        <v>135</v>
      </c>
      <c r="AM85" s="602">
        <f t="shared" si="56"/>
        <v>9</v>
      </c>
      <c r="AN85" s="835"/>
      <c r="AO85" s="835">
        <f t="shared" si="69"/>
        <v>0</v>
      </c>
      <c r="AP85" s="940"/>
      <c r="AQ85" s="722">
        <v>0</v>
      </c>
      <c r="AR85" s="728"/>
      <c r="AS85" s="728"/>
      <c r="AT85" s="729">
        <f t="shared" si="43"/>
        <v>0</v>
      </c>
      <c r="AU85" s="946"/>
      <c r="AV85" s="616"/>
      <c r="AW85" s="602">
        <f t="shared" si="57"/>
        <v>0</v>
      </c>
      <c r="AX85" s="940"/>
      <c r="AY85" s="602">
        <f t="shared" si="58"/>
        <v>0</v>
      </c>
      <c r="AZ85" s="940"/>
      <c r="BA85" s="962"/>
      <c r="BB85" s="962"/>
      <c r="BC85" s="598"/>
      <c r="BD85" s="665">
        <v>9</v>
      </c>
      <c r="BE85" s="596">
        <v>9</v>
      </c>
      <c r="BF85" s="596">
        <f t="shared" si="62"/>
        <v>0</v>
      </c>
      <c r="BG85" s="728">
        <v>8</v>
      </c>
      <c r="BH85" s="728">
        <v>2</v>
      </c>
      <c r="BI85" s="729">
        <f t="shared" si="59"/>
        <v>10</v>
      </c>
      <c r="BJ85" s="729"/>
      <c r="BK85" s="616">
        <v>450</v>
      </c>
      <c r="BL85" s="603">
        <f t="shared" si="60"/>
        <v>9</v>
      </c>
      <c r="BM85" s="964"/>
      <c r="BN85" s="602">
        <f t="shared" si="70"/>
        <v>0</v>
      </c>
      <c r="BO85" s="940"/>
      <c r="BP85" s="593">
        <f t="shared" si="64"/>
        <v>0</v>
      </c>
      <c r="BS85" s="741">
        <v>0</v>
      </c>
      <c r="BT85" s="741">
        <v>0</v>
      </c>
      <c r="BU85" s="741">
        <f t="shared" si="65"/>
        <v>0</v>
      </c>
      <c r="BV85" s="741">
        <v>0</v>
      </c>
      <c r="BW85" s="741"/>
      <c r="BX85" s="741">
        <v>0</v>
      </c>
      <c r="BY85" s="741">
        <v>0</v>
      </c>
      <c r="BZ85" s="741">
        <f t="shared" si="61"/>
        <v>0</v>
      </c>
      <c r="CA85" s="741">
        <v>0</v>
      </c>
      <c r="CB85" s="741"/>
      <c r="CC85" s="741">
        <f t="shared" si="66"/>
        <v>0</v>
      </c>
      <c r="CD85" s="751"/>
      <c r="CE85" s="748"/>
      <c r="CF85" s="748"/>
      <c r="CG85" s="748">
        <f t="shared" si="48"/>
        <v>0</v>
      </c>
      <c r="CH85" s="759"/>
      <c r="CI85" s="742"/>
      <c r="CJ85" s="591">
        <f t="shared" si="67"/>
        <v>0</v>
      </c>
    </row>
    <row r="86" spans="1:88" ht="21.6" customHeight="1" x14ac:dyDescent="0.25">
      <c r="A86" s="596" t="s">
        <v>28</v>
      </c>
      <c r="B86" s="596" t="s">
        <v>42</v>
      </c>
      <c r="C86" s="597" t="s">
        <v>775</v>
      </c>
      <c r="D86" s="182" t="s">
        <v>431</v>
      </c>
      <c r="E86" s="598">
        <v>16</v>
      </c>
      <c r="F86" s="596">
        <v>0</v>
      </c>
      <c r="G86" s="598">
        <v>16</v>
      </c>
      <c r="H86" s="596"/>
      <c r="I86" s="596">
        <f t="shared" si="51"/>
        <v>0</v>
      </c>
      <c r="J86" s="728">
        <f>7</f>
        <v>7</v>
      </c>
      <c r="K86" s="728">
        <f>3</f>
        <v>3</v>
      </c>
      <c r="L86" s="731">
        <f t="shared" si="52"/>
        <v>10</v>
      </c>
      <c r="M86" s="947"/>
      <c r="N86" s="617">
        <v>240</v>
      </c>
      <c r="O86" s="602">
        <f t="shared" si="50"/>
        <v>16</v>
      </c>
      <c r="P86" s="940"/>
      <c r="Q86" s="600">
        <f t="shared" si="68"/>
        <v>0</v>
      </c>
      <c r="R86" s="940"/>
      <c r="S86" s="596">
        <v>0</v>
      </c>
      <c r="T86" s="724"/>
      <c r="U86" s="728"/>
      <c r="V86" s="728"/>
      <c r="W86" s="731">
        <f t="shared" si="53"/>
        <v>0</v>
      </c>
      <c r="X86" s="947"/>
      <c r="Y86" s="616"/>
      <c r="Z86" s="602">
        <f t="shared" si="54"/>
        <v>0</v>
      </c>
      <c r="AA86" s="835"/>
      <c r="AB86" s="602">
        <f t="shared" si="55"/>
        <v>0</v>
      </c>
      <c r="AC86" s="940"/>
      <c r="AD86" s="956"/>
      <c r="AE86" s="956"/>
      <c r="AF86" s="598">
        <v>0</v>
      </c>
      <c r="AG86" s="596"/>
      <c r="AH86" s="728"/>
      <c r="AI86" s="728"/>
      <c r="AJ86" s="729">
        <f t="shared" si="63"/>
        <v>0</v>
      </c>
      <c r="AK86" s="946"/>
      <c r="AL86" s="616"/>
      <c r="AM86" s="602">
        <f t="shared" si="56"/>
        <v>0</v>
      </c>
      <c r="AN86" s="835"/>
      <c r="AO86" s="835">
        <f t="shared" si="69"/>
        <v>0</v>
      </c>
      <c r="AP86" s="940"/>
      <c r="AQ86" s="722">
        <v>0</v>
      </c>
      <c r="AR86" s="728"/>
      <c r="AS86" s="728"/>
      <c r="AT86" s="729">
        <f t="shared" si="43"/>
        <v>0</v>
      </c>
      <c r="AU86" s="946"/>
      <c r="AV86" s="616"/>
      <c r="AW86" s="602">
        <f t="shared" si="57"/>
        <v>0</v>
      </c>
      <c r="AX86" s="940"/>
      <c r="AY86" s="602">
        <f t="shared" si="58"/>
        <v>0</v>
      </c>
      <c r="AZ86" s="940"/>
      <c r="BA86" s="962"/>
      <c r="BB86" s="962"/>
      <c r="BC86" s="598"/>
      <c r="BD86" s="665">
        <v>16</v>
      </c>
      <c r="BE86" s="596">
        <v>16</v>
      </c>
      <c r="BF86" s="596">
        <f t="shared" si="62"/>
        <v>0</v>
      </c>
      <c r="BG86" s="728">
        <v>7</v>
      </c>
      <c r="BH86" s="728">
        <v>3</v>
      </c>
      <c r="BI86" s="729">
        <f t="shared" si="59"/>
        <v>10</v>
      </c>
      <c r="BJ86" s="729"/>
      <c r="BK86" s="616">
        <v>800</v>
      </c>
      <c r="BL86" s="603">
        <f t="shared" si="60"/>
        <v>16</v>
      </c>
      <c r="BM86" s="964"/>
      <c r="BN86" s="602">
        <f t="shared" si="70"/>
        <v>0</v>
      </c>
      <c r="BO86" s="940"/>
      <c r="BP86" s="593">
        <f t="shared" si="64"/>
        <v>0</v>
      </c>
      <c r="BS86" s="741">
        <v>0</v>
      </c>
      <c r="BT86" s="741">
        <v>0</v>
      </c>
      <c r="BU86" s="741">
        <f t="shared" si="65"/>
        <v>0</v>
      </c>
      <c r="BV86" s="741">
        <v>0</v>
      </c>
      <c r="BW86" s="741"/>
      <c r="BX86" s="741">
        <v>0</v>
      </c>
      <c r="BY86" s="741">
        <v>0</v>
      </c>
      <c r="BZ86" s="741">
        <f t="shared" si="61"/>
        <v>0</v>
      </c>
      <c r="CA86" s="741">
        <v>0</v>
      </c>
      <c r="CB86" s="741"/>
      <c r="CC86" s="741">
        <f t="shared" si="66"/>
        <v>0</v>
      </c>
      <c r="CD86" s="751"/>
      <c r="CE86" s="748"/>
      <c r="CF86" s="748"/>
      <c r="CG86" s="748">
        <f t="shared" si="48"/>
        <v>0</v>
      </c>
      <c r="CH86" s="759"/>
      <c r="CI86" s="742"/>
      <c r="CJ86" s="591">
        <f t="shared" si="67"/>
        <v>0</v>
      </c>
    </row>
    <row r="87" spans="1:88" ht="38.25" customHeight="1" x14ac:dyDescent="0.25">
      <c r="A87" s="596" t="s">
        <v>28</v>
      </c>
      <c r="B87" s="596" t="s">
        <v>42</v>
      </c>
      <c r="C87" s="597" t="s">
        <v>48</v>
      </c>
      <c r="D87" s="182" t="s">
        <v>437</v>
      </c>
      <c r="E87" s="598">
        <v>0</v>
      </c>
      <c r="F87" s="596">
        <v>0</v>
      </c>
      <c r="G87" s="598">
        <v>0</v>
      </c>
      <c r="H87" s="596"/>
      <c r="I87" s="596">
        <f t="shared" si="51"/>
        <v>0</v>
      </c>
      <c r="J87" s="728"/>
      <c r="K87" s="728"/>
      <c r="L87" s="731">
        <f t="shared" si="52"/>
        <v>0</v>
      </c>
      <c r="M87" s="947"/>
      <c r="N87" s="617"/>
      <c r="O87" s="602">
        <f t="shared" si="50"/>
        <v>0</v>
      </c>
      <c r="P87" s="940"/>
      <c r="Q87" s="600">
        <f t="shared" si="68"/>
        <v>0</v>
      </c>
      <c r="R87" s="940"/>
      <c r="S87" s="596">
        <v>0</v>
      </c>
      <c r="T87" s="724"/>
      <c r="U87" s="728"/>
      <c r="V87" s="728"/>
      <c r="W87" s="731">
        <f t="shared" si="53"/>
        <v>0</v>
      </c>
      <c r="X87" s="947"/>
      <c r="Y87" s="616"/>
      <c r="Z87" s="602">
        <f t="shared" si="54"/>
        <v>0</v>
      </c>
      <c r="AA87" s="835"/>
      <c r="AB87" s="602">
        <f t="shared" si="55"/>
        <v>0</v>
      </c>
      <c r="AC87" s="940"/>
      <c r="AD87" s="956"/>
      <c r="AE87" s="956"/>
      <c r="AF87" s="598">
        <v>17</v>
      </c>
      <c r="AG87" s="596"/>
      <c r="AH87" s="728">
        <v>10</v>
      </c>
      <c r="AI87" s="728">
        <v>6</v>
      </c>
      <c r="AJ87" s="729">
        <f t="shared" si="63"/>
        <v>16</v>
      </c>
      <c r="AK87" s="946"/>
      <c r="AL87" s="616">
        <v>255</v>
      </c>
      <c r="AM87" s="602">
        <f t="shared" si="56"/>
        <v>17</v>
      </c>
      <c r="AN87" s="835"/>
      <c r="AO87" s="835">
        <f t="shared" si="69"/>
        <v>0</v>
      </c>
      <c r="AP87" s="940"/>
      <c r="AQ87" s="722">
        <v>0</v>
      </c>
      <c r="AR87" s="728"/>
      <c r="AS87" s="728"/>
      <c r="AT87" s="729">
        <f t="shared" si="43"/>
        <v>0</v>
      </c>
      <c r="AU87" s="946"/>
      <c r="AV87" s="616"/>
      <c r="AW87" s="602">
        <f t="shared" si="57"/>
        <v>0</v>
      </c>
      <c r="AX87" s="940"/>
      <c r="AY87" s="602">
        <f t="shared" si="58"/>
        <v>0</v>
      </c>
      <c r="AZ87" s="940"/>
      <c r="BA87" s="962"/>
      <c r="BB87" s="962"/>
      <c r="BC87" s="598"/>
      <c r="BD87" s="665">
        <v>17</v>
      </c>
      <c r="BE87" s="596">
        <v>17</v>
      </c>
      <c r="BF87" s="596">
        <f t="shared" si="62"/>
        <v>0</v>
      </c>
      <c r="BG87" s="728">
        <v>10</v>
      </c>
      <c r="BH87" s="728">
        <v>6</v>
      </c>
      <c r="BI87" s="729">
        <f t="shared" si="59"/>
        <v>16</v>
      </c>
      <c r="BJ87" s="729"/>
      <c r="BK87" s="616">
        <v>850</v>
      </c>
      <c r="BL87" s="603">
        <f t="shared" si="60"/>
        <v>17</v>
      </c>
      <c r="BM87" s="964"/>
      <c r="BN87" s="602">
        <f t="shared" si="70"/>
        <v>0</v>
      </c>
      <c r="BO87" s="940"/>
      <c r="BP87" s="593">
        <f t="shared" si="64"/>
        <v>0</v>
      </c>
      <c r="BS87" s="741">
        <v>0</v>
      </c>
      <c r="BT87" s="741">
        <v>0</v>
      </c>
      <c r="BU87" s="741">
        <f t="shared" si="65"/>
        <v>0</v>
      </c>
      <c r="BV87" s="741">
        <v>0</v>
      </c>
      <c r="BW87" s="741"/>
      <c r="BX87" s="741">
        <v>0</v>
      </c>
      <c r="BY87" s="741">
        <v>0</v>
      </c>
      <c r="BZ87" s="741">
        <f t="shared" si="61"/>
        <v>0</v>
      </c>
      <c r="CA87" s="741">
        <v>0</v>
      </c>
      <c r="CB87" s="741"/>
      <c r="CC87" s="741">
        <f t="shared" si="66"/>
        <v>0</v>
      </c>
      <c r="CD87" s="751"/>
      <c r="CE87" s="748"/>
      <c r="CF87" s="748"/>
      <c r="CG87" s="748">
        <f t="shared" si="48"/>
        <v>0</v>
      </c>
      <c r="CH87" s="759"/>
      <c r="CI87" s="742"/>
      <c r="CJ87" s="591">
        <f t="shared" si="67"/>
        <v>0</v>
      </c>
    </row>
    <row r="88" spans="1:88" ht="34.5" customHeight="1" x14ac:dyDescent="0.25">
      <c r="A88" s="596" t="s">
        <v>28</v>
      </c>
      <c r="B88" s="596" t="s">
        <v>42</v>
      </c>
      <c r="C88" s="597" t="s">
        <v>748</v>
      </c>
      <c r="D88" s="167" t="s">
        <v>437</v>
      </c>
      <c r="E88" s="598">
        <v>19</v>
      </c>
      <c r="F88" s="596">
        <v>0</v>
      </c>
      <c r="G88" s="598">
        <v>19</v>
      </c>
      <c r="H88" s="596"/>
      <c r="I88" s="596">
        <f t="shared" si="51"/>
        <v>0</v>
      </c>
      <c r="J88" s="728">
        <f>21</f>
        <v>21</v>
      </c>
      <c r="K88" s="728">
        <f>5</f>
        <v>5</v>
      </c>
      <c r="L88" s="731">
        <f t="shared" si="52"/>
        <v>26</v>
      </c>
      <c r="M88" s="947"/>
      <c r="N88" s="617">
        <v>285</v>
      </c>
      <c r="O88" s="602">
        <f t="shared" si="50"/>
        <v>19</v>
      </c>
      <c r="P88" s="940"/>
      <c r="Q88" s="600">
        <f t="shared" si="68"/>
        <v>0</v>
      </c>
      <c r="R88" s="940"/>
      <c r="S88" s="596">
        <v>0</v>
      </c>
      <c r="T88" s="724"/>
      <c r="U88" s="728"/>
      <c r="V88" s="728"/>
      <c r="W88" s="731">
        <f t="shared" si="53"/>
        <v>0</v>
      </c>
      <c r="X88" s="947"/>
      <c r="Y88" s="616"/>
      <c r="Z88" s="602">
        <f t="shared" si="54"/>
        <v>0</v>
      </c>
      <c r="AA88" s="835"/>
      <c r="AB88" s="602">
        <f t="shared" si="55"/>
        <v>0</v>
      </c>
      <c r="AC88" s="940"/>
      <c r="AD88" s="956"/>
      <c r="AE88" s="956"/>
      <c r="AF88" s="598">
        <v>0</v>
      </c>
      <c r="AG88" s="596"/>
      <c r="AH88" s="728"/>
      <c r="AI88" s="728"/>
      <c r="AJ88" s="729">
        <f t="shared" si="63"/>
        <v>0</v>
      </c>
      <c r="AK88" s="946"/>
      <c r="AL88" s="616"/>
      <c r="AM88" s="602">
        <f t="shared" si="56"/>
        <v>0</v>
      </c>
      <c r="AN88" s="835"/>
      <c r="AO88" s="835">
        <f t="shared" si="69"/>
        <v>0</v>
      </c>
      <c r="AP88" s="940"/>
      <c r="AQ88" s="722">
        <v>0</v>
      </c>
      <c r="AR88" s="728"/>
      <c r="AS88" s="728"/>
      <c r="AT88" s="729">
        <f t="shared" si="43"/>
        <v>0</v>
      </c>
      <c r="AU88" s="946"/>
      <c r="AV88" s="616"/>
      <c r="AW88" s="602">
        <f t="shared" si="57"/>
        <v>0</v>
      </c>
      <c r="AX88" s="940"/>
      <c r="AY88" s="602">
        <f t="shared" si="58"/>
        <v>0</v>
      </c>
      <c r="AZ88" s="940"/>
      <c r="BA88" s="962"/>
      <c r="BB88" s="962"/>
      <c r="BC88" s="598"/>
      <c r="BD88" s="665">
        <v>19</v>
      </c>
      <c r="BE88" s="596">
        <v>19</v>
      </c>
      <c r="BF88" s="596">
        <f t="shared" si="62"/>
        <v>0</v>
      </c>
      <c r="BG88" s="728">
        <v>21</v>
      </c>
      <c r="BH88" s="728">
        <v>6</v>
      </c>
      <c r="BI88" s="729">
        <f t="shared" si="59"/>
        <v>27</v>
      </c>
      <c r="BJ88" s="729"/>
      <c r="BK88" s="616">
        <v>950</v>
      </c>
      <c r="BL88" s="603">
        <f t="shared" si="60"/>
        <v>19</v>
      </c>
      <c r="BM88" s="964"/>
      <c r="BN88" s="602">
        <f t="shared" si="70"/>
        <v>0</v>
      </c>
      <c r="BO88" s="940"/>
      <c r="BP88" s="593">
        <f t="shared" si="64"/>
        <v>0</v>
      </c>
      <c r="BS88" s="741">
        <v>0</v>
      </c>
      <c r="BT88" s="741">
        <v>0</v>
      </c>
      <c r="BU88" s="741">
        <f t="shared" si="65"/>
        <v>0</v>
      </c>
      <c r="BV88" s="741">
        <v>0</v>
      </c>
      <c r="BW88" s="741"/>
      <c r="BX88" s="741">
        <v>0</v>
      </c>
      <c r="BY88" s="741">
        <v>0</v>
      </c>
      <c r="BZ88" s="741">
        <f t="shared" si="61"/>
        <v>0</v>
      </c>
      <c r="CA88" s="741">
        <v>0</v>
      </c>
      <c r="CB88" s="741"/>
      <c r="CC88" s="741">
        <f t="shared" si="66"/>
        <v>0</v>
      </c>
      <c r="CD88" s="751"/>
      <c r="CE88" s="748"/>
      <c r="CF88" s="748"/>
      <c r="CG88" s="748">
        <f t="shared" si="48"/>
        <v>0</v>
      </c>
      <c r="CH88" s="759"/>
      <c r="CI88" s="742"/>
      <c r="CJ88" s="591">
        <f t="shared" si="67"/>
        <v>0</v>
      </c>
    </row>
    <row r="89" spans="1:88" ht="21.6" customHeight="1" x14ac:dyDescent="0.25">
      <c r="A89" s="596" t="s">
        <v>28</v>
      </c>
      <c r="B89" s="596" t="s">
        <v>42</v>
      </c>
      <c r="C89" s="597" t="s">
        <v>50</v>
      </c>
      <c r="D89" s="167" t="s">
        <v>431</v>
      </c>
      <c r="E89" s="598">
        <v>12</v>
      </c>
      <c r="F89" s="596">
        <v>0</v>
      </c>
      <c r="G89" s="598">
        <v>12</v>
      </c>
      <c r="H89" s="596"/>
      <c r="I89" s="596">
        <f t="shared" si="51"/>
        <v>0</v>
      </c>
      <c r="J89" s="728">
        <f>10</f>
        <v>10</v>
      </c>
      <c r="K89" s="728">
        <f>3</f>
        <v>3</v>
      </c>
      <c r="L89" s="731">
        <f t="shared" si="52"/>
        <v>13</v>
      </c>
      <c r="M89" s="947"/>
      <c r="N89" s="617">
        <v>180</v>
      </c>
      <c r="O89" s="602">
        <f t="shared" si="50"/>
        <v>12</v>
      </c>
      <c r="P89" s="940"/>
      <c r="Q89" s="600">
        <f t="shared" si="68"/>
        <v>0</v>
      </c>
      <c r="R89" s="940"/>
      <c r="S89" s="596">
        <v>0</v>
      </c>
      <c r="T89" s="724"/>
      <c r="U89" s="728"/>
      <c r="V89" s="728"/>
      <c r="W89" s="731">
        <f t="shared" si="53"/>
        <v>0</v>
      </c>
      <c r="X89" s="947"/>
      <c r="Y89" s="616"/>
      <c r="Z89" s="602">
        <f t="shared" si="54"/>
        <v>0</v>
      </c>
      <c r="AA89" s="835"/>
      <c r="AB89" s="602">
        <f t="shared" si="55"/>
        <v>0</v>
      </c>
      <c r="AC89" s="940"/>
      <c r="AD89" s="956"/>
      <c r="AE89" s="956"/>
      <c r="AF89" s="598">
        <v>0</v>
      </c>
      <c r="AG89" s="596"/>
      <c r="AH89" s="728"/>
      <c r="AI89" s="728"/>
      <c r="AJ89" s="729">
        <f t="shared" si="63"/>
        <v>0</v>
      </c>
      <c r="AK89" s="946"/>
      <c r="AL89" s="616"/>
      <c r="AM89" s="602">
        <f t="shared" si="56"/>
        <v>0</v>
      </c>
      <c r="AN89" s="835"/>
      <c r="AO89" s="835">
        <f t="shared" si="69"/>
        <v>0</v>
      </c>
      <c r="AP89" s="940"/>
      <c r="AQ89" s="722">
        <v>0</v>
      </c>
      <c r="AR89" s="728"/>
      <c r="AS89" s="728"/>
      <c r="AT89" s="729">
        <f t="shared" si="43"/>
        <v>0</v>
      </c>
      <c r="AU89" s="946"/>
      <c r="AV89" s="616"/>
      <c r="AW89" s="602">
        <f t="shared" si="57"/>
        <v>0</v>
      </c>
      <c r="AX89" s="940"/>
      <c r="AY89" s="602">
        <f t="shared" si="58"/>
        <v>0</v>
      </c>
      <c r="AZ89" s="940"/>
      <c r="BA89" s="962"/>
      <c r="BB89" s="962"/>
      <c r="BC89" s="598"/>
      <c r="BD89" s="665">
        <v>12</v>
      </c>
      <c r="BE89" s="596">
        <v>12</v>
      </c>
      <c r="BF89" s="596">
        <f t="shared" si="62"/>
        <v>0</v>
      </c>
      <c r="BG89" s="728">
        <v>10</v>
      </c>
      <c r="BH89" s="728">
        <v>3</v>
      </c>
      <c r="BI89" s="729">
        <f t="shared" si="59"/>
        <v>13</v>
      </c>
      <c r="BJ89" s="729"/>
      <c r="BK89" s="616">
        <v>600</v>
      </c>
      <c r="BL89" s="603">
        <f t="shared" si="60"/>
        <v>12</v>
      </c>
      <c r="BM89" s="964"/>
      <c r="BN89" s="602">
        <f t="shared" si="70"/>
        <v>0</v>
      </c>
      <c r="BO89" s="940"/>
      <c r="BP89" s="593">
        <f t="shared" si="64"/>
        <v>0</v>
      </c>
      <c r="BS89" s="741">
        <v>0</v>
      </c>
      <c r="BT89" s="741">
        <v>0</v>
      </c>
      <c r="BU89" s="741">
        <f t="shared" si="65"/>
        <v>0</v>
      </c>
      <c r="BV89" s="741">
        <v>0</v>
      </c>
      <c r="BW89" s="741"/>
      <c r="BX89" s="741">
        <v>0</v>
      </c>
      <c r="BY89" s="741">
        <v>0</v>
      </c>
      <c r="BZ89" s="741">
        <f t="shared" si="61"/>
        <v>0</v>
      </c>
      <c r="CA89" s="741">
        <v>0</v>
      </c>
      <c r="CB89" s="741"/>
      <c r="CC89" s="741">
        <f t="shared" si="66"/>
        <v>0</v>
      </c>
      <c r="CD89" s="751"/>
      <c r="CE89" s="748"/>
      <c r="CF89" s="748"/>
      <c r="CG89" s="748">
        <f t="shared" si="48"/>
        <v>0</v>
      </c>
      <c r="CH89" s="759"/>
      <c r="CI89" s="742"/>
      <c r="CJ89" s="591">
        <f t="shared" si="67"/>
        <v>0</v>
      </c>
    </row>
    <row r="90" spans="1:88" ht="21.6" customHeight="1" x14ac:dyDescent="0.25">
      <c r="A90" s="596"/>
      <c r="B90" s="596"/>
      <c r="C90" s="597"/>
      <c r="D90" s="143"/>
      <c r="E90" s="598">
        <v>0</v>
      </c>
      <c r="F90" s="596">
        <v>0</v>
      </c>
      <c r="G90" s="598"/>
      <c r="H90" s="596"/>
      <c r="I90" s="596">
        <f t="shared" si="51"/>
        <v>0</v>
      </c>
      <c r="J90" s="728"/>
      <c r="K90" s="728"/>
      <c r="L90" s="731">
        <f t="shared" si="52"/>
        <v>0</v>
      </c>
      <c r="M90" s="947"/>
      <c r="N90" s="617"/>
      <c r="O90" s="602">
        <f t="shared" si="50"/>
        <v>0</v>
      </c>
      <c r="P90" s="940"/>
      <c r="Q90" s="600">
        <f t="shared" si="68"/>
        <v>0</v>
      </c>
      <c r="R90" s="940"/>
      <c r="S90" s="596">
        <v>0</v>
      </c>
      <c r="T90" s="724"/>
      <c r="U90" s="728"/>
      <c r="V90" s="728"/>
      <c r="W90" s="731">
        <f t="shared" si="53"/>
        <v>0</v>
      </c>
      <c r="X90" s="947"/>
      <c r="Y90" s="616"/>
      <c r="Z90" s="602">
        <f t="shared" si="54"/>
        <v>0</v>
      </c>
      <c r="AA90" s="835"/>
      <c r="AB90" s="602">
        <f t="shared" si="55"/>
        <v>0</v>
      </c>
      <c r="AC90" s="940"/>
      <c r="AD90" s="956"/>
      <c r="AE90" s="956"/>
      <c r="AF90" s="598"/>
      <c r="AG90" s="596"/>
      <c r="AH90" s="728"/>
      <c r="AI90" s="728"/>
      <c r="AJ90" s="729">
        <f t="shared" si="63"/>
        <v>0</v>
      </c>
      <c r="AK90" s="946"/>
      <c r="AL90" s="616"/>
      <c r="AM90" s="602">
        <f t="shared" si="56"/>
        <v>0</v>
      </c>
      <c r="AN90" s="835"/>
      <c r="AO90" s="835">
        <f t="shared" si="69"/>
        <v>0</v>
      </c>
      <c r="AP90" s="940"/>
      <c r="AQ90" s="722">
        <v>0</v>
      </c>
      <c r="AR90" s="728"/>
      <c r="AS90" s="728"/>
      <c r="AT90" s="729">
        <f t="shared" si="43"/>
        <v>0</v>
      </c>
      <c r="AU90" s="946"/>
      <c r="AV90" s="616"/>
      <c r="AW90" s="602">
        <f t="shared" si="57"/>
        <v>0</v>
      </c>
      <c r="AX90" s="940"/>
      <c r="AY90" s="602">
        <f t="shared" si="58"/>
        <v>0</v>
      </c>
      <c r="AZ90" s="940"/>
      <c r="BA90" s="962"/>
      <c r="BB90" s="962"/>
      <c r="BC90" s="611"/>
      <c r="BD90" s="712"/>
      <c r="BE90" s="596"/>
      <c r="BF90" s="596">
        <f t="shared" si="62"/>
        <v>0</v>
      </c>
      <c r="BG90" s="728"/>
      <c r="BH90" s="728"/>
      <c r="BI90" s="729">
        <f t="shared" si="59"/>
        <v>0</v>
      </c>
      <c r="BJ90" s="729"/>
      <c r="BK90" s="616"/>
      <c r="BL90" s="603">
        <f t="shared" si="60"/>
        <v>0</v>
      </c>
      <c r="BM90" s="964"/>
      <c r="BN90" s="602">
        <f t="shared" si="70"/>
        <v>0</v>
      </c>
      <c r="BO90" s="940"/>
      <c r="BP90" s="593">
        <f t="shared" si="64"/>
        <v>0</v>
      </c>
      <c r="BS90" s="741">
        <v>0</v>
      </c>
      <c r="BT90" s="741">
        <v>0</v>
      </c>
      <c r="BU90" s="741">
        <f t="shared" si="65"/>
        <v>0</v>
      </c>
      <c r="BV90" s="741">
        <v>0</v>
      </c>
      <c r="BW90" s="741"/>
      <c r="BX90" s="741">
        <v>0</v>
      </c>
      <c r="BY90" s="741">
        <v>0</v>
      </c>
      <c r="BZ90" s="741">
        <f t="shared" si="61"/>
        <v>0</v>
      </c>
      <c r="CA90" s="741">
        <v>0</v>
      </c>
      <c r="CB90" s="741"/>
      <c r="CC90" s="741">
        <f t="shared" si="66"/>
        <v>0</v>
      </c>
      <c r="CD90" s="751"/>
      <c r="CE90" s="748"/>
      <c r="CF90" s="748"/>
      <c r="CG90" s="748">
        <f t="shared" si="48"/>
        <v>0</v>
      </c>
      <c r="CH90" s="759"/>
      <c r="CI90" s="742"/>
      <c r="CJ90" s="591">
        <f t="shared" si="67"/>
        <v>0</v>
      </c>
    </row>
    <row r="91" spans="1:88" s="593" customFormat="1" ht="21.6" customHeight="1" x14ac:dyDescent="0.25">
      <c r="A91" s="606"/>
      <c r="B91" s="606" t="s">
        <v>51</v>
      </c>
      <c r="C91" s="607" t="s">
        <v>392</v>
      </c>
      <c r="D91" s="167"/>
      <c r="E91" s="608">
        <v>0</v>
      </c>
      <c r="F91" s="606">
        <v>572</v>
      </c>
      <c r="G91" s="608">
        <v>0</v>
      </c>
      <c r="H91" s="606">
        <v>82.333333333333343</v>
      </c>
      <c r="I91" s="606">
        <f t="shared" si="51"/>
        <v>489.66666666666663</v>
      </c>
      <c r="J91" s="728"/>
      <c r="K91" s="728"/>
      <c r="L91" s="731">
        <f t="shared" si="52"/>
        <v>0</v>
      </c>
      <c r="M91" s="947">
        <f>SUM(L91:L107)</f>
        <v>440</v>
      </c>
      <c r="N91" s="617"/>
      <c r="O91" s="602">
        <f t="shared" si="50"/>
        <v>0</v>
      </c>
      <c r="P91" s="940">
        <f>SUM(O91:O107)</f>
        <v>572</v>
      </c>
      <c r="Q91" s="600">
        <f t="shared" si="68"/>
        <v>0</v>
      </c>
      <c r="R91" s="940">
        <f>SUM(Q91:Q107)</f>
        <v>3.5527136788005009E-15</v>
      </c>
      <c r="S91" s="596">
        <v>0</v>
      </c>
      <c r="T91" s="724">
        <f>SUM(S91:S107)</f>
        <v>0</v>
      </c>
      <c r="U91" s="728"/>
      <c r="V91" s="728"/>
      <c r="W91" s="731">
        <f t="shared" si="53"/>
        <v>0</v>
      </c>
      <c r="X91" s="947">
        <f>SUM(W91:W107)</f>
        <v>0</v>
      </c>
      <c r="Y91" s="616"/>
      <c r="Z91" s="602">
        <f t="shared" si="54"/>
        <v>0</v>
      </c>
      <c r="AA91" s="835">
        <f>SUM(Z91:Z107)</f>
        <v>0</v>
      </c>
      <c r="AB91" s="602">
        <f t="shared" si="55"/>
        <v>0</v>
      </c>
      <c r="AC91" s="940">
        <f>SUM(AB91:AB107)</f>
        <v>0</v>
      </c>
      <c r="AD91" s="955">
        <f>M91+X91</f>
        <v>440</v>
      </c>
      <c r="AE91" s="955">
        <f>R91+AC91</f>
        <v>3.5527136788005009E-15</v>
      </c>
      <c r="AF91" s="608">
        <v>0</v>
      </c>
      <c r="AG91" s="606">
        <v>128</v>
      </c>
      <c r="AH91" s="728"/>
      <c r="AI91" s="728"/>
      <c r="AJ91" s="729">
        <f t="shared" si="63"/>
        <v>0</v>
      </c>
      <c r="AK91" s="946">
        <f>SUM(AJ91:AJ107)</f>
        <v>137</v>
      </c>
      <c r="AL91" s="616"/>
      <c r="AM91" s="602">
        <f t="shared" si="56"/>
        <v>0</v>
      </c>
      <c r="AN91" s="835">
        <f>SUM(AM91:AM107)</f>
        <v>128</v>
      </c>
      <c r="AO91" s="835">
        <f t="shared" si="69"/>
        <v>0</v>
      </c>
      <c r="AP91" s="940">
        <f>SUM(AO91:AO107)</f>
        <v>0</v>
      </c>
      <c r="AQ91" s="722">
        <v>0</v>
      </c>
      <c r="AR91" s="728"/>
      <c r="AS91" s="728"/>
      <c r="AT91" s="729">
        <f t="shared" si="43"/>
        <v>0</v>
      </c>
      <c r="AU91" s="946">
        <f>SUM(AT91:AT107)</f>
        <v>6</v>
      </c>
      <c r="AV91" s="616"/>
      <c r="AW91" s="602">
        <f t="shared" si="57"/>
        <v>0</v>
      </c>
      <c r="AX91" s="940">
        <f>SUM(AW91:AW107)</f>
        <v>6</v>
      </c>
      <c r="AY91" s="602">
        <f t="shared" si="58"/>
        <v>0</v>
      </c>
      <c r="AZ91" s="940">
        <f>SUM(AY91:AY107)</f>
        <v>-1</v>
      </c>
      <c r="BA91" s="961">
        <f>AK91+AU91</f>
        <v>143</v>
      </c>
      <c r="BB91" s="961">
        <f>AP91+AZ91</f>
        <v>-1</v>
      </c>
      <c r="BC91" s="608">
        <f>SUM(BD91:BD107)</f>
        <v>700</v>
      </c>
      <c r="BD91" s="713">
        <v>0</v>
      </c>
      <c r="BE91" s="606">
        <v>0</v>
      </c>
      <c r="BF91" s="596">
        <f t="shared" si="62"/>
        <v>0</v>
      </c>
      <c r="BG91" s="728">
        <f>9</f>
        <v>9</v>
      </c>
      <c r="BH91" s="728">
        <f>1</f>
        <v>1</v>
      </c>
      <c r="BI91" s="729">
        <f t="shared" si="59"/>
        <v>10</v>
      </c>
      <c r="BJ91" s="729">
        <f>SUM(BI91:BI107)</f>
        <v>569</v>
      </c>
      <c r="BK91" s="616">
        <f>816</f>
        <v>816</v>
      </c>
      <c r="BL91" s="603">
        <f t="shared" si="60"/>
        <v>16.32</v>
      </c>
      <c r="BM91" s="964">
        <f>SUM(BL91:BL107)</f>
        <v>700.42</v>
      </c>
      <c r="BN91" s="602">
        <f t="shared" si="70"/>
        <v>-16.32</v>
      </c>
      <c r="BO91" s="940">
        <f>SUM(BN91:BN107)</f>
        <v>-0.4199999999999946</v>
      </c>
      <c r="BP91" s="593">
        <f t="shared" si="64"/>
        <v>-1.419999999999991</v>
      </c>
      <c r="BS91" s="744">
        <v>0</v>
      </c>
      <c r="BT91" s="744">
        <v>0</v>
      </c>
      <c r="BU91" s="741">
        <f t="shared" si="65"/>
        <v>0</v>
      </c>
      <c r="BV91" s="744">
        <v>0</v>
      </c>
      <c r="BW91" s="744">
        <f>SUM(BV91:BV107)</f>
        <v>489.66666666666663</v>
      </c>
      <c r="BX91" s="744">
        <v>0</v>
      </c>
      <c r="BY91" s="744">
        <v>0</v>
      </c>
      <c r="BZ91" s="741">
        <f t="shared" si="61"/>
        <v>0</v>
      </c>
      <c r="CA91" s="744">
        <v>0</v>
      </c>
      <c r="CB91" s="744">
        <f>SUM(CA91:CA107)</f>
        <v>121</v>
      </c>
      <c r="CC91" s="741">
        <f t="shared" si="66"/>
        <v>0</v>
      </c>
      <c r="CD91" s="754">
        <f>SUM(CC91:CC107)</f>
        <v>610.66666666666663</v>
      </c>
      <c r="CE91" s="748"/>
      <c r="CF91" s="748"/>
      <c r="CG91" s="748">
        <f t="shared" si="48"/>
        <v>0</v>
      </c>
      <c r="CH91" s="765"/>
      <c r="CI91" s="744">
        <f>SUM(CH91:CH107)</f>
        <v>609</v>
      </c>
      <c r="CJ91" s="593">
        <f t="shared" si="67"/>
        <v>-16.32</v>
      </c>
    </row>
    <row r="92" spans="1:88" ht="45.75" customHeight="1" x14ac:dyDescent="0.25">
      <c r="A92" s="596"/>
      <c r="B92" s="596" t="s">
        <v>51</v>
      </c>
      <c r="C92" s="597" t="s">
        <v>303</v>
      </c>
      <c r="D92" s="134" t="s">
        <v>431</v>
      </c>
      <c r="E92" s="598">
        <v>10.666666666666666</v>
      </c>
      <c r="F92" s="596">
        <v>0</v>
      </c>
      <c r="G92" s="598">
        <v>8.6666666666666661</v>
      </c>
      <c r="H92" s="596"/>
      <c r="I92" s="596">
        <f t="shared" si="51"/>
        <v>0</v>
      </c>
      <c r="J92" s="728">
        <f>17+11</f>
        <v>28</v>
      </c>
      <c r="K92" s="728">
        <f>2+5+3</f>
        <v>10</v>
      </c>
      <c r="L92" s="731">
        <f t="shared" si="52"/>
        <v>38</v>
      </c>
      <c r="M92" s="947"/>
      <c r="N92" s="617">
        <f>160+250</f>
        <v>410</v>
      </c>
      <c r="O92" s="602">
        <f t="shared" si="50"/>
        <v>27.333333333333332</v>
      </c>
      <c r="P92" s="940"/>
      <c r="Q92" s="600">
        <f t="shared" si="68"/>
        <v>-16.666666666666664</v>
      </c>
      <c r="R92" s="940"/>
      <c r="S92" s="596">
        <v>0</v>
      </c>
      <c r="T92" s="724"/>
      <c r="U92" s="728"/>
      <c r="V92" s="728"/>
      <c r="W92" s="731">
        <f t="shared" si="53"/>
        <v>0</v>
      </c>
      <c r="X92" s="947"/>
      <c r="Y92" s="616"/>
      <c r="Z92" s="602">
        <f t="shared" si="54"/>
        <v>0</v>
      </c>
      <c r="AA92" s="835"/>
      <c r="AB92" s="602">
        <f t="shared" si="55"/>
        <v>0</v>
      </c>
      <c r="AC92" s="940"/>
      <c r="AD92" s="956"/>
      <c r="AE92" s="956"/>
      <c r="AF92" s="598">
        <v>5.333333333333333</v>
      </c>
      <c r="AG92" s="596"/>
      <c r="AH92" s="728">
        <v>5</v>
      </c>
      <c r="AI92" s="728"/>
      <c r="AJ92" s="729">
        <f t="shared" si="63"/>
        <v>5</v>
      </c>
      <c r="AK92" s="946"/>
      <c r="AL92" s="616">
        <v>80</v>
      </c>
      <c r="AM92" s="602">
        <f t="shared" si="56"/>
        <v>5.333333333333333</v>
      </c>
      <c r="AN92" s="835"/>
      <c r="AO92" s="835">
        <f t="shared" si="69"/>
        <v>0</v>
      </c>
      <c r="AP92" s="940"/>
      <c r="AQ92" s="722">
        <v>0</v>
      </c>
      <c r="AR92" s="728"/>
      <c r="AS92" s="728"/>
      <c r="AT92" s="729">
        <f t="shared" si="43"/>
        <v>0</v>
      </c>
      <c r="AU92" s="946"/>
      <c r="AV92" s="616"/>
      <c r="AW92" s="602">
        <f t="shared" si="57"/>
        <v>0</v>
      </c>
      <c r="AX92" s="940"/>
      <c r="AY92" s="602">
        <f t="shared" si="58"/>
        <v>0</v>
      </c>
      <c r="AZ92" s="940"/>
      <c r="BA92" s="962"/>
      <c r="BB92" s="962"/>
      <c r="BC92" s="598"/>
      <c r="BD92" s="665">
        <v>16</v>
      </c>
      <c r="BE92" s="596">
        <v>14</v>
      </c>
      <c r="BF92" s="596">
        <f t="shared" si="62"/>
        <v>2</v>
      </c>
      <c r="BG92" s="728">
        <f>5+11</f>
        <v>16</v>
      </c>
      <c r="BH92" s="728">
        <f>3+2</f>
        <v>5</v>
      </c>
      <c r="BI92" s="729">
        <f t="shared" si="59"/>
        <v>21</v>
      </c>
      <c r="BJ92" s="729"/>
      <c r="BK92" s="616">
        <f>16*50</f>
        <v>800</v>
      </c>
      <c r="BL92" s="603">
        <f t="shared" si="60"/>
        <v>16</v>
      </c>
      <c r="BM92" s="964"/>
      <c r="BN92" s="602">
        <f t="shared" si="70"/>
        <v>0</v>
      </c>
      <c r="BO92" s="940"/>
      <c r="BP92" s="593">
        <f t="shared" si="64"/>
        <v>0</v>
      </c>
      <c r="BS92" s="741">
        <v>0</v>
      </c>
      <c r="BT92" s="741">
        <v>2</v>
      </c>
      <c r="BU92" s="741">
        <f t="shared" si="65"/>
        <v>2</v>
      </c>
      <c r="BV92" s="741">
        <v>2</v>
      </c>
      <c r="BW92" s="741"/>
      <c r="BX92" s="741">
        <v>5</v>
      </c>
      <c r="BY92" s="741">
        <v>0</v>
      </c>
      <c r="BZ92" s="741">
        <f t="shared" si="61"/>
        <v>5</v>
      </c>
      <c r="CA92" s="741">
        <v>5.333333333333333</v>
      </c>
      <c r="CB92" s="741"/>
      <c r="CC92" s="741">
        <f t="shared" si="66"/>
        <v>7.333333333333333</v>
      </c>
      <c r="CD92" s="751"/>
      <c r="CE92" s="748"/>
      <c r="CF92" s="748"/>
      <c r="CG92" s="748">
        <f t="shared" si="48"/>
        <v>0</v>
      </c>
      <c r="CH92" s="759"/>
      <c r="CI92" s="742"/>
      <c r="CJ92" s="591">
        <f t="shared" si="67"/>
        <v>-16.666666666666664</v>
      </c>
    </row>
    <row r="93" spans="1:88" ht="36.75" customHeight="1" x14ac:dyDescent="0.25">
      <c r="A93" s="596"/>
      <c r="B93" s="596" t="s">
        <v>51</v>
      </c>
      <c r="C93" s="597" t="s">
        <v>362</v>
      </c>
      <c r="D93" s="153" t="s">
        <v>429</v>
      </c>
      <c r="E93" s="598">
        <v>23.666666666666668</v>
      </c>
      <c r="F93" s="596">
        <v>0</v>
      </c>
      <c r="G93" s="598">
        <v>0</v>
      </c>
      <c r="H93" s="596"/>
      <c r="I93" s="596">
        <f t="shared" si="51"/>
        <v>0</v>
      </c>
      <c r="J93" s="728">
        <v>12</v>
      </c>
      <c r="K93" s="728">
        <v>2</v>
      </c>
      <c r="L93" s="731">
        <f t="shared" si="52"/>
        <v>14</v>
      </c>
      <c r="M93" s="947"/>
      <c r="N93" s="617">
        <v>355</v>
      </c>
      <c r="O93" s="602">
        <f t="shared" si="50"/>
        <v>23.666666666666668</v>
      </c>
      <c r="P93" s="940"/>
      <c r="Q93" s="600">
        <f t="shared" si="68"/>
        <v>0</v>
      </c>
      <c r="R93" s="940"/>
      <c r="S93" s="596">
        <v>0</v>
      </c>
      <c r="T93" s="724"/>
      <c r="U93" s="728"/>
      <c r="V93" s="728"/>
      <c r="W93" s="731">
        <f t="shared" si="53"/>
        <v>0</v>
      </c>
      <c r="X93" s="947"/>
      <c r="Y93" s="616"/>
      <c r="Z93" s="602">
        <f t="shared" si="54"/>
        <v>0</v>
      </c>
      <c r="AA93" s="835"/>
      <c r="AB93" s="602">
        <f t="shared" si="55"/>
        <v>0</v>
      </c>
      <c r="AC93" s="940"/>
      <c r="AD93" s="956"/>
      <c r="AE93" s="956"/>
      <c r="AF93" s="598">
        <v>3.3333333333333335</v>
      </c>
      <c r="AG93" s="596"/>
      <c r="AH93" s="728">
        <v>1</v>
      </c>
      <c r="AI93" s="728">
        <v>1</v>
      </c>
      <c r="AJ93" s="729">
        <f t="shared" si="63"/>
        <v>2</v>
      </c>
      <c r="AK93" s="946"/>
      <c r="AL93" s="616">
        <v>50</v>
      </c>
      <c r="AM93" s="602">
        <f t="shared" si="56"/>
        <v>3.3333333333333335</v>
      </c>
      <c r="AN93" s="835"/>
      <c r="AO93" s="835">
        <f t="shared" si="69"/>
        <v>0</v>
      </c>
      <c r="AP93" s="940"/>
      <c r="AQ93" s="722">
        <v>0</v>
      </c>
      <c r="AR93" s="728"/>
      <c r="AS93" s="728"/>
      <c r="AT93" s="729">
        <f t="shared" si="43"/>
        <v>0</v>
      </c>
      <c r="AU93" s="946"/>
      <c r="AV93" s="616"/>
      <c r="AW93" s="602">
        <f t="shared" si="57"/>
        <v>0</v>
      </c>
      <c r="AX93" s="940"/>
      <c r="AY93" s="602">
        <f t="shared" si="58"/>
        <v>0</v>
      </c>
      <c r="AZ93" s="940"/>
      <c r="BA93" s="962"/>
      <c r="BB93" s="962"/>
      <c r="BC93" s="598"/>
      <c r="BD93" s="665">
        <v>26</v>
      </c>
      <c r="BE93" s="596">
        <v>0</v>
      </c>
      <c r="BF93" s="596">
        <f t="shared" si="62"/>
        <v>26</v>
      </c>
      <c r="BG93" s="728">
        <f>12+1</f>
        <v>13</v>
      </c>
      <c r="BH93" s="728">
        <f>2+1</f>
        <v>3</v>
      </c>
      <c r="BI93" s="729">
        <f t="shared" si="59"/>
        <v>16</v>
      </c>
      <c r="BJ93" s="729"/>
      <c r="BK93" s="616">
        <f>1150+150</f>
        <v>1300</v>
      </c>
      <c r="BL93" s="603">
        <f t="shared" si="60"/>
        <v>26</v>
      </c>
      <c r="BM93" s="964"/>
      <c r="BN93" s="602">
        <f t="shared" si="70"/>
        <v>0</v>
      </c>
      <c r="BO93" s="940"/>
      <c r="BP93" s="593">
        <f t="shared" si="64"/>
        <v>0</v>
      </c>
      <c r="BS93" s="741">
        <v>12</v>
      </c>
      <c r="BT93" s="741">
        <v>2</v>
      </c>
      <c r="BU93" s="741">
        <f t="shared" si="65"/>
        <v>14</v>
      </c>
      <c r="BV93" s="741">
        <v>23.666666666666668</v>
      </c>
      <c r="BW93" s="741"/>
      <c r="BX93" s="741">
        <v>1</v>
      </c>
      <c r="BY93" s="741">
        <v>1</v>
      </c>
      <c r="BZ93" s="741">
        <f t="shared" si="61"/>
        <v>2</v>
      </c>
      <c r="CA93" s="741">
        <v>3.3333333333333335</v>
      </c>
      <c r="CB93" s="741"/>
      <c r="CC93" s="741">
        <f t="shared" si="66"/>
        <v>27</v>
      </c>
      <c r="CD93" s="751"/>
      <c r="CE93" s="748">
        <f>12+1</f>
        <v>13</v>
      </c>
      <c r="CF93" s="748">
        <f>2+1</f>
        <v>3</v>
      </c>
      <c r="CG93" s="748">
        <f t="shared" si="48"/>
        <v>16</v>
      </c>
      <c r="CH93" s="759">
        <v>26</v>
      </c>
      <c r="CI93" s="742"/>
      <c r="CJ93" s="591">
        <f t="shared" si="67"/>
        <v>0</v>
      </c>
    </row>
    <row r="94" spans="1:88" ht="21.6" customHeight="1" x14ac:dyDescent="0.25">
      <c r="A94" s="596"/>
      <c r="B94" s="596" t="s">
        <v>51</v>
      </c>
      <c r="C94" s="597" t="s">
        <v>349</v>
      </c>
      <c r="D94" s="134" t="s">
        <v>429</v>
      </c>
      <c r="E94" s="598">
        <v>16.666666666666668</v>
      </c>
      <c r="F94" s="596">
        <v>0</v>
      </c>
      <c r="G94" s="598">
        <v>16.666666666666668</v>
      </c>
      <c r="H94" s="596"/>
      <c r="I94" s="596">
        <f t="shared" si="51"/>
        <v>0</v>
      </c>
      <c r="J94" s="728"/>
      <c r="K94" s="728"/>
      <c r="L94" s="731">
        <f t="shared" si="52"/>
        <v>0</v>
      </c>
      <c r="M94" s="947"/>
      <c r="N94" s="617"/>
      <c r="O94" s="602">
        <f t="shared" si="50"/>
        <v>0</v>
      </c>
      <c r="P94" s="940"/>
      <c r="Q94" s="600">
        <f t="shared" si="68"/>
        <v>16.666666666666668</v>
      </c>
      <c r="R94" s="940"/>
      <c r="S94" s="596">
        <v>0</v>
      </c>
      <c r="T94" s="724"/>
      <c r="U94" s="728"/>
      <c r="V94" s="728"/>
      <c r="W94" s="731">
        <f t="shared" si="53"/>
        <v>0</v>
      </c>
      <c r="X94" s="947"/>
      <c r="Y94" s="616"/>
      <c r="Z94" s="602">
        <f t="shared" si="54"/>
        <v>0</v>
      </c>
      <c r="AA94" s="835"/>
      <c r="AB94" s="602">
        <f t="shared" si="55"/>
        <v>0</v>
      </c>
      <c r="AC94" s="940"/>
      <c r="AD94" s="956"/>
      <c r="AE94" s="956"/>
      <c r="AF94" s="598">
        <v>0</v>
      </c>
      <c r="AG94" s="596"/>
      <c r="AH94" s="728"/>
      <c r="AI94" s="728"/>
      <c r="AJ94" s="729">
        <f t="shared" si="63"/>
        <v>0</v>
      </c>
      <c r="AK94" s="946"/>
      <c r="AL94" s="616"/>
      <c r="AM94" s="602">
        <f t="shared" si="56"/>
        <v>0</v>
      </c>
      <c r="AN94" s="835"/>
      <c r="AO94" s="835">
        <f t="shared" si="69"/>
        <v>0</v>
      </c>
      <c r="AP94" s="940"/>
      <c r="AQ94" s="722">
        <v>0</v>
      </c>
      <c r="AR94" s="728"/>
      <c r="AS94" s="728"/>
      <c r="AT94" s="729">
        <f t="shared" si="43"/>
        <v>0</v>
      </c>
      <c r="AU94" s="946"/>
      <c r="AV94" s="616"/>
      <c r="AW94" s="602">
        <f t="shared" si="57"/>
        <v>0</v>
      </c>
      <c r="AX94" s="940"/>
      <c r="AY94" s="602">
        <f t="shared" si="58"/>
        <v>0</v>
      </c>
      <c r="AZ94" s="940"/>
      <c r="BA94" s="962"/>
      <c r="BB94" s="962"/>
      <c r="BC94" s="598"/>
      <c r="BD94" s="665">
        <v>16</v>
      </c>
      <c r="BE94" s="596">
        <v>16</v>
      </c>
      <c r="BF94" s="596">
        <f t="shared" si="62"/>
        <v>0</v>
      </c>
      <c r="BG94" s="728"/>
      <c r="BH94" s="728"/>
      <c r="BI94" s="729">
        <f t="shared" si="59"/>
        <v>0</v>
      </c>
      <c r="BJ94" s="729"/>
      <c r="BK94" s="616"/>
      <c r="BL94" s="603">
        <f t="shared" si="60"/>
        <v>0</v>
      </c>
      <c r="BM94" s="964"/>
      <c r="BN94" s="602">
        <f t="shared" si="70"/>
        <v>16</v>
      </c>
      <c r="BO94" s="940"/>
      <c r="BP94" s="593">
        <f t="shared" si="64"/>
        <v>0</v>
      </c>
      <c r="BS94" s="741">
        <v>0</v>
      </c>
      <c r="BT94" s="741">
        <v>0</v>
      </c>
      <c r="BU94" s="741">
        <f t="shared" si="65"/>
        <v>0</v>
      </c>
      <c r="BV94" s="741">
        <v>0</v>
      </c>
      <c r="BW94" s="741"/>
      <c r="BX94" s="741">
        <v>0</v>
      </c>
      <c r="BY94" s="741">
        <v>0</v>
      </c>
      <c r="BZ94" s="741">
        <f t="shared" si="61"/>
        <v>0</v>
      </c>
      <c r="CA94" s="741">
        <v>0</v>
      </c>
      <c r="CB94" s="741"/>
      <c r="CC94" s="741">
        <f t="shared" si="66"/>
        <v>0</v>
      </c>
      <c r="CD94" s="751"/>
      <c r="CE94" s="748"/>
      <c r="CF94" s="748"/>
      <c r="CG94" s="748">
        <f t="shared" si="48"/>
        <v>0</v>
      </c>
      <c r="CH94" s="759"/>
      <c r="CI94" s="742"/>
      <c r="CJ94" s="591">
        <f t="shared" si="67"/>
        <v>32.666666666666671</v>
      </c>
    </row>
    <row r="95" spans="1:88" ht="21.6" customHeight="1" x14ac:dyDescent="0.25">
      <c r="A95" s="596" t="s">
        <v>28</v>
      </c>
      <c r="B95" s="596" t="s">
        <v>51</v>
      </c>
      <c r="C95" s="597" t="s">
        <v>52</v>
      </c>
      <c r="D95" s="153" t="s">
        <v>429</v>
      </c>
      <c r="E95" s="598">
        <v>16.666666666666668</v>
      </c>
      <c r="F95" s="596">
        <v>0</v>
      </c>
      <c r="G95" s="598">
        <v>16.666666666666668</v>
      </c>
      <c r="H95" s="596"/>
      <c r="I95" s="596">
        <f t="shared" si="51"/>
        <v>0</v>
      </c>
      <c r="J95" s="728">
        <v>11</v>
      </c>
      <c r="K95" s="728">
        <v>7</v>
      </c>
      <c r="L95" s="731">
        <f t="shared" si="52"/>
        <v>18</v>
      </c>
      <c r="M95" s="947"/>
      <c r="N95" s="617">
        <v>250.00000000000003</v>
      </c>
      <c r="O95" s="602">
        <f t="shared" si="50"/>
        <v>16.666666666666668</v>
      </c>
      <c r="P95" s="940"/>
      <c r="Q95" s="600">
        <f t="shared" si="68"/>
        <v>0</v>
      </c>
      <c r="R95" s="940"/>
      <c r="S95" s="596">
        <v>0</v>
      </c>
      <c r="T95" s="724"/>
      <c r="U95" s="728"/>
      <c r="V95" s="728"/>
      <c r="W95" s="731">
        <f t="shared" si="53"/>
        <v>0</v>
      </c>
      <c r="X95" s="947"/>
      <c r="Y95" s="616"/>
      <c r="Z95" s="602">
        <f t="shared" si="54"/>
        <v>0</v>
      </c>
      <c r="AA95" s="835"/>
      <c r="AB95" s="602">
        <f t="shared" si="55"/>
        <v>0</v>
      </c>
      <c r="AC95" s="940"/>
      <c r="AD95" s="956"/>
      <c r="AE95" s="956"/>
      <c r="AF95" s="598">
        <v>0</v>
      </c>
      <c r="AG95" s="596"/>
      <c r="AH95" s="728"/>
      <c r="AI95" s="728"/>
      <c r="AJ95" s="729">
        <f t="shared" si="63"/>
        <v>0</v>
      </c>
      <c r="AK95" s="946"/>
      <c r="AL95" s="616"/>
      <c r="AM95" s="602">
        <f t="shared" si="56"/>
        <v>0</v>
      </c>
      <c r="AN95" s="835"/>
      <c r="AO95" s="835">
        <f t="shared" si="69"/>
        <v>0</v>
      </c>
      <c r="AP95" s="940"/>
      <c r="AQ95" s="722">
        <v>0</v>
      </c>
      <c r="AR95" s="728"/>
      <c r="AS95" s="728"/>
      <c r="AT95" s="729">
        <f t="shared" si="43"/>
        <v>0</v>
      </c>
      <c r="AU95" s="946"/>
      <c r="AV95" s="616"/>
      <c r="AW95" s="602">
        <f t="shared" si="57"/>
        <v>0</v>
      </c>
      <c r="AX95" s="940"/>
      <c r="AY95" s="602">
        <f t="shared" si="58"/>
        <v>0</v>
      </c>
      <c r="AZ95" s="940"/>
      <c r="BA95" s="962"/>
      <c r="BB95" s="962"/>
      <c r="BC95" s="598"/>
      <c r="BD95" s="665">
        <v>16</v>
      </c>
      <c r="BE95" s="596">
        <v>16</v>
      </c>
      <c r="BF95" s="596">
        <f t="shared" si="62"/>
        <v>0</v>
      </c>
      <c r="BG95" s="728">
        <v>10</v>
      </c>
      <c r="BH95" s="728">
        <v>8</v>
      </c>
      <c r="BI95" s="729">
        <f t="shared" si="59"/>
        <v>18</v>
      </c>
      <c r="BJ95" s="729"/>
      <c r="BK95" s="616">
        <v>800</v>
      </c>
      <c r="BL95" s="603">
        <f t="shared" si="60"/>
        <v>16</v>
      </c>
      <c r="BM95" s="964"/>
      <c r="BN95" s="602">
        <f t="shared" si="70"/>
        <v>0</v>
      </c>
      <c r="BO95" s="940"/>
      <c r="BP95" s="593">
        <f t="shared" si="64"/>
        <v>0</v>
      </c>
      <c r="BS95" s="741">
        <v>0</v>
      </c>
      <c r="BT95" s="741">
        <v>0</v>
      </c>
      <c r="BU95" s="741">
        <f t="shared" si="65"/>
        <v>0</v>
      </c>
      <c r="BV95" s="741">
        <v>0</v>
      </c>
      <c r="BW95" s="741"/>
      <c r="BX95" s="741">
        <v>0</v>
      </c>
      <c r="BY95" s="741">
        <v>0</v>
      </c>
      <c r="BZ95" s="741">
        <f t="shared" si="61"/>
        <v>0</v>
      </c>
      <c r="CA95" s="741">
        <v>0</v>
      </c>
      <c r="CB95" s="741"/>
      <c r="CC95" s="741">
        <f t="shared" si="66"/>
        <v>0</v>
      </c>
      <c r="CD95" s="751"/>
      <c r="CE95" s="748"/>
      <c r="CF95" s="748"/>
      <c r="CG95" s="748">
        <f t="shared" si="48"/>
        <v>0</v>
      </c>
      <c r="CH95" s="759"/>
      <c r="CI95" s="742"/>
      <c r="CJ95" s="591">
        <f t="shared" si="67"/>
        <v>0</v>
      </c>
    </row>
    <row r="96" spans="1:88" ht="21.6" customHeight="1" x14ac:dyDescent="0.25">
      <c r="A96" s="596"/>
      <c r="B96" s="596" t="s">
        <v>51</v>
      </c>
      <c r="C96" s="597" t="s">
        <v>54</v>
      </c>
      <c r="D96" s="182" t="s">
        <v>429</v>
      </c>
      <c r="E96" s="598">
        <v>8.3333333333333339</v>
      </c>
      <c r="F96" s="596">
        <v>0</v>
      </c>
      <c r="G96" s="598">
        <v>8.3333333333333339</v>
      </c>
      <c r="H96" s="596"/>
      <c r="I96" s="596">
        <f t="shared" si="51"/>
        <v>0</v>
      </c>
      <c r="J96" s="728">
        <v>14</v>
      </c>
      <c r="K96" s="728">
        <v>2</v>
      </c>
      <c r="L96" s="731">
        <f t="shared" si="52"/>
        <v>16</v>
      </c>
      <c r="M96" s="947"/>
      <c r="N96" s="617">
        <v>125.00000000000001</v>
      </c>
      <c r="O96" s="602">
        <f t="shared" si="50"/>
        <v>8.3333333333333339</v>
      </c>
      <c r="P96" s="940"/>
      <c r="Q96" s="600">
        <f t="shared" si="68"/>
        <v>0</v>
      </c>
      <c r="R96" s="940"/>
      <c r="S96" s="596">
        <v>0</v>
      </c>
      <c r="T96" s="724"/>
      <c r="U96" s="728"/>
      <c r="V96" s="728"/>
      <c r="W96" s="731">
        <f t="shared" si="53"/>
        <v>0</v>
      </c>
      <c r="X96" s="947"/>
      <c r="Y96" s="616"/>
      <c r="Z96" s="602">
        <f t="shared" si="54"/>
        <v>0</v>
      </c>
      <c r="AA96" s="835"/>
      <c r="AB96" s="602">
        <f t="shared" si="55"/>
        <v>0</v>
      </c>
      <c r="AC96" s="940"/>
      <c r="AD96" s="956"/>
      <c r="AE96" s="956"/>
      <c r="AF96" s="598">
        <v>1.6666666666666667</v>
      </c>
      <c r="AG96" s="596"/>
      <c r="AH96" s="728">
        <v>2</v>
      </c>
      <c r="AI96" s="728">
        <v>1</v>
      </c>
      <c r="AJ96" s="729">
        <f t="shared" si="63"/>
        <v>3</v>
      </c>
      <c r="AK96" s="946"/>
      <c r="AL96" s="616">
        <v>25</v>
      </c>
      <c r="AM96" s="602">
        <f t="shared" si="56"/>
        <v>1.6666666666666667</v>
      </c>
      <c r="AN96" s="835"/>
      <c r="AO96" s="835">
        <f t="shared" si="69"/>
        <v>0</v>
      </c>
      <c r="AP96" s="940"/>
      <c r="AQ96" s="722">
        <v>0</v>
      </c>
      <c r="AR96" s="728"/>
      <c r="AS96" s="728"/>
      <c r="AT96" s="729">
        <f t="shared" si="43"/>
        <v>0</v>
      </c>
      <c r="AU96" s="946"/>
      <c r="AV96" s="616"/>
      <c r="AW96" s="602">
        <f t="shared" si="57"/>
        <v>0</v>
      </c>
      <c r="AX96" s="940"/>
      <c r="AY96" s="602">
        <f t="shared" si="58"/>
        <v>0</v>
      </c>
      <c r="AZ96" s="940"/>
      <c r="BA96" s="962"/>
      <c r="BB96" s="962"/>
      <c r="BC96" s="598"/>
      <c r="BD96" s="665">
        <v>10</v>
      </c>
      <c r="BE96" s="596">
        <v>10</v>
      </c>
      <c r="BF96" s="596">
        <f t="shared" si="62"/>
        <v>0</v>
      </c>
      <c r="BG96" s="728">
        <f>17+2</f>
        <v>19</v>
      </c>
      <c r="BH96" s="728">
        <f>2+1</f>
        <v>3</v>
      </c>
      <c r="BI96" s="729">
        <f t="shared" si="59"/>
        <v>22</v>
      </c>
      <c r="BJ96" s="729"/>
      <c r="BK96" s="616">
        <v>500</v>
      </c>
      <c r="BL96" s="603">
        <f t="shared" si="60"/>
        <v>10</v>
      </c>
      <c r="BM96" s="964"/>
      <c r="BN96" s="602">
        <f t="shared" si="70"/>
        <v>0</v>
      </c>
      <c r="BO96" s="940"/>
      <c r="BP96" s="593">
        <f t="shared" si="64"/>
        <v>0</v>
      </c>
      <c r="BS96" s="741">
        <v>0</v>
      </c>
      <c r="BT96" s="741">
        <v>0</v>
      </c>
      <c r="BU96" s="741">
        <f t="shared" si="65"/>
        <v>0</v>
      </c>
      <c r="BV96" s="741">
        <v>0</v>
      </c>
      <c r="BW96" s="741"/>
      <c r="BX96" s="741">
        <v>2</v>
      </c>
      <c r="BY96" s="741">
        <v>1</v>
      </c>
      <c r="BZ96" s="741">
        <f t="shared" si="61"/>
        <v>3</v>
      </c>
      <c r="CA96" s="741">
        <v>1.6666666666666667</v>
      </c>
      <c r="CB96" s="741"/>
      <c r="CC96" s="741">
        <f t="shared" si="66"/>
        <v>1.6666666666666667</v>
      </c>
      <c r="CD96" s="751"/>
      <c r="CE96" s="748"/>
      <c r="CF96" s="748"/>
      <c r="CG96" s="748">
        <f t="shared" si="48"/>
        <v>0</v>
      </c>
      <c r="CH96" s="759"/>
      <c r="CI96" s="742"/>
      <c r="CJ96" s="591">
        <f t="shared" si="67"/>
        <v>0</v>
      </c>
    </row>
    <row r="97" spans="1:88" ht="21.6" customHeight="1" x14ac:dyDescent="0.25">
      <c r="A97" s="596" t="s">
        <v>28</v>
      </c>
      <c r="B97" s="596" t="s">
        <v>51</v>
      </c>
      <c r="C97" s="597" t="s">
        <v>53</v>
      </c>
      <c r="D97" s="153" t="s">
        <v>437</v>
      </c>
      <c r="E97" s="598">
        <v>10</v>
      </c>
      <c r="F97" s="596">
        <v>0</v>
      </c>
      <c r="G97" s="598">
        <v>10</v>
      </c>
      <c r="H97" s="596"/>
      <c r="I97" s="596">
        <f t="shared" si="51"/>
        <v>0</v>
      </c>
      <c r="J97" s="728">
        <v>11</v>
      </c>
      <c r="K97" s="728">
        <v>9</v>
      </c>
      <c r="L97" s="731">
        <f t="shared" si="52"/>
        <v>20</v>
      </c>
      <c r="M97" s="947"/>
      <c r="N97" s="617">
        <v>150</v>
      </c>
      <c r="O97" s="602">
        <f t="shared" si="50"/>
        <v>10</v>
      </c>
      <c r="P97" s="940"/>
      <c r="Q97" s="600">
        <f t="shared" si="68"/>
        <v>0</v>
      </c>
      <c r="R97" s="940"/>
      <c r="S97" s="596">
        <v>0</v>
      </c>
      <c r="T97" s="724"/>
      <c r="U97" s="728"/>
      <c r="V97" s="728"/>
      <c r="W97" s="731">
        <f t="shared" si="53"/>
        <v>0</v>
      </c>
      <c r="X97" s="947"/>
      <c r="Y97" s="616"/>
      <c r="Z97" s="602">
        <f t="shared" si="54"/>
        <v>0</v>
      </c>
      <c r="AA97" s="835"/>
      <c r="AB97" s="602">
        <f t="shared" si="55"/>
        <v>0</v>
      </c>
      <c r="AC97" s="940"/>
      <c r="AD97" s="956"/>
      <c r="AE97" s="956"/>
      <c r="AF97" s="598">
        <v>0.66666666666666663</v>
      </c>
      <c r="AG97" s="596"/>
      <c r="AH97" s="728">
        <v>1</v>
      </c>
      <c r="AI97" s="728"/>
      <c r="AJ97" s="729">
        <f t="shared" si="63"/>
        <v>1</v>
      </c>
      <c r="AK97" s="946"/>
      <c r="AL97" s="616">
        <v>10</v>
      </c>
      <c r="AM97" s="602">
        <f t="shared" si="56"/>
        <v>0.66666666666666663</v>
      </c>
      <c r="AN97" s="835"/>
      <c r="AO97" s="835">
        <f t="shared" si="69"/>
        <v>0</v>
      </c>
      <c r="AP97" s="940"/>
      <c r="AQ97" s="722">
        <v>0</v>
      </c>
      <c r="AR97" s="728"/>
      <c r="AS97" s="728"/>
      <c r="AT97" s="729">
        <f t="shared" si="43"/>
        <v>0</v>
      </c>
      <c r="AU97" s="946"/>
      <c r="AV97" s="616"/>
      <c r="AW97" s="602">
        <f t="shared" si="57"/>
        <v>0</v>
      </c>
      <c r="AX97" s="940"/>
      <c r="AY97" s="602">
        <f t="shared" si="58"/>
        <v>0</v>
      </c>
      <c r="AZ97" s="940"/>
      <c r="BA97" s="962"/>
      <c r="BB97" s="962"/>
      <c r="BC97" s="598"/>
      <c r="BD97" s="665">
        <v>10</v>
      </c>
      <c r="BE97" s="596">
        <v>10</v>
      </c>
      <c r="BF97" s="596">
        <f t="shared" si="62"/>
        <v>0</v>
      </c>
      <c r="BG97" s="728">
        <f>11+1</f>
        <v>12</v>
      </c>
      <c r="BH97" s="728">
        <v>9</v>
      </c>
      <c r="BI97" s="729">
        <f t="shared" si="59"/>
        <v>21</v>
      </c>
      <c r="BJ97" s="729"/>
      <c r="BK97" s="616">
        <f>500</f>
        <v>500</v>
      </c>
      <c r="BL97" s="603">
        <f t="shared" si="60"/>
        <v>10</v>
      </c>
      <c r="BM97" s="964"/>
      <c r="BN97" s="602">
        <f t="shared" si="70"/>
        <v>0</v>
      </c>
      <c r="BO97" s="940"/>
      <c r="BP97" s="593">
        <f t="shared" si="64"/>
        <v>0</v>
      </c>
      <c r="BS97" s="741">
        <v>0</v>
      </c>
      <c r="BT97" s="741">
        <v>0</v>
      </c>
      <c r="BU97" s="741">
        <f t="shared" si="65"/>
        <v>0</v>
      </c>
      <c r="BV97" s="741">
        <v>0</v>
      </c>
      <c r="BW97" s="741"/>
      <c r="BX97" s="741">
        <v>1</v>
      </c>
      <c r="BY97" s="741">
        <v>0</v>
      </c>
      <c r="BZ97" s="741">
        <f t="shared" si="61"/>
        <v>1</v>
      </c>
      <c r="CA97" s="741">
        <v>0.66666666666666663</v>
      </c>
      <c r="CB97" s="741"/>
      <c r="CC97" s="741">
        <f t="shared" si="66"/>
        <v>0.66666666666666663</v>
      </c>
      <c r="CD97" s="751"/>
      <c r="CE97" s="748">
        <f>11+1</f>
        <v>12</v>
      </c>
      <c r="CF97" s="748">
        <v>9</v>
      </c>
      <c r="CG97" s="748">
        <f t="shared" si="48"/>
        <v>21</v>
      </c>
      <c r="CH97" s="759">
        <v>10</v>
      </c>
      <c r="CI97" s="742"/>
      <c r="CJ97" s="591">
        <f t="shared" si="67"/>
        <v>0</v>
      </c>
    </row>
    <row r="98" spans="1:88" ht="21.6" customHeight="1" x14ac:dyDescent="0.25">
      <c r="A98" s="596"/>
      <c r="B98" s="596" t="s">
        <v>51</v>
      </c>
      <c r="C98" s="597" t="s">
        <v>53</v>
      </c>
      <c r="D98" s="153"/>
      <c r="E98" s="598">
        <v>0</v>
      </c>
      <c r="F98" s="596">
        <v>0</v>
      </c>
      <c r="G98" s="598">
        <v>0</v>
      </c>
      <c r="H98" s="596"/>
      <c r="I98" s="596">
        <f t="shared" si="51"/>
        <v>0</v>
      </c>
      <c r="J98" s="728"/>
      <c r="K98" s="728"/>
      <c r="L98" s="731">
        <f t="shared" si="52"/>
        <v>0</v>
      </c>
      <c r="M98" s="947"/>
      <c r="N98" s="617"/>
      <c r="O98" s="602">
        <f t="shared" si="50"/>
        <v>0</v>
      </c>
      <c r="P98" s="940"/>
      <c r="Q98" s="600">
        <f t="shared" si="68"/>
        <v>0</v>
      </c>
      <c r="R98" s="940"/>
      <c r="S98" s="596">
        <v>0</v>
      </c>
      <c r="T98" s="724"/>
      <c r="U98" s="728"/>
      <c r="V98" s="728"/>
      <c r="W98" s="731">
        <f t="shared" si="53"/>
        <v>0</v>
      </c>
      <c r="X98" s="947"/>
      <c r="Y98" s="616"/>
      <c r="Z98" s="602">
        <f t="shared" si="54"/>
        <v>0</v>
      </c>
      <c r="AA98" s="835"/>
      <c r="AB98" s="602">
        <f t="shared" si="55"/>
        <v>0</v>
      </c>
      <c r="AC98" s="940"/>
      <c r="AD98" s="956"/>
      <c r="AE98" s="956"/>
      <c r="AF98" s="598">
        <v>0</v>
      </c>
      <c r="AG98" s="596"/>
      <c r="AH98" s="728"/>
      <c r="AI98" s="728"/>
      <c r="AJ98" s="729">
        <f t="shared" si="63"/>
        <v>0</v>
      </c>
      <c r="AK98" s="946"/>
      <c r="AL98" s="616"/>
      <c r="AM98" s="602">
        <f t="shared" si="56"/>
        <v>0</v>
      </c>
      <c r="AN98" s="835"/>
      <c r="AO98" s="835">
        <f t="shared" si="69"/>
        <v>0</v>
      </c>
      <c r="AP98" s="940"/>
      <c r="AQ98" s="722">
        <v>0</v>
      </c>
      <c r="AR98" s="728"/>
      <c r="AS98" s="728"/>
      <c r="AT98" s="729">
        <f t="shared" si="43"/>
        <v>0</v>
      </c>
      <c r="AU98" s="946"/>
      <c r="AV98" s="616"/>
      <c r="AW98" s="602">
        <f t="shared" si="57"/>
        <v>0</v>
      </c>
      <c r="AX98" s="940"/>
      <c r="AY98" s="602">
        <f t="shared" si="58"/>
        <v>0</v>
      </c>
      <c r="AZ98" s="940"/>
      <c r="BA98" s="962"/>
      <c r="BB98" s="962"/>
      <c r="BC98" s="598"/>
      <c r="BD98" s="665">
        <v>0</v>
      </c>
      <c r="BE98" s="596">
        <v>0</v>
      </c>
      <c r="BF98" s="596">
        <f t="shared" si="62"/>
        <v>0</v>
      </c>
      <c r="BG98" s="728"/>
      <c r="BH98" s="728"/>
      <c r="BI98" s="729">
        <f t="shared" si="59"/>
        <v>0</v>
      </c>
      <c r="BJ98" s="729"/>
      <c r="BK98" s="616"/>
      <c r="BL98" s="603">
        <f t="shared" si="60"/>
        <v>0</v>
      </c>
      <c r="BM98" s="964"/>
      <c r="BN98" s="602">
        <f t="shared" si="70"/>
        <v>0</v>
      </c>
      <c r="BO98" s="940"/>
      <c r="BP98" s="593">
        <f t="shared" si="64"/>
        <v>0</v>
      </c>
      <c r="BS98" s="741">
        <v>0</v>
      </c>
      <c r="BT98" s="741">
        <v>0</v>
      </c>
      <c r="BU98" s="741">
        <f t="shared" si="65"/>
        <v>0</v>
      </c>
      <c r="BV98" s="741">
        <v>0</v>
      </c>
      <c r="BW98" s="741"/>
      <c r="BX98" s="741">
        <v>0</v>
      </c>
      <c r="BY98" s="741">
        <v>0</v>
      </c>
      <c r="BZ98" s="741">
        <f t="shared" si="61"/>
        <v>0</v>
      </c>
      <c r="CA98" s="741">
        <v>0</v>
      </c>
      <c r="CB98" s="741"/>
      <c r="CC98" s="741">
        <f t="shared" si="66"/>
        <v>0</v>
      </c>
      <c r="CD98" s="751"/>
      <c r="CE98" s="748"/>
      <c r="CF98" s="748"/>
      <c r="CG98" s="748">
        <f t="shared" si="48"/>
        <v>0</v>
      </c>
      <c r="CH98" s="759"/>
      <c r="CI98" s="742"/>
      <c r="CJ98" s="591">
        <f t="shared" si="67"/>
        <v>0</v>
      </c>
    </row>
    <row r="99" spans="1:88" ht="21.6" customHeight="1" x14ac:dyDescent="0.25">
      <c r="A99" s="596"/>
      <c r="B99" s="596" t="s">
        <v>51</v>
      </c>
      <c r="C99" s="597" t="s">
        <v>56</v>
      </c>
      <c r="D99" s="167" t="s">
        <v>429</v>
      </c>
      <c r="E99" s="598">
        <v>39.666666666666664</v>
      </c>
      <c r="F99" s="596">
        <v>0</v>
      </c>
      <c r="G99" s="598">
        <v>0</v>
      </c>
      <c r="H99" s="596"/>
      <c r="I99" s="596">
        <f t="shared" si="51"/>
        <v>0</v>
      </c>
      <c r="J99" s="728">
        <v>29</v>
      </c>
      <c r="K99" s="728">
        <v>11</v>
      </c>
      <c r="L99" s="731">
        <f t="shared" si="52"/>
        <v>40</v>
      </c>
      <c r="M99" s="947"/>
      <c r="N99" s="617">
        <v>595</v>
      </c>
      <c r="O99" s="602">
        <f t="shared" si="50"/>
        <v>39.666666666666664</v>
      </c>
      <c r="P99" s="940"/>
      <c r="Q99" s="600">
        <f t="shared" si="68"/>
        <v>0</v>
      </c>
      <c r="R99" s="940"/>
      <c r="S99" s="596">
        <v>0</v>
      </c>
      <c r="T99" s="724"/>
      <c r="U99" s="728"/>
      <c r="V99" s="728"/>
      <c r="W99" s="731">
        <f t="shared" si="53"/>
        <v>0</v>
      </c>
      <c r="X99" s="947"/>
      <c r="Y99" s="616"/>
      <c r="Z99" s="602">
        <f t="shared" si="54"/>
        <v>0</v>
      </c>
      <c r="AA99" s="835"/>
      <c r="AB99" s="602">
        <f t="shared" si="55"/>
        <v>0</v>
      </c>
      <c r="AC99" s="940"/>
      <c r="AD99" s="956"/>
      <c r="AE99" s="956"/>
      <c r="AF99" s="598">
        <v>23.333333333333332</v>
      </c>
      <c r="AG99" s="596"/>
      <c r="AH99" s="728">
        <v>31</v>
      </c>
      <c r="AI99" s="728">
        <v>6</v>
      </c>
      <c r="AJ99" s="729">
        <f t="shared" si="63"/>
        <v>37</v>
      </c>
      <c r="AK99" s="946"/>
      <c r="AL99" s="616">
        <v>350</v>
      </c>
      <c r="AM99" s="602">
        <f>AL99/15</f>
        <v>23.333333333333332</v>
      </c>
      <c r="AN99" s="835"/>
      <c r="AO99" s="835">
        <f t="shared" si="69"/>
        <v>0</v>
      </c>
      <c r="AP99" s="940"/>
      <c r="AQ99" s="722">
        <v>5</v>
      </c>
      <c r="AR99" s="728">
        <v>5</v>
      </c>
      <c r="AS99" s="728">
        <v>1</v>
      </c>
      <c r="AT99" s="729">
        <f t="shared" si="43"/>
        <v>6</v>
      </c>
      <c r="AU99" s="946"/>
      <c r="AV99" s="616">
        <v>90</v>
      </c>
      <c r="AW99" s="602">
        <f>AV99/15</f>
        <v>6</v>
      </c>
      <c r="AX99" s="940"/>
      <c r="AY99" s="602">
        <f t="shared" si="58"/>
        <v>-1</v>
      </c>
      <c r="AZ99" s="940"/>
      <c r="BA99" s="962"/>
      <c r="BB99" s="962"/>
      <c r="BC99" s="598"/>
      <c r="BD99" s="665">
        <v>67</v>
      </c>
      <c r="BE99" s="596">
        <v>0</v>
      </c>
      <c r="BF99" s="596">
        <f t="shared" si="62"/>
        <v>67</v>
      </c>
      <c r="BG99" s="728">
        <f>31+29</f>
        <v>60</v>
      </c>
      <c r="BH99" s="728">
        <f>6+11</f>
        <v>17</v>
      </c>
      <c r="BI99" s="729">
        <f t="shared" si="59"/>
        <v>77</v>
      </c>
      <c r="BJ99" s="729"/>
      <c r="BK99" s="616">
        <f>1950+1400</f>
        <v>3350</v>
      </c>
      <c r="BL99" s="603">
        <f t="shared" si="60"/>
        <v>67</v>
      </c>
      <c r="BM99" s="964"/>
      <c r="BN99" s="602">
        <f t="shared" si="70"/>
        <v>0</v>
      </c>
      <c r="BO99" s="940"/>
      <c r="BP99" s="593">
        <f t="shared" si="64"/>
        <v>0</v>
      </c>
      <c r="BS99" s="741">
        <v>29</v>
      </c>
      <c r="BT99" s="741">
        <v>11</v>
      </c>
      <c r="BU99" s="741">
        <f t="shared" si="65"/>
        <v>40</v>
      </c>
      <c r="BV99" s="741">
        <v>39.666666666666664</v>
      </c>
      <c r="BW99" s="741"/>
      <c r="BX99" s="741">
        <v>31</v>
      </c>
      <c r="BY99" s="741">
        <v>6</v>
      </c>
      <c r="BZ99" s="741">
        <f t="shared" si="61"/>
        <v>37</v>
      </c>
      <c r="CA99" s="741">
        <v>23.333333333333332</v>
      </c>
      <c r="CB99" s="741"/>
      <c r="CC99" s="741">
        <f t="shared" si="66"/>
        <v>63</v>
      </c>
      <c r="CD99" s="751"/>
      <c r="CE99" s="748">
        <f>31+29</f>
        <v>60</v>
      </c>
      <c r="CF99" s="748">
        <f>6+11</f>
        <v>17</v>
      </c>
      <c r="CG99" s="748">
        <f t="shared" si="48"/>
        <v>77</v>
      </c>
      <c r="CH99" s="759">
        <v>63</v>
      </c>
      <c r="CI99" s="742"/>
      <c r="CJ99" s="591">
        <f t="shared" si="67"/>
        <v>-1</v>
      </c>
    </row>
    <row r="100" spans="1:88" ht="21.6" customHeight="1" x14ac:dyDescent="0.25">
      <c r="A100" s="596"/>
      <c r="B100" s="596" t="s">
        <v>51</v>
      </c>
      <c r="C100" s="597" t="s">
        <v>541</v>
      </c>
      <c r="D100" s="153" t="s">
        <v>429</v>
      </c>
      <c r="E100" s="598">
        <v>70</v>
      </c>
      <c r="F100" s="596">
        <v>0</v>
      </c>
      <c r="G100" s="598">
        <v>0</v>
      </c>
      <c r="H100" s="596"/>
      <c r="I100" s="596">
        <f t="shared" si="51"/>
        <v>0</v>
      </c>
      <c r="J100" s="728">
        <v>34</v>
      </c>
      <c r="K100" s="728">
        <v>4</v>
      </c>
      <c r="L100" s="731">
        <f t="shared" si="52"/>
        <v>38</v>
      </c>
      <c r="M100" s="947"/>
      <c r="N100" s="617">
        <v>1050</v>
      </c>
      <c r="O100" s="602">
        <f t="shared" si="50"/>
        <v>70</v>
      </c>
      <c r="P100" s="940"/>
      <c r="Q100" s="600">
        <f t="shared" si="68"/>
        <v>0</v>
      </c>
      <c r="R100" s="940"/>
      <c r="S100" s="596">
        <v>0</v>
      </c>
      <c r="T100" s="724"/>
      <c r="U100" s="728"/>
      <c r="V100" s="728"/>
      <c r="W100" s="731">
        <f t="shared" si="53"/>
        <v>0</v>
      </c>
      <c r="X100" s="947"/>
      <c r="Y100" s="616"/>
      <c r="Z100" s="602">
        <f t="shared" si="54"/>
        <v>0</v>
      </c>
      <c r="AA100" s="835"/>
      <c r="AB100" s="602">
        <f t="shared" si="55"/>
        <v>0</v>
      </c>
      <c r="AC100" s="940"/>
      <c r="AD100" s="956"/>
      <c r="AE100" s="956"/>
      <c r="AF100" s="598">
        <v>0</v>
      </c>
      <c r="AG100" s="596"/>
      <c r="AH100" s="728"/>
      <c r="AI100" s="728"/>
      <c r="AJ100" s="729">
        <f t="shared" si="63"/>
        <v>0</v>
      </c>
      <c r="AK100" s="946"/>
      <c r="AL100" s="616"/>
      <c r="AM100" s="602">
        <f t="shared" si="56"/>
        <v>0</v>
      </c>
      <c r="AN100" s="835"/>
      <c r="AO100" s="835">
        <f t="shared" si="69"/>
        <v>0</v>
      </c>
      <c r="AP100" s="940"/>
      <c r="AQ100" s="722">
        <v>0</v>
      </c>
      <c r="AR100" s="728"/>
      <c r="AS100" s="728"/>
      <c r="AT100" s="729">
        <f t="shared" si="43"/>
        <v>0</v>
      </c>
      <c r="AU100" s="946"/>
      <c r="AV100" s="616"/>
      <c r="AW100" s="602">
        <f t="shared" si="57"/>
        <v>0</v>
      </c>
      <c r="AX100" s="940"/>
      <c r="AY100" s="602">
        <f t="shared" si="58"/>
        <v>0</v>
      </c>
      <c r="AZ100" s="940"/>
      <c r="BA100" s="962"/>
      <c r="BB100" s="962"/>
      <c r="BC100" s="598"/>
      <c r="BD100" s="665">
        <v>70</v>
      </c>
      <c r="BE100" s="596">
        <v>0</v>
      </c>
      <c r="BF100" s="596">
        <f t="shared" si="62"/>
        <v>70</v>
      </c>
      <c r="BG100" s="728">
        <v>34</v>
      </c>
      <c r="BH100" s="728">
        <v>4</v>
      </c>
      <c r="BI100" s="729">
        <f t="shared" si="59"/>
        <v>38</v>
      </c>
      <c r="BJ100" s="729"/>
      <c r="BK100" s="616">
        <v>3500</v>
      </c>
      <c r="BL100" s="603">
        <f t="shared" si="60"/>
        <v>70</v>
      </c>
      <c r="BM100" s="964"/>
      <c r="BN100" s="602">
        <f t="shared" si="70"/>
        <v>0</v>
      </c>
      <c r="BO100" s="940"/>
      <c r="BP100" s="593">
        <f t="shared" si="64"/>
        <v>0</v>
      </c>
      <c r="BS100" s="741">
        <v>34</v>
      </c>
      <c r="BT100" s="741">
        <v>4</v>
      </c>
      <c r="BU100" s="741">
        <f t="shared" si="65"/>
        <v>38</v>
      </c>
      <c r="BV100" s="741">
        <v>70</v>
      </c>
      <c r="BW100" s="741"/>
      <c r="BX100" s="741">
        <v>0</v>
      </c>
      <c r="BY100" s="741">
        <v>0</v>
      </c>
      <c r="BZ100" s="741">
        <f t="shared" si="61"/>
        <v>0</v>
      </c>
      <c r="CA100" s="741">
        <v>0</v>
      </c>
      <c r="CB100" s="741"/>
      <c r="CC100" s="741">
        <f t="shared" si="66"/>
        <v>70</v>
      </c>
      <c r="CD100" s="751"/>
      <c r="CE100" s="748">
        <v>34</v>
      </c>
      <c r="CF100" s="748">
        <v>4</v>
      </c>
      <c r="CG100" s="748">
        <f t="shared" si="48"/>
        <v>38</v>
      </c>
      <c r="CH100" s="759">
        <v>70</v>
      </c>
      <c r="CI100" s="742"/>
      <c r="CJ100" s="591">
        <f t="shared" si="67"/>
        <v>0</v>
      </c>
    </row>
    <row r="101" spans="1:88" ht="21.6" customHeight="1" x14ac:dyDescent="0.25">
      <c r="A101" s="596"/>
      <c r="B101" s="596" t="s">
        <v>51</v>
      </c>
      <c r="C101" s="597" t="s">
        <v>87</v>
      </c>
      <c r="D101" s="153" t="s">
        <v>429</v>
      </c>
      <c r="E101" s="598">
        <v>48</v>
      </c>
      <c r="F101" s="596">
        <v>0</v>
      </c>
      <c r="G101" s="598">
        <v>0</v>
      </c>
      <c r="H101" s="596"/>
      <c r="I101" s="596">
        <f t="shared" si="51"/>
        <v>0</v>
      </c>
      <c r="J101" s="728">
        <v>20</v>
      </c>
      <c r="K101" s="728">
        <v>7</v>
      </c>
      <c r="L101" s="731">
        <f t="shared" si="52"/>
        <v>27</v>
      </c>
      <c r="M101" s="947"/>
      <c r="N101" s="617">
        <v>720</v>
      </c>
      <c r="O101" s="602">
        <f t="shared" si="50"/>
        <v>48</v>
      </c>
      <c r="P101" s="940"/>
      <c r="Q101" s="600">
        <f t="shared" si="68"/>
        <v>0</v>
      </c>
      <c r="R101" s="940"/>
      <c r="S101" s="596">
        <v>0</v>
      </c>
      <c r="T101" s="724"/>
      <c r="U101" s="728"/>
      <c r="V101" s="728"/>
      <c r="W101" s="731">
        <f t="shared" si="53"/>
        <v>0</v>
      </c>
      <c r="X101" s="947"/>
      <c r="Y101" s="616"/>
      <c r="Z101" s="602">
        <f t="shared" si="54"/>
        <v>0</v>
      </c>
      <c r="AA101" s="835"/>
      <c r="AB101" s="602">
        <f t="shared" si="55"/>
        <v>0</v>
      </c>
      <c r="AC101" s="940"/>
      <c r="AD101" s="956"/>
      <c r="AE101" s="956"/>
      <c r="AF101" s="598">
        <v>39</v>
      </c>
      <c r="AG101" s="596"/>
      <c r="AH101" s="728">
        <v>17</v>
      </c>
      <c r="AI101" s="728">
        <v>6</v>
      </c>
      <c r="AJ101" s="729">
        <f t="shared" si="63"/>
        <v>23</v>
      </c>
      <c r="AK101" s="946"/>
      <c r="AL101" s="616">
        <v>585</v>
      </c>
      <c r="AM101" s="602">
        <f t="shared" si="56"/>
        <v>39</v>
      </c>
      <c r="AN101" s="835"/>
      <c r="AO101" s="835">
        <f t="shared" si="69"/>
        <v>0</v>
      </c>
      <c r="AP101" s="940"/>
      <c r="AQ101" s="722">
        <v>0</v>
      </c>
      <c r="AR101" s="728"/>
      <c r="AS101" s="728"/>
      <c r="AT101" s="729">
        <f t="shared" si="43"/>
        <v>0</v>
      </c>
      <c r="AU101" s="946"/>
      <c r="AV101" s="616"/>
      <c r="AW101" s="602">
        <f t="shared" si="57"/>
        <v>0</v>
      </c>
      <c r="AX101" s="940"/>
      <c r="AY101" s="602">
        <f t="shared" si="58"/>
        <v>0</v>
      </c>
      <c r="AZ101" s="940"/>
      <c r="BA101" s="962"/>
      <c r="BB101" s="962"/>
      <c r="BC101" s="598"/>
      <c r="BD101" s="665">
        <v>87</v>
      </c>
      <c r="BE101" s="596">
        <v>0</v>
      </c>
      <c r="BF101" s="596">
        <f t="shared" si="62"/>
        <v>87</v>
      </c>
      <c r="BG101" s="728">
        <f>20+17</f>
        <v>37</v>
      </c>
      <c r="BH101" s="728">
        <f>7+6</f>
        <v>13</v>
      </c>
      <c r="BI101" s="729">
        <f t="shared" si="59"/>
        <v>50</v>
      </c>
      <c r="BJ101" s="729"/>
      <c r="BK101" s="616">
        <f>2400+1950</f>
        <v>4350</v>
      </c>
      <c r="BL101" s="603">
        <f t="shared" si="60"/>
        <v>87</v>
      </c>
      <c r="BM101" s="964"/>
      <c r="BN101" s="602">
        <f t="shared" si="70"/>
        <v>0</v>
      </c>
      <c r="BO101" s="940"/>
      <c r="BP101" s="593">
        <f t="shared" si="64"/>
        <v>0</v>
      </c>
      <c r="BS101" s="741">
        <v>20</v>
      </c>
      <c r="BT101" s="741">
        <v>7</v>
      </c>
      <c r="BU101" s="741">
        <f t="shared" si="65"/>
        <v>27</v>
      </c>
      <c r="BV101" s="741">
        <v>48</v>
      </c>
      <c r="BW101" s="741"/>
      <c r="BX101" s="741">
        <v>17</v>
      </c>
      <c r="BY101" s="741">
        <v>6</v>
      </c>
      <c r="BZ101" s="741">
        <f t="shared" si="61"/>
        <v>23</v>
      </c>
      <c r="CA101" s="741">
        <v>39</v>
      </c>
      <c r="CB101" s="741"/>
      <c r="CC101" s="741">
        <f t="shared" si="66"/>
        <v>87</v>
      </c>
      <c r="CD101" s="751"/>
      <c r="CE101" s="748">
        <f>20+17</f>
        <v>37</v>
      </c>
      <c r="CF101" s="748">
        <f>7+6</f>
        <v>13</v>
      </c>
      <c r="CG101" s="748">
        <f t="shared" si="48"/>
        <v>50</v>
      </c>
      <c r="CH101" s="759">
        <v>87</v>
      </c>
      <c r="CI101" s="742"/>
      <c r="CJ101" s="591">
        <f t="shared" si="67"/>
        <v>0</v>
      </c>
    </row>
    <row r="102" spans="1:88" ht="21.6" customHeight="1" x14ac:dyDescent="0.25">
      <c r="A102" s="596"/>
      <c r="B102" s="596" t="s">
        <v>51</v>
      </c>
      <c r="C102" s="597" t="s">
        <v>538</v>
      </c>
      <c r="D102" s="153" t="s">
        <v>429</v>
      </c>
      <c r="E102" s="598">
        <v>87</v>
      </c>
      <c r="F102" s="596">
        <v>0</v>
      </c>
      <c r="G102" s="598">
        <v>0</v>
      </c>
      <c r="H102" s="596"/>
      <c r="I102" s="596">
        <f t="shared" si="51"/>
        <v>0</v>
      </c>
      <c r="J102" s="728">
        <v>63</v>
      </c>
      <c r="K102" s="728">
        <v>9</v>
      </c>
      <c r="L102" s="731">
        <f t="shared" si="52"/>
        <v>72</v>
      </c>
      <c r="M102" s="947"/>
      <c r="N102" s="617">
        <v>1305</v>
      </c>
      <c r="O102" s="602">
        <f t="shared" si="50"/>
        <v>87</v>
      </c>
      <c r="P102" s="940"/>
      <c r="Q102" s="600">
        <f t="shared" si="68"/>
        <v>0</v>
      </c>
      <c r="R102" s="940"/>
      <c r="S102" s="596">
        <v>0</v>
      </c>
      <c r="T102" s="724"/>
      <c r="U102" s="728"/>
      <c r="V102" s="728"/>
      <c r="W102" s="731">
        <f t="shared" si="53"/>
        <v>0</v>
      </c>
      <c r="X102" s="947"/>
      <c r="Y102" s="616"/>
      <c r="Z102" s="602">
        <f t="shared" si="54"/>
        <v>0</v>
      </c>
      <c r="AA102" s="835"/>
      <c r="AB102" s="602">
        <f t="shared" si="55"/>
        <v>0</v>
      </c>
      <c r="AC102" s="940"/>
      <c r="AD102" s="956"/>
      <c r="AE102" s="956"/>
      <c r="AF102" s="598">
        <v>32.666666666666664</v>
      </c>
      <c r="AG102" s="596"/>
      <c r="AH102" s="728">
        <v>40</v>
      </c>
      <c r="AI102" s="728">
        <v>6</v>
      </c>
      <c r="AJ102" s="729">
        <f t="shared" si="63"/>
        <v>46</v>
      </c>
      <c r="AK102" s="946"/>
      <c r="AL102" s="616">
        <v>490</v>
      </c>
      <c r="AM102" s="602">
        <f t="shared" si="56"/>
        <v>32.666666666666664</v>
      </c>
      <c r="AN102" s="835"/>
      <c r="AO102" s="835">
        <f t="shared" si="69"/>
        <v>0</v>
      </c>
      <c r="AP102" s="940"/>
      <c r="AQ102" s="722">
        <v>0</v>
      </c>
      <c r="AR102" s="728"/>
      <c r="AS102" s="728"/>
      <c r="AT102" s="729">
        <f t="shared" si="43"/>
        <v>0</v>
      </c>
      <c r="AU102" s="946"/>
      <c r="AV102" s="616"/>
      <c r="AW102" s="602">
        <f t="shared" si="57"/>
        <v>0</v>
      </c>
      <c r="AX102" s="940"/>
      <c r="AY102" s="602">
        <f t="shared" si="58"/>
        <v>0</v>
      </c>
      <c r="AZ102" s="940"/>
      <c r="BA102" s="962"/>
      <c r="BB102" s="962"/>
      <c r="BC102" s="598"/>
      <c r="BD102" s="665">
        <v>119</v>
      </c>
      <c r="BE102" s="596">
        <v>0</v>
      </c>
      <c r="BF102" s="596">
        <f t="shared" si="62"/>
        <v>119</v>
      </c>
      <c r="BG102" s="728">
        <f>63+40</f>
        <v>103</v>
      </c>
      <c r="BH102" s="728">
        <f>9+6</f>
        <v>15</v>
      </c>
      <c r="BI102" s="729">
        <f t="shared" si="59"/>
        <v>118</v>
      </c>
      <c r="BJ102" s="729"/>
      <c r="BK102" s="616">
        <f>4300+1650</f>
        <v>5950</v>
      </c>
      <c r="BL102" s="603">
        <f t="shared" si="60"/>
        <v>119</v>
      </c>
      <c r="BM102" s="964"/>
      <c r="BN102" s="602">
        <f t="shared" si="70"/>
        <v>0</v>
      </c>
      <c r="BO102" s="940"/>
      <c r="BP102" s="593">
        <f t="shared" si="64"/>
        <v>0</v>
      </c>
      <c r="BS102" s="741">
        <v>63</v>
      </c>
      <c r="BT102" s="741">
        <v>9</v>
      </c>
      <c r="BU102" s="741">
        <f t="shared" si="65"/>
        <v>72</v>
      </c>
      <c r="BV102" s="741">
        <v>87</v>
      </c>
      <c r="BW102" s="741"/>
      <c r="BX102" s="741">
        <v>40</v>
      </c>
      <c r="BY102" s="741">
        <v>6</v>
      </c>
      <c r="BZ102" s="741">
        <f t="shared" si="61"/>
        <v>46</v>
      </c>
      <c r="CA102" s="741">
        <v>32.666666666666664</v>
      </c>
      <c r="CB102" s="741"/>
      <c r="CC102" s="741">
        <f t="shared" si="66"/>
        <v>119.66666666666666</v>
      </c>
      <c r="CD102" s="751"/>
      <c r="CE102" s="748">
        <f>63+40</f>
        <v>103</v>
      </c>
      <c r="CF102" s="748">
        <f>9+6</f>
        <v>15</v>
      </c>
      <c r="CG102" s="748">
        <f t="shared" si="48"/>
        <v>118</v>
      </c>
      <c r="CH102" s="759">
        <v>119</v>
      </c>
      <c r="CI102" s="742"/>
      <c r="CJ102" s="591">
        <f t="shared" si="67"/>
        <v>0</v>
      </c>
    </row>
    <row r="103" spans="1:88" ht="21.6" customHeight="1" x14ac:dyDescent="0.25">
      <c r="A103" s="596"/>
      <c r="B103" s="596" t="s">
        <v>51</v>
      </c>
      <c r="C103" s="597" t="s">
        <v>55</v>
      </c>
      <c r="D103" s="134" t="s">
        <v>429</v>
      </c>
      <c r="E103" s="598">
        <v>22</v>
      </c>
      <c r="F103" s="596">
        <v>0</v>
      </c>
      <c r="G103" s="598">
        <v>22</v>
      </c>
      <c r="H103" s="596"/>
      <c r="I103" s="596">
        <f t="shared" si="51"/>
        <v>0</v>
      </c>
      <c r="J103" s="728">
        <v>20</v>
      </c>
      <c r="K103" s="728">
        <v>1</v>
      </c>
      <c r="L103" s="731">
        <f t="shared" si="52"/>
        <v>21</v>
      </c>
      <c r="M103" s="947"/>
      <c r="N103" s="617">
        <v>330</v>
      </c>
      <c r="O103" s="602">
        <f t="shared" si="50"/>
        <v>22</v>
      </c>
      <c r="P103" s="940"/>
      <c r="Q103" s="600">
        <f t="shared" si="68"/>
        <v>0</v>
      </c>
      <c r="R103" s="940"/>
      <c r="S103" s="596">
        <v>0</v>
      </c>
      <c r="T103" s="724"/>
      <c r="U103" s="728"/>
      <c r="V103" s="728"/>
      <c r="W103" s="731">
        <f t="shared" si="53"/>
        <v>0</v>
      </c>
      <c r="X103" s="947"/>
      <c r="Y103" s="616"/>
      <c r="Z103" s="602">
        <f t="shared" si="54"/>
        <v>0</v>
      </c>
      <c r="AA103" s="835"/>
      <c r="AB103" s="602">
        <f t="shared" si="55"/>
        <v>0</v>
      </c>
      <c r="AC103" s="940"/>
      <c r="AD103" s="956"/>
      <c r="AE103" s="956"/>
      <c r="AF103" s="598">
        <v>0</v>
      </c>
      <c r="AG103" s="596"/>
      <c r="AH103" s="728"/>
      <c r="AI103" s="728"/>
      <c r="AJ103" s="729">
        <f t="shared" si="63"/>
        <v>0</v>
      </c>
      <c r="AK103" s="946"/>
      <c r="AL103" s="616"/>
      <c r="AM103" s="602">
        <f t="shared" si="56"/>
        <v>0</v>
      </c>
      <c r="AN103" s="835"/>
      <c r="AO103" s="835">
        <f t="shared" si="69"/>
        <v>0</v>
      </c>
      <c r="AP103" s="940"/>
      <c r="AQ103" s="722">
        <v>0</v>
      </c>
      <c r="AR103" s="728"/>
      <c r="AS103" s="728"/>
      <c r="AT103" s="729">
        <f t="shared" si="43"/>
        <v>0</v>
      </c>
      <c r="AU103" s="946"/>
      <c r="AV103" s="616"/>
      <c r="AW103" s="602">
        <f t="shared" si="57"/>
        <v>0</v>
      </c>
      <c r="AX103" s="940"/>
      <c r="AY103" s="602">
        <f t="shared" si="58"/>
        <v>0</v>
      </c>
      <c r="AZ103" s="940"/>
      <c r="BA103" s="962"/>
      <c r="BB103" s="962"/>
      <c r="BC103" s="598"/>
      <c r="BD103" s="665">
        <v>22</v>
      </c>
      <c r="BE103" s="596">
        <v>22</v>
      </c>
      <c r="BF103" s="596">
        <f t="shared" si="62"/>
        <v>0</v>
      </c>
      <c r="BG103" s="728"/>
      <c r="BH103" s="728"/>
      <c r="BI103" s="729">
        <f t="shared" si="59"/>
        <v>0</v>
      </c>
      <c r="BJ103" s="729"/>
      <c r="BK103" s="616">
        <v>1100</v>
      </c>
      <c r="BL103" s="603">
        <f t="shared" si="60"/>
        <v>22</v>
      </c>
      <c r="BM103" s="964"/>
      <c r="BN103" s="602">
        <f t="shared" si="70"/>
        <v>0</v>
      </c>
      <c r="BO103" s="940"/>
      <c r="BP103" s="593">
        <f t="shared" si="64"/>
        <v>0</v>
      </c>
      <c r="BS103" s="741">
        <v>0</v>
      </c>
      <c r="BT103" s="741">
        <v>0</v>
      </c>
      <c r="BU103" s="741">
        <f t="shared" si="65"/>
        <v>0</v>
      </c>
      <c r="BV103" s="741">
        <v>0</v>
      </c>
      <c r="BW103" s="741"/>
      <c r="BX103" s="741">
        <v>0</v>
      </c>
      <c r="BY103" s="741">
        <v>0</v>
      </c>
      <c r="BZ103" s="741">
        <f t="shared" si="61"/>
        <v>0</v>
      </c>
      <c r="CA103" s="741">
        <v>0</v>
      </c>
      <c r="CB103" s="741"/>
      <c r="CC103" s="741">
        <f t="shared" si="66"/>
        <v>0</v>
      </c>
      <c r="CD103" s="751"/>
      <c r="CE103" s="748"/>
      <c r="CF103" s="748"/>
      <c r="CG103" s="748">
        <f t="shared" si="48"/>
        <v>0</v>
      </c>
      <c r="CH103" s="759"/>
      <c r="CI103" s="742"/>
      <c r="CJ103" s="591">
        <f t="shared" si="67"/>
        <v>0</v>
      </c>
    </row>
    <row r="104" spans="1:88" ht="21.6" customHeight="1" x14ac:dyDescent="0.25">
      <c r="A104" s="596"/>
      <c r="B104" s="596" t="s">
        <v>51</v>
      </c>
      <c r="C104" s="597" t="s">
        <v>540</v>
      </c>
      <c r="D104" s="153" t="s">
        <v>429</v>
      </c>
      <c r="E104" s="598">
        <v>20</v>
      </c>
      <c r="F104" s="596">
        <v>0</v>
      </c>
      <c r="G104" s="598">
        <v>0</v>
      </c>
      <c r="H104" s="596"/>
      <c r="I104" s="596">
        <f t="shared" si="51"/>
        <v>0</v>
      </c>
      <c r="J104" s="728">
        <v>10</v>
      </c>
      <c r="K104" s="728"/>
      <c r="L104" s="731">
        <f t="shared" si="52"/>
        <v>10</v>
      </c>
      <c r="M104" s="947"/>
      <c r="N104" s="617">
        <v>300</v>
      </c>
      <c r="O104" s="602">
        <f t="shared" si="50"/>
        <v>20</v>
      </c>
      <c r="P104" s="940"/>
      <c r="Q104" s="600">
        <f t="shared" si="68"/>
        <v>0</v>
      </c>
      <c r="R104" s="940"/>
      <c r="S104" s="596">
        <v>0</v>
      </c>
      <c r="T104" s="724"/>
      <c r="U104" s="728"/>
      <c r="V104" s="728"/>
      <c r="W104" s="731">
        <f t="shared" si="53"/>
        <v>0</v>
      </c>
      <c r="X104" s="947"/>
      <c r="Y104" s="616"/>
      <c r="Z104" s="602">
        <f t="shared" si="54"/>
        <v>0</v>
      </c>
      <c r="AA104" s="835"/>
      <c r="AB104" s="602">
        <f t="shared" si="55"/>
        <v>0</v>
      </c>
      <c r="AC104" s="940"/>
      <c r="AD104" s="956"/>
      <c r="AE104" s="956"/>
      <c r="AF104" s="598">
        <v>0</v>
      </c>
      <c r="AG104" s="596"/>
      <c r="AH104" s="728"/>
      <c r="AI104" s="728"/>
      <c r="AJ104" s="729">
        <f t="shared" si="63"/>
        <v>0</v>
      </c>
      <c r="AK104" s="946"/>
      <c r="AL104" s="616"/>
      <c r="AM104" s="602">
        <f t="shared" si="56"/>
        <v>0</v>
      </c>
      <c r="AN104" s="835"/>
      <c r="AO104" s="835">
        <f t="shared" si="69"/>
        <v>0</v>
      </c>
      <c r="AP104" s="940"/>
      <c r="AQ104" s="722">
        <v>0</v>
      </c>
      <c r="AR104" s="728"/>
      <c r="AS104" s="728"/>
      <c r="AT104" s="729">
        <f t="shared" si="43"/>
        <v>0</v>
      </c>
      <c r="AU104" s="946"/>
      <c r="AV104" s="616"/>
      <c r="AW104" s="602">
        <f t="shared" si="57"/>
        <v>0</v>
      </c>
      <c r="AX104" s="940"/>
      <c r="AY104" s="602">
        <f t="shared" si="58"/>
        <v>0</v>
      </c>
      <c r="AZ104" s="940"/>
      <c r="BA104" s="962"/>
      <c r="BB104" s="962"/>
      <c r="BC104" s="598"/>
      <c r="BD104" s="665">
        <v>20</v>
      </c>
      <c r="BE104" s="596">
        <v>0</v>
      </c>
      <c r="BF104" s="596">
        <f t="shared" si="62"/>
        <v>20</v>
      </c>
      <c r="BG104" s="728">
        <f>18+10</f>
        <v>28</v>
      </c>
      <c r="BH104" s="728">
        <v>3</v>
      </c>
      <c r="BI104" s="729">
        <f t="shared" si="59"/>
        <v>31</v>
      </c>
      <c r="BJ104" s="729"/>
      <c r="BK104" s="616">
        <v>1000</v>
      </c>
      <c r="BL104" s="603">
        <f t="shared" si="60"/>
        <v>20</v>
      </c>
      <c r="BM104" s="964"/>
      <c r="BN104" s="602">
        <f t="shared" si="70"/>
        <v>0</v>
      </c>
      <c r="BO104" s="940"/>
      <c r="BP104" s="593">
        <f t="shared" si="64"/>
        <v>0</v>
      </c>
      <c r="BS104" s="741">
        <v>10</v>
      </c>
      <c r="BT104" s="741">
        <v>0</v>
      </c>
      <c r="BU104" s="741">
        <f t="shared" si="65"/>
        <v>10</v>
      </c>
      <c r="BV104" s="741">
        <v>20</v>
      </c>
      <c r="BW104" s="741"/>
      <c r="BX104" s="741">
        <v>0</v>
      </c>
      <c r="BY104" s="741">
        <v>0</v>
      </c>
      <c r="BZ104" s="741">
        <f t="shared" si="61"/>
        <v>0</v>
      </c>
      <c r="CA104" s="741">
        <v>0</v>
      </c>
      <c r="CB104" s="741"/>
      <c r="CC104" s="741">
        <f t="shared" si="66"/>
        <v>20</v>
      </c>
      <c r="CD104" s="751"/>
      <c r="CE104" s="748">
        <f>18+10</f>
        <v>28</v>
      </c>
      <c r="CF104" s="748">
        <v>3</v>
      </c>
      <c r="CG104" s="748">
        <f t="shared" si="48"/>
        <v>31</v>
      </c>
      <c r="CH104" s="759">
        <v>20</v>
      </c>
      <c r="CI104" s="742"/>
      <c r="CJ104" s="591">
        <f t="shared" si="67"/>
        <v>0</v>
      </c>
    </row>
    <row r="105" spans="1:88" ht="21.6" customHeight="1" x14ac:dyDescent="0.25">
      <c r="A105" s="596"/>
      <c r="B105" s="596" t="s">
        <v>51</v>
      </c>
      <c r="C105" s="597" t="s">
        <v>539</v>
      </c>
      <c r="D105" s="153" t="s">
        <v>429</v>
      </c>
      <c r="E105" s="598">
        <v>70</v>
      </c>
      <c r="F105" s="596">
        <v>0</v>
      </c>
      <c r="G105" s="598">
        <v>0</v>
      </c>
      <c r="H105" s="596"/>
      <c r="I105" s="596">
        <f t="shared" si="51"/>
        <v>0</v>
      </c>
      <c r="J105" s="728">
        <v>42</v>
      </c>
      <c r="K105" s="728">
        <v>5</v>
      </c>
      <c r="L105" s="731">
        <f t="shared" si="52"/>
        <v>47</v>
      </c>
      <c r="M105" s="947"/>
      <c r="N105" s="617">
        <v>1050</v>
      </c>
      <c r="O105" s="602">
        <f t="shared" si="50"/>
        <v>70</v>
      </c>
      <c r="P105" s="940"/>
      <c r="Q105" s="600">
        <f t="shared" si="68"/>
        <v>0</v>
      </c>
      <c r="R105" s="940"/>
      <c r="S105" s="596">
        <v>0</v>
      </c>
      <c r="T105" s="724"/>
      <c r="U105" s="728"/>
      <c r="V105" s="728"/>
      <c r="W105" s="731">
        <f t="shared" si="53"/>
        <v>0</v>
      </c>
      <c r="X105" s="947"/>
      <c r="Y105" s="616"/>
      <c r="Z105" s="602">
        <f t="shared" si="54"/>
        <v>0</v>
      </c>
      <c r="AA105" s="835"/>
      <c r="AB105" s="602">
        <f t="shared" si="55"/>
        <v>0</v>
      </c>
      <c r="AC105" s="940"/>
      <c r="AD105" s="956"/>
      <c r="AE105" s="956"/>
      <c r="AF105" s="598">
        <v>15</v>
      </c>
      <c r="AG105" s="596"/>
      <c r="AH105" s="728">
        <v>13</v>
      </c>
      <c r="AI105" s="728">
        <v>2</v>
      </c>
      <c r="AJ105" s="729">
        <f t="shared" si="63"/>
        <v>15</v>
      </c>
      <c r="AK105" s="946"/>
      <c r="AL105" s="616">
        <v>225</v>
      </c>
      <c r="AM105" s="602">
        <f t="shared" si="56"/>
        <v>15</v>
      </c>
      <c r="AN105" s="835"/>
      <c r="AO105" s="835">
        <f t="shared" si="69"/>
        <v>0</v>
      </c>
      <c r="AP105" s="940"/>
      <c r="AQ105" s="722">
        <v>0</v>
      </c>
      <c r="AR105" s="728"/>
      <c r="AS105" s="728"/>
      <c r="AT105" s="729">
        <f t="shared" si="43"/>
        <v>0</v>
      </c>
      <c r="AU105" s="946"/>
      <c r="AV105" s="616"/>
      <c r="AW105" s="602">
        <f t="shared" si="57"/>
        <v>0</v>
      </c>
      <c r="AX105" s="940"/>
      <c r="AY105" s="602">
        <f t="shared" si="58"/>
        <v>0</v>
      </c>
      <c r="AZ105" s="940"/>
      <c r="BA105" s="962"/>
      <c r="BB105" s="962"/>
      <c r="BC105" s="598"/>
      <c r="BD105" s="665">
        <v>85</v>
      </c>
      <c r="BE105" s="596">
        <v>0</v>
      </c>
      <c r="BF105" s="596">
        <f t="shared" si="62"/>
        <v>85</v>
      </c>
      <c r="BG105" s="728">
        <f>42+13</f>
        <v>55</v>
      </c>
      <c r="BH105" s="728">
        <f>5+2</f>
        <v>7</v>
      </c>
      <c r="BI105" s="729">
        <f t="shared" si="59"/>
        <v>62</v>
      </c>
      <c r="BJ105" s="729"/>
      <c r="BK105" s="616">
        <f>3500+750</f>
        <v>4250</v>
      </c>
      <c r="BL105" s="603">
        <f t="shared" si="60"/>
        <v>85</v>
      </c>
      <c r="BM105" s="964"/>
      <c r="BN105" s="602">
        <f t="shared" si="70"/>
        <v>0</v>
      </c>
      <c r="BO105" s="940"/>
      <c r="BP105" s="593">
        <f t="shared" si="64"/>
        <v>0</v>
      </c>
      <c r="BS105" s="741">
        <v>42</v>
      </c>
      <c r="BT105" s="741">
        <v>5</v>
      </c>
      <c r="BU105" s="741">
        <f t="shared" si="65"/>
        <v>47</v>
      </c>
      <c r="BV105" s="741">
        <v>70</v>
      </c>
      <c r="BW105" s="741"/>
      <c r="BX105" s="741">
        <v>13</v>
      </c>
      <c r="BY105" s="741">
        <v>2</v>
      </c>
      <c r="BZ105" s="741">
        <f t="shared" si="61"/>
        <v>15</v>
      </c>
      <c r="CA105" s="741">
        <v>15</v>
      </c>
      <c r="CB105" s="741"/>
      <c r="CC105" s="741">
        <f t="shared" si="66"/>
        <v>85</v>
      </c>
      <c r="CD105" s="751"/>
      <c r="CE105" s="748">
        <f>42+13</f>
        <v>55</v>
      </c>
      <c r="CF105" s="748">
        <f>5+2</f>
        <v>7</v>
      </c>
      <c r="CG105" s="748">
        <f t="shared" si="48"/>
        <v>62</v>
      </c>
      <c r="CH105" s="759">
        <v>85</v>
      </c>
      <c r="CI105" s="742"/>
      <c r="CJ105" s="591">
        <f t="shared" si="67"/>
        <v>0</v>
      </c>
    </row>
    <row r="106" spans="1:88" ht="21.6" customHeight="1" x14ac:dyDescent="0.25">
      <c r="A106" s="596"/>
      <c r="B106" s="596" t="s">
        <v>51</v>
      </c>
      <c r="C106" s="597" t="s">
        <v>605</v>
      </c>
      <c r="D106" s="167" t="s">
        <v>429</v>
      </c>
      <c r="E106" s="598">
        <v>78.333333333333329</v>
      </c>
      <c r="F106" s="596">
        <v>0</v>
      </c>
      <c r="G106" s="598">
        <v>0</v>
      </c>
      <c r="H106" s="596"/>
      <c r="I106" s="596">
        <f t="shared" si="51"/>
        <v>0</v>
      </c>
      <c r="J106" s="728">
        <v>39</v>
      </c>
      <c r="K106" s="728">
        <v>7</v>
      </c>
      <c r="L106" s="731">
        <f t="shared" si="52"/>
        <v>46</v>
      </c>
      <c r="M106" s="947"/>
      <c r="N106" s="617">
        <v>1175</v>
      </c>
      <c r="O106" s="602">
        <f t="shared" si="50"/>
        <v>78.333333333333329</v>
      </c>
      <c r="P106" s="940"/>
      <c r="Q106" s="600">
        <f t="shared" si="68"/>
        <v>0</v>
      </c>
      <c r="R106" s="940"/>
      <c r="S106" s="596">
        <v>0</v>
      </c>
      <c r="T106" s="724"/>
      <c r="U106" s="728"/>
      <c r="V106" s="728"/>
      <c r="W106" s="731">
        <f t="shared" si="53"/>
        <v>0</v>
      </c>
      <c r="X106" s="947"/>
      <c r="Y106" s="616"/>
      <c r="Z106" s="602">
        <f t="shared" si="54"/>
        <v>0</v>
      </c>
      <c r="AA106" s="835"/>
      <c r="AB106" s="602">
        <f t="shared" si="55"/>
        <v>0</v>
      </c>
      <c r="AC106" s="940"/>
      <c r="AD106" s="956"/>
      <c r="AE106" s="956"/>
      <c r="AF106" s="598">
        <v>7</v>
      </c>
      <c r="AG106" s="596"/>
      <c r="AH106" s="728">
        <v>5</v>
      </c>
      <c r="AI106" s="728">
        <v>0</v>
      </c>
      <c r="AJ106" s="729">
        <f t="shared" si="63"/>
        <v>5</v>
      </c>
      <c r="AK106" s="946"/>
      <c r="AL106" s="616">
        <v>105</v>
      </c>
      <c r="AM106" s="602">
        <f t="shared" si="56"/>
        <v>7</v>
      </c>
      <c r="AN106" s="835"/>
      <c r="AO106" s="835">
        <f t="shared" si="69"/>
        <v>0</v>
      </c>
      <c r="AP106" s="940"/>
      <c r="AQ106" s="722">
        <v>0</v>
      </c>
      <c r="AR106" s="728"/>
      <c r="AS106" s="728"/>
      <c r="AT106" s="729">
        <f t="shared" si="43"/>
        <v>0</v>
      </c>
      <c r="AU106" s="946"/>
      <c r="AV106" s="616"/>
      <c r="AW106" s="602">
        <f t="shared" si="57"/>
        <v>0</v>
      </c>
      <c r="AX106" s="940"/>
      <c r="AY106" s="602">
        <f t="shared" si="58"/>
        <v>0</v>
      </c>
      <c r="AZ106" s="940"/>
      <c r="BA106" s="962"/>
      <c r="BB106" s="962"/>
      <c r="BC106" s="598"/>
      <c r="BD106" s="665">
        <v>85</v>
      </c>
      <c r="BE106" s="596">
        <v>0</v>
      </c>
      <c r="BF106" s="596">
        <f t="shared" si="62"/>
        <v>85</v>
      </c>
      <c r="BG106" s="728">
        <f>39+5</f>
        <v>44</v>
      </c>
      <c r="BH106" s="728">
        <f>8+0</f>
        <v>8</v>
      </c>
      <c r="BI106" s="729">
        <f t="shared" si="59"/>
        <v>52</v>
      </c>
      <c r="BJ106" s="729"/>
      <c r="BK106" s="616">
        <f>3905+350</f>
        <v>4255</v>
      </c>
      <c r="BL106" s="603">
        <f t="shared" si="60"/>
        <v>85.1</v>
      </c>
      <c r="BM106" s="964"/>
      <c r="BN106" s="602">
        <f t="shared" si="70"/>
        <v>-9.9999999999994316E-2</v>
      </c>
      <c r="BO106" s="940"/>
      <c r="BP106" s="593">
        <f t="shared" si="64"/>
        <v>0</v>
      </c>
      <c r="BS106" s="741">
        <v>39</v>
      </c>
      <c r="BT106" s="741">
        <v>7</v>
      </c>
      <c r="BU106" s="741">
        <f t="shared" si="65"/>
        <v>46</v>
      </c>
      <c r="BV106" s="741">
        <v>78.333333333333329</v>
      </c>
      <c r="BW106" s="741"/>
      <c r="BX106" s="741">
        <v>0</v>
      </c>
      <c r="BY106" s="741">
        <v>0</v>
      </c>
      <c r="BZ106" s="741">
        <f t="shared" si="61"/>
        <v>0</v>
      </c>
      <c r="CA106" s="741">
        <v>0</v>
      </c>
      <c r="CB106" s="741"/>
      <c r="CC106" s="741">
        <f t="shared" si="66"/>
        <v>78.333333333333329</v>
      </c>
      <c r="CD106" s="751"/>
      <c r="CE106" s="748">
        <v>39</v>
      </c>
      <c r="CF106" s="748">
        <v>8</v>
      </c>
      <c r="CG106" s="748">
        <f t="shared" si="48"/>
        <v>47</v>
      </c>
      <c r="CH106" s="759">
        <v>78</v>
      </c>
      <c r="CI106" s="742"/>
      <c r="CJ106" s="591">
        <f t="shared" si="67"/>
        <v>-9.9999999999994316E-2</v>
      </c>
    </row>
    <row r="107" spans="1:88" ht="21.6" customHeight="1" x14ac:dyDescent="0.25">
      <c r="A107" s="596"/>
      <c r="B107" s="596" t="s">
        <v>51</v>
      </c>
      <c r="C107" s="597" t="s">
        <v>542</v>
      </c>
      <c r="D107" s="153" t="s">
        <v>429</v>
      </c>
      <c r="E107" s="598">
        <v>51</v>
      </c>
      <c r="F107" s="596">
        <v>0</v>
      </c>
      <c r="G107" s="598">
        <v>0</v>
      </c>
      <c r="H107" s="596"/>
      <c r="I107" s="596">
        <f t="shared" si="51"/>
        <v>0</v>
      </c>
      <c r="J107" s="728">
        <v>26</v>
      </c>
      <c r="K107" s="728">
        <v>7</v>
      </c>
      <c r="L107" s="731">
        <f t="shared" si="52"/>
        <v>33</v>
      </c>
      <c r="M107" s="947"/>
      <c r="N107" s="617">
        <v>765</v>
      </c>
      <c r="O107" s="602">
        <f t="shared" si="50"/>
        <v>51</v>
      </c>
      <c r="P107" s="940"/>
      <c r="Q107" s="600">
        <f t="shared" si="68"/>
        <v>0</v>
      </c>
      <c r="R107" s="940"/>
      <c r="S107" s="596">
        <v>0</v>
      </c>
      <c r="T107" s="724"/>
      <c r="U107" s="728"/>
      <c r="V107" s="728"/>
      <c r="W107" s="731">
        <f t="shared" si="53"/>
        <v>0</v>
      </c>
      <c r="X107" s="947"/>
      <c r="Y107" s="616"/>
      <c r="Z107" s="602">
        <f t="shared" si="54"/>
        <v>0</v>
      </c>
      <c r="AA107" s="835"/>
      <c r="AB107" s="602">
        <f t="shared" si="55"/>
        <v>0</v>
      </c>
      <c r="AC107" s="940"/>
      <c r="AD107" s="956"/>
      <c r="AE107" s="956"/>
      <c r="AF107" s="598">
        <v>0</v>
      </c>
      <c r="AG107" s="596"/>
      <c r="AH107" s="728"/>
      <c r="AI107" s="728"/>
      <c r="AJ107" s="729">
        <f t="shared" si="63"/>
        <v>0</v>
      </c>
      <c r="AK107" s="946"/>
      <c r="AL107" s="616"/>
      <c r="AM107" s="602">
        <f t="shared" si="56"/>
        <v>0</v>
      </c>
      <c r="AN107" s="835"/>
      <c r="AO107" s="835">
        <f t="shared" si="69"/>
        <v>0</v>
      </c>
      <c r="AP107" s="940"/>
      <c r="AQ107" s="722">
        <v>0</v>
      </c>
      <c r="AR107" s="728"/>
      <c r="AS107" s="728"/>
      <c r="AT107" s="729">
        <f t="shared" si="43"/>
        <v>0</v>
      </c>
      <c r="AU107" s="946"/>
      <c r="AV107" s="616"/>
      <c r="AW107" s="602">
        <f t="shared" si="57"/>
        <v>0</v>
      </c>
      <c r="AX107" s="940"/>
      <c r="AY107" s="602">
        <f t="shared" si="58"/>
        <v>0</v>
      </c>
      <c r="AZ107" s="940"/>
      <c r="BA107" s="962"/>
      <c r="BB107" s="962"/>
      <c r="BC107" s="598"/>
      <c r="BD107" s="665">
        <v>51</v>
      </c>
      <c r="BE107" s="596">
        <v>0</v>
      </c>
      <c r="BF107" s="596">
        <f t="shared" si="62"/>
        <v>51</v>
      </c>
      <c r="BG107" s="728">
        <v>26</v>
      </c>
      <c r="BH107" s="728">
        <v>7</v>
      </c>
      <c r="BI107" s="729">
        <f t="shared" si="59"/>
        <v>33</v>
      </c>
      <c r="BJ107" s="729"/>
      <c r="BK107" s="616">
        <v>2550</v>
      </c>
      <c r="BL107" s="603">
        <f t="shared" si="60"/>
        <v>51</v>
      </c>
      <c r="BM107" s="964"/>
      <c r="BN107" s="602">
        <f t="shared" si="70"/>
        <v>0</v>
      </c>
      <c r="BO107" s="940"/>
      <c r="BP107" s="593">
        <f t="shared" si="64"/>
        <v>0</v>
      </c>
      <c r="BS107" s="741">
        <v>26</v>
      </c>
      <c r="BT107" s="741">
        <v>7</v>
      </c>
      <c r="BU107" s="741">
        <f t="shared" si="65"/>
        <v>33</v>
      </c>
      <c r="BV107" s="741">
        <v>51</v>
      </c>
      <c r="BW107" s="741"/>
      <c r="BX107" s="741">
        <v>0</v>
      </c>
      <c r="BY107" s="741">
        <v>0</v>
      </c>
      <c r="BZ107" s="741">
        <f t="shared" si="61"/>
        <v>0</v>
      </c>
      <c r="CA107" s="741">
        <v>0</v>
      </c>
      <c r="CB107" s="741"/>
      <c r="CC107" s="741">
        <f t="shared" si="66"/>
        <v>51</v>
      </c>
      <c r="CD107" s="751"/>
      <c r="CE107" s="748">
        <v>26</v>
      </c>
      <c r="CF107" s="748">
        <v>7</v>
      </c>
      <c r="CG107" s="748">
        <f t="shared" si="48"/>
        <v>33</v>
      </c>
      <c r="CH107" s="759">
        <v>51</v>
      </c>
      <c r="CI107" s="742"/>
      <c r="CJ107" s="591">
        <f t="shared" si="67"/>
        <v>0</v>
      </c>
    </row>
    <row r="108" spans="1:88" ht="21.6" customHeight="1" x14ac:dyDescent="0.25">
      <c r="A108" s="596"/>
      <c r="B108" s="596"/>
      <c r="C108" s="597"/>
      <c r="D108" s="143"/>
      <c r="E108" s="598">
        <v>0</v>
      </c>
      <c r="F108" s="596">
        <v>0</v>
      </c>
      <c r="G108" s="598"/>
      <c r="H108" s="596"/>
      <c r="I108" s="596">
        <f t="shared" si="51"/>
        <v>0</v>
      </c>
      <c r="J108" s="728"/>
      <c r="K108" s="728"/>
      <c r="L108" s="731">
        <f t="shared" si="52"/>
        <v>0</v>
      </c>
      <c r="M108" s="947"/>
      <c r="N108" s="617"/>
      <c r="O108" s="602">
        <f t="shared" si="50"/>
        <v>0</v>
      </c>
      <c r="P108" s="940"/>
      <c r="Q108" s="600">
        <f t="shared" si="68"/>
        <v>0</v>
      </c>
      <c r="R108" s="940"/>
      <c r="S108" s="596">
        <v>0</v>
      </c>
      <c r="T108" s="724"/>
      <c r="U108" s="728"/>
      <c r="V108" s="728"/>
      <c r="W108" s="731">
        <f t="shared" si="53"/>
        <v>0</v>
      </c>
      <c r="X108" s="947"/>
      <c r="Y108" s="616"/>
      <c r="Z108" s="602">
        <f t="shared" si="54"/>
        <v>0</v>
      </c>
      <c r="AA108" s="835"/>
      <c r="AB108" s="602">
        <f t="shared" si="55"/>
        <v>0</v>
      </c>
      <c r="AC108" s="940"/>
      <c r="AD108" s="956"/>
      <c r="AE108" s="956"/>
      <c r="AF108" s="598"/>
      <c r="AG108" s="596"/>
      <c r="AH108" s="728"/>
      <c r="AI108" s="728"/>
      <c r="AJ108" s="729">
        <f t="shared" si="63"/>
        <v>0</v>
      </c>
      <c r="AK108" s="946"/>
      <c r="AL108" s="616"/>
      <c r="AM108" s="602">
        <f t="shared" si="56"/>
        <v>0</v>
      </c>
      <c r="AN108" s="835"/>
      <c r="AO108" s="835">
        <f t="shared" si="69"/>
        <v>0</v>
      </c>
      <c r="AP108" s="940"/>
      <c r="AQ108" s="722">
        <v>0</v>
      </c>
      <c r="AR108" s="728"/>
      <c r="AS108" s="728"/>
      <c r="AT108" s="729">
        <f t="shared" si="43"/>
        <v>0</v>
      </c>
      <c r="AU108" s="946"/>
      <c r="AV108" s="616"/>
      <c r="AW108" s="602">
        <f t="shared" si="57"/>
        <v>0</v>
      </c>
      <c r="AX108" s="940"/>
      <c r="AY108" s="602">
        <f t="shared" si="58"/>
        <v>0</v>
      </c>
      <c r="AZ108" s="940"/>
      <c r="BA108" s="962"/>
      <c r="BB108" s="962"/>
      <c r="BC108" s="611"/>
      <c r="BD108" s="712"/>
      <c r="BE108" s="596"/>
      <c r="BF108" s="596">
        <f t="shared" si="62"/>
        <v>0</v>
      </c>
      <c r="BG108" s="728"/>
      <c r="BH108" s="728"/>
      <c r="BI108" s="729">
        <f t="shared" si="59"/>
        <v>0</v>
      </c>
      <c r="BJ108" s="729"/>
      <c r="BK108" s="616"/>
      <c r="BL108" s="603">
        <f t="shared" si="60"/>
        <v>0</v>
      </c>
      <c r="BM108" s="964"/>
      <c r="BN108" s="602">
        <f t="shared" si="70"/>
        <v>0</v>
      </c>
      <c r="BO108" s="940"/>
      <c r="BP108" s="593">
        <f t="shared" si="64"/>
        <v>0</v>
      </c>
      <c r="BS108" s="741">
        <v>0</v>
      </c>
      <c r="BT108" s="741">
        <v>0</v>
      </c>
      <c r="BU108" s="741">
        <f t="shared" si="65"/>
        <v>0</v>
      </c>
      <c r="BV108" s="741">
        <v>0</v>
      </c>
      <c r="BW108" s="741"/>
      <c r="BX108" s="741">
        <v>0</v>
      </c>
      <c r="BY108" s="741">
        <v>0</v>
      </c>
      <c r="BZ108" s="741">
        <f t="shared" si="61"/>
        <v>0</v>
      </c>
      <c r="CA108" s="741">
        <v>0</v>
      </c>
      <c r="CB108" s="741"/>
      <c r="CC108" s="741">
        <f t="shared" si="66"/>
        <v>0</v>
      </c>
      <c r="CD108" s="751"/>
      <c r="CE108" s="748"/>
      <c r="CF108" s="748"/>
      <c r="CG108" s="748">
        <f t="shared" si="48"/>
        <v>0</v>
      </c>
      <c r="CH108" s="759"/>
      <c r="CI108" s="742"/>
      <c r="CJ108" s="591">
        <f t="shared" si="67"/>
        <v>0</v>
      </c>
    </row>
    <row r="109" spans="1:88" s="593" customFormat="1" ht="21.6" customHeight="1" x14ac:dyDescent="0.25">
      <c r="A109" s="606"/>
      <c r="B109" s="606" t="s">
        <v>57</v>
      </c>
      <c r="C109" s="607" t="s">
        <v>308</v>
      </c>
      <c r="D109" s="182" t="s">
        <v>431</v>
      </c>
      <c r="E109" s="608">
        <v>3</v>
      </c>
      <c r="F109" s="606">
        <v>68.666666666666671</v>
      </c>
      <c r="G109" s="608">
        <v>3</v>
      </c>
      <c r="H109" s="606">
        <v>57.000000000000007</v>
      </c>
      <c r="I109" s="606">
        <f t="shared" si="51"/>
        <v>11.666666666666664</v>
      </c>
      <c r="J109" s="728">
        <f>5</f>
        <v>5</v>
      </c>
      <c r="K109" s="728">
        <f>2</f>
        <v>2</v>
      </c>
      <c r="L109" s="731">
        <f t="shared" si="52"/>
        <v>7</v>
      </c>
      <c r="M109" s="947">
        <f>SUM(L109:L120)</f>
        <v>98</v>
      </c>
      <c r="N109" s="617">
        <v>45</v>
      </c>
      <c r="O109" s="602">
        <f t="shared" si="50"/>
        <v>3</v>
      </c>
      <c r="P109" s="940">
        <f>SUM(O109:O120)</f>
        <v>68.666666666666671</v>
      </c>
      <c r="Q109" s="600">
        <f t="shared" si="68"/>
        <v>0</v>
      </c>
      <c r="R109" s="940">
        <f>SUM(Q109:Q120)</f>
        <v>0</v>
      </c>
      <c r="S109" s="596">
        <v>0</v>
      </c>
      <c r="T109" s="724">
        <f>SUM(S109:S120)</f>
        <v>5</v>
      </c>
      <c r="U109" s="728"/>
      <c r="V109" s="728"/>
      <c r="W109" s="731">
        <f t="shared" si="53"/>
        <v>0</v>
      </c>
      <c r="X109" s="947">
        <f>SUM(W109:W120)</f>
        <v>8</v>
      </c>
      <c r="Y109" s="616"/>
      <c r="Z109" s="602">
        <f t="shared" si="54"/>
        <v>0</v>
      </c>
      <c r="AA109" s="835">
        <f>SUM(Z109:Z120)</f>
        <v>5</v>
      </c>
      <c r="AB109" s="602">
        <f t="shared" si="55"/>
        <v>0</v>
      </c>
      <c r="AC109" s="940">
        <f>SUM(AB109:AB120)</f>
        <v>0</v>
      </c>
      <c r="AD109" s="955">
        <f>M109+X109</f>
        <v>106</v>
      </c>
      <c r="AE109" s="955">
        <f>R109+AC109</f>
        <v>0</v>
      </c>
      <c r="AF109" s="608">
        <v>7.333333333333333</v>
      </c>
      <c r="AG109" s="606">
        <v>45.999999999999993</v>
      </c>
      <c r="AH109" s="728">
        <v>9</v>
      </c>
      <c r="AI109" s="728">
        <v>2</v>
      </c>
      <c r="AJ109" s="729">
        <f t="shared" si="63"/>
        <v>11</v>
      </c>
      <c r="AK109" s="946">
        <f>SUM(AJ109:AJ120)</f>
        <v>60</v>
      </c>
      <c r="AL109" s="616">
        <v>140.25</v>
      </c>
      <c r="AM109" s="602">
        <f t="shared" si="56"/>
        <v>9.35</v>
      </c>
      <c r="AN109" s="835">
        <f>SUM(AM109:AM120)</f>
        <v>48.016666666666666</v>
      </c>
      <c r="AO109" s="835">
        <f t="shared" si="69"/>
        <v>-2.0166666666666666</v>
      </c>
      <c r="AP109" s="940">
        <f>SUM(AO109:AO120)</f>
        <v>-2.0166666666666666</v>
      </c>
      <c r="AQ109" s="722">
        <v>2</v>
      </c>
      <c r="AR109" s="728"/>
      <c r="AS109" s="728"/>
      <c r="AT109" s="729">
        <f t="shared" si="43"/>
        <v>0</v>
      </c>
      <c r="AU109" s="946">
        <f>SUM(AT109:AT120)</f>
        <v>0</v>
      </c>
      <c r="AV109" s="616"/>
      <c r="AW109" s="602">
        <f t="shared" si="57"/>
        <v>0</v>
      </c>
      <c r="AX109" s="940">
        <f>SUM(AW109:AW120)</f>
        <v>0</v>
      </c>
      <c r="AY109" s="602">
        <f t="shared" si="58"/>
        <v>2</v>
      </c>
      <c r="AZ109" s="940">
        <f>SUM(AY109:AY120)</f>
        <v>2</v>
      </c>
      <c r="BA109" s="961">
        <f>AK109+AU109</f>
        <v>60</v>
      </c>
      <c r="BB109" s="961">
        <f>AP109+AZ109</f>
        <v>-1.6666666666666607E-2</v>
      </c>
      <c r="BC109" s="608">
        <f>SUM(BD109:BD120)</f>
        <v>117</v>
      </c>
      <c r="BD109" s="713">
        <v>10</v>
      </c>
      <c r="BE109" s="606">
        <v>10</v>
      </c>
      <c r="BF109" s="596">
        <f t="shared" si="62"/>
        <v>0</v>
      </c>
      <c r="BG109" s="728">
        <f>9+5</f>
        <v>14</v>
      </c>
      <c r="BH109" s="728">
        <f>2+2</f>
        <v>4</v>
      </c>
      <c r="BI109" s="729">
        <f t="shared" si="59"/>
        <v>18</v>
      </c>
      <c r="BJ109" s="729">
        <f>SUM(BI109:BI120)</f>
        <v>177</v>
      </c>
      <c r="BK109" s="616">
        <f>350+150</f>
        <v>500</v>
      </c>
      <c r="BL109" s="603">
        <f t="shared" si="60"/>
        <v>10</v>
      </c>
      <c r="BM109" s="964">
        <f>SUM(BL109:BL120)</f>
        <v>119.95099999999999</v>
      </c>
      <c r="BN109" s="602">
        <f t="shared" si="70"/>
        <v>0</v>
      </c>
      <c r="BO109" s="940">
        <f>SUM(BN109:BN120)</f>
        <v>-2.9510000000000005</v>
      </c>
      <c r="BP109" s="593">
        <f t="shared" si="64"/>
        <v>-2.9676666666666671</v>
      </c>
      <c r="BS109" s="744">
        <v>0</v>
      </c>
      <c r="BT109" s="744">
        <v>0</v>
      </c>
      <c r="BU109" s="741">
        <f t="shared" si="65"/>
        <v>0</v>
      </c>
      <c r="BV109" s="744">
        <v>0</v>
      </c>
      <c r="BW109" s="744">
        <f>SUM(BV109:BV120)</f>
        <v>0</v>
      </c>
      <c r="BX109" s="744">
        <v>0</v>
      </c>
      <c r="BY109" s="744">
        <v>0</v>
      </c>
      <c r="BZ109" s="741">
        <f t="shared" si="61"/>
        <v>0</v>
      </c>
      <c r="CA109" s="744">
        <v>0</v>
      </c>
      <c r="CB109" s="744">
        <f>SUM(CA109:CA120)</f>
        <v>0</v>
      </c>
      <c r="CC109" s="741">
        <f t="shared" si="66"/>
        <v>0</v>
      </c>
      <c r="CD109" s="754">
        <f>SUM(CC109:CC120)</f>
        <v>0</v>
      </c>
      <c r="CE109" s="748"/>
      <c r="CF109" s="748"/>
      <c r="CG109" s="748">
        <f t="shared" si="48"/>
        <v>0</v>
      </c>
      <c r="CH109" s="765"/>
      <c r="CI109" s="744">
        <f>SUM(CH109:CH120)</f>
        <v>0</v>
      </c>
      <c r="CJ109" s="593">
        <f t="shared" si="67"/>
        <v>-1.6666666666666607E-2</v>
      </c>
    </row>
    <row r="110" spans="1:88" ht="55.5" customHeight="1" x14ac:dyDescent="0.25">
      <c r="A110" s="596" t="s">
        <v>28</v>
      </c>
      <c r="B110" s="596" t="s">
        <v>57</v>
      </c>
      <c r="C110" s="597" t="s">
        <v>58</v>
      </c>
      <c r="D110" s="153" t="s">
        <v>431</v>
      </c>
      <c r="E110" s="598">
        <v>11.666666666666666</v>
      </c>
      <c r="F110" s="596">
        <v>0</v>
      </c>
      <c r="G110" s="598">
        <v>0</v>
      </c>
      <c r="H110" s="596"/>
      <c r="I110" s="596">
        <f t="shared" si="51"/>
        <v>0</v>
      </c>
      <c r="J110" s="728">
        <f>5+10</f>
        <v>15</v>
      </c>
      <c r="K110" s="728">
        <v>2</v>
      </c>
      <c r="L110" s="731">
        <f t="shared" si="52"/>
        <v>17</v>
      </c>
      <c r="M110" s="947"/>
      <c r="N110" s="617">
        <f>60+115</f>
        <v>175</v>
      </c>
      <c r="O110" s="602">
        <f t="shared" si="50"/>
        <v>11.666666666666666</v>
      </c>
      <c r="P110" s="940"/>
      <c r="Q110" s="600">
        <f t="shared" si="68"/>
        <v>0</v>
      </c>
      <c r="R110" s="940"/>
      <c r="S110" s="596">
        <v>0</v>
      </c>
      <c r="T110" s="724"/>
      <c r="U110" s="728"/>
      <c r="V110" s="728"/>
      <c r="W110" s="731">
        <f t="shared" si="53"/>
        <v>0</v>
      </c>
      <c r="X110" s="947"/>
      <c r="Y110" s="616"/>
      <c r="Z110" s="602">
        <f t="shared" si="54"/>
        <v>0</v>
      </c>
      <c r="AA110" s="835"/>
      <c r="AB110" s="602">
        <f t="shared" si="55"/>
        <v>0</v>
      </c>
      <c r="AC110" s="940"/>
      <c r="AD110" s="956"/>
      <c r="AE110" s="956"/>
      <c r="AF110" s="598">
        <v>0</v>
      </c>
      <c r="AG110" s="596"/>
      <c r="AH110" s="728"/>
      <c r="AI110" s="728"/>
      <c r="AJ110" s="729">
        <f t="shared" si="63"/>
        <v>0</v>
      </c>
      <c r="AK110" s="946"/>
      <c r="AL110" s="616"/>
      <c r="AM110" s="602">
        <f t="shared" si="56"/>
        <v>0</v>
      </c>
      <c r="AN110" s="835"/>
      <c r="AO110" s="835">
        <f t="shared" si="69"/>
        <v>0</v>
      </c>
      <c r="AP110" s="940"/>
      <c r="AQ110" s="722">
        <v>0</v>
      </c>
      <c r="AR110" s="728"/>
      <c r="AS110" s="728"/>
      <c r="AT110" s="729">
        <f t="shared" si="43"/>
        <v>0</v>
      </c>
      <c r="AU110" s="946"/>
      <c r="AV110" s="616"/>
      <c r="AW110" s="602">
        <f t="shared" si="57"/>
        <v>0</v>
      </c>
      <c r="AX110" s="940"/>
      <c r="AY110" s="602">
        <f t="shared" si="58"/>
        <v>0</v>
      </c>
      <c r="AZ110" s="940"/>
      <c r="BA110" s="962"/>
      <c r="BB110" s="962"/>
      <c r="BC110" s="598"/>
      <c r="BD110" s="665">
        <v>11</v>
      </c>
      <c r="BE110" s="596">
        <v>0</v>
      </c>
      <c r="BF110" s="596">
        <f t="shared" si="62"/>
        <v>11</v>
      </c>
      <c r="BG110" s="728">
        <v>10</v>
      </c>
      <c r="BH110" s="728">
        <f>5+2</f>
        <v>7</v>
      </c>
      <c r="BI110" s="729">
        <f t="shared" si="59"/>
        <v>17</v>
      </c>
      <c r="BJ110" s="729"/>
      <c r="BK110" s="616">
        <v>550</v>
      </c>
      <c r="BL110" s="603">
        <f t="shared" si="60"/>
        <v>11</v>
      </c>
      <c r="BM110" s="964"/>
      <c r="BN110" s="602">
        <f t="shared" si="70"/>
        <v>0</v>
      </c>
      <c r="BO110" s="940"/>
      <c r="BP110" s="593">
        <f t="shared" si="64"/>
        <v>0</v>
      </c>
      <c r="BS110" s="741">
        <v>0</v>
      </c>
      <c r="BT110" s="741">
        <v>0</v>
      </c>
      <c r="BU110" s="741">
        <f t="shared" si="65"/>
        <v>0</v>
      </c>
      <c r="BV110" s="741">
        <v>0</v>
      </c>
      <c r="BW110" s="741"/>
      <c r="BX110" s="741">
        <v>0</v>
      </c>
      <c r="BY110" s="741">
        <v>0</v>
      </c>
      <c r="BZ110" s="741">
        <f t="shared" si="61"/>
        <v>0</v>
      </c>
      <c r="CA110" s="741">
        <v>0</v>
      </c>
      <c r="CB110" s="741"/>
      <c r="CC110" s="741">
        <f t="shared" si="66"/>
        <v>0</v>
      </c>
      <c r="CD110" s="751"/>
      <c r="CE110" s="748"/>
      <c r="CF110" s="748"/>
      <c r="CG110" s="748">
        <f t="shared" si="48"/>
        <v>0</v>
      </c>
      <c r="CH110" s="759"/>
      <c r="CI110" s="742"/>
      <c r="CJ110" s="591">
        <f t="shared" si="67"/>
        <v>0</v>
      </c>
    </row>
    <row r="111" spans="1:88" ht="38.25" customHeight="1" x14ac:dyDescent="0.25">
      <c r="A111" s="596" t="s">
        <v>28</v>
      </c>
      <c r="B111" s="596" t="s">
        <v>57</v>
      </c>
      <c r="C111" s="597" t="s">
        <v>306</v>
      </c>
      <c r="D111" s="166" t="s">
        <v>437</v>
      </c>
      <c r="E111" s="598">
        <v>13.333333333333334</v>
      </c>
      <c r="F111" s="596">
        <v>0</v>
      </c>
      <c r="G111" s="598">
        <v>13.333333333333334</v>
      </c>
      <c r="H111" s="596"/>
      <c r="I111" s="596">
        <f t="shared" si="51"/>
        <v>0</v>
      </c>
      <c r="J111" s="728">
        <f>12+2</f>
        <v>14</v>
      </c>
      <c r="K111" s="728">
        <f>3</f>
        <v>3</v>
      </c>
      <c r="L111" s="731">
        <f t="shared" si="52"/>
        <v>17</v>
      </c>
      <c r="M111" s="947"/>
      <c r="N111" s="617">
        <v>200</v>
      </c>
      <c r="O111" s="602">
        <f t="shared" si="50"/>
        <v>13.333333333333334</v>
      </c>
      <c r="P111" s="940"/>
      <c r="Q111" s="600">
        <f t="shared" si="68"/>
        <v>0</v>
      </c>
      <c r="R111" s="940"/>
      <c r="S111" s="596">
        <v>0</v>
      </c>
      <c r="T111" s="724"/>
      <c r="U111" s="728"/>
      <c r="V111" s="728"/>
      <c r="W111" s="731">
        <f t="shared" si="53"/>
        <v>0</v>
      </c>
      <c r="X111" s="947"/>
      <c r="Y111" s="616"/>
      <c r="Z111" s="602">
        <f t="shared" si="54"/>
        <v>0</v>
      </c>
      <c r="AA111" s="835"/>
      <c r="AB111" s="602">
        <f t="shared" si="55"/>
        <v>0</v>
      </c>
      <c r="AC111" s="940"/>
      <c r="AD111" s="956"/>
      <c r="AE111" s="956"/>
      <c r="AF111" s="598">
        <v>16</v>
      </c>
      <c r="AG111" s="596"/>
      <c r="AH111" s="728">
        <f>2+13</f>
        <v>15</v>
      </c>
      <c r="AI111" s="728">
        <f>1+5</f>
        <v>6</v>
      </c>
      <c r="AJ111" s="729">
        <f t="shared" si="63"/>
        <v>21</v>
      </c>
      <c r="AK111" s="946"/>
      <c r="AL111" s="616">
        <f>45+195</f>
        <v>240</v>
      </c>
      <c r="AM111" s="602">
        <f t="shared" si="56"/>
        <v>16</v>
      </c>
      <c r="AN111" s="835"/>
      <c r="AO111" s="835">
        <f t="shared" si="69"/>
        <v>0</v>
      </c>
      <c r="AP111" s="940"/>
      <c r="AQ111" s="722">
        <v>0</v>
      </c>
      <c r="AR111" s="728"/>
      <c r="AS111" s="728"/>
      <c r="AT111" s="729">
        <f t="shared" si="43"/>
        <v>0</v>
      </c>
      <c r="AU111" s="946"/>
      <c r="AV111" s="616"/>
      <c r="AW111" s="602">
        <f t="shared" si="57"/>
        <v>0</v>
      </c>
      <c r="AX111" s="940"/>
      <c r="AY111" s="602">
        <f t="shared" si="58"/>
        <v>0</v>
      </c>
      <c r="AZ111" s="940"/>
      <c r="BA111" s="962"/>
      <c r="BB111" s="962"/>
      <c r="BC111" s="598"/>
      <c r="BD111" s="665">
        <v>29</v>
      </c>
      <c r="BE111" s="596">
        <v>29</v>
      </c>
      <c r="BF111" s="596">
        <f t="shared" si="62"/>
        <v>0</v>
      </c>
      <c r="BG111" s="728">
        <f>2+13+2+14+2</f>
        <v>33</v>
      </c>
      <c r="BH111" s="728">
        <f>1+3+5+1</f>
        <v>10</v>
      </c>
      <c r="BI111" s="729">
        <f t="shared" si="59"/>
        <v>43</v>
      </c>
      <c r="BJ111" s="729"/>
      <c r="BK111" s="616">
        <f>622.5+25.05+150+650+150</f>
        <v>1597.55</v>
      </c>
      <c r="BL111" s="603">
        <f t="shared" si="60"/>
        <v>31.951000000000001</v>
      </c>
      <c r="BM111" s="964"/>
      <c r="BN111" s="602">
        <f t="shared" si="70"/>
        <v>-2.9510000000000005</v>
      </c>
      <c r="BO111" s="940"/>
      <c r="BP111" s="593">
        <f t="shared" si="64"/>
        <v>0</v>
      </c>
      <c r="BS111" s="741">
        <v>0</v>
      </c>
      <c r="BT111" s="741">
        <v>0</v>
      </c>
      <c r="BU111" s="741">
        <f t="shared" si="65"/>
        <v>0</v>
      </c>
      <c r="BV111" s="741">
        <v>0</v>
      </c>
      <c r="BW111" s="741"/>
      <c r="BX111" s="741">
        <v>0</v>
      </c>
      <c r="BY111" s="741">
        <v>0</v>
      </c>
      <c r="BZ111" s="741">
        <f t="shared" si="61"/>
        <v>0</v>
      </c>
      <c r="CA111" s="741">
        <v>0</v>
      </c>
      <c r="CB111" s="741"/>
      <c r="CC111" s="741">
        <f t="shared" si="66"/>
        <v>0</v>
      </c>
      <c r="CD111" s="751"/>
      <c r="CE111" s="748"/>
      <c r="CF111" s="748"/>
      <c r="CG111" s="748">
        <f t="shared" si="48"/>
        <v>0</v>
      </c>
      <c r="CH111" s="759"/>
      <c r="CI111" s="742"/>
      <c r="CJ111" s="591">
        <f t="shared" si="67"/>
        <v>-2.9510000000000005</v>
      </c>
    </row>
    <row r="112" spans="1:88" ht="22.5" customHeight="1" x14ac:dyDescent="0.25">
      <c r="A112" s="596"/>
      <c r="B112" s="596" t="s">
        <v>57</v>
      </c>
      <c r="C112" s="597" t="s">
        <v>59</v>
      </c>
      <c r="D112" s="166" t="s">
        <v>437</v>
      </c>
      <c r="E112" s="598">
        <v>0</v>
      </c>
      <c r="F112" s="596">
        <v>0</v>
      </c>
      <c r="G112" s="598">
        <v>0</v>
      </c>
      <c r="H112" s="596"/>
      <c r="I112" s="596">
        <f t="shared" si="51"/>
        <v>0</v>
      </c>
      <c r="J112" s="728"/>
      <c r="K112" s="728"/>
      <c r="L112" s="731">
        <f t="shared" si="52"/>
        <v>0</v>
      </c>
      <c r="M112" s="947"/>
      <c r="N112" s="617"/>
      <c r="O112" s="602">
        <f t="shared" si="50"/>
        <v>0</v>
      </c>
      <c r="P112" s="940"/>
      <c r="Q112" s="600">
        <f t="shared" si="68"/>
        <v>0</v>
      </c>
      <c r="R112" s="940"/>
      <c r="S112" s="596">
        <v>0</v>
      </c>
      <c r="T112" s="724"/>
      <c r="U112" s="728"/>
      <c r="V112" s="728"/>
      <c r="W112" s="731">
        <f t="shared" si="53"/>
        <v>0</v>
      </c>
      <c r="X112" s="947"/>
      <c r="Y112" s="616"/>
      <c r="Z112" s="602">
        <f t="shared" si="54"/>
        <v>0</v>
      </c>
      <c r="AA112" s="835"/>
      <c r="AB112" s="602">
        <f t="shared" si="55"/>
        <v>0</v>
      </c>
      <c r="AC112" s="940"/>
      <c r="AD112" s="956"/>
      <c r="AE112" s="956"/>
      <c r="AF112" s="598">
        <v>11.333333333333334</v>
      </c>
      <c r="AG112" s="596"/>
      <c r="AH112" s="728">
        <f>9</f>
        <v>9</v>
      </c>
      <c r="AI112" s="728">
        <v>3</v>
      </c>
      <c r="AJ112" s="729">
        <f t="shared" si="63"/>
        <v>12</v>
      </c>
      <c r="AK112" s="946"/>
      <c r="AL112" s="616">
        <v>170</v>
      </c>
      <c r="AM112" s="602">
        <f t="shared" si="56"/>
        <v>11.333333333333334</v>
      </c>
      <c r="AN112" s="835"/>
      <c r="AO112" s="835">
        <f t="shared" si="69"/>
        <v>0</v>
      </c>
      <c r="AP112" s="940"/>
      <c r="AQ112" s="722">
        <v>0</v>
      </c>
      <c r="AR112" s="728"/>
      <c r="AS112" s="728"/>
      <c r="AT112" s="729">
        <f t="shared" si="43"/>
        <v>0</v>
      </c>
      <c r="AU112" s="946"/>
      <c r="AV112" s="616"/>
      <c r="AW112" s="602">
        <f t="shared" si="57"/>
        <v>0</v>
      </c>
      <c r="AX112" s="940"/>
      <c r="AY112" s="602">
        <f t="shared" si="58"/>
        <v>0</v>
      </c>
      <c r="AZ112" s="940"/>
      <c r="BA112" s="962"/>
      <c r="BB112" s="962"/>
      <c r="BC112" s="598"/>
      <c r="BD112" s="665">
        <v>11</v>
      </c>
      <c r="BE112" s="596">
        <v>11</v>
      </c>
      <c r="BF112" s="596">
        <f t="shared" si="62"/>
        <v>0</v>
      </c>
      <c r="BG112" s="728">
        <v>9</v>
      </c>
      <c r="BH112" s="728">
        <v>3</v>
      </c>
      <c r="BI112" s="729">
        <f t="shared" si="59"/>
        <v>12</v>
      </c>
      <c r="BJ112" s="729"/>
      <c r="BK112" s="616">
        <v>550</v>
      </c>
      <c r="BL112" s="603">
        <f t="shared" si="60"/>
        <v>11</v>
      </c>
      <c r="BM112" s="964"/>
      <c r="BN112" s="602">
        <f t="shared" si="70"/>
        <v>0</v>
      </c>
      <c r="BO112" s="940"/>
      <c r="BP112" s="593">
        <f t="shared" si="64"/>
        <v>0</v>
      </c>
      <c r="BS112" s="741">
        <v>0</v>
      </c>
      <c r="BT112" s="741">
        <v>0</v>
      </c>
      <c r="BU112" s="741">
        <f t="shared" si="65"/>
        <v>0</v>
      </c>
      <c r="BV112" s="741">
        <v>0</v>
      </c>
      <c r="BW112" s="741"/>
      <c r="BX112" s="741">
        <v>0</v>
      </c>
      <c r="BY112" s="741">
        <v>0</v>
      </c>
      <c r="BZ112" s="741">
        <f t="shared" si="61"/>
        <v>0</v>
      </c>
      <c r="CA112" s="741">
        <v>0</v>
      </c>
      <c r="CB112" s="741"/>
      <c r="CC112" s="741">
        <f t="shared" si="66"/>
        <v>0</v>
      </c>
      <c r="CD112" s="751"/>
      <c r="CE112" s="748"/>
      <c r="CF112" s="748"/>
      <c r="CG112" s="748">
        <f t="shared" si="48"/>
        <v>0</v>
      </c>
      <c r="CH112" s="759"/>
      <c r="CI112" s="742"/>
      <c r="CJ112" s="591">
        <f t="shared" si="67"/>
        <v>0</v>
      </c>
    </row>
    <row r="113" spans="1:88" ht="63" customHeight="1" x14ac:dyDescent="0.25">
      <c r="A113" s="596" t="s">
        <v>28</v>
      </c>
      <c r="B113" s="596" t="s">
        <v>57</v>
      </c>
      <c r="C113" s="597" t="s">
        <v>60</v>
      </c>
      <c r="D113" s="166"/>
      <c r="E113" s="598">
        <v>0</v>
      </c>
      <c r="F113" s="596">
        <v>0</v>
      </c>
      <c r="G113" s="598">
        <v>0</v>
      </c>
      <c r="H113" s="596"/>
      <c r="I113" s="596">
        <f t="shared" si="51"/>
        <v>0</v>
      </c>
      <c r="J113" s="728"/>
      <c r="K113" s="728"/>
      <c r="L113" s="731">
        <f t="shared" si="52"/>
        <v>0</v>
      </c>
      <c r="M113" s="947"/>
      <c r="N113" s="617"/>
      <c r="O113" s="602">
        <f t="shared" si="50"/>
        <v>0</v>
      </c>
      <c r="P113" s="940"/>
      <c r="Q113" s="600">
        <f t="shared" si="68"/>
        <v>0</v>
      </c>
      <c r="R113" s="940"/>
      <c r="S113" s="596">
        <v>0</v>
      </c>
      <c r="T113" s="724"/>
      <c r="U113" s="728"/>
      <c r="V113" s="728"/>
      <c r="W113" s="731">
        <f t="shared" si="53"/>
        <v>0</v>
      </c>
      <c r="X113" s="947"/>
      <c r="Y113" s="616"/>
      <c r="Z113" s="602">
        <f t="shared" si="54"/>
        <v>0</v>
      </c>
      <c r="AA113" s="835"/>
      <c r="AB113" s="602">
        <f t="shared" si="55"/>
        <v>0</v>
      </c>
      <c r="AC113" s="940"/>
      <c r="AD113" s="956"/>
      <c r="AE113" s="956"/>
      <c r="AF113" s="598">
        <v>0</v>
      </c>
      <c r="AG113" s="596"/>
      <c r="AH113" s="728"/>
      <c r="AI113" s="728"/>
      <c r="AJ113" s="729">
        <f t="shared" si="63"/>
        <v>0</v>
      </c>
      <c r="AK113" s="946"/>
      <c r="AL113" s="616"/>
      <c r="AM113" s="602">
        <f t="shared" si="56"/>
        <v>0</v>
      </c>
      <c r="AN113" s="835"/>
      <c r="AO113" s="835">
        <f t="shared" si="69"/>
        <v>0</v>
      </c>
      <c r="AP113" s="940"/>
      <c r="AQ113" s="722">
        <v>0</v>
      </c>
      <c r="AR113" s="728"/>
      <c r="AS113" s="728"/>
      <c r="AT113" s="729">
        <f t="shared" si="43"/>
        <v>0</v>
      </c>
      <c r="AU113" s="946"/>
      <c r="AV113" s="616"/>
      <c r="AW113" s="602">
        <f t="shared" si="57"/>
        <v>0</v>
      </c>
      <c r="AX113" s="940"/>
      <c r="AY113" s="602">
        <f t="shared" si="58"/>
        <v>0</v>
      </c>
      <c r="AZ113" s="940"/>
      <c r="BA113" s="962"/>
      <c r="BB113" s="962"/>
      <c r="BC113" s="598"/>
      <c r="BD113" s="665">
        <v>0</v>
      </c>
      <c r="BE113" s="596">
        <v>0</v>
      </c>
      <c r="BF113" s="596">
        <f t="shared" si="62"/>
        <v>0</v>
      </c>
      <c r="BG113" s="728"/>
      <c r="BH113" s="728"/>
      <c r="BI113" s="729">
        <f t="shared" si="59"/>
        <v>0</v>
      </c>
      <c r="BJ113" s="729"/>
      <c r="BK113" s="616"/>
      <c r="BL113" s="603">
        <f t="shared" si="60"/>
        <v>0</v>
      </c>
      <c r="BM113" s="964"/>
      <c r="BN113" s="602">
        <f t="shared" si="70"/>
        <v>0</v>
      </c>
      <c r="BO113" s="940"/>
      <c r="BP113" s="593">
        <f t="shared" si="64"/>
        <v>0</v>
      </c>
      <c r="BS113" s="741">
        <v>0</v>
      </c>
      <c r="BT113" s="741">
        <v>0</v>
      </c>
      <c r="BU113" s="741">
        <f t="shared" si="65"/>
        <v>0</v>
      </c>
      <c r="BV113" s="741">
        <v>0</v>
      </c>
      <c r="BW113" s="741"/>
      <c r="BX113" s="741">
        <v>0</v>
      </c>
      <c r="BY113" s="741">
        <v>0</v>
      </c>
      <c r="BZ113" s="741">
        <f t="shared" si="61"/>
        <v>0</v>
      </c>
      <c r="CA113" s="741">
        <v>0</v>
      </c>
      <c r="CB113" s="741"/>
      <c r="CC113" s="741">
        <f t="shared" si="66"/>
        <v>0</v>
      </c>
      <c r="CD113" s="751"/>
      <c r="CE113" s="748"/>
      <c r="CF113" s="748"/>
      <c r="CG113" s="748">
        <f t="shared" si="48"/>
        <v>0</v>
      </c>
      <c r="CH113" s="759"/>
      <c r="CI113" s="742"/>
      <c r="CJ113" s="591">
        <f t="shared" si="67"/>
        <v>0</v>
      </c>
    </row>
    <row r="114" spans="1:88" ht="54" customHeight="1" x14ac:dyDescent="0.25">
      <c r="A114" s="596" t="s">
        <v>28</v>
      </c>
      <c r="B114" s="596" t="s">
        <v>57</v>
      </c>
      <c r="C114" s="597" t="s">
        <v>61</v>
      </c>
      <c r="D114" s="166"/>
      <c r="E114" s="598">
        <v>0</v>
      </c>
      <c r="F114" s="596">
        <v>0</v>
      </c>
      <c r="G114" s="598">
        <v>0</v>
      </c>
      <c r="H114" s="596"/>
      <c r="I114" s="596">
        <f t="shared" si="51"/>
        <v>0</v>
      </c>
      <c r="J114" s="728"/>
      <c r="K114" s="728"/>
      <c r="L114" s="731">
        <f t="shared" si="52"/>
        <v>0</v>
      </c>
      <c r="M114" s="947"/>
      <c r="N114" s="617"/>
      <c r="O114" s="602">
        <f t="shared" si="50"/>
        <v>0</v>
      </c>
      <c r="P114" s="940"/>
      <c r="Q114" s="600">
        <f t="shared" si="68"/>
        <v>0</v>
      </c>
      <c r="R114" s="940"/>
      <c r="S114" s="596">
        <v>0</v>
      </c>
      <c r="T114" s="724"/>
      <c r="U114" s="728"/>
      <c r="V114" s="728"/>
      <c r="W114" s="731">
        <f t="shared" si="53"/>
        <v>0</v>
      </c>
      <c r="X114" s="947"/>
      <c r="Y114" s="616"/>
      <c r="Z114" s="602">
        <f t="shared" si="54"/>
        <v>0</v>
      </c>
      <c r="AA114" s="835"/>
      <c r="AB114" s="602">
        <f t="shared" si="55"/>
        <v>0</v>
      </c>
      <c r="AC114" s="940"/>
      <c r="AD114" s="956"/>
      <c r="AE114" s="956"/>
      <c r="AF114" s="598">
        <v>0</v>
      </c>
      <c r="AG114" s="596"/>
      <c r="AH114" s="728"/>
      <c r="AI114" s="728"/>
      <c r="AJ114" s="729">
        <f t="shared" si="63"/>
        <v>0</v>
      </c>
      <c r="AK114" s="946"/>
      <c r="AL114" s="616"/>
      <c r="AM114" s="602">
        <f t="shared" si="56"/>
        <v>0</v>
      </c>
      <c r="AN114" s="835"/>
      <c r="AO114" s="835">
        <f t="shared" si="69"/>
        <v>0</v>
      </c>
      <c r="AP114" s="940"/>
      <c r="AQ114" s="722">
        <v>0</v>
      </c>
      <c r="AR114" s="728"/>
      <c r="AS114" s="728"/>
      <c r="AT114" s="729">
        <f t="shared" si="43"/>
        <v>0</v>
      </c>
      <c r="AU114" s="946"/>
      <c r="AV114" s="616"/>
      <c r="AW114" s="602">
        <f t="shared" si="57"/>
        <v>0</v>
      </c>
      <c r="AX114" s="940"/>
      <c r="AY114" s="602">
        <f t="shared" si="58"/>
        <v>0</v>
      </c>
      <c r="AZ114" s="940"/>
      <c r="BA114" s="962"/>
      <c r="BB114" s="962"/>
      <c r="BC114" s="598"/>
      <c r="BD114" s="665">
        <v>0</v>
      </c>
      <c r="BE114" s="596">
        <v>0</v>
      </c>
      <c r="BF114" s="596">
        <f t="shared" si="62"/>
        <v>0</v>
      </c>
      <c r="BG114" s="728"/>
      <c r="BH114" s="728"/>
      <c r="BI114" s="729">
        <f t="shared" si="59"/>
        <v>0</v>
      </c>
      <c r="BJ114" s="729"/>
      <c r="BK114" s="616"/>
      <c r="BL114" s="603">
        <f t="shared" si="60"/>
        <v>0</v>
      </c>
      <c r="BM114" s="964"/>
      <c r="BN114" s="602">
        <f t="shared" si="70"/>
        <v>0</v>
      </c>
      <c r="BO114" s="940"/>
      <c r="BP114" s="593">
        <f t="shared" si="64"/>
        <v>0</v>
      </c>
      <c r="BS114" s="741">
        <v>0</v>
      </c>
      <c r="BT114" s="741">
        <v>0</v>
      </c>
      <c r="BU114" s="741">
        <f t="shared" si="65"/>
        <v>0</v>
      </c>
      <c r="BV114" s="741">
        <v>0</v>
      </c>
      <c r="BW114" s="741"/>
      <c r="BX114" s="741">
        <v>0</v>
      </c>
      <c r="BY114" s="741">
        <v>0</v>
      </c>
      <c r="BZ114" s="741">
        <f t="shared" si="61"/>
        <v>0</v>
      </c>
      <c r="CA114" s="741">
        <v>0</v>
      </c>
      <c r="CB114" s="741"/>
      <c r="CC114" s="741">
        <f t="shared" si="66"/>
        <v>0</v>
      </c>
      <c r="CD114" s="751"/>
      <c r="CE114" s="748"/>
      <c r="CF114" s="748"/>
      <c r="CG114" s="748">
        <f t="shared" si="48"/>
        <v>0</v>
      </c>
      <c r="CH114" s="759"/>
      <c r="CI114" s="742"/>
      <c r="CJ114" s="591">
        <f t="shared" si="67"/>
        <v>0</v>
      </c>
    </row>
    <row r="115" spans="1:88" ht="21.6" customHeight="1" x14ac:dyDescent="0.25">
      <c r="A115" s="596"/>
      <c r="B115" s="596" t="s">
        <v>57</v>
      </c>
      <c r="C115" s="597" t="s">
        <v>307</v>
      </c>
      <c r="D115" s="204" t="s">
        <v>437</v>
      </c>
      <c r="E115" s="598">
        <v>13.333333333333334</v>
      </c>
      <c r="F115" s="596">
        <v>0</v>
      </c>
      <c r="G115" s="598">
        <v>13.333333333333334</v>
      </c>
      <c r="H115" s="596"/>
      <c r="I115" s="596">
        <f t="shared" si="51"/>
        <v>0</v>
      </c>
      <c r="J115" s="728">
        <f>16</f>
        <v>16</v>
      </c>
      <c r="K115" s="728">
        <f>2</f>
        <v>2</v>
      </c>
      <c r="L115" s="731">
        <f t="shared" si="52"/>
        <v>18</v>
      </c>
      <c r="M115" s="947"/>
      <c r="N115" s="617">
        <v>200</v>
      </c>
      <c r="O115" s="602">
        <f t="shared" si="50"/>
        <v>13.333333333333334</v>
      </c>
      <c r="P115" s="940"/>
      <c r="Q115" s="600">
        <f t="shared" si="68"/>
        <v>0</v>
      </c>
      <c r="R115" s="940"/>
      <c r="S115" s="596">
        <v>5</v>
      </c>
      <c r="T115" s="724"/>
      <c r="U115" s="728">
        <f>1+5</f>
        <v>6</v>
      </c>
      <c r="V115" s="728">
        <v>2</v>
      </c>
      <c r="W115" s="731">
        <f t="shared" si="53"/>
        <v>8</v>
      </c>
      <c r="X115" s="947"/>
      <c r="Y115" s="616">
        <f>30+45</f>
        <v>75</v>
      </c>
      <c r="Z115" s="602">
        <f t="shared" si="54"/>
        <v>5</v>
      </c>
      <c r="AA115" s="835"/>
      <c r="AB115" s="602">
        <f t="shared" si="55"/>
        <v>0</v>
      </c>
      <c r="AC115" s="940"/>
      <c r="AD115" s="956"/>
      <c r="AE115" s="956"/>
      <c r="AF115" s="598">
        <v>0</v>
      </c>
      <c r="AG115" s="596"/>
      <c r="AH115" s="728"/>
      <c r="AI115" s="728"/>
      <c r="AJ115" s="729">
        <f t="shared" ref="AJ115:AJ148" si="71">AH115+AI115</f>
        <v>0</v>
      </c>
      <c r="AK115" s="946"/>
      <c r="AL115" s="616"/>
      <c r="AM115" s="602">
        <f t="shared" si="56"/>
        <v>0</v>
      </c>
      <c r="AN115" s="835"/>
      <c r="AO115" s="835">
        <f t="shared" si="69"/>
        <v>0</v>
      </c>
      <c r="AP115" s="940"/>
      <c r="AQ115" s="722">
        <v>0</v>
      </c>
      <c r="AR115" s="728"/>
      <c r="AS115" s="728"/>
      <c r="AT115" s="729">
        <f t="shared" ref="AT115:AT181" si="72">AR115+AS115</f>
        <v>0</v>
      </c>
      <c r="AU115" s="946"/>
      <c r="AV115" s="616"/>
      <c r="AW115" s="602">
        <f t="shared" si="57"/>
        <v>0</v>
      </c>
      <c r="AX115" s="940"/>
      <c r="AY115" s="602">
        <f t="shared" si="58"/>
        <v>0</v>
      </c>
      <c r="AZ115" s="940"/>
      <c r="BA115" s="962"/>
      <c r="BB115" s="962"/>
      <c r="BC115" s="598"/>
      <c r="BD115" s="665">
        <v>18</v>
      </c>
      <c r="BE115" s="596">
        <v>13</v>
      </c>
      <c r="BF115" s="596">
        <f t="shared" si="62"/>
        <v>5</v>
      </c>
      <c r="BG115" s="728">
        <f>5+1+15</f>
        <v>21</v>
      </c>
      <c r="BH115" s="728">
        <f>2+3</f>
        <v>5</v>
      </c>
      <c r="BI115" s="729">
        <f t="shared" si="59"/>
        <v>26</v>
      </c>
      <c r="BJ115" s="729"/>
      <c r="BK115" s="616">
        <f>150+100+650</f>
        <v>900</v>
      </c>
      <c r="BL115" s="603">
        <f t="shared" si="60"/>
        <v>18</v>
      </c>
      <c r="BM115" s="964"/>
      <c r="BN115" s="602">
        <f t="shared" si="70"/>
        <v>0</v>
      </c>
      <c r="BO115" s="940"/>
      <c r="BP115" s="593">
        <f t="shared" ref="BP115:BP148" si="73">BO115+AZ115+AP115+AC115+R115</f>
        <v>0</v>
      </c>
      <c r="BS115" s="741">
        <v>0</v>
      </c>
      <c r="BT115" s="741">
        <v>0</v>
      </c>
      <c r="BU115" s="741">
        <f t="shared" ref="BU115:BU148" si="74">BS115+BT115</f>
        <v>0</v>
      </c>
      <c r="BV115" s="741">
        <v>0</v>
      </c>
      <c r="BW115" s="741"/>
      <c r="BX115" s="741">
        <v>0</v>
      </c>
      <c r="BY115" s="741">
        <v>0</v>
      </c>
      <c r="BZ115" s="741">
        <f t="shared" si="61"/>
        <v>0</v>
      </c>
      <c r="CA115" s="741">
        <v>0</v>
      </c>
      <c r="CB115" s="741"/>
      <c r="CC115" s="741">
        <f t="shared" ref="CC115:CC148" si="75">BV115+CA115</f>
        <v>0</v>
      </c>
      <c r="CD115" s="751"/>
      <c r="CE115" s="748"/>
      <c r="CF115" s="748"/>
      <c r="CG115" s="748">
        <f t="shared" ref="CG115:CG181" si="76">CE115+CF115</f>
        <v>0</v>
      </c>
      <c r="CH115" s="759"/>
      <c r="CI115" s="742"/>
      <c r="CJ115" s="591">
        <f t="shared" ref="CJ115:CJ148" si="77">BN115+AY115+AO115+AB115+Q115</f>
        <v>0</v>
      </c>
    </row>
    <row r="116" spans="1:88" ht="21.6" customHeight="1" x14ac:dyDescent="0.25">
      <c r="A116" s="596"/>
      <c r="B116" s="596" t="s">
        <v>57</v>
      </c>
      <c r="C116" s="597" t="s">
        <v>309</v>
      </c>
      <c r="D116" s="182"/>
      <c r="E116" s="598">
        <v>0</v>
      </c>
      <c r="F116" s="596">
        <v>0</v>
      </c>
      <c r="G116" s="598">
        <v>0</v>
      </c>
      <c r="H116" s="596"/>
      <c r="I116" s="596">
        <f t="shared" si="51"/>
        <v>0</v>
      </c>
      <c r="J116" s="728"/>
      <c r="K116" s="728"/>
      <c r="L116" s="731">
        <f t="shared" si="52"/>
        <v>0</v>
      </c>
      <c r="M116" s="947"/>
      <c r="N116" s="617"/>
      <c r="O116" s="602">
        <f t="shared" si="50"/>
        <v>0</v>
      </c>
      <c r="P116" s="940"/>
      <c r="Q116" s="600">
        <f t="shared" ref="Q116:Q154" si="78">E116-O116</f>
        <v>0</v>
      </c>
      <c r="R116" s="940"/>
      <c r="S116" s="596">
        <v>0</v>
      </c>
      <c r="T116" s="724"/>
      <c r="U116" s="728"/>
      <c r="V116" s="728"/>
      <c r="W116" s="731">
        <f t="shared" si="53"/>
        <v>0</v>
      </c>
      <c r="X116" s="947"/>
      <c r="Y116" s="616"/>
      <c r="Z116" s="602">
        <f t="shared" si="54"/>
        <v>0</v>
      </c>
      <c r="AA116" s="835"/>
      <c r="AB116" s="602">
        <f t="shared" si="55"/>
        <v>0</v>
      </c>
      <c r="AC116" s="940"/>
      <c r="AD116" s="956"/>
      <c r="AE116" s="956"/>
      <c r="AF116" s="598">
        <v>0</v>
      </c>
      <c r="AG116" s="596"/>
      <c r="AH116" s="728"/>
      <c r="AI116" s="728"/>
      <c r="AJ116" s="729">
        <f t="shared" si="71"/>
        <v>0</v>
      </c>
      <c r="AK116" s="946"/>
      <c r="AL116" s="616"/>
      <c r="AM116" s="602">
        <f t="shared" si="56"/>
        <v>0</v>
      </c>
      <c r="AN116" s="835"/>
      <c r="AO116" s="835">
        <f t="shared" ref="AO116:AO154" si="79">AF116-AM116</f>
        <v>0</v>
      </c>
      <c r="AP116" s="940"/>
      <c r="AQ116" s="722">
        <v>0</v>
      </c>
      <c r="AR116" s="728"/>
      <c r="AS116" s="728"/>
      <c r="AT116" s="729">
        <f t="shared" si="72"/>
        <v>0</v>
      </c>
      <c r="AU116" s="946"/>
      <c r="AV116" s="616"/>
      <c r="AW116" s="602">
        <f t="shared" si="57"/>
        <v>0</v>
      </c>
      <c r="AX116" s="940"/>
      <c r="AY116" s="602">
        <f t="shared" si="58"/>
        <v>0</v>
      </c>
      <c r="AZ116" s="940"/>
      <c r="BA116" s="962"/>
      <c r="BB116" s="962"/>
      <c r="BC116" s="598"/>
      <c r="BD116" s="665">
        <v>0</v>
      </c>
      <c r="BE116" s="596">
        <v>0</v>
      </c>
      <c r="BF116" s="596">
        <f t="shared" si="62"/>
        <v>0</v>
      </c>
      <c r="BG116" s="728"/>
      <c r="BH116" s="728"/>
      <c r="BI116" s="729">
        <f t="shared" si="59"/>
        <v>0</v>
      </c>
      <c r="BJ116" s="729"/>
      <c r="BK116" s="616"/>
      <c r="BL116" s="603">
        <f t="shared" si="60"/>
        <v>0</v>
      </c>
      <c r="BM116" s="964"/>
      <c r="BN116" s="602">
        <f t="shared" ref="BN116:BN154" si="80">BD116-BL116</f>
        <v>0</v>
      </c>
      <c r="BO116" s="940"/>
      <c r="BP116" s="593">
        <f t="shared" si="73"/>
        <v>0</v>
      </c>
      <c r="BS116" s="741">
        <v>0</v>
      </c>
      <c r="BT116" s="741">
        <v>0</v>
      </c>
      <c r="BU116" s="741">
        <f t="shared" si="74"/>
        <v>0</v>
      </c>
      <c r="BV116" s="741">
        <v>0</v>
      </c>
      <c r="BW116" s="741"/>
      <c r="BX116" s="741">
        <v>0</v>
      </c>
      <c r="BY116" s="741">
        <v>0</v>
      </c>
      <c r="BZ116" s="741">
        <f t="shared" si="61"/>
        <v>0</v>
      </c>
      <c r="CA116" s="741">
        <v>0</v>
      </c>
      <c r="CB116" s="741"/>
      <c r="CC116" s="741">
        <f t="shared" si="75"/>
        <v>0</v>
      </c>
      <c r="CD116" s="751"/>
      <c r="CE116" s="748"/>
      <c r="CF116" s="748"/>
      <c r="CG116" s="748">
        <f t="shared" si="76"/>
        <v>0</v>
      </c>
      <c r="CH116" s="759"/>
      <c r="CI116" s="742"/>
      <c r="CJ116" s="591">
        <f t="shared" si="77"/>
        <v>0</v>
      </c>
    </row>
    <row r="117" spans="1:88" ht="40.5" customHeight="1" x14ac:dyDescent="0.25">
      <c r="A117" s="596" t="s">
        <v>28</v>
      </c>
      <c r="B117" s="596" t="s">
        <v>57</v>
      </c>
      <c r="C117" s="597" t="s">
        <v>62</v>
      </c>
      <c r="D117" s="153" t="s">
        <v>431</v>
      </c>
      <c r="E117" s="598">
        <v>9.3333333333333339</v>
      </c>
      <c r="F117" s="596">
        <v>0</v>
      </c>
      <c r="G117" s="598">
        <v>9.3333333333333339</v>
      </c>
      <c r="H117" s="596"/>
      <c r="I117" s="596">
        <f t="shared" si="51"/>
        <v>0</v>
      </c>
      <c r="J117" s="728">
        <f>9</f>
        <v>9</v>
      </c>
      <c r="K117" s="728">
        <f>4</f>
        <v>4</v>
      </c>
      <c r="L117" s="731">
        <f t="shared" si="52"/>
        <v>13</v>
      </c>
      <c r="M117" s="947"/>
      <c r="N117" s="617">
        <v>140</v>
      </c>
      <c r="O117" s="602">
        <f t="shared" si="50"/>
        <v>9.3333333333333339</v>
      </c>
      <c r="P117" s="940"/>
      <c r="Q117" s="600">
        <f t="shared" si="78"/>
        <v>0</v>
      </c>
      <c r="R117" s="940"/>
      <c r="S117" s="596">
        <v>0</v>
      </c>
      <c r="T117" s="724"/>
      <c r="U117" s="728"/>
      <c r="V117" s="728"/>
      <c r="W117" s="731">
        <f t="shared" si="53"/>
        <v>0</v>
      </c>
      <c r="X117" s="947"/>
      <c r="Y117" s="616"/>
      <c r="Z117" s="602">
        <f t="shared" si="54"/>
        <v>0</v>
      </c>
      <c r="AA117" s="835"/>
      <c r="AB117" s="602">
        <f t="shared" si="55"/>
        <v>0</v>
      </c>
      <c r="AC117" s="940"/>
      <c r="AD117" s="956"/>
      <c r="AE117" s="956"/>
      <c r="AF117" s="598">
        <v>3.6666666666666665</v>
      </c>
      <c r="AG117" s="596"/>
      <c r="AH117" s="728">
        <v>6</v>
      </c>
      <c r="AI117" s="728"/>
      <c r="AJ117" s="729">
        <f t="shared" si="71"/>
        <v>6</v>
      </c>
      <c r="AK117" s="946"/>
      <c r="AL117" s="616">
        <v>55</v>
      </c>
      <c r="AM117" s="602">
        <f t="shared" si="56"/>
        <v>3.6666666666666665</v>
      </c>
      <c r="AN117" s="835"/>
      <c r="AO117" s="835">
        <f t="shared" si="79"/>
        <v>0</v>
      </c>
      <c r="AP117" s="940"/>
      <c r="AQ117" s="722">
        <v>0</v>
      </c>
      <c r="AR117" s="728"/>
      <c r="AS117" s="728"/>
      <c r="AT117" s="729">
        <f t="shared" si="72"/>
        <v>0</v>
      </c>
      <c r="AU117" s="946"/>
      <c r="AV117" s="616"/>
      <c r="AW117" s="602">
        <f t="shared" si="57"/>
        <v>0</v>
      </c>
      <c r="AX117" s="940"/>
      <c r="AY117" s="602">
        <f t="shared" si="58"/>
        <v>0</v>
      </c>
      <c r="AZ117" s="940"/>
      <c r="BA117" s="962"/>
      <c r="BB117" s="962"/>
      <c r="BC117" s="598"/>
      <c r="BD117" s="665">
        <v>13</v>
      </c>
      <c r="BE117" s="596">
        <v>13</v>
      </c>
      <c r="BF117" s="596">
        <f t="shared" si="62"/>
        <v>0</v>
      </c>
      <c r="BG117" s="728">
        <f>9+6+6</f>
        <v>21</v>
      </c>
      <c r="BH117" s="728">
        <v>4</v>
      </c>
      <c r="BI117" s="729">
        <f t="shared" si="59"/>
        <v>25</v>
      </c>
      <c r="BJ117" s="729"/>
      <c r="BK117" s="616">
        <f>650</f>
        <v>650</v>
      </c>
      <c r="BL117" s="603">
        <f t="shared" si="60"/>
        <v>13</v>
      </c>
      <c r="BM117" s="964"/>
      <c r="BN117" s="602">
        <f t="shared" si="80"/>
        <v>0</v>
      </c>
      <c r="BO117" s="940"/>
      <c r="BP117" s="593">
        <f t="shared" si="73"/>
        <v>0</v>
      </c>
      <c r="BS117" s="741">
        <v>0</v>
      </c>
      <c r="BT117" s="741">
        <v>0</v>
      </c>
      <c r="BU117" s="741">
        <f t="shared" si="74"/>
        <v>0</v>
      </c>
      <c r="BV117" s="741">
        <v>0</v>
      </c>
      <c r="BW117" s="741"/>
      <c r="BX117" s="741">
        <v>0</v>
      </c>
      <c r="BY117" s="741">
        <v>0</v>
      </c>
      <c r="BZ117" s="741">
        <f t="shared" si="61"/>
        <v>0</v>
      </c>
      <c r="CA117" s="741">
        <v>0</v>
      </c>
      <c r="CB117" s="741"/>
      <c r="CC117" s="741">
        <f t="shared" si="75"/>
        <v>0</v>
      </c>
      <c r="CD117" s="751"/>
      <c r="CE117" s="748"/>
      <c r="CF117" s="748"/>
      <c r="CG117" s="748">
        <f t="shared" si="76"/>
        <v>0</v>
      </c>
      <c r="CH117" s="759"/>
      <c r="CI117" s="742"/>
      <c r="CJ117" s="591">
        <f t="shared" si="77"/>
        <v>0</v>
      </c>
    </row>
    <row r="118" spans="1:88" ht="21.6" customHeight="1" x14ac:dyDescent="0.25">
      <c r="A118" s="596" t="s">
        <v>28</v>
      </c>
      <c r="B118" s="596" t="s">
        <v>57</v>
      </c>
      <c r="C118" s="597" t="s">
        <v>63</v>
      </c>
      <c r="D118" s="166" t="s">
        <v>431</v>
      </c>
      <c r="E118" s="598">
        <v>11.666666666666666</v>
      </c>
      <c r="F118" s="596">
        <v>0</v>
      </c>
      <c r="G118" s="598">
        <v>11.666666666666666</v>
      </c>
      <c r="H118" s="596"/>
      <c r="I118" s="596">
        <f t="shared" si="51"/>
        <v>0</v>
      </c>
      <c r="J118" s="728">
        <f>15</f>
        <v>15</v>
      </c>
      <c r="K118" s="728">
        <f>2</f>
        <v>2</v>
      </c>
      <c r="L118" s="731">
        <f t="shared" si="52"/>
        <v>17</v>
      </c>
      <c r="M118" s="947"/>
      <c r="N118" s="617">
        <v>175</v>
      </c>
      <c r="O118" s="602">
        <f t="shared" si="50"/>
        <v>11.666666666666666</v>
      </c>
      <c r="P118" s="940"/>
      <c r="Q118" s="600">
        <f t="shared" si="78"/>
        <v>0</v>
      </c>
      <c r="R118" s="940"/>
      <c r="S118" s="596">
        <v>0</v>
      </c>
      <c r="T118" s="724"/>
      <c r="U118" s="728"/>
      <c r="V118" s="728"/>
      <c r="W118" s="731">
        <f t="shared" si="53"/>
        <v>0</v>
      </c>
      <c r="X118" s="947"/>
      <c r="Y118" s="616"/>
      <c r="Z118" s="602">
        <f t="shared" si="54"/>
        <v>0</v>
      </c>
      <c r="AA118" s="835"/>
      <c r="AB118" s="602">
        <f t="shared" si="55"/>
        <v>0</v>
      </c>
      <c r="AC118" s="940"/>
      <c r="AD118" s="956"/>
      <c r="AE118" s="956"/>
      <c r="AF118" s="598">
        <v>1</v>
      </c>
      <c r="AG118" s="596"/>
      <c r="AH118" s="728">
        <v>0</v>
      </c>
      <c r="AI118" s="728">
        <v>1</v>
      </c>
      <c r="AJ118" s="729">
        <f t="shared" si="71"/>
        <v>1</v>
      </c>
      <c r="AK118" s="946"/>
      <c r="AL118" s="616">
        <v>15</v>
      </c>
      <c r="AM118" s="602">
        <f t="shared" si="56"/>
        <v>1</v>
      </c>
      <c r="AN118" s="835"/>
      <c r="AO118" s="835">
        <f t="shared" si="79"/>
        <v>0</v>
      </c>
      <c r="AP118" s="940"/>
      <c r="AQ118" s="722">
        <v>0</v>
      </c>
      <c r="AR118" s="728"/>
      <c r="AS118" s="728"/>
      <c r="AT118" s="729">
        <f t="shared" si="72"/>
        <v>0</v>
      </c>
      <c r="AU118" s="946"/>
      <c r="AV118" s="616"/>
      <c r="AW118" s="602">
        <f t="shared" si="57"/>
        <v>0</v>
      </c>
      <c r="AX118" s="940"/>
      <c r="AY118" s="602">
        <f t="shared" si="58"/>
        <v>0</v>
      </c>
      <c r="AZ118" s="940"/>
      <c r="BA118" s="962"/>
      <c r="BB118" s="962"/>
      <c r="BC118" s="598"/>
      <c r="BD118" s="665">
        <v>12</v>
      </c>
      <c r="BE118" s="596">
        <v>12</v>
      </c>
      <c r="BF118" s="596">
        <f t="shared" si="62"/>
        <v>0</v>
      </c>
      <c r="BG118" s="728">
        <v>16</v>
      </c>
      <c r="BH118" s="728">
        <f>1+1</f>
        <v>2</v>
      </c>
      <c r="BI118" s="729">
        <f t="shared" si="59"/>
        <v>18</v>
      </c>
      <c r="BJ118" s="729"/>
      <c r="BK118" s="616">
        <f>550+50</f>
        <v>600</v>
      </c>
      <c r="BL118" s="603">
        <f t="shared" si="60"/>
        <v>12</v>
      </c>
      <c r="BM118" s="964"/>
      <c r="BN118" s="602">
        <f t="shared" si="80"/>
        <v>0</v>
      </c>
      <c r="BO118" s="940"/>
      <c r="BP118" s="593">
        <f t="shared" si="73"/>
        <v>0</v>
      </c>
      <c r="BS118" s="741">
        <v>0</v>
      </c>
      <c r="BT118" s="741">
        <v>0</v>
      </c>
      <c r="BU118" s="741">
        <f t="shared" si="74"/>
        <v>0</v>
      </c>
      <c r="BV118" s="741">
        <v>0</v>
      </c>
      <c r="BW118" s="741"/>
      <c r="BX118" s="741">
        <v>0</v>
      </c>
      <c r="BY118" s="741">
        <v>0</v>
      </c>
      <c r="BZ118" s="741">
        <f t="shared" si="61"/>
        <v>0</v>
      </c>
      <c r="CA118" s="741">
        <v>0</v>
      </c>
      <c r="CB118" s="741"/>
      <c r="CC118" s="741">
        <f t="shared" si="75"/>
        <v>0</v>
      </c>
      <c r="CD118" s="751"/>
      <c r="CE118" s="748"/>
      <c r="CF118" s="748"/>
      <c r="CG118" s="748">
        <f t="shared" si="76"/>
        <v>0</v>
      </c>
      <c r="CH118" s="759"/>
      <c r="CI118" s="742"/>
      <c r="CJ118" s="591">
        <f t="shared" si="77"/>
        <v>0</v>
      </c>
    </row>
    <row r="119" spans="1:88" ht="52.5" customHeight="1" x14ac:dyDescent="0.25">
      <c r="A119" s="596" t="s">
        <v>28</v>
      </c>
      <c r="B119" s="596" t="s">
        <v>57</v>
      </c>
      <c r="C119" s="597" t="s">
        <v>64</v>
      </c>
      <c r="D119" s="153" t="s">
        <v>431</v>
      </c>
      <c r="E119" s="598">
        <v>6.333333333333333</v>
      </c>
      <c r="F119" s="596">
        <v>0</v>
      </c>
      <c r="G119" s="598">
        <v>6.333333333333333</v>
      </c>
      <c r="H119" s="596"/>
      <c r="I119" s="596">
        <f t="shared" si="51"/>
        <v>0</v>
      </c>
      <c r="J119" s="728">
        <f>8</f>
        <v>8</v>
      </c>
      <c r="K119" s="728">
        <f>1</f>
        <v>1</v>
      </c>
      <c r="L119" s="731">
        <f t="shared" si="52"/>
        <v>9</v>
      </c>
      <c r="M119" s="947"/>
      <c r="N119" s="617">
        <v>95</v>
      </c>
      <c r="O119" s="602">
        <f t="shared" ref="O119:O187" si="81">N119/15</f>
        <v>6.333333333333333</v>
      </c>
      <c r="P119" s="940"/>
      <c r="Q119" s="600">
        <f t="shared" si="78"/>
        <v>0</v>
      </c>
      <c r="R119" s="940"/>
      <c r="S119" s="596">
        <v>0</v>
      </c>
      <c r="T119" s="724"/>
      <c r="U119" s="728"/>
      <c r="V119" s="728"/>
      <c r="W119" s="731">
        <f t="shared" si="53"/>
        <v>0</v>
      </c>
      <c r="X119" s="947"/>
      <c r="Y119" s="616"/>
      <c r="Z119" s="602">
        <f t="shared" si="54"/>
        <v>0</v>
      </c>
      <c r="AA119" s="835"/>
      <c r="AB119" s="602">
        <f t="shared" si="55"/>
        <v>0</v>
      </c>
      <c r="AC119" s="940"/>
      <c r="AD119" s="956"/>
      <c r="AE119" s="956"/>
      <c r="AF119" s="598">
        <v>6.666666666666667</v>
      </c>
      <c r="AG119" s="596"/>
      <c r="AH119" s="728">
        <v>8</v>
      </c>
      <c r="AI119" s="728">
        <v>1</v>
      </c>
      <c r="AJ119" s="729">
        <f t="shared" si="71"/>
        <v>9</v>
      </c>
      <c r="AK119" s="946"/>
      <c r="AL119" s="616">
        <v>100</v>
      </c>
      <c r="AM119" s="602">
        <f t="shared" si="56"/>
        <v>6.666666666666667</v>
      </c>
      <c r="AN119" s="835"/>
      <c r="AO119" s="835">
        <f t="shared" si="79"/>
        <v>0</v>
      </c>
      <c r="AP119" s="940"/>
      <c r="AQ119" s="722">
        <v>0</v>
      </c>
      <c r="AR119" s="728"/>
      <c r="AS119" s="728"/>
      <c r="AT119" s="729">
        <f t="shared" si="72"/>
        <v>0</v>
      </c>
      <c r="AU119" s="946"/>
      <c r="AV119" s="616"/>
      <c r="AW119" s="602">
        <f t="shared" si="57"/>
        <v>0</v>
      </c>
      <c r="AX119" s="940"/>
      <c r="AY119" s="602">
        <f t="shared" si="58"/>
        <v>0</v>
      </c>
      <c r="AZ119" s="940"/>
      <c r="BA119" s="962"/>
      <c r="BB119" s="962"/>
      <c r="BC119" s="598"/>
      <c r="BD119" s="665">
        <v>13</v>
      </c>
      <c r="BE119" s="596">
        <v>13</v>
      </c>
      <c r="BF119" s="596">
        <f t="shared" si="62"/>
        <v>0</v>
      </c>
      <c r="BG119" s="728">
        <f>8+8</f>
        <v>16</v>
      </c>
      <c r="BH119" s="728">
        <f>1+1</f>
        <v>2</v>
      </c>
      <c r="BI119" s="729">
        <f t="shared" si="59"/>
        <v>18</v>
      </c>
      <c r="BJ119" s="729"/>
      <c r="BK119" s="616">
        <f>330+320</f>
        <v>650</v>
      </c>
      <c r="BL119" s="603">
        <f t="shared" si="60"/>
        <v>13</v>
      </c>
      <c r="BM119" s="964"/>
      <c r="BN119" s="602">
        <f t="shared" si="80"/>
        <v>0</v>
      </c>
      <c r="BO119" s="940"/>
      <c r="BP119" s="593">
        <f t="shared" si="73"/>
        <v>0</v>
      </c>
      <c r="BS119" s="741">
        <v>0</v>
      </c>
      <c r="BT119" s="741">
        <v>0</v>
      </c>
      <c r="BU119" s="741">
        <f t="shared" si="74"/>
        <v>0</v>
      </c>
      <c r="BV119" s="741">
        <v>0</v>
      </c>
      <c r="BW119" s="741"/>
      <c r="BX119" s="741">
        <v>0</v>
      </c>
      <c r="BY119" s="741">
        <v>0</v>
      </c>
      <c r="BZ119" s="741">
        <f t="shared" si="61"/>
        <v>0</v>
      </c>
      <c r="CA119" s="741">
        <v>0</v>
      </c>
      <c r="CB119" s="741"/>
      <c r="CC119" s="741">
        <f t="shared" si="75"/>
        <v>0</v>
      </c>
      <c r="CD119" s="751"/>
      <c r="CE119" s="748"/>
      <c r="CF119" s="748"/>
      <c r="CG119" s="748">
        <f t="shared" si="76"/>
        <v>0</v>
      </c>
      <c r="CH119" s="759"/>
      <c r="CI119" s="742"/>
      <c r="CJ119" s="591">
        <f t="shared" si="77"/>
        <v>0</v>
      </c>
    </row>
    <row r="120" spans="1:88" ht="21.6" customHeight="1" x14ac:dyDescent="0.25">
      <c r="A120" s="596" t="s">
        <v>28</v>
      </c>
      <c r="B120" s="596" t="s">
        <v>57</v>
      </c>
      <c r="C120" s="597" t="s">
        <v>65</v>
      </c>
      <c r="D120" s="166"/>
      <c r="E120" s="598">
        <v>0</v>
      </c>
      <c r="F120" s="596">
        <v>0</v>
      </c>
      <c r="G120" s="598">
        <v>0</v>
      </c>
      <c r="H120" s="596"/>
      <c r="I120" s="596">
        <f t="shared" si="51"/>
        <v>0</v>
      </c>
      <c r="J120" s="728"/>
      <c r="K120" s="728"/>
      <c r="L120" s="731">
        <f t="shared" si="52"/>
        <v>0</v>
      </c>
      <c r="M120" s="947"/>
      <c r="N120" s="617"/>
      <c r="O120" s="602">
        <f t="shared" si="81"/>
        <v>0</v>
      </c>
      <c r="P120" s="940"/>
      <c r="Q120" s="600">
        <f t="shared" si="78"/>
        <v>0</v>
      </c>
      <c r="R120" s="940"/>
      <c r="S120" s="596">
        <v>0</v>
      </c>
      <c r="T120" s="724"/>
      <c r="U120" s="728"/>
      <c r="V120" s="728"/>
      <c r="W120" s="731">
        <f t="shared" si="53"/>
        <v>0</v>
      </c>
      <c r="X120" s="947"/>
      <c r="Y120" s="616"/>
      <c r="Z120" s="602">
        <f t="shared" si="54"/>
        <v>0</v>
      </c>
      <c r="AA120" s="835"/>
      <c r="AB120" s="602">
        <f t="shared" si="55"/>
        <v>0</v>
      </c>
      <c r="AC120" s="940"/>
      <c r="AD120" s="956"/>
      <c r="AE120" s="956"/>
      <c r="AF120" s="598">
        <v>0</v>
      </c>
      <c r="AG120" s="596"/>
      <c r="AH120" s="728"/>
      <c r="AI120" s="728"/>
      <c r="AJ120" s="729">
        <f t="shared" si="71"/>
        <v>0</v>
      </c>
      <c r="AK120" s="946"/>
      <c r="AL120" s="616"/>
      <c r="AM120" s="602">
        <f t="shared" si="56"/>
        <v>0</v>
      </c>
      <c r="AN120" s="835"/>
      <c r="AO120" s="835">
        <f t="shared" si="79"/>
        <v>0</v>
      </c>
      <c r="AP120" s="940"/>
      <c r="AQ120" s="722">
        <v>0</v>
      </c>
      <c r="AR120" s="728"/>
      <c r="AS120" s="728"/>
      <c r="AT120" s="729">
        <f t="shared" si="72"/>
        <v>0</v>
      </c>
      <c r="AU120" s="946"/>
      <c r="AV120" s="616"/>
      <c r="AW120" s="602">
        <f t="shared" si="57"/>
        <v>0</v>
      </c>
      <c r="AX120" s="940"/>
      <c r="AY120" s="602">
        <f t="shared" si="58"/>
        <v>0</v>
      </c>
      <c r="AZ120" s="940"/>
      <c r="BA120" s="962"/>
      <c r="BB120" s="962"/>
      <c r="BC120" s="598"/>
      <c r="BD120" s="665">
        <v>0</v>
      </c>
      <c r="BE120" s="596">
        <v>0</v>
      </c>
      <c r="BF120" s="596">
        <f t="shared" si="62"/>
        <v>0</v>
      </c>
      <c r="BG120" s="728"/>
      <c r="BH120" s="728"/>
      <c r="BI120" s="729">
        <f t="shared" si="59"/>
        <v>0</v>
      </c>
      <c r="BJ120" s="729"/>
      <c r="BK120" s="616"/>
      <c r="BL120" s="603">
        <f t="shared" si="60"/>
        <v>0</v>
      </c>
      <c r="BM120" s="964"/>
      <c r="BN120" s="602">
        <f t="shared" si="80"/>
        <v>0</v>
      </c>
      <c r="BO120" s="940"/>
      <c r="BP120" s="593">
        <f t="shared" si="73"/>
        <v>0</v>
      </c>
      <c r="BS120" s="741">
        <v>0</v>
      </c>
      <c r="BT120" s="741">
        <v>0</v>
      </c>
      <c r="BU120" s="741">
        <f t="shared" si="74"/>
        <v>0</v>
      </c>
      <c r="BV120" s="741">
        <v>0</v>
      </c>
      <c r="BW120" s="741"/>
      <c r="BX120" s="741">
        <v>0</v>
      </c>
      <c r="BY120" s="741">
        <v>0</v>
      </c>
      <c r="BZ120" s="741">
        <f t="shared" si="61"/>
        <v>0</v>
      </c>
      <c r="CA120" s="741">
        <v>0</v>
      </c>
      <c r="CB120" s="741"/>
      <c r="CC120" s="741">
        <f t="shared" si="75"/>
        <v>0</v>
      </c>
      <c r="CD120" s="751"/>
      <c r="CE120" s="748"/>
      <c r="CF120" s="748"/>
      <c r="CG120" s="748">
        <f t="shared" si="76"/>
        <v>0</v>
      </c>
      <c r="CH120" s="759"/>
      <c r="CI120" s="742"/>
      <c r="CJ120" s="591">
        <f t="shared" si="77"/>
        <v>0</v>
      </c>
    </row>
    <row r="121" spans="1:88" ht="21.6" customHeight="1" x14ac:dyDescent="0.25">
      <c r="A121" s="596"/>
      <c r="B121" s="596"/>
      <c r="C121" s="597"/>
      <c r="D121" s="143"/>
      <c r="E121" s="598">
        <v>0</v>
      </c>
      <c r="F121" s="596">
        <v>0</v>
      </c>
      <c r="G121" s="598"/>
      <c r="H121" s="596"/>
      <c r="I121" s="596">
        <f t="shared" si="51"/>
        <v>0</v>
      </c>
      <c r="J121" s="728"/>
      <c r="K121" s="728"/>
      <c r="L121" s="731">
        <f t="shared" si="52"/>
        <v>0</v>
      </c>
      <c r="M121" s="947"/>
      <c r="N121" s="617"/>
      <c r="O121" s="602">
        <f t="shared" si="81"/>
        <v>0</v>
      </c>
      <c r="P121" s="940"/>
      <c r="Q121" s="600">
        <f t="shared" si="78"/>
        <v>0</v>
      </c>
      <c r="R121" s="940"/>
      <c r="S121" s="596">
        <v>0</v>
      </c>
      <c r="T121" s="724"/>
      <c r="U121" s="728"/>
      <c r="V121" s="728"/>
      <c r="W121" s="731">
        <f t="shared" si="53"/>
        <v>0</v>
      </c>
      <c r="X121" s="947"/>
      <c r="Y121" s="616"/>
      <c r="Z121" s="602">
        <f t="shared" si="54"/>
        <v>0</v>
      </c>
      <c r="AA121" s="835"/>
      <c r="AB121" s="602">
        <f t="shared" si="55"/>
        <v>0</v>
      </c>
      <c r="AC121" s="940"/>
      <c r="AD121" s="956"/>
      <c r="AE121" s="956"/>
      <c r="AF121" s="598"/>
      <c r="AG121" s="596"/>
      <c r="AH121" s="728"/>
      <c r="AI121" s="728"/>
      <c r="AJ121" s="729">
        <f t="shared" si="71"/>
        <v>0</v>
      </c>
      <c r="AK121" s="946"/>
      <c r="AL121" s="616"/>
      <c r="AM121" s="602">
        <f t="shared" si="56"/>
        <v>0</v>
      </c>
      <c r="AN121" s="835"/>
      <c r="AO121" s="835">
        <f t="shared" si="79"/>
        <v>0</v>
      </c>
      <c r="AP121" s="940"/>
      <c r="AQ121" s="722">
        <v>0</v>
      </c>
      <c r="AR121" s="728"/>
      <c r="AS121" s="728"/>
      <c r="AT121" s="729">
        <f t="shared" si="72"/>
        <v>0</v>
      </c>
      <c r="AU121" s="946"/>
      <c r="AV121" s="616"/>
      <c r="AW121" s="602">
        <f t="shared" si="57"/>
        <v>0</v>
      </c>
      <c r="AX121" s="940"/>
      <c r="AY121" s="602">
        <f t="shared" si="58"/>
        <v>0</v>
      </c>
      <c r="AZ121" s="940"/>
      <c r="BA121" s="962"/>
      <c r="BB121" s="962"/>
      <c r="BC121" s="611"/>
      <c r="BD121" s="712"/>
      <c r="BE121" s="596"/>
      <c r="BF121" s="596">
        <f t="shared" si="62"/>
        <v>0</v>
      </c>
      <c r="BG121" s="728"/>
      <c r="BH121" s="728"/>
      <c r="BI121" s="729">
        <f t="shared" si="59"/>
        <v>0</v>
      </c>
      <c r="BJ121" s="729"/>
      <c r="BK121" s="616"/>
      <c r="BL121" s="603">
        <f t="shared" si="60"/>
        <v>0</v>
      </c>
      <c r="BM121" s="964"/>
      <c r="BN121" s="602">
        <f t="shared" si="80"/>
        <v>0</v>
      </c>
      <c r="BO121" s="940"/>
      <c r="BP121" s="593">
        <f t="shared" si="73"/>
        <v>0</v>
      </c>
      <c r="BS121" s="741">
        <v>0</v>
      </c>
      <c r="BT121" s="741">
        <v>0</v>
      </c>
      <c r="BU121" s="741">
        <f t="shared" si="74"/>
        <v>0</v>
      </c>
      <c r="BV121" s="741">
        <v>0</v>
      </c>
      <c r="BW121" s="741"/>
      <c r="BX121" s="741">
        <v>0</v>
      </c>
      <c r="BY121" s="741">
        <v>0</v>
      </c>
      <c r="BZ121" s="741">
        <f t="shared" si="61"/>
        <v>0</v>
      </c>
      <c r="CA121" s="741">
        <v>0</v>
      </c>
      <c r="CB121" s="741"/>
      <c r="CC121" s="741">
        <f t="shared" si="75"/>
        <v>0</v>
      </c>
      <c r="CD121" s="751"/>
      <c r="CE121" s="748"/>
      <c r="CF121" s="748"/>
      <c r="CG121" s="748">
        <f t="shared" si="76"/>
        <v>0</v>
      </c>
      <c r="CH121" s="759"/>
      <c r="CI121" s="742"/>
      <c r="CJ121" s="591">
        <f t="shared" si="77"/>
        <v>0</v>
      </c>
    </row>
    <row r="122" spans="1:88" s="593" customFormat="1" ht="21.6" customHeight="1" x14ac:dyDescent="0.25">
      <c r="A122" s="606" t="s">
        <v>28</v>
      </c>
      <c r="B122" s="606" t="s">
        <v>66</v>
      </c>
      <c r="C122" s="607" t="s">
        <v>67</v>
      </c>
      <c r="D122" s="166" t="s">
        <v>431</v>
      </c>
      <c r="E122" s="608">
        <v>0</v>
      </c>
      <c r="F122" s="606">
        <v>0</v>
      </c>
      <c r="G122" s="608">
        <v>0</v>
      </c>
      <c r="H122" s="606">
        <v>0</v>
      </c>
      <c r="I122" s="606">
        <f t="shared" si="51"/>
        <v>0</v>
      </c>
      <c r="J122" s="728"/>
      <c r="K122" s="728"/>
      <c r="L122" s="731">
        <f t="shared" si="52"/>
        <v>0</v>
      </c>
      <c r="M122" s="947">
        <f>SUM(L122:L130)</f>
        <v>0</v>
      </c>
      <c r="N122" s="617"/>
      <c r="O122" s="602">
        <f t="shared" si="81"/>
        <v>0</v>
      </c>
      <c r="P122" s="940">
        <f>SUM(O122:O130)</f>
        <v>0</v>
      </c>
      <c r="Q122" s="600">
        <f t="shared" si="78"/>
        <v>0</v>
      </c>
      <c r="R122" s="940">
        <f>SUM(Q122:Q130)</f>
        <v>0</v>
      </c>
      <c r="S122" s="596">
        <v>0</v>
      </c>
      <c r="T122" s="724">
        <f>SUM(S122:S130)</f>
        <v>0</v>
      </c>
      <c r="U122" s="728"/>
      <c r="V122" s="728"/>
      <c r="W122" s="731">
        <f t="shared" si="53"/>
        <v>0</v>
      </c>
      <c r="X122" s="947">
        <f>SUM(W122:W130)</f>
        <v>0</v>
      </c>
      <c r="Y122" s="616"/>
      <c r="Z122" s="602">
        <f t="shared" si="54"/>
        <v>0</v>
      </c>
      <c r="AA122" s="835">
        <f>SUM(Z122:Z130)</f>
        <v>0</v>
      </c>
      <c r="AB122" s="602">
        <f t="shared" si="55"/>
        <v>0</v>
      </c>
      <c r="AC122" s="940">
        <f>SUM(AB122:AB130)</f>
        <v>0</v>
      </c>
      <c r="AD122" s="955">
        <f>M122+X122</f>
        <v>0</v>
      </c>
      <c r="AE122" s="955">
        <f>R122+AC122</f>
        <v>0</v>
      </c>
      <c r="AF122" s="608">
        <v>0</v>
      </c>
      <c r="AG122" s="606">
        <v>20</v>
      </c>
      <c r="AH122" s="728"/>
      <c r="AI122" s="728"/>
      <c r="AJ122" s="729">
        <f t="shared" si="71"/>
        <v>0</v>
      </c>
      <c r="AK122" s="946">
        <f>SUM(AJ122:AJ130)</f>
        <v>50</v>
      </c>
      <c r="AL122" s="616"/>
      <c r="AM122" s="602">
        <f t="shared" si="56"/>
        <v>0</v>
      </c>
      <c r="AN122" s="835">
        <f>SUM(AM122:AM130)</f>
        <v>20</v>
      </c>
      <c r="AO122" s="835">
        <f t="shared" si="79"/>
        <v>0</v>
      </c>
      <c r="AP122" s="940">
        <f>SUM(AO122:AO130)</f>
        <v>0</v>
      </c>
      <c r="AQ122" s="722">
        <v>0</v>
      </c>
      <c r="AR122" s="728"/>
      <c r="AS122" s="728"/>
      <c r="AT122" s="729">
        <f t="shared" si="72"/>
        <v>0</v>
      </c>
      <c r="AU122" s="946">
        <f>SUM(AT122:AT130)</f>
        <v>21</v>
      </c>
      <c r="AV122" s="616"/>
      <c r="AW122" s="602">
        <f t="shared" si="57"/>
        <v>0</v>
      </c>
      <c r="AX122" s="940">
        <f>SUM(AW122:AW130)</f>
        <v>10</v>
      </c>
      <c r="AY122" s="602">
        <f t="shared" si="58"/>
        <v>0</v>
      </c>
      <c r="AZ122" s="940">
        <f>SUM(AY122:AY130)</f>
        <v>-4.4408920985006262E-16</v>
      </c>
      <c r="BA122" s="961">
        <f>AK122+AU122</f>
        <v>71</v>
      </c>
      <c r="BB122" s="961">
        <f>AP122+AZ122</f>
        <v>-4.4408920985006262E-16</v>
      </c>
      <c r="BC122" s="608">
        <f>SUM(BD122:BD130)</f>
        <v>20</v>
      </c>
      <c r="BD122" s="713">
        <v>0</v>
      </c>
      <c r="BE122" s="606">
        <v>0</v>
      </c>
      <c r="BF122" s="596">
        <f t="shared" si="62"/>
        <v>0</v>
      </c>
      <c r="BG122" s="728"/>
      <c r="BH122" s="728"/>
      <c r="BI122" s="729">
        <f t="shared" si="59"/>
        <v>0</v>
      </c>
      <c r="BJ122" s="729">
        <f>SUM(BI122:BI130)</f>
        <v>50</v>
      </c>
      <c r="BK122" s="616"/>
      <c r="BL122" s="603">
        <f t="shared" si="60"/>
        <v>0</v>
      </c>
      <c r="BM122" s="964">
        <f>SUM(BL122:BL130)</f>
        <v>20</v>
      </c>
      <c r="BN122" s="602">
        <f t="shared" si="80"/>
        <v>0</v>
      </c>
      <c r="BO122" s="940">
        <f>SUM(BN122:BN130)</f>
        <v>0</v>
      </c>
      <c r="BP122" s="593">
        <f t="shared" si="73"/>
        <v>-4.4408920985006262E-16</v>
      </c>
      <c r="BS122" s="744">
        <v>0</v>
      </c>
      <c r="BT122" s="744">
        <v>0</v>
      </c>
      <c r="BU122" s="741">
        <f t="shared" si="74"/>
        <v>0</v>
      </c>
      <c r="BV122" s="744">
        <v>0</v>
      </c>
      <c r="BW122" s="744">
        <f>SUM(BV122:BV130)</f>
        <v>0</v>
      </c>
      <c r="BX122" s="744">
        <v>0</v>
      </c>
      <c r="BY122" s="744">
        <v>0</v>
      </c>
      <c r="BZ122" s="741">
        <f t="shared" si="61"/>
        <v>0</v>
      </c>
      <c r="CA122" s="744">
        <v>0</v>
      </c>
      <c r="CB122" s="744">
        <f>SUM(CA122:CA130)</f>
        <v>20</v>
      </c>
      <c r="CC122" s="741">
        <f t="shared" si="75"/>
        <v>0</v>
      </c>
      <c r="CD122" s="754">
        <f>SUM(CC122:CC130)</f>
        <v>20</v>
      </c>
      <c r="CE122" s="748"/>
      <c r="CF122" s="748"/>
      <c r="CG122" s="748">
        <f t="shared" si="76"/>
        <v>0</v>
      </c>
      <c r="CH122" s="765"/>
      <c r="CI122" s="744">
        <f>SUM(CH122:CH130)</f>
        <v>20</v>
      </c>
      <c r="CJ122" s="593">
        <f t="shared" si="77"/>
        <v>0</v>
      </c>
    </row>
    <row r="123" spans="1:88" ht="21.6" customHeight="1" x14ac:dyDescent="0.25">
      <c r="A123" s="596" t="s">
        <v>28</v>
      </c>
      <c r="B123" s="596" t="s">
        <v>66</v>
      </c>
      <c r="C123" s="597" t="s">
        <v>68</v>
      </c>
      <c r="D123" s="166" t="s">
        <v>431</v>
      </c>
      <c r="E123" s="598">
        <v>0</v>
      </c>
      <c r="F123" s="596">
        <v>0</v>
      </c>
      <c r="G123" s="598">
        <v>0</v>
      </c>
      <c r="H123" s="596"/>
      <c r="I123" s="596">
        <f t="shared" si="51"/>
        <v>0</v>
      </c>
      <c r="J123" s="728"/>
      <c r="K123" s="728"/>
      <c r="L123" s="731">
        <f t="shared" si="52"/>
        <v>0</v>
      </c>
      <c r="M123" s="947"/>
      <c r="N123" s="617"/>
      <c r="O123" s="602">
        <f t="shared" si="81"/>
        <v>0</v>
      </c>
      <c r="P123" s="940"/>
      <c r="Q123" s="600">
        <f t="shared" si="78"/>
        <v>0</v>
      </c>
      <c r="R123" s="940"/>
      <c r="S123" s="596">
        <v>0</v>
      </c>
      <c r="T123" s="724"/>
      <c r="U123" s="728"/>
      <c r="V123" s="728"/>
      <c r="W123" s="731">
        <f t="shared" si="53"/>
        <v>0</v>
      </c>
      <c r="X123" s="947"/>
      <c r="Y123" s="616"/>
      <c r="Z123" s="602">
        <f t="shared" si="54"/>
        <v>0</v>
      </c>
      <c r="AA123" s="835"/>
      <c r="AB123" s="602">
        <f t="shared" si="55"/>
        <v>0</v>
      </c>
      <c r="AC123" s="940"/>
      <c r="AD123" s="956"/>
      <c r="AE123" s="956"/>
      <c r="AF123" s="598">
        <v>6</v>
      </c>
      <c r="AG123" s="596"/>
      <c r="AH123" s="728">
        <v>11</v>
      </c>
      <c r="AI123" s="728">
        <v>3</v>
      </c>
      <c r="AJ123" s="729">
        <f t="shared" si="71"/>
        <v>14</v>
      </c>
      <c r="AK123" s="946"/>
      <c r="AL123" s="616">
        <v>90</v>
      </c>
      <c r="AM123" s="602">
        <f t="shared" si="56"/>
        <v>6</v>
      </c>
      <c r="AN123" s="835"/>
      <c r="AO123" s="835">
        <f t="shared" si="79"/>
        <v>0</v>
      </c>
      <c r="AP123" s="940"/>
      <c r="AQ123" s="722">
        <v>7.67</v>
      </c>
      <c r="AR123" s="728">
        <v>10</v>
      </c>
      <c r="AS123" s="728">
        <v>6</v>
      </c>
      <c r="AT123" s="729">
        <f t="shared" si="72"/>
        <v>16</v>
      </c>
      <c r="AU123" s="946"/>
      <c r="AV123" s="616">
        <v>115</v>
      </c>
      <c r="AW123" s="602">
        <f t="shared" si="57"/>
        <v>7.666666666666667</v>
      </c>
      <c r="AX123" s="940"/>
      <c r="AY123" s="602">
        <f t="shared" si="58"/>
        <v>3.3333333333329662E-3</v>
      </c>
      <c r="AZ123" s="940"/>
      <c r="BA123" s="962"/>
      <c r="BB123" s="962"/>
      <c r="BC123" s="598"/>
      <c r="BD123" s="665">
        <v>6</v>
      </c>
      <c r="BE123" s="596">
        <v>6</v>
      </c>
      <c r="BF123" s="596">
        <f t="shared" si="62"/>
        <v>0</v>
      </c>
      <c r="BG123" s="728">
        <v>11</v>
      </c>
      <c r="BH123" s="728">
        <v>3</v>
      </c>
      <c r="BI123" s="729">
        <f t="shared" si="59"/>
        <v>14</v>
      </c>
      <c r="BJ123" s="729"/>
      <c r="BK123" s="616">
        <v>300</v>
      </c>
      <c r="BL123" s="603">
        <f t="shared" si="60"/>
        <v>6</v>
      </c>
      <c r="BM123" s="964"/>
      <c r="BN123" s="602">
        <f t="shared" si="80"/>
        <v>0</v>
      </c>
      <c r="BO123" s="940"/>
      <c r="BP123" s="593">
        <f t="shared" si="73"/>
        <v>0</v>
      </c>
      <c r="BS123" s="741">
        <v>0</v>
      </c>
      <c r="BT123" s="741">
        <v>0</v>
      </c>
      <c r="BU123" s="741">
        <f t="shared" si="74"/>
        <v>0</v>
      </c>
      <c r="BV123" s="741">
        <v>0</v>
      </c>
      <c r="BW123" s="741"/>
      <c r="BX123" s="741">
        <v>11</v>
      </c>
      <c r="BY123" s="741">
        <v>3</v>
      </c>
      <c r="BZ123" s="741">
        <f t="shared" si="61"/>
        <v>14</v>
      </c>
      <c r="CA123" s="741">
        <v>6</v>
      </c>
      <c r="CB123" s="741"/>
      <c r="CC123" s="741">
        <f t="shared" si="75"/>
        <v>6</v>
      </c>
      <c r="CD123" s="751"/>
      <c r="CE123" s="748">
        <v>11</v>
      </c>
      <c r="CF123" s="748">
        <v>3</v>
      </c>
      <c r="CG123" s="748">
        <f t="shared" si="76"/>
        <v>14</v>
      </c>
      <c r="CH123" s="759">
        <v>6</v>
      </c>
      <c r="CI123" s="742"/>
      <c r="CJ123" s="591">
        <f t="shared" si="77"/>
        <v>3.3333333333329662E-3</v>
      </c>
    </row>
    <row r="124" spans="1:88" ht="21.6" customHeight="1" x14ac:dyDescent="0.25">
      <c r="A124" s="596" t="s">
        <v>28</v>
      </c>
      <c r="B124" s="596" t="s">
        <v>66</v>
      </c>
      <c r="C124" s="597" t="s">
        <v>69</v>
      </c>
      <c r="D124" s="166"/>
      <c r="E124" s="598">
        <v>0</v>
      </c>
      <c r="F124" s="596">
        <v>0</v>
      </c>
      <c r="G124" s="598">
        <v>0</v>
      </c>
      <c r="H124" s="596"/>
      <c r="I124" s="596">
        <f t="shared" si="51"/>
        <v>0</v>
      </c>
      <c r="J124" s="728"/>
      <c r="K124" s="728"/>
      <c r="L124" s="731">
        <f t="shared" si="52"/>
        <v>0</v>
      </c>
      <c r="M124" s="947"/>
      <c r="N124" s="617"/>
      <c r="O124" s="602">
        <f t="shared" si="81"/>
        <v>0</v>
      </c>
      <c r="P124" s="940"/>
      <c r="Q124" s="600">
        <f t="shared" si="78"/>
        <v>0</v>
      </c>
      <c r="R124" s="940"/>
      <c r="S124" s="596">
        <v>0</v>
      </c>
      <c r="T124" s="724"/>
      <c r="U124" s="728"/>
      <c r="V124" s="728"/>
      <c r="W124" s="731">
        <f t="shared" si="53"/>
        <v>0</v>
      </c>
      <c r="X124" s="947"/>
      <c r="Y124" s="616"/>
      <c r="Z124" s="602">
        <f t="shared" si="54"/>
        <v>0</v>
      </c>
      <c r="AA124" s="835"/>
      <c r="AB124" s="602">
        <f t="shared" si="55"/>
        <v>0</v>
      </c>
      <c r="AC124" s="940"/>
      <c r="AD124" s="956"/>
      <c r="AE124" s="956"/>
      <c r="AF124" s="598">
        <v>0</v>
      </c>
      <c r="AG124" s="596"/>
      <c r="AH124" s="728"/>
      <c r="AI124" s="728"/>
      <c r="AJ124" s="729">
        <f t="shared" si="71"/>
        <v>0</v>
      </c>
      <c r="AK124" s="946"/>
      <c r="AL124" s="616"/>
      <c r="AM124" s="602">
        <f t="shared" si="56"/>
        <v>0</v>
      </c>
      <c r="AN124" s="835"/>
      <c r="AO124" s="835">
        <f t="shared" si="79"/>
        <v>0</v>
      </c>
      <c r="AP124" s="940"/>
      <c r="AQ124" s="722">
        <v>0</v>
      </c>
      <c r="AR124" s="728"/>
      <c r="AS124" s="728"/>
      <c r="AT124" s="729">
        <f t="shared" si="72"/>
        <v>0</v>
      </c>
      <c r="AU124" s="946"/>
      <c r="AV124" s="616"/>
      <c r="AW124" s="602">
        <f t="shared" si="57"/>
        <v>0</v>
      </c>
      <c r="AX124" s="940"/>
      <c r="AY124" s="602">
        <f t="shared" si="58"/>
        <v>0</v>
      </c>
      <c r="AZ124" s="940"/>
      <c r="BA124" s="962"/>
      <c r="BB124" s="962"/>
      <c r="BC124" s="598"/>
      <c r="BD124" s="665">
        <v>0</v>
      </c>
      <c r="BE124" s="596">
        <v>0</v>
      </c>
      <c r="BF124" s="596">
        <f t="shared" si="62"/>
        <v>0</v>
      </c>
      <c r="BG124" s="728"/>
      <c r="BH124" s="728"/>
      <c r="BI124" s="729">
        <f t="shared" si="59"/>
        <v>0</v>
      </c>
      <c r="BJ124" s="729"/>
      <c r="BK124" s="616"/>
      <c r="BL124" s="603">
        <f t="shared" si="60"/>
        <v>0</v>
      </c>
      <c r="BM124" s="964"/>
      <c r="BN124" s="602">
        <f t="shared" si="80"/>
        <v>0</v>
      </c>
      <c r="BO124" s="940"/>
      <c r="BP124" s="593">
        <f t="shared" si="73"/>
        <v>0</v>
      </c>
      <c r="BS124" s="741">
        <v>0</v>
      </c>
      <c r="BT124" s="741">
        <v>0</v>
      </c>
      <c r="BU124" s="741">
        <f t="shared" si="74"/>
        <v>0</v>
      </c>
      <c r="BV124" s="741">
        <v>0</v>
      </c>
      <c r="BW124" s="741"/>
      <c r="BX124" s="741">
        <v>0</v>
      </c>
      <c r="BY124" s="741">
        <v>0</v>
      </c>
      <c r="BZ124" s="741">
        <f t="shared" si="61"/>
        <v>0</v>
      </c>
      <c r="CA124" s="741">
        <v>0</v>
      </c>
      <c r="CB124" s="741"/>
      <c r="CC124" s="741">
        <f t="shared" si="75"/>
        <v>0</v>
      </c>
      <c r="CD124" s="751"/>
      <c r="CE124" s="748"/>
      <c r="CF124" s="748"/>
      <c r="CG124" s="748">
        <f t="shared" si="76"/>
        <v>0</v>
      </c>
      <c r="CH124" s="759"/>
      <c r="CI124" s="742"/>
      <c r="CJ124" s="591">
        <f t="shared" si="77"/>
        <v>0</v>
      </c>
    </row>
    <row r="125" spans="1:88" ht="21.6" customHeight="1" x14ac:dyDescent="0.25">
      <c r="A125" s="596" t="s">
        <v>28</v>
      </c>
      <c r="B125" s="596" t="s">
        <v>66</v>
      </c>
      <c r="C125" s="597" t="s">
        <v>70</v>
      </c>
      <c r="D125" s="166" t="s">
        <v>431</v>
      </c>
      <c r="E125" s="598">
        <v>0</v>
      </c>
      <c r="F125" s="596">
        <v>0</v>
      </c>
      <c r="G125" s="598">
        <v>0</v>
      </c>
      <c r="H125" s="596"/>
      <c r="I125" s="596">
        <f t="shared" si="51"/>
        <v>0</v>
      </c>
      <c r="J125" s="728"/>
      <c r="K125" s="728"/>
      <c r="L125" s="731">
        <f t="shared" si="52"/>
        <v>0</v>
      </c>
      <c r="M125" s="947"/>
      <c r="N125" s="617"/>
      <c r="O125" s="602">
        <f t="shared" si="81"/>
        <v>0</v>
      </c>
      <c r="P125" s="940"/>
      <c r="Q125" s="600">
        <f t="shared" si="78"/>
        <v>0</v>
      </c>
      <c r="R125" s="940"/>
      <c r="S125" s="596">
        <v>0</v>
      </c>
      <c r="T125" s="724"/>
      <c r="U125" s="728"/>
      <c r="V125" s="728"/>
      <c r="W125" s="731">
        <f t="shared" si="53"/>
        <v>0</v>
      </c>
      <c r="X125" s="947"/>
      <c r="Y125" s="616"/>
      <c r="Z125" s="602">
        <f t="shared" si="54"/>
        <v>0</v>
      </c>
      <c r="AA125" s="835"/>
      <c r="AB125" s="602">
        <f t="shared" si="55"/>
        <v>0</v>
      </c>
      <c r="AC125" s="940"/>
      <c r="AD125" s="956"/>
      <c r="AE125" s="956"/>
      <c r="AF125" s="598">
        <v>6</v>
      </c>
      <c r="AG125" s="596"/>
      <c r="AH125" s="728">
        <v>12</v>
      </c>
      <c r="AI125" s="728">
        <v>3</v>
      </c>
      <c r="AJ125" s="729">
        <f t="shared" si="71"/>
        <v>15</v>
      </c>
      <c r="AK125" s="946"/>
      <c r="AL125" s="616">
        <v>90</v>
      </c>
      <c r="AM125" s="602">
        <f t="shared" si="56"/>
        <v>6</v>
      </c>
      <c r="AN125" s="835"/>
      <c r="AO125" s="835">
        <f t="shared" si="79"/>
        <v>0</v>
      </c>
      <c r="AP125" s="940"/>
      <c r="AQ125" s="722">
        <v>0</v>
      </c>
      <c r="AR125" s="728"/>
      <c r="AS125" s="728"/>
      <c r="AT125" s="729">
        <f t="shared" si="72"/>
        <v>0</v>
      </c>
      <c r="AU125" s="946"/>
      <c r="AV125" s="616"/>
      <c r="AW125" s="602">
        <f t="shared" si="57"/>
        <v>0</v>
      </c>
      <c r="AX125" s="940"/>
      <c r="AY125" s="602">
        <f t="shared" si="58"/>
        <v>0</v>
      </c>
      <c r="AZ125" s="940"/>
      <c r="BA125" s="962"/>
      <c r="BB125" s="962"/>
      <c r="BC125" s="598"/>
      <c r="BD125" s="665">
        <v>6</v>
      </c>
      <c r="BE125" s="596">
        <v>6</v>
      </c>
      <c r="BF125" s="596">
        <f t="shared" si="62"/>
        <v>0</v>
      </c>
      <c r="BG125" s="728">
        <v>12</v>
      </c>
      <c r="BH125" s="728">
        <v>3</v>
      </c>
      <c r="BI125" s="729">
        <f t="shared" si="59"/>
        <v>15</v>
      </c>
      <c r="BJ125" s="729"/>
      <c r="BK125" s="616">
        <v>300</v>
      </c>
      <c r="BL125" s="603">
        <f t="shared" si="60"/>
        <v>6</v>
      </c>
      <c r="BM125" s="964"/>
      <c r="BN125" s="602">
        <f t="shared" si="80"/>
        <v>0</v>
      </c>
      <c r="BO125" s="940"/>
      <c r="BP125" s="593">
        <f t="shared" si="73"/>
        <v>0</v>
      </c>
      <c r="BS125" s="741">
        <v>0</v>
      </c>
      <c r="BT125" s="741">
        <v>0</v>
      </c>
      <c r="BU125" s="741">
        <f t="shared" si="74"/>
        <v>0</v>
      </c>
      <c r="BV125" s="741">
        <v>0</v>
      </c>
      <c r="BW125" s="741"/>
      <c r="BX125" s="741">
        <v>12</v>
      </c>
      <c r="BY125" s="741">
        <v>3</v>
      </c>
      <c r="BZ125" s="741">
        <f t="shared" si="61"/>
        <v>15</v>
      </c>
      <c r="CA125" s="741">
        <v>6</v>
      </c>
      <c r="CB125" s="741"/>
      <c r="CC125" s="741">
        <f t="shared" si="75"/>
        <v>6</v>
      </c>
      <c r="CD125" s="751"/>
      <c r="CE125" s="748">
        <v>12</v>
      </c>
      <c r="CF125" s="748">
        <v>3</v>
      </c>
      <c r="CG125" s="748">
        <f t="shared" si="76"/>
        <v>15</v>
      </c>
      <c r="CH125" s="759">
        <v>6</v>
      </c>
      <c r="CI125" s="742"/>
      <c r="CJ125" s="591">
        <f t="shared" si="77"/>
        <v>0</v>
      </c>
    </row>
    <row r="126" spans="1:88" ht="21.6" customHeight="1" x14ac:dyDescent="0.25">
      <c r="A126" s="596" t="s">
        <v>28</v>
      </c>
      <c r="B126" s="596" t="s">
        <v>66</v>
      </c>
      <c r="C126" s="597" t="s">
        <v>71</v>
      </c>
      <c r="D126" s="166"/>
      <c r="E126" s="598">
        <v>0</v>
      </c>
      <c r="F126" s="596">
        <v>0</v>
      </c>
      <c r="G126" s="598">
        <v>0</v>
      </c>
      <c r="H126" s="596"/>
      <c r="I126" s="596">
        <f t="shared" si="51"/>
        <v>0</v>
      </c>
      <c r="J126" s="728"/>
      <c r="K126" s="728"/>
      <c r="L126" s="731">
        <f t="shared" si="52"/>
        <v>0</v>
      </c>
      <c r="M126" s="947"/>
      <c r="N126" s="617"/>
      <c r="O126" s="602">
        <f t="shared" si="81"/>
        <v>0</v>
      </c>
      <c r="P126" s="940"/>
      <c r="Q126" s="600">
        <f t="shared" si="78"/>
        <v>0</v>
      </c>
      <c r="R126" s="940"/>
      <c r="S126" s="596">
        <v>0</v>
      </c>
      <c r="T126" s="724"/>
      <c r="U126" s="728"/>
      <c r="V126" s="728"/>
      <c r="W126" s="731">
        <f t="shared" si="53"/>
        <v>0</v>
      </c>
      <c r="X126" s="947"/>
      <c r="Y126" s="616"/>
      <c r="Z126" s="602">
        <f t="shared" si="54"/>
        <v>0</v>
      </c>
      <c r="AA126" s="835"/>
      <c r="AB126" s="602">
        <f t="shared" si="55"/>
        <v>0</v>
      </c>
      <c r="AC126" s="940"/>
      <c r="AD126" s="956"/>
      <c r="AE126" s="956"/>
      <c r="AF126" s="598">
        <v>0</v>
      </c>
      <c r="AG126" s="596"/>
      <c r="AH126" s="728"/>
      <c r="AI126" s="728"/>
      <c r="AJ126" s="729">
        <f t="shared" si="71"/>
        <v>0</v>
      </c>
      <c r="AK126" s="946"/>
      <c r="AL126" s="616"/>
      <c r="AM126" s="602">
        <f t="shared" si="56"/>
        <v>0</v>
      </c>
      <c r="AN126" s="835"/>
      <c r="AO126" s="835">
        <f t="shared" si="79"/>
        <v>0</v>
      </c>
      <c r="AP126" s="940"/>
      <c r="AQ126" s="722">
        <v>2.33</v>
      </c>
      <c r="AR126" s="728">
        <v>3</v>
      </c>
      <c r="AS126" s="728">
        <v>2</v>
      </c>
      <c r="AT126" s="729">
        <f t="shared" si="72"/>
        <v>5</v>
      </c>
      <c r="AU126" s="946"/>
      <c r="AV126" s="616">
        <v>35</v>
      </c>
      <c r="AW126" s="602">
        <f t="shared" si="57"/>
        <v>2.3333333333333335</v>
      </c>
      <c r="AX126" s="940"/>
      <c r="AY126" s="602">
        <f t="shared" si="58"/>
        <v>-3.3333333333334103E-3</v>
      </c>
      <c r="AZ126" s="940"/>
      <c r="BA126" s="962"/>
      <c r="BB126" s="962"/>
      <c r="BC126" s="598"/>
      <c r="BD126" s="665">
        <v>0</v>
      </c>
      <c r="BE126" s="596">
        <v>0</v>
      </c>
      <c r="BF126" s="596">
        <f t="shared" si="62"/>
        <v>0</v>
      </c>
      <c r="BG126" s="728"/>
      <c r="BH126" s="728"/>
      <c r="BI126" s="729">
        <f t="shared" si="59"/>
        <v>0</v>
      </c>
      <c r="BJ126" s="729"/>
      <c r="BK126" s="616"/>
      <c r="BL126" s="603">
        <f t="shared" si="60"/>
        <v>0</v>
      </c>
      <c r="BM126" s="964"/>
      <c r="BN126" s="602">
        <f t="shared" si="80"/>
        <v>0</v>
      </c>
      <c r="BO126" s="940"/>
      <c r="BP126" s="593">
        <f t="shared" si="73"/>
        <v>0</v>
      </c>
      <c r="BS126" s="741">
        <v>0</v>
      </c>
      <c r="BT126" s="741">
        <v>0</v>
      </c>
      <c r="BU126" s="741">
        <f t="shared" si="74"/>
        <v>0</v>
      </c>
      <c r="BV126" s="741">
        <v>0</v>
      </c>
      <c r="BW126" s="741"/>
      <c r="BX126" s="741">
        <v>0</v>
      </c>
      <c r="BY126" s="741">
        <v>0</v>
      </c>
      <c r="BZ126" s="741">
        <f t="shared" si="61"/>
        <v>0</v>
      </c>
      <c r="CA126" s="741">
        <v>0</v>
      </c>
      <c r="CB126" s="741"/>
      <c r="CC126" s="741">
        <f t="shared" si="75"/>
        <v>0</v>
      </c>
      <c r="CD126" s="751"/>
      <c r="CE126" s="748"/>
      <c r="CF126" s="748"/>
      <c r="CG126" s="748">
        <f t="shared" si="76"/>
        <v>0</v>
      </c>
      <c r="CH126" s="759"/>
      <c r="CI126" s="742"/>
      <c r="CJ126" s="591">
        <f t="shared" si="77"/>
        <v>-3.3333333333334103E-3</v>
      </c>
    </row>
    <row r="127" spans="1:88" ht="21.6" customHeight="1" x14ac:dyDescent="0.25">
      <c r="A127" s="596" t="s">
        <v>28</v>
      </c>
      <c r="B127" s="596" t="s">
        <v>66</v>
      </c>
      <c r="C127" s="597" t="s">
        <v>72</v>
      </c>
      <c r="D127" s="166"/>
      <c r="E127" s="598">
        <v>0</v>
      </c>
      <c r="F127" s="596">
        <v>0</v>
      </c>
      <c r="G127" s="598">
        <v>0</v>
      </c>
      <c r="H127" s="596"/>
      <c r="I127" s="596">
        <f t="shared" si="51"/>
        <v>0</v>
      </c>
      <c r="J127" s="728"/>
      <c r="K127" s="728"/>
      <c r="L127" s="731">
        <f t="shared" si="52"/>
        <v>0</v>
      </c>
      <c r="M127" s="947"/>
      <c r="N127" s="617"/>
      <c r="O127" s="602">
        <f t="shared" si="81"/>
        <v>0</v>
      </c>
      <c r="P127" s="940"/>
      <c r="Q127" s="600">
        <f t="shared" si="78"/>
        <v>0</v>
      </c>
      <c r="R127" s="940"/>
      <c r="S127" s="596">
        <v>0</v>
      </c>
      <c r="T127" s="724"/>
      <c r="U127" s="728"/>
      <c r="V127" s="728"/>
      <c r="W127" s="731">
        <f t="shared" si="53"/>
        <v>0</v>
      </c>
      <c r="X127" s="947"/>
      <c r="Y127" s="616"/>
      <c r="Z127" s="602">
        <f t="shared" si="54"/>
        <v>0</v>
      </c>
      <c r="AA127" s="835"/>
      <c r="AB127" s="602">
        <f t="shared" si="55"/>
        <v>0</v>
      </c>
      <c r="AC127" s="940"/>
      <c r="AD127" s="956"/>
      <c r="AE127" s="956"/>
      <c r="AF127" s="598">
        <v>0</v>
      </c>
      <c r="AG127" s="596"/>
      <c r="AH127" s="728"/>
      <c r="AI127" s="728"/>
      <c r="AJ127" s="729">
        <f t="shared" si="71"/>
        <v>0</v>
      </c>
      <c r="AK127" s="946"/>
      <c r="AL127" s="616"/>
      <c r="AM127" s="602">
        <f t="shared" si="56"/>
        <v>0</v>
      </c>
      <c r="AN127" s="835"/>
      <c r="AO127" s="835">
        <f t="shared" si="79"/>
        <v>0</v>
      </c>
      <c r="AP127" s="940"/>
      <c r="AQ127" s="722">
        <v>0</v>
      </c>
      <c r="AR127" s="728"/>
      <c r="AS127" s="728"/>
      <c r="AT127" s="729">
        <f t="shared" si="72"/>
        <v>0</v>
      </c>
      <c r="AU127" s="946"/>
      <c r="AV127" s="616"/>
      <c r="AW127" s="602">
        <f t="shared" si="57"/>
        <v>0</v>
      </c>
      <c r="AX127" s="940"/>
      <c r="AY127" s="602">
        <f t="shared" si="58"/>
        <v>0</v>
      </c>
      <c r="AZ127" s="940"/>
      <c r="BA127" s="962"/>
      <c r="BB127" s="962"/>
      <c r="BC127" s="598"/>
      <c r="BD127" s="665">
        <v>0</v>
      </c>
      <c r="BE127" s="596">
        <v>0</v>
      </c>
      <c r="BF127" s="596">
        <f t="shared" si="62"/>
        <v>0</v>
      </c>
      <c r="BG127" s="728"/>
      <c r="BH127" s="728"/>
      <c r="BI127" s="729">
        <f t="shared" si="59"/>
        <v>0</v>
      </c>
      <c r="BJ127" s="729"/>
      <c r="BK127" s="616"/>
      <c r="BL127" s="603">
        <f t="shared" si="60"/>
        <v>0</v>
      </c>
      <c r="BM127" s="964"/>
      <c r="BN127" s="602">
        <f t="shared" si="80"/>
        <v>0</v>
      </c>
      <c r="BO127" s="940"/>
      <c r="BP127" s="593">
        <f t="shared" si="73"/>
        <v>0</v>
      </c>
      <c r="BS127" s="741">
        <v>0</v>
      </c>
      <c r="BT127" s="741">
        <v>0</v>
      </c>
      <c r="BU127" s="741">
        <f t="shared" si="74"/>
        <v>0</v>
      </c>
      <c r="BV127" s="741">
        <v>0</v>
      </c>
      <c r="BW127" s="741"/>
      <c r="BX127" s="741">
        <v>0</v>
      </c>
      <c r="BY127" s="741">
        <v>0</v>
      </c>
      <c r="BZ127" s="741">
        <f t="shared" si="61"/>
        <v>0</v>
      </c>
      <c r="CA127" s="741">
        <v>0</v>
      </c>
      <c r="CB127" s="741"/>
      <c r="CC127" s="741">
        <f t="shared" si="75"/>
        <v>0</v>
      </c>
      <c r="CD127" s="751"/>
      <c r="CE127" s="748"/>
      <c r="CF127" s="748"/>
      <c r="CG127" s="748">
        <f t="shared" si="76"/>
        <v>0</v>
      </c>
      <c r="CH127" s="759"/>
      <c r="CI127" s="742"/>
      <c r="CJ127" s="591">
        <f t="shared" si="77"/>
        <v>0</v>
      </c>
    </row>
    <row r="128" spans="1:88" ht="21.6" customHeight="1" x14ac:dyDescent="0.25">
      <c r="A128" s="596" t="s">
        <v>28</v>
      </c>
      <c r="B128" s="596" t="s">
        <v>66</v>
      </c>
      <c r="C128" s="597" t="s">
        <v>73</v>
      </c>
      <c r="D128" s="174" t="s">
        <v>431</v>
      </c>
      <c r="E128" s="598">
        <v>0</v>
      </c>
      <c r="F128" s="596">
        <v>0</v>
      </c>
      <c r="G128" s="598">
        <v>0</v>
      </c>
      <c r="H128" s="596"/>
      <c r="I128" s="596">
        <f t="shared" si="51"/>
        <v>0</v>
      </c>
      <c r="J128" s="728"/>
      <c r="K128" s="728"/>
      <c r="L128" s="731">
        <f t="shared" si="52"/>
        <v>0</v>
      </c>
      <c r="M128" s="947"/>
      <c r="N128" s="617"/>
      <c r="O128" s="602">
        <f t="shared" si="81"/>
        <v>0</v>
      </c>
      <c r="P128" s="940"/>
      <c r="Q128" s="600">
        <f t="shared" si="78"/>
        <v>0</v>
      </c>
      <c r="R128" s="940"/>
      <c r="S128" s="596">
        <v>0</v>
      </c>
      <c r="T128" s="724"/>
      <c r="U128" s="728"/>
      <c r="V128" s="728"/>
      <c r="W128" s="731">
        <f t="shared" si="53"/>
        <v>0</v>
      </c>
      <c r="X128" s="947"/>
      <c r="Y128" s="616"/>
      <c r="Z128" s="602">
        <f t="shared" si="54"/>
        <v>0</v>
      </c>
      <c r="AA128" s="835"/>
      <c r="AB128" s="602">
        <f t="shared" si="55"/>
        <v>0</v>
      </c>
      <c r="AC128" s="940"/>
      <c r="AD128" s="956"/>
      <c r="AE128" s="956"/>
      <c r="AF128" s="598">
        <v>4</v>
      </c>
      <c r="AG128" s="596"/>
      <c r="AH128" s="728">
        <v>9</v>
      </c>
      <c r="AI128" s="728">
        <v>1</v>
      </c>
      <c r="AJ128" s="729">
        <f t="shared" si="71"/>
        <v>10</v>
      </c>
      <c r="AK128" s="946"/>
      <c r="AL128" s="616">
        <v>60</v>
      </c>
      <c r="AM128" s="602">
        <f t="shared" si="56"/>
        <v>4</v>
      </c>
      <c r="AN128" s="835"/>
      <c r="AO128" s="835">
        <f t="shared" si="79"/>
        <v>0</v>
      </c>
      <c r="AP128" s="940"/>
      <c r="AQ128" s="722">
        <v>0</v>
      </c>
      <c r="AR128" s="728"/>
      <c r="AS128" s="728"/>
      <c r="AT128" s="729">
        <f t="shared" si="72"/>
        <v>0</v>
      </c>
      <c r="AU128" s="946"/>
      <c r="AV128" s="616"/>
      <c r="AW128" s="602">
        <f t="shared" si="57"/>
        <v>0</v>
      </c>
      <c r="AX128" s="940"/>
      <c r="AY128" s="602">
        <f t="shared" si="58"/>
        <v>0</v>
      </c>
      <c r="AZ128" s="940"/>
      <c r="BA128" s="962"/>
      <c r="BB128" s="962"/>
      <c r="BC128" s="598"/>
      <c r="BD128" s="665">
        <v>4</v>
      </c>
      <c r="BE128" s="596">
        <v>4</v>
      </c>
      <c r="BF128" s="596">
        <f t="shared" si="62"/>
        <v>0</v>
      </c>
      <c r="BG128" s="728">
        <v>9</v>
      </c>
      <c r="BH128" s="728">
        <v>1</v>
      </c>
      <c r="BI128" s="729">
        <f t="shared" si="59"/>
        <v>10</v>
      </c>
      <c r="BJ128" s="729"/>
      <c r="BK128" s="616">
        <v>200</v>
      </c>
      <c r="BL128" s="603">
        <f t="shared" si="60"/>
        <v>4</v>
      </c>
      <c r="BM128" s="964"/>
      <c r="BN128" s="602">
        <f t="shared" si="80"/>
        <v>0</v>
      </c>
      <c r="BO128" s="940"/>
      <c r="BP128" s="593">
        <f t="shared" si="73"/>
        <v>0</v>
      </c>
      <c r="BS128" s="741">
        <v>0</v>
      </c>
      <c r="BT128" s="741">
        <v>0</v>
      </c>
      <c r="BU128" s="741">
        <f t="shared" si="74"/>
        <v>0</v>
      </c>
      <c r="BV128" s="741">
        <v>0</v>
      </c>
      <c r="BW128" s="741"/>
      <c r="BX128" s="741">
        <v>9</v>
      </c>
      <c r="BY128" s="741">
        <v>1</v>
      </c>
      <c r="BZ128" s="741">
        <f t="shared" si="61"/>
        <v>10</v>
      </c>
      <c r="CA128" s="741">
        <v>4</v>
      </c>
      <c r="CB128" s="741"/>
      <c r="CC128" s="741">
        <f t="shared" si="75"/>
        <v>4</v>
      </c>
      <c r="CD128" s="751"/>
      <c r="CE128" s="748">
        <v>9</v>
      </c>
      <c r="CF128" s="748">
        <v>1</v>
      </c>
      <c r="CG128" s="748">
        <f t="shared" si="76"/>
        <v>10</v>
      </c>
      <c r="CH128" s="759">
        <v>4</v>
      </c>
      <c r="CI128" s="742"/>
      <c r="CJ128" s="591">
        <f t="shared" si="77"/>
        <v>0</v>
      </c>
    </row>
    <row r="129" spans="1:88" ht="21.6" customHeight="1" x14ac:dyDescent="0.25">
      <c r="A129" s="596" t="s">
        <v>28</v>
      </c>
      <c r="B129" s="596" t="s">
        <v>66</v>
      </c>
      <c r="C129" s="597" t="s">
        <v>74</v>
      </c>
      <c r="D129" s="166" t="s">
        <v>431</v>
      </c>
      <c r="E129" s="598">
        <v>0</v>
      </c>
      <c r="F129" s="596">
        <v>0</v>
      </c>
      <c r="G129" s="598">
        <v>0</v>
      </c>
      <c r="H129" s="596"/>
      <c r="I129" s="596">
        <f t="shared" si="51"/>
        <v>0</v>
      </c>
      <c r="J129" s="728"/>
      <c r="K129" s="728"/>
      <c r="L129" s="731">
        <f t="shared" si="52"/>
        <v>0</v>
      </c>
      <c r="M129" s="947"/>
      <c r="N129" s="617"/>
      <c r="O129" s="602">
        <f t="shared" si="81"/>
        <v>0</v>
      </c>
      <c r="P129" s="940"/>
      <c r="Q129" s="600">
        <f t="shared" si="78"/>
        <v>0</v>
      </c>
      <c r="R129" s="940"/>
      <c r="S129" s="596">
        <v>0</v>
      </c>
      <c r="T129" s="724"/>
      <c r="U129" s="728"/>
      <c r="V129" s="728"/>
      <c r="W129" s="731">
        <f t="shared" si="53"/>
        <v>0</v>
      </c>
      <c r="X129" s="947"/>
      <c r="Y129" s="616"/>
      <c r="Z129" s="602">
        <f t="shared" si="54"/>
        <v>0</v>
      </c>
      <c r="AA129" s="835"/>
      <c r="AB129" s="602">
        <f t="shared" si="55"/>
        <v>0</v>
      </c>
      <c r="AC129" s="940"/>
      <c r="AD129" s="956"/>
      <c r="AE129" s="956"/>
      <c r="AF129" s="598">
        <v>4</v>
      </c>
      <c r="AG129" s="596"/>
      <c r="AH129" s="728">
        <v>9</v>
      </c>
      <c r="AI129" s="728">
        <v>2</v>
      </c>
      <c r="AJ129" s="729">
        <f t="shared" si="71"/>
        <v>11</v>
      </c>
      <c r="AK129" s="946"/>
      <c r="AL129" s="616">
        <v>60</v>
      </c>
      <c r="AM129" s="602">
        <f t="shared" si="56"/>
        <v>4</v>
      </c>
      <c r="AN129" s="835"/>
      <c r="AO129" s="835">
        <f t="shared" si="79"/>
        <v>0</v>
      </c>
      <c r="AP129" s="940"/>
      <c r="AQ129" s="722">
        <v>0</v>
      </c>
      <c r="AR129" s="728"/>
      <c r="AS129" s="728"/>
      <c r="AT129" s="729">
        <f t="shared" si="72"/>
        <v>0</v>
      </c>
      <c r="AU129" s="946"/>
      <c r="AV129" s="616"/>
      <c r="AW129" s="602">
        <f t="shared" si="57"/>
        <v>0</v>
      </c>
      <c r="AX129" s="940"/>
      <c r="AY129" s="602">
        <f t="shared" si="58"/>
        <v>0</v>
      </c>
      <c r="AZ129" s="940"/>
      <c r="BA129" s="962"/>
      <c r="BB129" s="962"/>
      <c r="BC129" s="598"/>
      <c r="BD129" s="665">
        <v>4</v>
      </c>
      <c r="BE129" s="596">
        <v>4</v>
      </c>
      <c r="BF129" s="596">
        <f t="shared" si="62"/>
        <v>0</v>
      </c>
      <c r="BG129" s="728">
        <v>9</v>
      </c>
      <c r="BH129" s="728">
        <v>2</v>
      </c>
      <c r="BI129" s="729">
        <f t="shared" si="59"/>
        <v>11</v>
      </c>
      <c r="BJ129" s="729"/>
      <c r="BK129" s="616">
        <v>200</v>
      </c>
      <c r="BL129" s="603">
        <f t="shared" si="60"/>
        <v>4</v>
      </c>
      <c r="BM129" s="964"/>
      <c r="BN129" s="602">
        <f t="shared" si="80"/>
        <v>0</v>
      </c>
      <c r="BO129" s="940"/>
      <c r="BP129" s="593">
        <f t="shared" si="73"/>
        <v>0</v>
      </c>
      <c r="BS129" s="741">
        <v>0</v>
      </c>
      <c r="BT129" s="741">
        <v>0</v>
      </c>
      <c r="BU129" s="741">
        <f t="shared" si="74"/>
        <v>0</v>
      </c>
      <c r="BV129" s="741">
        <v>0</v>
      </c>
      <c r="BW129" s="741"/>
      <c r="BX129" s="741">
        <v>9</v>
      </c>
      <c r="BY129" s="741">
        <v>2</v>
      </c>
      <c r="BZ129" s="741">
        <f t="shared" si="61"/>
        <v>11</v>
      </c>
      <c r="CA129" s="741">
        <v>4</v>
      </c>
      <c r="CB129" s="741"/>
      <c r="CC129" s="741">
        <f t="shared" si="75"/>
        <v>4</v>
      </c>
      <c r="CD129" s="751"/>
      <c r="CE129" s="748">
        <v>9</v>
      </c>
      <c r="CF129" s="748">
        <v>2</v>
      </c>
      <c r="CG129" s="748">
        <f t="shared" si="76"/>
        <v>11</v>
      </c>
      <c r="CH129" s="759">
        <v>4</v>
      </c>
      <c r="CI129" s="742"/>
      <c r="CJ129" s="591">
        <f t="shared" si="77"/>
        <v>0</v>
      </c>
    </row>
    <row r="130" spans="1:88" ht="21.6" customHeight="1" x14ac:dyDescent="0.25">
      <c r="A130" s="596" t="s">
        <v>28</v>
      </c>
      <c r="B130" s="596" t="s">
        <v>66</v>
      </c>
      <c r="C130" s="597" t="s">
        <v>75</v>
      </c>
      <c r="D130" s="166"/>
      <c r="E130" s="598">
        <v>0</v>
      </c>
      <c r="F130" s="596">
        <v>0</v>
      </c>
      <c r="G130" s="598">
        <v>0</v>
      </c>
      <c r="H130" s="596"/>
      <c r="I130" s="596">
        <f t="shared" si="51"/>
        <v>0</v>
      </c>
      <c r="J130" s="728"/>
      <c r="K130" s="728"/>
      <c r="L130" s="731">
        <f t="shared" si="52"/>
        <v>0</v>
      </c>
      <c r="M130" s="947"/>
      <c r="N130" s="617"/>
      <c r="O130" s="602">
        <f t="shared" si="81"/>
        <v>0</v>
      </c>
      <c r="P130" s="940"/>
      <c r="Q130" s="600">
        <f t="shared" si="78"/>
        <v>0</v>
      </c>
      <c r="R130" s="940"/>
      <c r="S130" s="596">
        <v>0</v>
      </c>
      <c r="T130" s="724"/>
      <c r="U130" s="728"/>
      <c r="V130" s="728"/>
      <c r="W130" s="731">
        <f t="shared" si="53"/>
        <v>0</v>
      </c>
      <c r="X130" s="947"/>
      <c r="Y130" s="616"/>
      <c r="Z130" s="602">
        <f t="shared" si="54"/>
        <v>0</v>
      </c>
      <c r="AA130" s="835"/>
      <c r="AB130" s="602">
        <f t="shared" si="55"/>
        <v>0</v>
      </c>
      <c r="AC130" s="940"/>
      <c r="AD130" s="956"/>
      <c r="AE130" s="956"/>
      <c r="AF130" s="598">
        <v>0</v>
      </c>
      <c r="AG130" s="596"/>
      <c r="AH130" s="728"/>
      <c r="AI130" s="728"/>
      <c r="AJ130" s="729">
        <f t="shared" si="71"/>
        <v>0</v>
      </c>
      <c r="AK130" s="946"/>
      <c r="AL130" s="616"/>
      <c r="AM130" s="602">
        <f t="shared" si="56"/>
        <v>0</v>
      </c>
      <c r="AN130" s="835"/>
      <c r="AO130" s="835">
        <f t="shared" si="79"/>
        <v>0</v>
      </c>
      <c r="AP130" s="940"/>
      <c r="AQ130" s="722">
        <v>0</v>
      </c>
      <c r="AR130" s="728"/>
      <c r="AS130" s="728"/>
      <c r="AT130" s="729">
        <f t="shared" si="72"/>
        <v>0</v>
      </c>
      <c r="AU130" s="946"/>
      <c r="AV130" s="616"/>
      <c r="AW130" s="602">
        <f t="shared" si="57"/>
        <v>0</v>
      </c>
      <c r="AX130" s="940"/>
      <c r="AY130" s="602">
        <f t="shared" si="58"/>
        <v>0</v>
      </c>
      <c r="AZ130" s="940"/>
      <c r="BA130" s="962"/>
      <c r="BB130" s="962"/>
      <c r="BC130" s="598"/>
      <c r="BD130" s="665">
        <v>0</v>
      </c>
      <c r="BE130" s="596">
        <v>0</v>
      </c>
      <c r="BF130" s="596">
        <f t="shared" si="62"/>
        <v>0</v>
      </c>
      <c r="BG130" s="728"/>
      <c r="BH130" s="728"/>
      <c r="BI130" s="729">
        <f t="shared" si="59"/>
        <v>0</v>
      </c>
      <c r="BJ130" s="729"/>
      <c r="BK130" s="616"/>
      <c r="BL130" s="603">
        <f t="shared" si="60"/>
        <v>0</v>
      </c>
      <c r="BM130" s="964"/>
      <c r="BN130" s="602">
        <f t="shared" si="80"/>
        <v>0</v>
      </c>
      <c r="BO130" s="940"/>
      <c r="BP130" s="593">
        <f t="shared" si="73"/>
        <v>0</v>
      </c>
      <c r="BS130" s="741">
        <v>0</v>
      </c>
      <c r="BT130" s="741">
        <v>0</v>
      </c>
      <c r="BU130" s="741">
        <f t="shared" si="74"/>
        <v>0</v>
      </c>
      <c r="BV130" s="741">
        <v>0</v>
      </c>
      <c r="BW130" s="741"/>
      <c r="BX130" s="741">
        <v>0</v>
      </c>
      <c r="BY130" s="741">
        <v>0</v>
      </c>
      <c r="BZ130" s="741">
        <f t="shared" si="61"/>
        <v>0</v>
      </c>
      <c r="CA130" s="741">
        <v>0</v>
      </c>
      <c r="CB130" s="741"/>
      <c r="CC130" s="741">
        <f t="shared" si="75"/>
        <v>0</v>
      </c>
      <c r="CD130" s="751"/>
      <c r="CE130" s="748"/>
      <c r="CF130" s="748"/>
      <c r="CG130" s="748">
        <f t="shared" si="76"/>
        <v>0</v>
      </c>
      <c r="CH130" s="759"/>
      <c r="CI130" s="742"/>
      <c r="CJ130" s="591">
        <f t="shared" si="77"/>
        <v>0</v>
      </c>
    </row>
    <row r="131" spans="1:88" ht="21.6" customHeight="1" x14ac:dyDescent="0.25">
      <c r="A131" s="596"/>
      <c r="B131" s="596"/>
      <c r="C131" s="597"/>
      <c r="D131" s="143"/>
      <c r="E131" s="598">
        <v>0</v>
      </c>
      <c r="F131" s="596">
        <v>0</v>
      </c>
      <c r="G131" s="598"/>
      <c r="H131" s="596"/>
      <c r="I131" s="596">
        <f t="shared" si="51"/>
        <v>0</v>
      </c>
      <c r="J131" s="728"/>
      <c r="K131" s="728"/>
      <c r="L131" s="731">
        <f t="shared" si="52"/>
        <v>0</v>
      </c>
      <c r="M131" s="947"/>
      <c r="N131" s="617"/>
      <c r="O131" s="602">
        <f t="shared" si="81"/>
        <v>0</v>
      </c>
      <c r="P131" s="940"/>
      <c r="Q131" s="600">
        <f t="shared" si="78"/>
        <v>0</v>
      </c>
      <c r="R131" s="940"/>
      <c r="S131" s="596">
        <v>0</v>
      </c>
      <c r="T131" s="724"/>
      <c r="U131" s="728"/>
      <c r="V131" s="728"/>
      <c r="W131" s="731">
        <f t="shared" si="53"/>
        <v>0</v>
      </c>
      <c r="X131" s="947"/>
      <c r="Y131" s="616"/>
      <c r="Z131" s="602">
        <f t="shared" si="54"/>
        <v>0</v>
      </c>
      <c r="AA131" s="835"/>
      <c r="AB131" s="602">
        <f t="shared" si="55"/>
        <v>0</v>
      </c>
      <c r="AC131" s="940"/>
      <c r="AD131" s="956"/>
      <c r="AE131" s="956"/>
      <c r="AF131" s="598"/>
      <c r="AG131" s="596"/>
      <c r="AH131" s="728"/>
      <c r="AI131" s="728"/>
      <c r="AJ131" s="729">
        <f t="shared" si="71"/>
        <v>0</v>
      </c>
      <c r="AK131" s="946"/>
      <c r="AL131" s="616"/>
      <c r="AM131" s="602">
        <f t="shared" si="56"/>
        <v>0</v>
      </c>
      <c r="AN131" s="835"/>
      <c r="AO131" s="835">
        <f t="shared" si="79"/>
        <v>0</v>
      </c>
      <c r="AP131" s="940"/>
      <c r="AQ131" s="722">
        <v>0</v>
      </c>
      <c r="AR131" s="728"/>
      <c r="AS131" s="728"/>
      <c r="AT131" s="729">
        <f t="shared" si="72"/>
        <v>0</v>
      </c>
      <c r="AU131" s="946"/>
      <c r="AV131" s="616"/>
      <c r="AW131" s="602">
        <f t="shared" si="57"/>
        <v>0</v>
      </c>
      <c r="AX131" s="940"/>
      <c r="AY131" s="602">
        <f t="shared" si="58"/>
        <v>0</v>
      </c>
      <c r="AZ131" s="940"/>
      <c r="BA131" s="962"/>
      <c r="BB131" s="962"/>
      <c r="BC131" s="611"/>
      <c r="BD131" s="712"/>
      <c r="BE131" s="596"/>
      <c r="BF131" s="596">
        <f t="shared" si="62"/>
        <v>0</v>
      </c>
      <c r="BG131" s="728"/>
      <c r="BH131" s="728"/>
      <c r="BI131" s="729">
        <f t="shared" si="59"/>
        <v>0</v>
      </c>
      <c r="BJ131" s="729"/>
      <c r="BK131" s="616"/>
      <c r="BL131" s="603">
        <f t="shared" si="60"/>
        <v>0</v>
      </c>
      <c r="BM131" s="964"/>
      <c r="BN131" s="602">
        <f t="shared" si="80"/>
        <v>0</v>
      </c>
      <c r="BO131" s="940"/>
      <c r="BP131" s="593">
        <f t="shared" si="73"/>
        <v>0</v>
      </c>
      <c r="BS131" s="741">
        <v>0</v>
      </c>
      <c r="BT131" s="741">
        <v>0</v>
      </c>
      <c r="BU131" s="741">
        <f t="shared" si="74"/>
        <v>0</v>
      </c>
      <c r="BV131" s="741">
        <v>0</v>
      </c>
      <c r="BW131" s="741"/>
      <c r="BX131" s="741">
        <v>0</v>
      </c>
      <c r="BY131" s="741">
        <v>0</v>
      </c>
      <c r="BZ131" s="741">
        <f t="shared" si="61"/>
        <v>0</v>
      </c>
      <c r="CA131" s="741">
        <v>0</v>
      </c>
      <c r="CB131" s="741"/>
      <c r="CC131" s="741">
        <f t="shared" si="75"/>
        <v>0</v>
      </c>
      <c r="CD131" s="751"/>
      <c r="CE131" s="748"/>
      <c r="CF131" s="748"/>
      <c r="CG131" s="748">
        <f t="shared" si="76"/>
        <v>0</v>
      </c>
      <c r="CH131" s="759"/>
      <c r="CI131" s="742"/>
      <c r="CJ131" s="591">
        <f t="shared" si="77"/>
        <v>0</v>
      </c>
    </row>
    <row r="132" spans="1:88" s="593" customFormat="1" ht="21.6" customHeight="1" x14ac:dyDescent="0.25">
      <c r="A132" s="606" t="s">
        <v>28</v>
      </c>
      <c r="B132" s="606" t="s">
        <v>76</v>
      </c>
      <c r="C132" s="607" t="s">
        <v>77</v>
      </c>
      <c r="D132" s="204" t="s">
        <v>431</v>
      </c>
      <c r="E132" s="608">
        <v>0</v>
      </c>
      <c r="F132" s="606">
        <v>15</v>
      </c>
      <c r="G132" s="608">
        <v>0</v>
      </c>
      <c r="H132" s="606">
        <v>0</v>
      </c>
      <c r="I132" s="606">
        <f t="shared" si="51"/>
        <v>15</v>
      </c>
      <c r="J132" s="728"/>
      <c r="K132" s="728"/>
      <c r="L132" s="731">
        <f t="shared" si="52"/>
        <v>0</v>
      </c>
      <c r="M132" s="947">
        <f>SUM(L132:L135)</f>
        <v>17</v>
      </c>
      <c r="N132" s="617"/>
      <c r="O132" s="602">
        <f t="shared" si="81"/>
        <v>0</v>
      </c>
      <c r="P132" s="940">
        <f>SUM(O132:O135)</f>
        <v>15</v>
      </c>
      <c r="Q132" s="600">
        <f t="shared" si="78"/>
        <v>0</v>
      </c>
      <c r="R132" s="940">
        <f>SUM(Q132:Q135)</f>
        <v>0</v>
      </c>
      <c r="S132" s="596">
        <v>0</v>
      </c>
      <c r="T132" s="724">
        <f>SUM(S132:S135)</f>
        <v>0</v>
      </c>
      <c r="U132" s="728"/>
      <c r="V132" s="728"/>
      <c r="W132" s="731">
        <f t="shared" si="53"/>
        <v>0</v>
      </c>
      <c r="X132" s="947">
        <f>SUM(W132:W135)</f>
        <v>0</v>
      </c>
      <c r="Y132" s="616"/>
      <c r="Z132" s="602">
        <f t="shared" si="54"/>
        <v>0</v>
      </c>
      <c r="AA132" s="835">
        <f>SUM(Z132:Z135)</f>
        <v>0</v>
      </c>
      <c r="AB132" s="602">
        <f t="shared" si="55"/>
        <v>0</v>
      </c>
      <c r="AC132" s="940">
        <f>SUM(AB132:AB135)</f>
        <v>0</v>
      </c>
      <c r="AD132" s="955">
        <f>M132+X132</f>
        <v>17</v>
      </c>
      <c r="AE132" s="955">
        <f>R132+AC132</f>
        <v>0</v>
      </c>
      <c r="AF132" s="608">
        <v>0</v>
      </c>
      <c r="AG132" s="606">
        <v>16</v>
      </c>
      <c r="AH132" s="728"/>
      <c r="AI132" s="728"/>
      <c r="AJ132" s="729">
        <f t="shared" si="71"/>
        <v>0</v>
      </c>
      <c r="AK132" s="946">
        <f>SUM(AJ132:AJ135)</f>
        <v>20</v>
      </c>
      <c r="AL132" s="616"/>
      <c r="AM132" s="602">
        <f t="shared" si="56"/>
        <v>0</v>
      </c>
      <c r="AN132" s="835">
        <f>SUM(AM132:AM135)</f>
        <v>16</v>
      </c>
      <c r="AO132" s="835">
        <f t="shared" si="79"/>
        <v>0</v>
      </c>
      <c r="AP132" s="940">
        <f>SUM(AO132:AO135)</f>
        <v>0</v>
      </c>
      <c r="AQ132" s="722">
        <v>29.333333333333332</v>
      </c>
      <c r="AR132" s="728">
        <f>8+11</f>
        <v>19</v>
      </c>
      <c r="AS132" s="728">
        <f>4+9</f>
        <v>13</v>
      </c>
      <c r="AT132" s="729">
        <f t="shared" si="72"/>
        <v>32</v>
      </c>
      <c r="AU132" s="946">
        <f>SUM(AT132:AT135)</f>
        <v>49</v>
      </c>
      <c r="AV132" s="616">
        <f>215+225</f>
        <v>440</v>
      </c>
      <c r="AW132" s="602">
        <f t="shared" si="57"/>
        <v>29.333333333333332</v>
      </c>
      <c r="AX132" s="940">
        <f>SUM(AW132:AW135)</f>
        <v>42.666666666666664</v>
      </c>
      <c r="AY132" s="602">
        <f t="shared" si="58"/>
        <v>0</v>
      </c>
      <c r="AZ132" s="940">
        <f>SUM(AY132:AY135)</f>
        <v>0</v>
      </c>
      <c r="BA132" s="961">
        <f>AK132+AU132</f>
        <v>69</v>
      </c>
      <c r="BB132" s="961">
        <f>AP132+AZ132</f>
        <v>0</v>
      </c>
      <c r="BC132" s="608">
        <f>SUM(BD132:BD135)</f>
        <v>73</v>
      </c>
      <c r="BD132" s="713">
        <v>29</v>
      </c>
      <c r="BE132" s="606">
        <v>0</v>
      </c>
      <c r="BF132" s="596">
        <f t="shared" si="62"/>
        <v>29</v>
      </c>
      <c r="BG132" s="728">
        <f>11+9</f>
        <v>20</v>
      </c>
      <c r="BH132" s="728">
        <f>9+6</f>
        <v>15</v>
      </c>
      <c r="BI132" s="729">
        <f t="shared" si="59"/>
        <v>35</v>
      </c>
      <c r="BJ132" s="729">
        <f>SUM(BI132:BI135)</f>
        <v>89</v>
      </c>
      <c r="BK132" s="616">
        <f>750+700</f>
        <v>1450</v>
      </c>
      <c r="BL132" s="603">
        <f t="shared" si="60"/>
        <v>29</v>
      </c>
      <c r="BM132" s="964">
        <f>SUM(BL132:BL135)</f>
        <v>74</v>
      </c>
      <c r="BN132" s="602">
        <f t="shared" si="80"/>
        <v>0</v>
      </c>
      <c r="BO132" s="940">
        <f>SUM(BN132:BN135)</f>
        <v>-1</v>
      </c>
      <c r="BP132" s="593">
        <f t="shared" si="73"/>
        <v>-1</v>
      </c>
      <c r="BS132" s="744">
        <v>0</v>
      </c>
      <c r="BT132" s="744">
        <v>0</v>
      </c>
      <c r="BU132" s="741">
        <f t="shared" si="74"/>
        <v>0</v>
      </c>
      <c r="BV132" s="744">
        <v>0</v>
      </c>
      <c r="BW132" s="744">
        <f>SUM(BV132:BV135)</f>
        <v>15</v>
      </c>
      <c r="BX132" s="744">
        <v>19</v>
      </c>
      <c r="BY132" s="744">
        <v>13</v>
      </c>
      <c r="BZ132" s="741">
        <f t="shared" si="61"/>
        <v>32</v>
      </c>
      <c r="CA132" s="744">
        <v>29.333333333333332</v>
      </c>
      <c r="CB132" s="744">
        <f>SUM(CA132:CA135)</f>
        <v>58.666666666666664</v>
      </c>
      <c r="CC132" s="741">
        <f t="shared" si="75"/>
        <v>29.333333333333332</v>
      </c>
      <c r="CD132" s="754">
        <f>SUM(CC132:CC135)</f>
        <v>73.666666666666657</v>
      </c>
      <c r="CE132" s="748">
        <f>11+9</f>
        <v>20</v>
      </c>
      <c r="CF132" s="748">
        <f>9+6</f>
        <v>15</v>
      </c>
      <c r="CG132" s="748">
        <f t="shared" si="76"/>
        <v>35</v>
      </c>
      <c r="CH132" s="765">
        <v>29</v>
      </c>
      <c r="CI132" s="744">
        <f>SUM(CH132:CH135)</f>
        <v>73</v>
      </c>
      <c r="CJ132" s="593">
        <f t="shared" si="77"/>
        <v>0</v>
      </c>
    </row>
    <row r="133" spans="1:88" ht="33.75" customHeight="1" x14ac:dyDescent="0.25">
      <c r="A133" s="596" t="s">
        <v>28</v>
      </c>
      <c r="B133" s="596" t="s">
        <v>76</v>
      </c>
      <c r="C133" s="597" t="s">
        <v>78</v>
      </c>
      <c r="D133" s="204" t="s">
        <v>431</v>
      </c>
      <c r="E133" s="598">
        <v>0</v>
      </c>
      <c r="F133" s="596">
        <v>0</v>
      </c>
      <c r="G133" s="598">
        <v>0</v>
      </c>
      <c r="H133" s="596"/>
      <c r="I133" s="596">
        <f t="shared" si="51"/>
        <v>0</v>
      </c>
      <c r="J133" s="728"/>
      <c r="K133" s="728"/>
      <c r="L133" s="731">
        <f t="shared" si="52"/>
        <v>0</v>
      </c>
      <c r="M133" s="947"/>
      <c r="N133" s="617"/>
      <c r="O133" s="602">
        <f t="shared" si="81"/>
        <v>0</v>
      </c>
      <c r="P133" s="940"/>
      <c r="Q133" s="600">
        <f t="shared" si="78"/>
        <v>0</v>
      </c>
      <c r="R133" s="940"/>
      <c r="S133" s="596">
        <v>0</v>
      </c>
      <c r="T133" s="724"/>
      <c r="U133" s="728"/>
      <c r="V133" s="728"/>
      <c r="W133" s="731">
        <f t="shared" si="53"/>
        <v>0</v>
      </c>
      <c r="X133" s="947"/>
      <c r="Y133" s="616"/>
      <c r="Z133" s="602">
        <f t="shared" si="54"/>
        <v>0</v>
      </c>
      <c r="AA133" s="835"/>
      <c r="AB133" s="602">
        <f t="shared" si="55"/>
        <v>0</v>
      </c>
      <c r="AC133" s="940"/>
      <c r="AD133" s="956"/>
      <c r="AE133" s="956"/>
      <c r="AF133" s="598">
        <v>0</v>
      </c>
      <c r="AG133" s="596"/>
      <c r="AH133" s="728"/>
      <c r="AI133" s="728"/>
      <c r="AJ133" s="729">
        <f t="shared" si="71"/>
        <v>0</v>
      </c>
      <c r="AK133" s="946"/>
      <c r="AL133" s="616"/>
      <c r="AM133" s="602">
        <f t="shared" si="56"/>
        <v>0</v>
      </c>
      <c r="AN133" s="835"/>
      <c r="AO133" s="835">
        <f t="shared" si="79"/>
        <v>0</v>
      </c>
      <c r="AP133" s="940"/>
      <c r="AQ133" s="722">
        <v>13.333333333333334</v>
      </c>
      <c r="AR133" s="728">
        <v>16</v>
      </c>
      <c r="AS133" s="728">
        <v>1</v>
      </c>
      <c r="AT133" s="729">
        <f t="shared" si="72"/>
        <v>17</v>
      </c>
      <c r="AU133" s="946"/>
      <c r="AV133" s="616">
        <v>200</v>
      </c>
      <c r="AW133" s="602">
        <f t="shared" si="57"/>
        <v>13.333333333333334</v>
      </c>
      <c r="AX133" s="940"/>
      <c r="AY133" s="602">
        <f t="shared" si="58"/>
        <v>0</v>
      </c>
      <c r="AZ133" s="940"/>
      <c r="BA133" s="962"/>
      <c r="BB133" s="962"/>
      <c r="BC133" s="598"/>
      <c r="BD133" s="665">
        <v>13</v>
      </c>
      <c r="BE133" s="596">
        <v>0</v>
      </c>
      <c r="BF133" s="596">
        <f t="shared" si="62"/>
        <v>13</v>
      </c>
      <c r="BG133" s="728">
        <v>16</v>
      </c>
      <c r="BH133" s="728">
        <v>1</v>
      </c>
      <c r="BI133" s="729">
        <f t="shared" si="59"/>
        <v>17</v>
      </c>
      <c r="BJ133" s="729"/>
      <c r="BK133" s="616">
        <v>650</v>
      </c>
      <c r="BL133" s="603">
        <f t="shared" si="60"/>
        <v>13</v>
      </c>
      <c r="BM133" s="964"/>
      <c r="BN133" s="602">
        <f t="shared" si="80"/>
        <v>0</v>
      </c>
      <c r="BO133" s="940"/>
      <c r="BP133" s="593">
        <f t="shared" si="73"/>
        <v>0</v>
      </c>
      <c r="BS133" s="741">
        <v>0</v>
      </c>
      <c r="BT133" s="741">
        <v>0</v>
      </c>
      <c r="BU133" s="741">
        <f t="shared" si="74"/>
        <v>0</v>
      </c>
      <c r="BV133" s="741">
        <v>0</v>
      </c>
      <c r="BW133" s="741"/>
      <c r="BX133" s="741">
        <v>16</v>
      </c>
      <c r="BY133" s="741">
        <v>1</v>
      </c>
      <c r="BZ133" s="741">
        <f t="shared" si="61"/>
        <v>17</v>
      </c>
      <c r="CA133" s="741">
        <v>13.333333333333334</v>
      </c>
      <c r="CB133" s="741"/>
      <c r="CC133" s="741">
        <f t="shared" si="75"/>
        <v>13.333333333333334</v>
      </c>
      <c r="CD133" s="751"/>
      <c r="CE133" s="748">
        <v>16</v>
      </c>
      <c r="CF133" s="748">
        <v>1</v>
      </c>
      <c r="CG133" s="748">
        <f t="shared" si="76"/>
        <v>17</v>
      </c>
      <c r="CH133" s="759">
        <v>13</v>
      </c>
      <c r="CI133" s="742"/>
      <c r="CJ133" s="591">
        <f t="shared" si="77"/>
        <v>0</v>
      </c>
    </row>
    <row r="134" spans="1:88" ht="40.5" customHeight="1" x14ac:dyDescent="0.25">
      <c r="A134" s="596"/>
      <c r="B134" s="596" t="s">
        <v>76</v>
      </c>
      <c r="C134" s="597" t="s">
        <v>48</v>
      </c>
      <c r="D134" s="204" t="s">
        <v>437</v>
      </c>
      <c r="E134" s="598">
        <v>15</v>
      </c>
      <c r="F134" s="596">
        <v>0</v>
      </c>
      <c r="G134" s="598">
        <v>0</v>
      </c>
      <c r="H134" s="596"/>
      <c r="I134" s="596">
        <f t="shared" si="51"/>
        <v>0</v>
      </c>
      <c r="J134" s="728">
        <v>9</v>
      </c>
      <c r="K134" s="728">
        <v>8</v>
      </c>
      <c r="L134" s="731">
        <f t="shared" si="52"/>
        <v>17</v>
      </c>
      <c r="M134" s="947"/>
      <c r="N134" s="617">
        <v>225</v>
      </c>
      <c r="O134" s="602">
        <f t="shared" si="81"/>
        <v>15</v>
      </c>
      <c r="P134" s="940"/>
      <c r="Q134" s="600">
        <f t="shared" si="78"/>
        <v>0</v>
      </c>
      <c r="R134" s="940"/>
      <c r="S134" s="596">
        <v>0</v>
      </c>
      <c r="T134" s="724"/>
      <c r="U134" s="728"/>
      <c r="V134" s="728"/>
      <c r="W134" s="731">
        <f t="shared" si="53"/>
        <v>0</v>
      </c>
      <c r="X134" s="947"/>
      <c r="Y134" s="616"/>
      <c r="Z134" s="602">
        <f t="shared" si="54"/>
        <v>0</v>
      </c>
      <c r="AA134" s="835"/>
      <c r="AB134" s="602">
        <f t="shared" si="55"/>
        <v>0</v>
      </c>
      <c r="AC134" s="940"/>
      <c r="AD134" s="956"/>
      <c r="AE134" s="956"/>
      <c r="AF134" s="598">
        <v>16</v>
      </c>
      <c r="AG134" s="596"/>
      <c r="AH134" s="728">
        <v>18</v>
      </c>
      <c r="AI134" s="728">
        <v>2</v>
      </c>
      <c r="AJ134" s="729">
        <f t="shared" si="71"/>
        <v>20</v>
      </c>
      <c r="AK134" s="946"/>
      <c r="AL134" s="616">
        <v>240</v>
      </c>
      <c r="AM134" s="602">
        <f t="shared" si="56"/>
        <v>16</v>
      </c>
      <c r="AN134" s="835"/>
      <c r="AO134" s="835">
        <f t="shared" si="79"/>
        <v>0</v>
      </c>
      <c r="AP134" s="940"/>
      <c r="AQ134" s="722">
        <v>0</v>
      </c>
      <c r="AR134" s="728"/>
      <c r="AS134" s="728"/>
      <c r="AT134" s="729">
        <f t="shared" si="72"/>
        <v>0</v>
      </c>
      <c r="AU134" s="946"/>
      <c r="AV134" s="616"/>
      <c r="AW134" s="602">
        <f t="shared" si="57"/>
        <v>0</v>
      </c>
      <c r="AX134" s="940"/>
      <c r="AY134" s="602">
        <f t="shared" si="58"/>
        <v>0</v>
      </c>
      <c r="AZ134" s="940"/>
      <c r="BA134" s="962"/>
      <c r="BB134" s="962"/>
      <c r="BC134" s="598"/>
      <c r="BD134" s="665">
        <v>31</v>
      </c>
      <c r="BE134" s="596">
        <v>0</v>
      </c>
      <c r="BF134" s="596">
        <f t="shared" si="62"/>
        <v>31</v>
      </c>
      <c r="BG134" s="728">
        <f>9+18</f>
        <v>27</v>
      </c>
      <c r="BH134" s="728">
        <f>8+2</f>
        <v>10</v>
      </c>
      <c r="BI134" s="729">
        <f t="shared" si="59"/>
        <v>37</v>
      </c>
      <c r="BJ134" s="729"/>
      <c r="BK134" s="616">
        <f>800+800</f>
        <v>1600</v>
      </c>
      <c r="BL134" s="603">
        <f t="shared" si="60"/>
        <v>32</v>
      </c>
      <c r="BM134" s="964"/>
      <c r="BN134" s="602">
        <f t="shared" si="80"/>
        <v>-1</v>
      </c>
      <c r="BO134" s="940"/>
      <c r="BP134" s="593">
        <f t="shared" si="73"/>
        <v>0</v>
      </c>
      <c r="BS134" s="741">
        <v>9</v>
      </c>
      <c r="BT134" s="741">
        <v>8</v>
      </c>
      <c r="BU134" s="741">
        <f t="shared" si="74"/>
        <v>17</v>
      </c>
      <c r="BV134" s="741">
        <v>15</v>
      </c>
      <c r="BW134" s="741"/>
      <c r="BX134" s="741">
        <v>18</v>
      </c>
      <c r="BY134" s="741">
        <v>2</v>
      </c>
      <c r="BZ134" s="741">
        <f t="shared" si="61"/>
        <v>20</v>
      </c>
      <c r="CA134" s="741">
        <v>16</v>
      </c>
      <c r="CB134" s="741"/>
      <c r="CC134" s="741">
        <f t="shared" si="75"/>
        <v>31</v>
      </c>
      <c r="CD134" s="751"/>
      <c r="CE134" s="748">
        <f>9+18</f>
        <v>27</v>
      </c>
      <c r="CF134" s="748">
        <f>8+2</f>
        <v>10</v>
      </c>
      <c r="CG134" s="748">
        <f t="shared" si="76"/>
        <v>37</v>
      </c>
      <c r="CH134" s="759">
        <v>31</v>
      </c>
      <c r="CI134" s="742"/>
      <c r="CJ134" s="591">
        <f t="shared" si="77"/>
        <v>-1</v>
      </c>
    </row>
    <row r="135" spans="1:88" ht="21.6" customHeight="1" x14ac:dyDescent="0.25">
      <c r="A135" s="596" t="s">
        <v>28</v>
      </c>
      <c r="B135" s="596" t="s">
        <v>76</v>
      </c>
      <c r="C135" s="597" t="s">
        <v>12</v>
      </c>
      <c r="D135" s="166"/>
      <c r="E135" s="598">
        <v>0</v>
      </c>
      <c r="F135" s="596">
        <v>0</v>
      </c>
      <c r="G135" s="598">
        <v>0</v>
      </c>
      <c r="H135" s="596"/>
      <c r="I135" s="596">
        <f t="shared" si="51"/>
        <v>0</v>
      </c>
      <c r="J135" s="728"/>
      <c r="K135" s="728"/>
      <c r="L135" s="731">
        <f t="shared" si="52"/>
        <v>0</v>
      </c>
      <c r="M135" s="947"/>
      <c r="N135" s="617"/>
      <c r="O135" s="602">
        <f t="shared" si="81"/>
        <v>0</v>
      </c>
      <c r="P135" s="940"/>
      <c r="Q135" s="600">
        <f t="shared" si="78"/>
        <v>0</v>
      </c>
      <c r="R135" s="940"/>
      <c r="S135" s="596">
        <v>0</v>
      </c>
      <c r="T135" s="724"/>
      <c r="U135" s="728"/>
      <c r="V135" s="728"/>
      <c r="W135" s="731">
        <f t="shared" si="53"/>
        <v>0</v>
      </c>
      <c r="X135" s="947"/>
      <c r="Y135" s="616"/>
      <c r="Z135" s="602">
        <f t="shared" si="54"/>
        <v>0</v>
      </c>
      <c r="AA135" s="835"/>
      <c r="AB135" s="602">
        <f t="shared" si="55"/>
        <v>0</v>
      </c>
      <c r="AC135" s="940"/>
      <c r="AD135" s="956"/>
      <c r="AE135" s="956"/>
      <c r="AF135" s="598">
        <v>0</v>
      </c>
      <c r="AG135" s="596"/>
      <c r="AH135" s="728"/>
      <c r="AI135" s="728"/>
      <c r="AJ135" s="729">
        <f t="shared" si="71"/>
        <v>0</v>
      </c>
      <c r="AK135" s="946"/>
      <c r="AL135" s="616"/>
      <c r="AM135" s="602">
        <f t="shared" si="56"/>
        <v>0</v>
      </c>
      <c r="AN135" s="835"/>
      <c r="AO135" s="835">
        <f t="shared" si="79"/>
        <v>0</v>
      </c>
      <c r="AP135" s="940"/>
      <c r="AQ135" s="722">
        <v>0</v>
      </c>
      <c r="AR135" s="728"/>
      <c r="AS135" s="728"/>
      <c r="AT135" s="729">
        <f t="shared" si="72"/>
        <v>0</v>
      </c>
      <c r="AU135" s="946"/>
      <c r="AV135" s="616"/>
      <c r="AW135" s="602">
        <f t="shared" si="57"/>
        <v>0</v>
      </c>
      <c r="AX135" s="940"/>
      <c r="AY135" s="602">
        <f t="shared" si="58"/>
        <v>0</v>
      </c>
      <c r="AZ135" s="940"/>
      <c r="BA135" s="962"/>
      <c r="BB135" s="962"/>
      <c r="BC135" s="598"/>
      <c r="BD135" s="665">
        <v>0</v>
      </c>
      <c r="BE135" s="596">
        <v>0</v>
      </c>
      <c r="BF135" s="596">
        <f t="shared" si="62"/>
        <v>0</v>
      </c>
      <c r="BG135" s="728"/>
      <c r="BH135" s="728"/>
      <c r="BI135" s="729">
        <f t="shared" si="59"/>
        <v>0</v>
      </c>
      <c r="BJ135" s="729"/>
      <c r="BK135" s="616"/>
      <c r="BL135" s="603">
        <f t="shared" si="60"/>
        <v>0</v>
      </c>
      <c r="BM135" s="964"/>
      <c r="BN135" s="602">
        <f t="shared" si="80"/>
        <v>0</v>
      </c>
      <c r="BO135" s="940"/>
      <c r="BP135" s="593">
        <f t="shared" si="73"/>
        <v>0</v>
      </c>
      <c r="BS135" s="741">
        <v>0</v>
      </c>
      <c r="BT135" s="741">
        <v>0</v>
      </c>
      <c r="BU135" s="741">
        <f t="shared" si="74"/>
        <v>0</v>
      </c>
      <c r="BV135" s="741">
        <v>0</v>
      </c>
      <c r="BW135" s="741"/>
      <c r="BX135" s="741">
        <v>0</v>
      </c>
      <c r="BY135" s="741">
        <v>0</v>
      </c>
      <c r="BZ135" s="741">
        <f t="shared" si="61"/>
        <v>0</v>
      </c>
      <c r="CA135" s="741">
        <v>0</v>
      </c>
      <c r="CB135" s="741"/>
      <c r="CC135" s="741">
        <f t="shared" si="75"/>
        <v>0</v>
      </c>
      <c r="CD135" s="751"/>
      <c r="CE135" s="748"/>
      <c r="CF135" s="748"/>
      <c r="CG135" s="748">
        <f t="shared" si="76"/>
        <v>0</v>
      </c>
      <c r="CH135" s="759"/>
      <c r="CI135" s="742"/>
      <c r="CJ135" s="591">
        <f t="shared" si="77"/>
        <v>0</v>
      </c>
    </row>
    <row r="136" spans="1:88" ht="21.6" customHeight="1" x14ac:dyDescent="0.25">
      <c r="A136" s="596"/>
      <c r="B136" s="596"/>
      <c r="C136" s="597"/>
      <c r="D136" s="143"/>
      <c r="E136" s="598">
        <v>0</v>
      </c>
      <c r="F136" s="596">
        <v>0</v>
      </c>
      <c r="G136" s="598"/>
      <c r="H136" s="596"/>
      <c r="I136" s="596">
        <f t="shared" si="51"/>
        <v>0</v>
      </c>
      <c r="J136" s="728"/>
      <c r="K136" s="728"/>
      <c r="L136" s="731">
        <f t="shared" si="52"/>
        <v>0</v>
      </c>
      <c r="M136" s="947"/>
      <c r="N136" s="617"/>
      <c r="O136" s="602">
        <f t="shared" si="81"/>
        <v>0</v>
      </c>
      <c r="P136" s="940"/>
      <c r="Q136" s="600">
        <f t="shared" si="78"/>
        <v>0</v>
      </c>
      <c r="R136" s="940"/>
      <c r="S136" s="596">
        <v>0</v>
      </c>
      <c r="T136" s="724"/>
      <c r="U136" s="728"/>
      <c r="V136" s="728"/>
      <c r="W136" s="731">
        <f t="shared" si="53"/>
        <v>0</v>
      </c>
      <c r="X136" s="947"/>
      <c r="Y136" s="616"/>
      <c r="Z136" s="602">
        <f t="shared" si="54"/>
        <v>0</v>
      </c>
      <c r="AA136" s="835"/>
      <c r="AB136" s="602">
        <f t="shared" si="55"/>
        <v>0</v>
      </c>
      <c r="AC136" s="940"/>
      <c r="AD136" s="956"/>
      <c r="AE136" s="956"/>
      <c r="AF136" s="598"/>
      <c r="AG136" s="596"/>
      <c r="AH136" s="728"/>
      <c r="AI136" s="728"/>
      <c r="AJ136" s="729">
        <f t="shared" si="71"/>
        <v>0</v>
      </c>
      <c r="AK136" s="946"/>
      <c r="AL136" s="616"/>
      <c r="AM136" s="602">
        <f t="shared" si="56"/>
        <v>0</v>
      </c>
      <c r="AN136" s="835"/>
      <c r="AO136" s="835">
        <f t="shared" si="79"/>
        <v>0</v>
      </c>
      <c r="AP136" s="940"/>
      <c r="AQ136" s="722">
        <v>0</v>
      </c>
      <c r="AR136" s="728"/>
      <c r="AS136" s="728"/>
      <c r="AT136" s="729">
        <f t="shared" si="72"/>
        <v>0</v>
      </c>
      <c r="AU136" s="946"/>
      <c r="AV136" s="616"/>
      <c r="AW136" s="602">
        <f t="shared" si="57"/>
        <v>0</v>
      </c>
      <c r="AX136" s="940"/>
      <c r="AY136" s="602">
        <f t="shared" si="58"/>
        <v>0</v>
      </c>
      <c r="AZ136" s="940"/>
      <c r="BA136" s="962"/>
      <c r="BB136" s="962"/>
      <c r="BC136" s="611"/>
      <c r="BD136" s="712"/>
      <c r="BE136" s="596"/>
      <c r="BF136" s="596">
        <f t="shared" si="62"/>
        <v>0</v>
      </c>
      <c r="BG136" s="728"/>
      <c r="BH136" s="728"/>
      <c r="BI136" s="729">
        <f t="shared" si="59"/>
        <v>0</v>
      </c>
      <c r="BJ136" s="729"/>
      <c r="BK136" s="616"/>
      <c r="BL136" s="603">
        <f t="shared" si="60"/>
        <v>0</v>
      </c>
      <c r="BM136" s="964"/>
      <c r="BN136" s="602">
        <f t="shared" si="80"/>
        <v>0</v>
      </c>
      <c r="BO136" s="940"/>
      <c r="BP136" s="593">
        <f t="shared" si="73"/>
        <v>0</v>
      </c>
      <c r="BS136" s="741">
        <v>0</v>
      </c>
      <c r="BT136" s="741">
        <v>0</v>
      </c>
      <c r="BU136" s="741">
        <f t="shared" si="74"/>
        <v>0</v>
      </c>
      <c r="BV136" s="741">
        <v>0</v>
      </c>
      <c r="BW136" s="741"/>
      <c r="BX136" s="741">
        <v>0</v>
      </c>
      <c r="BY136" s="741">
        <v>0</v>
      </c>
      <c r="BZ136" s="741">
        <f t="shared" si="61"/>
        <v>0</v>
      </c>
      <c r="CA136" s="741">
        <v>0</v>
      </c>
      <c r="CB136" s="741"/>
      <c r="CC136" s="741">
        <f t="shared" si="75"/>
        <v>0</v>
      </c>
      <c r="CD136" s="751"/>
      <c r="CE136" s="748"/>
      <c r="CF136" s="748"/>
      <c r="CG136" s="748">
        <f t="shared" si="76"/>
        <v>0</v>
      </c>
      <c r="CH136" s="759"/>
      <c r="CI136" s="742"/>
      <c r="CJ136" s="591">
        <f t="shared" si="77"/>
        <v>0</v>
      </c>
    </row>
    <row r="137" spans="1:88" s="593" customFormat="1" ht="51" customHeight="1" x14ac:dyDescent="0.25">
      <c r="A137" s="606" t="s">
        <v>28</v>
      </c>
      <c r="B137" s="606" t="s">
        <v>765</v>
      </c>
      <c r="C137" s="607" t="s">
        <v>80</v>
      </c>
      <c r="D137" s="166"/>
      <c r="E137" s="608">
        <v>0</v>
      </c>
      <c r="F137" s="606">
        <v>60</v>
      </c>
      <c r="G137" s="608">
        <v>0</v>
      </c>
      <c r="H137" s="606">
        <v>0</v>
      </c>
      <c r="I137" s="606">
        <f t="shared" si="51"/>
        <v>60</v>
      </c>
      <c r="J137" s="728"/>
      <c r="K137" s="728"/>
      <c r="L137" s="731">
        <f t="shared" si="52"/>
        <v>0</v>
      </c>
      <c r="M137" s="947">
        <f>SUM(L137:L142)</f>
        <v>60</v>
      </c>
      <c r="N137" s="617"/>
      <c r="O137" s="602">
        <f t="shared" si="81"/>
        <v>0</v>
      </c>
      <c r="P137" s="940">
        <f>SUM(O137:O142)</f>
        <v>60</v>
      </c>
      <c r="Q137" s="600">
        <f t="shared" si="78"/>
        <v>0</v>
      </c>
      <c r="R137" s="940">
        <f>SUM(Q137:Q142)</f>
        <v>0</v>
      </c>
      <c r="S137" s="596">
        <v>0</v>
      </c>
      <c r="T137" s="724">
        <f>SUM(S137:S142)</f>
        <v>0</v>
      </c>
      <c r="U137" s="728"/>
      <c r="V137" s="728"/>
      <c r="W137" s="731">
        <f t="shared" si="53"/>
        <v>0</v>
      </c>
      <c r="X137" s="947">
        <f>SUM(W137:W142)</f>
        <v>0</v>
      </c>
      <c r="Y137" s="616"/>
      <c r="Z137" s="602">
        <f t="shared" si="54"/>
        <v>0</v>
      </c>
      <c r="AA137" s="835">
        <f>SUM(Z137:Z142)</f>
        <v>0</v>
      </c>
      <c r="AB137" s="602">
        <f t="shared" si="55"/>
        <v>0</v>
      </c>
      <c r="AC137" s="940">
        <f>SUM(AB137:AB142)</f>
        <v>0</v>
      </c>
      <c r="AD137" s="955">
        <f>M137+X137</f>
        <v>60</v>
      </c>
      <c r="AE137" s="955">
        <f>R137+AC137</f>
        <v>0</v>
      </c>
      <c r="AF137" s="608">
        <v>0</v>
      </c>
      <c r="AG137" s="606">
        <v>0</v>
      </c>
      <c r="AH137" s="728"/>
      <c r="AI137" s="728"/>
      <c r="AJ137" s="729">
        <f t="shared" si="71"/>
        <v>0</v>
      </c>
      <c r="AK137" s="946">
        <f>SUM(AJ137:AJ142)</f>
        <v>0</v>
      </c>
      <c r="AL137" s="616"/>
      <c r="AM137" s="602">
        <f t="shared" si="56"/>
        <v>0</v>
      </c>
      <c r="AN137" s="835">
        <f>SUM(AM137:AM142)</f>
        <v>0</v>
      </c>
      <c r="AO137" s="835">
        <f t="shared" si="79"/>
        <v>0</v>
      </c>
      <c r="AP137" s="940">
        <f>SUM(AO137:AO142)</f>
        <v>0</v>
      </c>
      <c r="AQ137" s="722">
        <v>0</v>
      </c>
      <c r="AR137" s="728"/>
      <c r="AS137" s="728"/>
      <c r="AT137" s="729">
        <f t="shared" si="72"/>
        <v>0</v>
      </c>
      <c r="AU137" s="946">
        <f>SUM(AT137:AT142)</f>
        <v>0</v>
      </c>
      <c r="AV137" s="616"/>
      <c r="AW137" s="602">
        <f t="shared" si="57"/>
        <v>0</v>
      </c>
      <c r="AX137" s="940">
        <f>SUM(AW137:AW142)</f>
        <v>0</v>
      </c>
      <c r="AY137" s="602">
        <f t="shared" si="58"/>
        <v>0</v>
      </c>
      <c r="AZ137" s="940">
        <f>SUM(AY137:AY142)</f>
        <v>0</v>
      </c>
      <c r="BA137" s="961">
        <f>AK137+AU137</f>
        <v>0</v>
      </c>
      <c r="BB137" s="961">
        <f>AP137+AZ137</f>
        <v>0</v>
      </c>
      <c r="BC137" s="608">
        <f>SUM(BD137:BD142)</f>
        <v>60</v>
      </c>
      <c r="BD137" s="713">
        <v>0</v>
      </c>
      <c r="BE137" s="606">
        <v>0</v>
      </c>
      <c r="BF137" s="596">
        <f t="shared" si="62"/>
        <v>0</v>
      </c>
      <c r="BG137" s="728"/>
      <c r="BH137" s="728"/>
      <c r="BI137" s="729">
        <f t="shared" si="59"/>
        <v>0</v>
      </c>
      <c r="BJ137" s="729">
        <f>SUM(BI137:BI142)</f>
        <v>48</v>
      </c>
      <c r="BK137" s="616"/>
      <c r="BL137" s="603">
        <f t="shared" si="60"/>
        <v>0</v>
      </c>
      <c r="BM137" s="964">
        <f>SUM(BL137:BL142)</f>
        <v>60</v>
      </c>
      <c r="BN137" s="602">
        <f t="shared" si="80"/>
        <v>0</v>
      </c>
      <c r="BO137" s="940">
        <f>SUM(BN137:BN142)</f>
        <v>0</v>
      </c>
      <c r="BP137" s="593">
        <f t="shared" si="73"/>
        <v>0</v>
      </c>
      <c r="BS137" s="744">
        <v>0</v>
      </c>
      <c r="BT137" s="744">
        <v>0</v>
      </c>
      <c r="BU137" s="741">
        <f t="shared" si="74"/>
        <v>0</v>
      </c>
      <c r="BV137" s="744">
        <v>0</v>
      </c>
      <c r="BW137" s="744">
        <f>SUM(BV137:BV142)</f>
        <v>0</v>
      </c>
      <c r="BX137" s="744">
        <v>0</v>
      </c>
      <c r="BY137" s="744">
        <v>0</v>
      </c>
      <c r="BZ137" s="741">
        <f t="shared" si="61"/>
        <v>0</v>
      </c>
      <c r="CA137" s="744">
        <v>0</v>
      </c>
      <c r="CB137" s="744">
        <f>SUM(CA137:CA142)</f>
        <v>0</v>
      </c>
      <c r="CC137" s="741">
        <f t="shared" si="75"/>
        <v>0</v>
      </c>
      <c r="CD137" s="754">
        <f>SUM(CC137:CC142)</f>
        <v>0</v>
      </c>
      <c r="CE137" s="748"/>
      <c r="CF137" s="748"/>
      <c r="CG137" s="748">
        <f t="shared" si="76"/>
        <v>0</v>
      </c>
      <c r="CH137" s="765"/>
      <c r="CI137" s="744">
        <f>SUM(CH137:CH142)</f>
        <v>0</v>
      </c>
      <c r="CJ137" s="593">
        <f t="shared" si="77"/>
        <v>0</v>
      </c>
    </row>
    <row r="138" spans="1:88" ht="69.75" customHeight="1" x14ac:dyDescent="0.25">
      <c r="A138" s="596" t="s">
        <v>28</v>
      </c>
      <c r="B138" s="769" t="s">
        <v>765</v>
      </c>
      <c r="C138" s="597" t="s">
        <v>81</v>
      </c>
      <c r="D138" s="166"/>
      <c r="E138" s="598">
        <v>0</v>
      </c>
      <c r="F138" s="596">
        <v>0</v>
      </c>
      <c r="G138" s="598">
        <v>0</v>
      </c>
      <c r="H138" s="596"/>
      <c r="I138" s="596">
        <f t="shared" si="51"/>
        <v>0</v>
      </c>
      <c r="J138" s="728"/>
      <c r="K138" s="728"/>
      <c r="L138" s="731">
        <f t="shared" si="52"/>
        <v>0</v>
      </c>
      <c r="M138" s="947"/>
      <c r="N138" s="617"/>
      <c r="O138" s="602">
        <f t="shared" si="81"/>
        <v>0</v>
      </c>
      <c r="P138" s="940"/>
      <c r="Q138" s="600">
        <f t="shared" si="78"/>
        <v>0</v>
      </c>
      <c r="R138" s="940"/>
      <c r="S138" s="596">
        <v>0</v>
      </c>
      <c r="T138" s="724"/>
      <c r="U138" s="728"/>
      <c r="V138" s="728"/>
      <c r="W138" s="731">
        <f t="shared" si="53"/>
        <v>0</v>
      </c>
      <c r="X138" s="947"/>
      <c r="Y138" s="616"/>
      <c r="Z138" s="602">
        <f t="shared" si="54"/>
        <v>0</v>
      </c>
      <c r="AA138" s="835"/>
      <c r="AB138" s="602">
        <f t="shared" si="55"/>
        <v>0</v>
      </c>
      <c r="AC138" s="940"/>
      <c r="AD138" s="956"/>
      <c r="AE138" s="956"/>
      <c r="AF138" s="598">
        <v>0</v>
      </c>
      <c r="AG138" s="596"/>
      <c r="AH138" s="728"/>
      <c r="AI138" s="728"/>
      <c r="AJ138" s="729">
        <f t="shared" si="71"/>
        <v>0</v>
      </c>
      <c r="AK138" s="946"/>
      <c r="AL138" s="616"/>
      <c r="AM138" s="602">
        <f t="shared" si="56"/>
        <v>0</v>
      </c>
      <c r="AN138" s="835"/>
      <c r="AO138" s="835">
        <f t="shared" si="79"/>
        <v>0</v>
      </c>
      <c r="AP138" s="940"/>
      <c r="AQ138" s="722">
        <v>0</v>
      </c>
      <c r="AR138" s="728"/>
      <c r="AS138" s="728"/>
      <c r="AT138" s="729">
        <f t="shared" si="72"/>
        <v>0</v>
      </c>
      <c r="AU138" s="946"/>
      <c r="AV138" s="616"/>
      <c r="AW138" s="602">
        <f t="shared" si="57"/>
        <v>0</v>
      </c>
      <c r="AX138" s="940"/>
      <c r="AY138" s="602">
        <f t="shared" si="58"/>
        <v>0</v>
      </c>
      <c r="AZ138" s="940"/>
      <c r="BA138" s="962"/>
      <c r="BB138" s="962"/>
      <c r="BC138" s="598"/>
      <c r="BD138" s="665">
        <v>0</v>
      </c>
      <c r="BE138" s="596">
        <v>0</v>
      </c>
      <c r="BF138" s="596">
        <f t="shared" si="62"/>
        <v>0</v>
      </c>
      <c r="BG138" s="728"/>
      <c r="BH138" s="728"/>
      <c r="BI138" s="729">
        <f t="shared" si="59"/>
        <v>0</v>
      </c>
      <c r="BJ138" s="729"/>
      <c r="BK138" s="616"/>
      <c r="BL138" s="603">
        <f t="shared" si="60"/>
        <v>0</v>
      </c>
      <c r="BM138" s="964"/>
      <c r="BN138" s="602">
        <f t="shared" si="80"/>
        <v>0</v>
      </c>
      <c r="BO138" s="940"/>
      <c r="BP138" s="593">
        <f t="shared" si="73"/>
        <v>0</v>
      </c>
      <c r="BS138" s="741">
        <v>0</v>
      </c>
      <c r="BT138" s="741">
        <v>0</v>
      </c>
      <c r="BU138" s="741">
        <f t="shared" si="74"/>
        <v>0</v>
      </c>
      <c r="BV138" s="741">
        <v>0</v>
      </c>
      <c r="BW138" s="741"/>
      <c r="BX138" s="741">
        <v>0</v>
      </c>
      <c r="BY138" s="741">
        <v>0</v>
      </c>
      <c r="BZ138" s="741">
        <f t="shared" si="61"/>
        <v>0</v>
      </c>
      <c r="CA138" s="741">
        <v>0</v>
      </c>
      <c r="CB138" s="741"/>
      <c r="CC138" s="741">
        <f t="shared" si="75"/>
        <v>0</v>
      </c>
      <c r="CD138" s="751"/>
      <c r="CE138" s="748"/>
      <c r="CF138" s="748"/>
      <c r="CG138" s="748">
        <f t="shared" si="76"/>
        <v>0</v>
      </c>
      <c r="CH138" s="759"/>
      <c r="CI138" s="742"/>
      <c r="CJ138" s="591">
        <f t="shared" si="77"/>
        <v>0</v>
      </c>
    </row>
    <row r="139" spans="1:88" ht="61.5" customHeight="1" x14ac:dyDescent="0.25">
      <c r="A139" s="596" t="s">
        <v>28</v>
      </c>
      <c r="B139" s="769" t="s">
        <v>765</v>
      </c>
      <c r="C139" s="597" t="s">
        <v>82</v>
      </c>
      <c r="D139" s="166"/>
      <c r="E139" s="598">
        <v>0</v>
      </c>
      <c r="F139" s="596">
        <v>0</v>
      </c>
      <c r="G139" s="598">
        <v>0</v>
      </c>
      <c r="H139" s="596"/>
      <c r="I139" s="596">
        <f t="shared" si="51"/>
        <v>0</v>
      </c>
      <c r="J139" s="728"/>
      <c r="K139" s="728"/>
      <c r="L139" s="731">
        <f t="shared" si="52"/>
        <v>0</v>
      </c>
      <c r="M139" s="947"/>
      <c r="N139" s="617"/>
      <c r="O139" s="602">
        <f t="shared" si="81"/>
        <v>0</v>
      </c>
      <c r="P139" s="940"/>
      <c r="Q139" s="600">
        <f t="shared" si="78"/>
        <v>0</v>
      </c>
      <c r="R139" s="940"/>
      <c r="S139" s="596">
        <v>0</v>
      </c>
      <c r="T139" s="724"/>
      <c r="U139" s="728"/>
      <c r="V139" s="728"/>
      <c r="W139" s="731">
        <f t="shared" si="53"/>
        <v>0</v>
      </c>
      <c r="X139" s="947"/>
      <c r="Y139" s="616"/>
      <c r="Z139" s="602">
        <f t="shared" si="54"/>
        <v>0</v>
      </c>
      <c r="AA139" s="835"/>
      <c r="AB139" s="602">
        <f t="shared" si="55"/>
        <v>0</v>
      </c>
      <c r="AC139" s="940"/>
      <c r="AD139" s="956"/>
      <c r="AE139" s="956"/>
      <c r="AF139" s="598">
        <v>0</v>
      </c>
      <c r="AG139" s="596"/>
      <c r="AH139" s="728"/>
      <c r="AI139" s="728"/>
      <c r="AJ139" s="729">
        <f t="shared" si="71"/>
        <v>0</v>
      </c>
      <c r="AK139" s="946"/>
      <c r="AL139" s="616"/>
      <c r="AM139" s="602">
        <f t="shared" si="56"/>
        <v>0</v>
      </c>
      <c r="AN139" s="835"/>
      <c r="AO139" s="835">
        <f t="shared" si="79"/>
        <v>0</v>
      </c>
      <c r="AP139" s="940"/>
      <c r="AQ139" s="722">
        <v>0</v>
      </c>
      <c r="AR139" s="728"/>
      <c r="AS139" s="728"/>
      <c r="AT139" s="729">
        <f t="shared" si="72"/>
        <v>0</v>
      </c>
      <c r="AU139" s="946"/>
      <c r="AV139" s="616"/>
      <c r="AW139" s="602">
        <f t="shared" si="57"/>
        <v>0</v>
      </c>
      <c r="AX139" s="940"/>
      <c r="AY139" s="602">
        <f t="shared" si="58"/>
        <v>0</v>
      </c>
      <c r="AZ139" s="940"/>
      <c r="BA139" s="962"/>
      <c r="BB139" s="962"/>
      <c r="BC139" s="598"/>
      <c r="BD139" s="665">
        <v>0</v>
      </c>
      <c r="BE139" s="596">
        <v>0</v>
      </c>
      <c r="BF139" s="596">
        <f t="shared" si="62"/>
        <v>0</v>
      </c>
      <c r="BG139" s="728"/>
      <c r="BH139" s="728"/>
      <c r="BI139" s="729">
        <f t="shared" si="59"/>
        <v>0</v>
      </c>
      <c r="BJ139" s="729"/>
      <c r="BK139" s="616"/>
      <c r="BL139" s="603">
        <f t="shared" si="60"/>
        <v>0</v>
      </c>
      <c r="BM139" s="964"/>
      <c r="BN139" s="602">
        <f t="shared" si="80"/>
        <v>0</v>
      </c>
      <c r="BO139" s="940"/>
      <c r="BP139" s="593">
        <f t="shared" si="73"/>
        <v>0</v>
      </c>
      <c r="BS139" s="741">
        <v>0</v>
      </c>
      <c r="BT139" s="741">
        <v>0</v>
      </c>
      <c r="BU139" s="741">
        <f t="shared" si="74"/>
        <v>0</v>
      </c>
      <c r="BV139" s="741">
        <v>0</v>
      </c>
      <c r="BW139" s="741"/>
      <c r="BX139" s="741">
        <v>0</v>
      </c>
      <c r="BY139" s="741">
        <v>0</v>
      </c>
      <c r="BZ139" s="741">
        <f t="shared" si="61"/>
        <v>0</v>
      </c>
      <c r="CA139" s="741">
        <v>0</v>
      </c>
      <c r="CB139" s="741"/>
      <c r="CC139" s="741">
        <f t="shared" si="75"/>
        <v>0</v>
      </c>
      <c r="CD139" s="751"/>
      <c r="CE139" s="748"/>
      <c r="CF139" s="748"/>
      <c r="CG139" s="748">
        <f t="shared" si="76"/>
        <v>0</v>
      </c>
      <c r="CH139" s="759"/>
      <c r="CI139" s="742"/>
      <c r="CJ139" s="591">
        <f t="shared" si="77"/>
        <v>0</v>
      </c>
    </row>
    <row r="140" spans="1:88" ht="66.75" customHeight="1" x14ac:dyDescent="0.25">
      <c r="A140" s="596" t="s">
        <v>28</v>
      </c>
      <c r="B140" s="769" t="s">
        <v>765</v>
      </c>
      <c r="C140" s="597" t="s">
        <v>83</v>
      </c>
      <c r="D140" s="166"/>
      <c r="E140" s="598">
        <v>0</v>
      </c>
      <c r="F140" s="596">
        <v>0</v>
      </c>
      <c r="G140" s="598">
        <v>0</v>
      </c>
      <c r="H140" s="596"/>
      <c r="I140" s="596">
        <f t="shared" ref="I140:I208" si="82">F140-H140</f>
        <v>0</v>
      </c>
      <c r="J140" s="728"/>
      <c r="K140" s="728"/>
      <c r="L140" s="731">
        <f t="shared" ref="L140:L206" si="83">J140+K140</f>
        <v>0</v>
      </c>
      <c r="M140" s="947"/>
      <c r="N140" s="617"/>
      <c r="O140" s="602">
        <f t="shared" si="81"/>
        <v>0</v>
      </c>
      <c r="P140" s="940"/>
      <c r="Q140" s="600">
        <f t="shared" si="78"/>
        <v>0</v>
      </c>
      <c r="R140" s="940"/>
      <c r="S140" s="596">
        <v>0</v>
      </c>
      <c r="T140" s="724"/>
      <c r="U140" s="728"/>
      <c r="V140" s="728"/>
      <c r="W140" s="731">
        <f t="shared" ref="W140:W206" si="84">U140+V140</f>
        <v>0</v>
      </c>
      <c r="X140" s="947"/>
      <c r="Y140" s="616"/>
      <c r="Z140" s="602">
        <f t="shared" si="54"/>
        <v>0</v>
      </c>
      <c r="AA140" s="835"/>
      <c r="AB140" s="602">
        <f t="shared" si="55"/>
        <v>0</v>
      </c>
      <c r="AC140" s="940"/>
      <c r="AD140" s="956"/>
      <c r="AE140" s="956"/>
      <c r="AF140" s="598">
        <v>0</v>
      </c>
      <c r="AG140" s="596"/>
      <c r="AH140" s="728"/>
      <c r="AI140" s="728"/>
      <c r="AJ140" s="729">
        <f t="shared" si="71"/>
        <v>0</v>
      </c>
      <c r="AK140" s="946"/>
      <c r="AL140" s="616"/>
      <c r="AM140" s="602">
        <f t="shared" si="56"/>
        <v>0</v>
      </c>
      <c r="AN140" s="835"/>
      <c r="AO140" s="835">
        <f t="shared" si="79"/>
        <v>0</v>
      </c>
      <c r="AP140" s="940"/>
      <c r="AQ140" s="722">
        <v>0</v>
      </c>
      <c r="AR140" s="728"/>
      <c r="AS140" s="728"/>
      <c r="AT140" s="729">
        <f t="shared" si="72"/>
        <v>0</v>
      </c>
      <c r="AU140" s="946"/>
      <c r="AV140" s="616"/>
      <c r="AW140" s="602">
        <f t="shared" si="57"/>
        <v>0</v>
      </c>
      <c r="AX140" s="940"/>
      <c r="AY140" s="602">
        <f t="shared" si="58"/>
        <v>0</v>
      </c>
      <c r="AZ140" s="940"/>
      <c r="BA140" s="962"/>
      <c r="BB140" s="962"/>
      <c r="BC140" s="598"/>
      <c r="BD140" s="665">
        <v>0</v>
      </c>
      <c r="BE140" s="596">
        <v>0</v>
      </c>
      <c r="BF140" s="596">
        <f t="shared" si="62"/>
        <v>0</v>
      </c>
      <c r="BG140" s="728"/>
      <c r="BH140" s="728"/>
      <c r="BI140" s="729">
        <f t="shared" ref="BI140:BI206" si="85">BG140+BH140</f>
        <v>0</v>
      </c>
      <c r="BJ140" s="729"/>
      <c r="BK140" s="616"/>
      <c r="BL140" s="603">
        <f t="shared" si="60"/>
        <v>0</v>
      </c>
      <c r="BM140" s="964"/>
      <c r="BN140" s="602">
        <f t="shared" si="80"/>
        <v>0</v>
      </c>
      <c r="BO140" s="940"/>
      <c r="BP140" s="593">
        <f t="shared" si="73"/>
        <v>0</v>
      </c>
      <c r="BS140" s="741">
        <v>0</v>
      </c>
      <c r="BT140" s="741">
        <v>0</v>
      </c>
      <c r="BU140" s="741">
        <f t="shared" si="74"/>
        <v>0</v>
      </c>
      <c r="BV140" s="741">
        <v>0</v>
      </c>
      <c r="BW140" s="741"/>
      <c r="BX140" s="741">
        <v>0</v>
      </c>
      <c r="BY140" s="741">
        <v>0</v>
      </c>
      <c r="BZ140" s="741">
        <f t="shared" ref="BZ140:BZ206" si="86">BX140+BY140</f>
        <v>0</v>
      </c>
      <c r="CA140" s="741">
        <v>0</v>
      </c>
      <c r="CB140" s="741"/>
      <c r="CC140" s="741">
        <f t="shared" si="75"/>
        <v>0</v>
      </c>
      <c r="CD140" s="751"/>
      <c r="CE140" s="748"/>
      <c r="CF140" s="748"/>
      <c r="CG140" s="748">
        <f t="shared" si="76"/>
        <v>0</v>
      </c>
      <c r="CH140" s="759"/>
      <c r="CI140" s="742"/>
      <c r="CJ140" s="591">
        <f t="shared" si="77"/>
        <v>0</v>
      </c>
    </row>
    <row r="141" spans="1:88" ht="65.25" customHeight="1" x14ac:dyDescent="0.25">
      <c r="A141" s="596"/>
      <c r="B141" s="769" t="s">
        <v>765</v>
      </c>
      <c r="C141" s="597" t="s">
        <v>593</v>
      </c>
      <c r="D141" s="166" t="s">
        <v>431</v>
      </c>
      <c r="E141" s="598">
        <v>11</v>
      </c>
      <c r="F141" s="596">
        <v>0</v>
      </c>
      <c r="G141" s="598">
        <v>0</v>
      </c>
      <c r="H141" s="596"/>
      <c r="I141" s="596">
        <f t="shared" si="82"/>
        <v>0</v>
      </c>
      <c r="J141" s="728">
        <v>16</v>
      </c>
      <c r="K141" s="728">
        <v>7</v>
      </c>
      <c r="L141" s="731">
        <f t="shared" si="83"/>
        <v>23</v>
      </c>
      <c r="M141" s="947"/>
      <c r="N141" s="617">
        <v>165</v>
      </c>
      <c r="O141" s="602">
        <f t="shared" si="81"/>
        <v>11</v>
      </c>
      <c r="P141" s="940"/>
      <c r="Q141" s="600">
        <f t="shared" si="78"/>
        <v>0</v>
      </c>
      <c r="R141" s="940"/>
      <c r="S141" s="596">
        <v>0</v>
      </c>
      <c r="T141" s="724"/>
      <c r="U141" s="728"/>
      <c r="V141" s="728"/>
      <c r="W141" s="731">
        <f t="shared" si="84"/>
        <v>0</v>
      </c>
      <c r="X141" s="947"/>
      <c r="Y141" s="616"/>
      <c r="Z141" s="602">
        <f t="shared" si="54"/>
        <v>0</v>
      </c>
      <c r="AA141" s="835"/>
      <c r="AB141" s="602">
        <f t="shared" si="55"/>
        <v>0</v>
      </c>
      <c r="AC141" s="940"/>
      <c r="AD141" s="956"/>
      <c r="AE141" s="956"/>
      <c r="AF141" s="598"/>
      <c r="AG141" s="596"/>
      <c r="AH141" s="728"/>
      <c r="AI141" s="728"/>
      <c r="AJ141" s="729">
        <f t="shared" si="71"/>
        <v>0</v>
      </c>
      <c r="AK141" s="946"/>
      <c r="AL141" s="616"/>
      <c r="AM141" s="602">
        <f t="shared" si="56"/>
        <v>0</v>
      </c>
      <c r="AN141" s="835"/>
      <c r="AO141" s="835">
        <f t="shared" si="79"/>
        <v>0</v>
      </c>
      <c r="AP141" s="940"/>
      <c r="AQ141" s="722">
        <v>0</v>
      </c>
      <c r="AR141" s="728"/>
      <c r="AS141" s="728"/>
      <c r="AT141" s="729">
        <f t="shared" si="72"/>
        <v>0</v>
      </c>
      <c r="AU141" s="946"/>
      <c r="AV141" s="616"/>
      <c r="AW141" s="602">
        <f t="shared" si="57"/>
        <v>0</v>
      </c>
      <c r="AX141" s="940"/>
      <c r="AY141" s="602">
        <f t="shared" si="58"/>
        <v>0</v>
      </c>
      <c r="AZ141" s="940"/>
      <c r="BA141" s="962"/>
      <c r="BB141" s="962"/>
      <c r="BC141" s="598"/>
      <c r="BD141" s="665">
        <v>11</v>
      </c>
      <c r="BE141" s="596">
        <v>0</v>
      </c>
      <c r="BF141" s="596">
        <f t="shared" si="62"/>
        <v>11</v>
      </c>
      <c r="BG141" s="728">
        <v>11</v>
      </c>
      <c r="BH141" s="728"/>
      <c r="BI141" s="729">
        <f t="shared" si="85"/>
        <v>11</v>
      </c>
      <c r="BJ141" s="729"/>
      <c r="BK141" s="616">
        <v>550</v>
      </c>
      <c r="BL141" s="603">
        <f t="shared" si="60"/>
        <v>11</v>
      </c>
      <c r="BM141" s="964"/>
      <c r="BN141" s="602">
        <f t="shared" si="80"/>
        <v>0</v>
      </c>
      <c r="BO141" s="940"/>
      <c r="BP141" s="593">
        <f t="shared" si="73"/>
        <v>0</v>
      </c>
      <c r="BS141" s="741">
        <v>0</v>
      </c>
      <c r="BT141" s="741">
        <v>0</v>
      </c>
      <c r="BU141" s="741">
        <f t="shared" si="74"/>
        <v>0</v>
      </c>
      <c r="BV141" s="741">
        <v>0</v>
      </c>
      <c r="BW141" s="741"/>
      <c r="BX141" s="741">
        <v>0</v>
      </c>
      <c r="BY141" s="741">
        <v>0</v>
      </c>
      <c r="BZ141" s="741">
        <f t="shared" si="86"/>
        <v>0</v>
      </c>
      <c r="CA141" s="741">
        <v>0</v>
      </c>
      <c r="CB141" s="741"/>
      <c r="CC141" s="741">
        <f t="shared" si="75"/>
        <v>0</v>
      </c>
      <c r="CD141" s="751"/>
      <c r="CE141" s="748"/>
      <c r="CF141" s="748"/>
      <c r="CG141" s="748">
        <f t="shared" si="76"/>
        <v>0</v>
      </c>
      <c r="CH141" s="759"/>
      <c r="CI141" s="742"/>
      <c r="CJ141" s="591">
        <f t="shared" si="77"/>
        <v>0</v>
      </c>
    </row>
    <row r="142" spans="1:88" ht="63.75" customHeight="1" x14ac:dyDescent="0.25">
      <c r="A142" s="596" t="s">
        <v>28</v>
      </c>
      <c r="B142" s="769" t="s">
        <v>765</v>
      </c>
      <c r="C142" s="597" t="s">
        <v>84</v>
      </c>
      <c r="D142" s="166" t="s">
        <v>431</v>
      </c>
      <c r="E142" s="598">
        <v>49</v>
      </c>
      <c r="F142" s="596">
        <v>0</v>
      </c>
      <c r="G142" s="598">
        <v>0</v>
      </c>
      <c r="H142" s="596"/>
      <c r="I142" s="596">
        <f t="shared" si="82"/>
        <v>0</v>
      </c>
      <c r="J142" s="728">
        <v>30</v>
      </c>
      <c r="K142" s="728">
        <v>7</v>
      </c>
      <c r="L142" s="731">
        <f t="shared" si="83"/>
        <v>37</v>
      </c>
      <c r="M142" s="947"/>
      <c r="N142" s="617">
        <v>735</v>
      </c>
      <c r="O142" s="602">
        <f t="shared" si="81"/>
        <v>49</v>
      </c>
      <c r="P142" s="940"/>
      <c r="Q142" s="600">
        <f t="shared" si="78"/>
        <v>0</v>
      </c>
      <c r="R142" s="940"/>
      <c r="S142" s="596">
        <v>0</v>
      </c>
      <c r="T142" s="724"/>
      <c r="U142" s="728"/>
      <c r="V142" s="728"/>
      <c r="W142" s="731">
        <f t="shared" si="84"/>
        <v>0</v>
      </c>
      <c r="X142" s="947"/>
      <c r="Y142" s="616"/>
      <c r="Z142" s="602">
        <f t="shared" ref="Z142:Z209" si="87">Y142/15</f>
        <v>0</v>
      </c>
      <c r="AA142" s="835"/>
      <c r="AB142" s="602">
        <f t="shared" ref="AB142:AB209" si="88">S142-Z142</f>
        <v>0</v>
      </c>
      <c r="AC142" s="940"/>
      <c r="AD142" s="956"/>
      <c r="AE142" s="956"/>
      <c r="AF142" s="598">
        <v>0</v>
      </c>
      <c r="AG142" s="596"/>
      <c r="AH142" s="728"/>
      <c r="AI142" s="728"/>
      <c r="AJ142" s="729">
        <f t="shared" si="71"/>
        <v>0</v>
      </c>
      <c r="AK142" s="946"/>
      <c r="AL142" s="616"/>
      <c r="AM142" s="602">
        <f t="shared" ref="AM142:AM210" si="89">AL142/15</f>
        <v>0</v>
      </c>
      <c r="AN142" s="835"/>
      <c r="AO142" s="835">
        <f t="shared" si="79"/>
        <v>0</v>
      </c>
      <c r="AP142" s="940"/>
      <c r="AQ142" s="722">
        <v>0</v>
      </c>
      <c r="AR142" s="728"/>
      <c r="AS142" s="728"/>
      <c r="AT142" s="729">
        <f t="shared" si="72"/>
        <v>0</v>
      </c>
      <c r="AU142" s="946"/>
      <c r="AV142" s="616"/>
      <c r="AW142" s="602">
        <f t="shared" ref="AW142:AW209" si="90">AV142/15</f>
        <v>0</v>
      </c>
      <c r="AX142" s="940"/>
      <c r="AY142" s="602">
        <f t="shared" ref="AY142:AY209" si="91">AQ142-AW142</f>
        <v>0</v>
      </c>
      <c r="AZ142" s="940"/>
      <c r="BA142" s="962"/>
      <c r="BB142" s="962"/>
      <c r="BC142" s="598"/>
      <c r="BD142" s="665">
        <v>49</v>
      </c>
      <c r="BE142" s="596">
        <v>0</v>
      </c>
      <c r="BF142" s="596">
        <f t="shared" si="62"/>
        <v>49</v>
      </c>
      <c r="BG142" s="728">
        <f>16+14</f>
        <v>30</v>
      </c>
      <c r="BH142" s="728">
        <f>6+1</f>
        <v>7</v>
      </c>
      <c r="BI142" s="729">
        <f t="shared" si="85"/>
        <v>37</v>
      </c>
      <c r="BJ142" s="729"/>
      <c r="BK142" s="616">
        <f>1550+900</f>
        <v>2450</v>
      </c>
      <c r="BL142" s="603">
        <f t="shared" ref="BL142:BL210" si="92">BK142/50</f>
        <v>49</v>
      </c>
      <c r="BM142" s="964"/>
      <c r="BN142" s="602">
        <f t="shared" si="80"/>
        <v>0</v>
      </c>
      <c r="BO142" s="940"/>
      <c r="BP142" s="593">
        <f t="shared" si="73"/>
        <v>0</v>
      </c>
      <c r="BS142" s="741">
        <v>0</v>
      </c>
      <c r="BT142" s="741">
        <v>0</v>
      </c>
      <c r="BU142" s="741">
        <f t="shared" si="74"/>
        <v>0</v>
      </c>
      <c r="BV142" s="741">
        <v>0</v>
      </c>
      <c r="BW142" s="741"/>
      <c r="BX142" s="741">
        <v>0</v>
      </c>
      <c r="BY142" s="741">
        <v>0</v>
      </c>
      <c r="BZ142" s="741">
        <f t="shared" si="86"/>
        <v>0</v>
      </c>
      <c r="CA142" s="741">
        <v>0</v>
      </c>
      <c r="CB142" s="741"/>
      <c r="CC142" s="741">
        <f t="shared" si="75"/>
        <v>0</v>
      </c>
      <c r="CD142" s="751"/>
      <c r="CE142" s="748"/>
      <c r="CF142" s="748"/>
      <c r="CG142" s="748">
        <f t="shared" si="76"/>
        <v>0</v>
      </c>
      <c r="CH142" s="759"/>
      <c r="CI142" s="742"/>
      <c r="CJ142" s="591">
        <f t="shared" si="77"/>
        <v>0</v>
      </c>
    </row>
    <row r="143" spans="1:88" ht="21.6" customHeight="1" x14ac:dyDescent="0.25">
      <c r="A143" s="596"/>
      <c r="B143" s="596"/>
      <c r="C143" s="597"/>
      <c r="D143" s="143"/>
      <c r="E143" s="598">
        <v>0</v>
      </c>
      <c r="F143" s="596">
        <v>0</v>
      </c>
      <c r="G143" s="598"/>
      <c r="H143" s="596"/>
      <c r="I143" s="596">
        <f t="shared" si="82"/>
        <v>0</v>
      </c>
      <c r="J143" s="728"/>
      <c r="K143" s="728"/>
      <c r="L143" s="731">
        <f t="shared" si="83"/>
        <v>0</v>
      </c>
      <c r="M143" s="947"/>
      <c r="N143" s="617"/>
      <c r="O143" s="602">
        <f t="shared" si="81"/>
        <v>0</v>
      </c>
      <c r="P143" s="940"/>
      <c r="Q143" s="600">
        <f t="shared" si="78"/>
        <v>0</v>
      </c>
      <c r="R143" s="940"/>
      <c r="S143" s="596">
        <v>0</v>
      </c>
      <c r="T143" s="724"/>
      <c r="U143" s="728"/>
      <c r="V143" s="728"/>
      <c r="W143" s="731">
        <f t="shared" si="84"/>
        <v>0</v>
      </c>
      <c r="X143" s="947"/>
      <c r="Y143" s="616"/>
      <c r="Z143" s="602">
        <f t="shared" si="87"/>
        <v>0</v>
      </c>
      <c r="AA143" s="835"/>
      <c r="AB143" s="602">
        <f t="shared" si="88"/>
        <v>0</v>
      </c>
      <c r="AC143" s="940"/>
      <c r="AD143" s="956"/>
      <c r="AE143" s="956"/>
      <c r="AF143" s="598"/>
      <c r="AG143" s="596"/>
      <c r="AH143" s="728"/>
      <c r="AI143" s="728"/>
      <c r="AJ143" s="729">
        <f t="shared" si="71"/>
        <v>0</v>
      </c>
      <c r="AK143" s="946"/>
      <c r="AL143" s="616"/>
      <c r="AM143" s="602">
        <f t="shared" si="89"/>
        <v>0</v>
      </c>
      <c r="AN143" s="835"/>
      <c r="AO143" s="835">
        <f t="shared" si="79"/>
        <v>0</v>
      </c>
      <c r="AP143" s="940"/>
      <c r="AQ143" s="722">
        <v>0</v>
      </c>
      <c r="AR143" s="728"/>
      <c r="AS143" s="728"/>
      <c r="AT143" s="729">
        <f t="shared" si="72"/>
        <v>0</v>
      </c>
      <c r="AU143" s="946"/>
      <c r="AV143" s="616"/>
      <c r="AW143" s="602">
        <f t="shared" si="90"/>
        <v>0</v>
      </c>
      <c r="AX143" s="940"/>
      <c r="AY143" s="602">
        <f t="shared" si="91"/>
        <v>0</v>
      </c>
      <c r="AZ143" s="940"/>
      <c r="BA143" s="962"/>
      <c r="BB143" s="962"/>
      <c r="BC143" s="611"/>
      <c r="BD143" s="712"/>
      <c r="BE143" s="596"/>
      <c r="BF143" s="596">
        <f t="shared" ref="BF143:BF211" si="93">BD143-BE143</f>
        <v>0</v>
      </c>
      <c r="BG143" s="728"/>
      <c r="BH143" s="728"/>
      <c r="BI143" s="729">
        <f t="shared" si="85"/>
        <v>0</v>
      </c>
      <c r="BJ143" s="729"/>
      <c r="BK143" s="616"/>
      <c r="BL143" s="603">
        <f t="shared" si="92"/>
        <v>0</v>
      </c>
      <c r="BM143" s="964"/>
      <c r="BN143" s="602">
        <f t="shared" si="80"/>
        <v>0</v>
      </c>
      <c r="BO143" s="940"/>
      <c r="BP143" s="593">
        <f t="shared" si="73"/>
        <v>0</v>
      </c>
      <c r="BS143" s="741">
        <v>0</v>
      </c>
      <c r="BT143" s="741">
        <v>0</v>
      </c>
      <c r="BU143" s="741">
        <f t="shared" si="74"/>
        <v>0</v>
      </c>
      <c r="BV143" s="741">
        <v>0</v>
      </c>
      <c r="BW143" s="741"/>
      <c r="BX143" s="741">
        <v>0</v>
      </c>
      <c r="BY143" s="741">
        <v>0</v>
      </c>
      <c r="BZ143" s="741">
        <f t="shared" si="86"/>
        <v>0</v>
      </c>
      <c r="CA143" s="741">
        <v>0</v>
      </c>
      <c r="CB143" s="741"/>
      <c r="CC143" s="741">
        <f t="shared" si="75"/>
        <v>0</v>
      </c>
      <c r="CD143" s="751"/>
      <c r="CE143" s="748"/>
      <c r="CF143" s="748"/>
      <c r="CG143" s="748">
        <f t="shared" si="76"/>
        <v>0</v>
      </c>
      <c r="CH143" s="759"/>
      <c r="CI143" s="742"/>
      <c r="CJ143" s="591">
        <f t="shared" si="77"/>
        <v>0</v>
      </c>
    </row>
    <row r="144" spans="1:88" s="593" customFormat="1" ht="21.6" customHeight="1" x14ac:dyDescent="0.25">
      <c r="A144" s="606"/>
      <c r="B144" s="606" t="s">
        <v>330</v>
      </c>
      <c r="C144" s="607" t="s">
        <v>331</v>
      </c>
      <c r="D144" s="166" t="s">
        <v>431</v>
      </c>
      <c r="E144" s="608">
        <v>27</v>
      </c>
      <c r="F144" s="606">
        <v>27</v>
      </c>
      <c r="G144" s="608">
        <v>27</v>
      </c>
      <c r="H144" s="606">
        <v>27</v>
      </c>
      <c r="I144" s="606">
        <f t="shared" si="82"/>
        <v>0</v>
      </c>
      <c r="J144" s="728">
        <f>33</f>
        <v>33</v>
      </c>
      <c r="K144" s="728">
        <f>4</f>
        <v>4</v>
      </c>
      <c r="L144" s="731">
        <f t="shared" si="83"/>
        <v>37</v>
      </c>
      <c r="M144" s="947">
        <f>SUM(L144:L149)</f>
        <v>37</v>
      </c>
      <c r="N144" s="617">
        <v>405</v>
      </c>
      <c r="O144" s="602">
        <f t="shared" si="81"/>
        <v>27</v>
      </c>
      <c r="P144" s="940">
        <f>SUM(O144:O149)</f>
        <v>27</v>
      </c>
      <c r="Q144" s="600">
        <f t="shared" si="78"/>
        <v>0</v>
      </c>
      <c r="R144" s="940">
        <f>SUM(Q144:Q149)</f>
        <v>0</v>
      </c>
      <c r="S144" s="596">
        <v>0</v>
      </c>
      <c r="T144" s="724">
        <f>SUM(S144:S149)</f>
        <v>0</v>
      </c>
      <c r="U144" s="728"/>
      <c r="V144" s="728"/>
      <c r="W144" s="731">
        <f t="shared" si="84"/>
        <v>0</v>
      </c>
      <c r="X144" s="947">
        <f>SUM(W144:W149)</f>
        <v>0</v>
      </c>
      <c r="Y144" s="616"/>
      <c r="Z144" s="602">
        <f t="shared" si="87"/>
        <v>0</v>
      </c>
      <c r="AA144" s="835">
        <f>SUM(Z144:Z149)</f>
        <v>0</v>
      </c>
      <c r="AB144" s="602">
        <f t="shared" si="88"/>
        <v>0</v>
      </c>
      <c r="AC144" s="940">
        <f>SUM(AB144:AB149)</f>
        <v>0</v>
      </c>
      <c r="AD144" s="955">
        <f>M144+X144</f>
        <v>37</v>
      </c>
      <c r="AE144" s="955">
        <f>R144+AC144</f>
        <v>0</v>
      </c>
      <c r="AF144" s="608">
        <v>0</v>
      </c>
      <c r="AG144" s="606">
        <f>SUM(AF144:AF149)</f>
        <v>50</v>
      </c>
      <c r="AH144" s="728"/>
      <c r="AI144" s="728"/>
      <c r="AJ144" s="729">
        <f t="shared" si="71"/>
        <v>0</v>
      </c>
      <c r="AK144" s="946">
        <f>SUM(AJ144:AJ149)</f>
        <v>52</v>
      </c>
      <c r="AL144" s="616"/>
      <c r="AM144" s="602">
        <f t="shared" si="89"/>
        <v>0</v>
      </c>
      <c r="AN144" s="835">
        <f>SUM(AM144:AM149)</f>
        <v>50</v>
      </c>
      <c r="AO144" s="835">
        <f t="shared" si="79"/>
        <v>0</v>
      </c>
      <c r="AP144" s="940">
        <f>SUM(AO144:AO149)</f>
        <v>0</v>
      </c>
      <c r="AQ144" s="722">
        <v>0</v>
      </c>
      <c r="AR144" s="728"/>
      <c r="AS144" s="728"/>
      <c r="AT144" s="729">
        <f t="shared" si="72"/>
        <v>0</v>
      </c>
      <c r="AU144" s="946">
        <f>SUM(AT144:AT149)</f>
        <v>49</v>
      </c>
      <c r="AV144" s="616"/>
      <c r="AW144" s="602">
        <f t="shared" si="90"/>
        <v>0</v>
      </c>
      <c r="AX144" s="940">
        <f>SUM(AW144:AW149)</f>
        <v>41</v>
      </c>
      <c r="AY144" s="602">
        <f t="shared" si="91"/>
        <v>0</v>
      </c>
      <c r="AZ144" s="940">
        <f>SUM(AY144:AY149)</f>
        <v>0</v>
      </c>
      <c r="BA144" s="961">
        <f>AK144+AU144</f>
        <v>101</v>
      </c>
      <c r="BB144" s="961">
        <f>AP144+AZ144</f>
        <v>0</v>
      </c>
      <c r="BC144" s="608">
        <f>SUM(BD144:BD149)</f>
        <v>102</v>
      </c>
      <c r="BD144" s="713">
        <v>27</v>
      </c>
      <c r="BE144" s="606">
        <v>0</v>
      </c>
      <c r="BF144" s="596">
        <f t="shared" si="93"/>
        <v>27</v>
      </c>
      <c r="BG144" s="728">
        <v>35</v>
      </c>
      <c r="BH144" s="728">
        <v>4</v>
      </c>
      <c r="BI144" s="729">
        <f t="shared" si="85"/>
        <v>39</v>
      </c>
      <c r="BJ144" s="729">
        <f>SUM(BI144:BI149)</f>
        <v>130</v>
      </c>
      <c r="BK144" s="616">
        <v>1350</v>
      </c>
      <c r="BL144" s="603">
        <f t="shared" si="92"/>
        <v>27</v>
      </c>
      <c r="BM144" s="964">
        <f>SUM(BL144:BL149)</f>
        <v>102</v>
      </c>
      <c r="BN144" s="602">
        <f t="shared" si="80"/>
        <v>0</v>
      </c>
      <c r="BO144" s="940">
        <f>SUM(BN144:BN149)</f>
        <v>0</v>
      </c>
      <c r="BP144" s="593">
        <f t="shared" si="73"/>
        <v>0</v>
      </c>
      <c r="BS144" s="744">
        <v>0</v>
      </c>
      <c r="BT144" s="744">
        <v>0</v>
      </c>
      <c r="BU144" s="741">
        <f t="shared" si="74"/>
        <v>0</v>
      </c>
      <c r="BV144" s="744">
        <v>0</v>
      </c>
      <c r="BW144" s="744">
        <f>SUM(BV144:BV149)</f>
        <v>0</v>
      </c>
      <c r="BX144" s="744">
        <v>0</v>
      </c>
      <c r="BY144" s="744">
        <v>0</v>
      </c>
      <c r="BZ144" s="741">
        <f t="shared" si="86"/>
        <v>0</v>
      </c>
      <c r="CA144" s="744">
        <v>0</v>
      </c>
      <c r="CB144" s="744">
        <f>SUM(CA144:CA149)</f>
        <v>25</v>
      </c>
      <c r="CC144" s="741">
        <f t="shared" si="75"/>
        <v>0</v>
      </c>
      <c r="CD144" s="754">
        <f>SUM(CC144:CC149)</f>
        <v>25</v>
      </c>
      <c r="CE144" s="748"/>
      <c r="CF144" s="748"/>
      <c r="CG144" s="748">
        <f t="shared" si="76"/>
        <v>0</v>
      </c>
      <c r="CH144" s="765"/>
      <c r="CI144" s="744">
        <f>SUM(CH144:CH149)</f>
        <v>0</v>
      </c>
      <c r="CJ144" s="593">
        <f t="shared" si="77"/>
        <v>0</v>
      </c>
    </row>
    <row r="145" spans="1:88" s="593" customFormat="1" ht="51" customHeight="1" x14ac:dyDescent="0.25">
      <c r="A145" s="606"/>
      <c r="B145" s="606"/>
      <c r="C145" s="607" t="s">
        <v>873</v>
      </c>
      <c r="D145" s="166"/>
      <c r="E145" s="608"/>
      <c r="F145" s="606"/>
      <c r="G145" s="608"/>
      <c r="H145" s="606"/>
      <c r="I145" s="606"/>
      <c r="J145" s="728"/>
      <c r="K145" s="728"/>
      <c r="L145" s="731"/>
      <c r="M145" s="947"/>
      <c r="N145" s="617"/>
      <c r="O145" s="602"/>
      <c r="P145" s="940"/>
      <c r="Q145" s="600"/>
      <c r="R145" s="940"/>
      <c r="S145" s="1128"/>
      <c r="T145" s="1128"/>
      <c r="U145" s="728"/>
      <c r="V145" s="728"/>
      <c r="W145" s="731"/>
      <c r="X145" s="947"/>
      <c r="Y145" s="616"/>
      <c r="Z145" s="602"/>
      <c r="AA145" s="1126"/>
      <c r="AB145" s="602"/>
      <c r="AC145" s="940"/>
      <c r="AD145" s="955"/>
      <c r="AE145" s="955"/>
      <c r="AF145" s="608">
        <v>50</v>
      </c>
      <c r="AG145" s="606"/>
      <c r="AH145" s="728">
        <v>38</v>
      </c>
      <c r="AI145" s="728">
        <v>14</v>
      </c>
      <c r="AJ145" s="729">
        <f t="shared" si="71"/>
        <v>52</v>
      </c>
      <c r="AK145" s="946"/>
      <c r="AL145" s="616">
        <v>750</v>
      </c>
      <c r="AM145" s="602">
        <f t="shared" si="89"/>
        <v>50</v>
      </c>
      <c r="AN145" s="1126"/>
      <c r="AO145" s="1126">
        <f t="shared" si="79"/>
        <v>0</v>
      </c>
      <c r="AP145" s="940"/>
      <c r="AQ145" s="722">
        <v>0</v>
      </c>
      <c r="AR145" s="728"/>
      <c r="AS145" s="728"/>
      <c r="AT145" s="729">
        <f t="shared" si="72"/>
        <v>0</v>
      </c>
      <c r="AU145" s="946"/>
      <c r="AV145" s="616"/>
      <c r="AW145" s="602">
        <f t="shared" si="90"/>
        <v>0</v>
      </c>
      <c r="AX145" s="940"/>
      <c r="AY145" s="602">
        <f t="shared" si="91"/>
        <v>0</v>
      </c>
      <c r="AZ145" s="940"/>
      <c r="BA145" s="961"/>
      <c r="BB145" s="961"/>
      <c r="BC145" s="608"/>
      <c r="BD145" s="713">
        <f>25+25</f>
        <v>50</v>
      </c>
      <c r="BE145" s="606">
        <v>0</v>
      </c>
      <c r="BF145" s="1128">
        <f t="shared" si="93"/>
        <v>50</v>
      </c>
      <c r="BG145" s="728">
        <v>36</v>
      </c>
      <c r="BH145" s="728">
        <v>16</v>
      </c>
      <c r="BI145" s="729">
        <f t="shared" si="85"/>
        <v>52</v>
      </c>
      <c r="BJ145" s="729"/>
      <c r="BK145" s="616">
        <v>2500</v>
      </c>
      <c r="BL145" s="603">
        <f t="shared" si="92"/>
        <v>50</v>
      </c>
      <c r="BM145" s="1126"/>
      <c r="BN145" s="602">
        <f t="shared" si="80"/>
        <v>0</v>
      </c>
      <c r="BO145" s="940"/>
      <c r="BS145" s="744"/>
      <c r="BT145" s="744"/>
      <c r="BU145" s="1127"/>
      <c r="BV145" s="744"/>
      <c r="BW145" s="744"/>
      <c r="BX145" s="744"/>
      <c r="BY145" s="744"/>
      <c r="BZ145" s="1127"/>
      <c r="CA145" s="744"/>
      <c r="CB145" s="744"/>
      <c r="CC145" s="1127"/>
      <c r="CD145" s="754"/>
      <c r="CE145" s="849"/>
      <c r="CF145" s="849"/>
      <c r="CG145" s="849"/>
      <c r="CH145" s="765"/>
      <c r="CI145" s="744"/>
    </row>
    <row r="146" spans="1:88" s="593" customFormat="1" ht="46.5" customHeight="1" x14ac:dyDescent="0.25">
      <c r="A146" s="606"/>
      <c r="B146" s="606"/>
      <c r="C146" s="607" t="s">
        <v>874</v>
      </c>
      <c r="D146" s="166"/>
      <c r="E146" s="608"/>
      <c r="F146" s="606"/>
      <c r="G146" s="608"/>
      <c r="H146" s="606"/>
      <c r="I146" s="606"/>
      <c r="J146" s="728"/>
      <c r="K146" s="728"/>
      <c r="L146" s="731"/>
      <c r="M146" s="947"/>
      <c r="N146" s="617"/>
      <c r="O146" s="602"/>
      <c r="P146" s="940"/>
      <c r="Q146" s="600"/>
      <c r="R146" s="940"/>
      <c r="S146" s="1128"/>
      <c r="T146" s="1128"/>
      <c r="U146" s="728"/>
      <c r="V146" s="728"/>
      <c r="W146" s="731"/>
      <c r="X146" s="947"/>
      <c r="Y146" s="616"/>
      <c r="Z146" s="602"/>
      <c r="AA146" s="1126"/>
      <c r="AB146" s="602"/>
      <c r="AC146" s="940"/>
      <c r="AD146" s="955"/>
      <c r="AE146" s="955"/>
      <c r="AF146" s="608">
        <v>0</v>
      </c>
      <c r="AG146" s="606"/>
      <c r="AH146" s="728"/>
      <c r="AI146" s="728"/>
      <c r="AJ146" s="729">
        <f t="shared" si="71"/>
        <v>0</v>
      </c>
      <c r="AK146" s="946"/>
      <c r="AL146" s="616"/>
      <c r="AM146" s="602">
        <f t="shared" si="89"/>
        <v>0</v>
      </c>
      <c r="AN146" s="1126"/>
      <c r="AO146" s="1126">
        <f t="shared" si="79"/>
        <v>0</v>
      </c>
      <c r="AP146" s="940"/>
      <c r="AQ146" s="722">
        <v>16</v>
      </c>
      <c r="AR146" s="728">
        <v>7</v>
      </c>
      <c r="AS146" s="728">
        <v>3</v>
      </c>
      <c r="AT146" s="729">
        <f t="shared" si="72"/>
        <v>10</v>
      </c>
      <c r="AU146" s="946"/>
      <c r="AV146" s="616">
        <v>240</v>
      </c>
      <c r="AW146" s="602">
        <f t="shared" si="90"/>
        <v>16</v>
      </c>
      <c r="AX146" s="940"/>
      <c r="AY146" s="602">
        <f t="shared" si="91"/>
        <v>0</v>
      </c>
      <c r="AZ146" s="940"/>
      <c r="BA146" s="961"/>
      <c r="BB146" s="961"/>
      <c r="BC146" s="608"/>
      <c r="BD146" s="713"/>
      <c r="BE146" s="606"/>
      <c r="BF146" s="1128">
        <f t="shared" si="93"/>
        <v>0</v>
      </c>
      <c r="BG146" s="728"/>
      <c r="BH146" s="728"/>
      <c r="BI146" s="729">
        <f t="shared" si="85"/>
        <v>0</v>
      </c>
      <c r="BJ146" s="729"/>
      <c r="BK146" s="616"/>
      <c r="BL146" s="603">
        <f t="shared" si="92"/>
        <v>0</v>
      </c>
      <c r="BM146" s="1126"/>
      <c r="BN146" s="602">
        <f t="shared" si="80"/>
        <v>0</v>
      </c>
      <c r="BO146" s="940"/>
      <c r="BS146" s="744"/>
      <c r="BT146" s="744"/>
      <c r="BU146" s="1127"/>
      <c r="BV146" s="744"/>
      <c r="BW146" s="744"/>
      <c r="BX146" s="744"/>
      <c r="BY146" s="744"/>
      <c r="BZ146" s="1127"/>
      <c r="CA146" s="744"/>
      <c r="CB146" s="744"/>
      <c r="CC146" s="1127"/>
      <c r="CD146" s="754"/>
      <c r="CE146" s="849"/>
      <c r="CF146" s="849"/>
      <c r="CG146" s="849"/>
      <c r="CH146" s="765"/>
      <c r="CI146" s="744"/>
    </row>
    <row r="147" spans="1:88" ht="50.25" customHeight="1" x14ac:dyDescent="0.25">
      <c r="A147" s="596"/>
      <c r="B147" s="596" t="s">
        <v>330</v>
      </c>
      <c r="C147" s="718" t="s">
        <v>543</v>
      </c>
      <c r="D147" s="166" t="s">
        <v>431</v>
      </c>
      <c r="E147" s="598">
        <v>0</v>
      </c>
      <c r="F147" s="596">
        <v>0</v>
      </c>
      <c r="G147" s="598"/>
      <c r="H147" s="596"/>
      <c r="I147" s="596">
        <f t="shared" si="82"/>
        <v>0</v>
      </c>
      <c r="J147" s="728"/>
      <c r="K147" s="728"/>
      <c r="L147" s="731">
        <f t="shared" si="83"/>
        <v>0</v>
      </c>
      <c r="M147" s="947"/>
      <c r="N147" s="617"/>
      <c r="O147" s="602">
        <f t="shared" si="81"/>
        <v>0</v>
      </c>
      <c r="P147" s="940"/>
      <c r="Q147" s="600">
        <f t="shared" si="78"/>
        <v>0</v>
      </c>
      <c r="R147" s="940"/>
      <c r="S147" s="596">
        <v>0</v>
      </c>
      <c r="T147" s="724"/>
      <c r="U147" s="728"/>
      <c r="V147" s="728"/>
      <c r="W147" s="731">
        <f t="shared" si="84"/>
        <v>0</v>
      </c>
      <c r="X147" s="947"/>
      <c r="Y147" s="616"/>
      <c r="Z147" s="602">
        <f t="shared" si="87"/>
        <v>0</v>
      </c>
      <c r="AA147" s="835"/>
      <c r="AB147" s="602">
        <f t="shared" si="88"/>
        <v>0</v>
      </c>
      <c r="AC147" s="940"/>
      <c r="AD147" s="956"/>
      <c r="AE147" s="956"/>
      <c r="AF147" s="598">
        <v>0</v>
      </c>
      <c r="AG147" s="596"/>
      <c r="AH147" s="728"/>
      <c r="AI147" s="728"/>
      <c r="AJ147" s="729">
        <f t="shared" si="71"/>
        <v>0</v>
      </c>
      <c r="AK147" s="946"/>
      <c r="AL147" s="616"/>
      <c r="AM147" s="602">
        <f t="shared" si="89"/>
        <v>0</v>
      </c>
      <c r="AN147" s="835"/>
      <c r="AO147" s="835">
        <f t="shared" si="79"/>
        <v>0</v>
      </c>
      <c r="AP147" s="940"/>
      <c r="AQ147" s="722">
        <v>0</v>
      </c>
      <c r="AR147" s="728"/>
      <c r="AS147" s="728"/>
      <c r="AT147" s="729">
        <f t="shared" si="72"/>
        <v>0</v>
      </c>
      <c r="AU147" s="946"/>
      <c r="AV147" s="616"/>
      <c r="AW147" s="602">
        <f t="shared" si="90"/>
        <v>0</v>
      </c>
      <c r="AX147" s="940"/>
      <c r="AY147" s="602">
        <f t="shared" si="91"/>
        <v>0</v>
      </c>
      <c r="AZ147" s="940"/>
      <c r="BA147" s="962"/>
      <c r="BB147" s="962"/>
      <c r="BC147" s="598"/>
      <c r="BD147" s="665">
        <v>0</v>
      </c>
      <c r="BE147" s="596">
        <v>0</v>
      </c>
      <c r="BF147" s="596">
        <f t="shared" si="93"/>
        <v>0</v>
      </c>
      <c r="BG147" s="728"/>
      <c r="BH147" s="728"/>
      <c r="BI147" s="729">
        <f t="shared" si="85"/>
        <v>0</v>
      </c>
      <c r="BJ147" s="729"/>
      <c r="BK147" s="616"/>
      <c r="BL147" s="603">
        <f t="shared" si="92"/>
        <v>0</v>
      </c>
      <c r="BM147" s="964"/>
      <c r="BN147" s="602">
        <f t="shared" si="80"/>
        <v>0</v>
      </c>
      <c r="BO147" s="940"/>
      <c r="BP147" s="593">
        <f t="shared" si="73"/>
        <v>0</v>
      </c>
      <c r="BS147" s="741">
        <v>0</v>
      </c>
      <c r="BT147" s="741">
        <v>0</v>
      </c>
      <c r="BU147" s="741">
        <f t="shared" si="74"/>
        <v>0</v>
      </c>
      <c r="BV147" s="741">
        <v>0</v>
      </c>
      <c r="BW147" s="741"/>
      <c r="BX147" s="741">
        <v>0</v>
      </c>
      <c r="BY147" s="741">
        <v>0</v>
      </c>
      <c r="BZ147" s="741">
        <f t="shared" si="86"/>
        <v>0</v>
      </c>
      <c r="CA147" s="741">
        <v>0</v>
      </c>
      <c r="CB147" s="741"/>
      <c r="CC147" s="741">
        <f t="shared" si="75"/>
        <v>0</v>
      </c>
      <c r="CD147" s="751"/>
      <c r="CE147" s="748"/>
      <c r="CF147" s="748"/>
      <c r="CG147" s="748">
        <f t="shared" si="76"/>
        <v>0</v>
      </c>
      <c r="CH147" s="759"/>
      <c r="CI147" s="742"/>
      <c r="CJ147" s="591">
        <f t="shared" si="77"/>
        <v>0</v>
      </c>
    </row>
    <row r="148" spans="1:88" ht="36" customHeight="1" x14ac:dyDescent="0.25">
      <c r="A148" s="596"/>
      <c r="B148" s="596" t="s">
        <v>330</v>
      </c>
      <c r="C148" s="718" t="s">
        <v>544</v>
      </c>
      <c r="D148" s="166" t="s">
        <v>431</v>
      </c>
      <c r="E148" s="598">
        <v>0</v>
      </c>
      <c r="F148" s="596">
        <v>0</v>
      </c>
      <c r="G148" s="598"/>
      <c r="H148" s="596"/>
      <c r="I148" s="596">
        <f t="shared" si="82"/>
        <v>0</v>
      </c>
      <c r="J148" s="728"/>
      <c r="K148" s="728"/>
      <c r="L148" s="731">
        <f t="shared" si="83"/>
        <v>0</v>
      </c>
      <c r="M148" s="947"/>
      <c r="N148" s="617"/>
      <c r="O148" s="602">
        <f t="shared" si="81"/>
        <v>0</v>
      </c>
      <c r="P148" s="940"/>
      <c r="Q148" s="600">
        <f t="shared" si="78"/>
        <v>0</v>
      </c>
      <c r="R148" s="940"/>
      <c r="S148" s="596">
        <v>0</v>
      </c>
      <c r="T148" s="724"/>
      <c r="U148" s="728"/>
      <c r="V148" s="728"/>
      <c r="W148" s="731">
        <f t="shared" si="84"/>
        <v>0</v>
      </c>
      <c r="X148" s="947"/>
      <c r="Y148" s="616"/>
      <c r="Z148" s="602">
        <f t="shared" si="87"/>
        <v>0</v>
      </c>
      <c r="AA148" s="835"/>
      <c r="AB148" s="602">
        <f t="shared" si="88"/>
        <v>0</v>
      </c>
      <c r="AC148" s="940"/>
      <c r="AD148" s="956"/>
      <c r="AE148" s="956"/>
      <c r="AF148" s="598">
        <v>0</v>
      </c>
      <c r="AG148" s="596"/>
      <c r="AH148" s="728"/>
      <c r="AI148" s="728"/>
      <c r="AJ148" s="729">
        <f t="shared" si="71"/>
        <v>0</v>
      </c>
      <c r="AK148" s="946"/>
      <c r="AL148" s="616"/>
      <c r="AM148" s="602">
        <f t="shared" si="89"/>
        <v>0</v>
      </c>
      <c r="AN148" s="835"/>
      <c r="AO148" s="835">
        <f t="shared" si="79"/>
        <v>0</v>
      </c>
      <c r="AP148" s="940"/>
      <c r="AQ148" s="722">
        <v>0</v>
      </c>
      <c r="AR148" s="728"/>
      <c r="AS148" s="728"/>
      <c r="AT148" s="729">
        <f t="shared" si="72"/>
        <v>0</v>
      </c>
      <c r="AU148" s="946"/>
      <c r="AV148" s="616"/>
      <c r="AW148" s="602">
        <f t="shared" si="90"/>
        <v>0</v>
      </c>
      <c r="AX148" s="940"/>
      <c r="AY148" s="602">
        <f t="shared" si="91"/>
        <v>0</v>
      </c>
      <c r="AZ148" s="940"/>
      <c r="BA148" s="962"/>
      <c r="BB148" s="962"/>
      <c r="BC148" s="598"/>
      <c r="BD148" s="665">
        <v>0</v>
      </c>
      <c r="BE148" s="596">
        <v>0</v>
      </c>
      <c r="BF148" s="596">
        <f t="shared" si="93"/>
        <v>0</v>
      </c>
      <c r="BG148" s="728"/>
      <c r="BH148" s="728"/>
      <c r="BI148" s="729">
        <f t="shared" si="85"/>
        <v>0</v>
      </c>
      <c r="BJ148" s="729"/>
      <c r="BK148" s="616"/>
      <c r="BL148" s="603">
        <f t="shared" si="92"/>
        <v>0</v>
      </c>
      <c r="BM148" s="964"/>
      <c r="BN148" s="602">
        <f t="shared" si="80"/>
        <v>0</v>
      </c>
      <c r="BO148" s="940"/>
      <c r="BP148" s="593">
        <f t="shared" si="73"/>
        <v>0</v>
      </c>
      <c r="BS148" s="741">
        <v>0</v>
      </c>
      <c r="BT148" s="741">
        <v>0</v>
      </c>
      <c r="BU148" s="741">
        <f t="shared" si="74"/>
        <v>0</v>
      </c>
      <c r="BV148" s="741">
        <v>0</v>
      </c>
      <c r="BW148" s="741"/>
      <c r="BX148" s="741">
        <v>0</v>
      </c>
      <c r="BY148" s="741">
        <v>0</v>
      </c>
      <c r="BZ148" s="741">
        <f t="shared" si="86"/>
        <v>0</v>
      </c>
      <c r="CA148" s="741">
        <v>25</v>
      </c>
      <c r="CB148" s="741"/>
      <c r="CC148" s="741">
        <f t="shared" si="75"/>
        <v>25</v>
      </c>
      <c r="CD148" s="751"/>
      <c r="CE148" s="748"/>
      <c r="CF148" s="748"/>
      <c r="CG148" s="748">
        <f t="shared" si="76"/>
        <v>0</v>
      </c>
      <c r="CH148" s="759"/>
      <c r="CI148" s="742"/>
      <c r="CJ148" s="591">
        <f t="shared" si="77"/>
        <v>0</v>
      </c>
    </row>
    <row r="149" spans="1:88" ht="21.6" customHeight="1" x14ac:dyDescent="0.25">
      <c r="A149" s="596"/>
      <c r="B149" s="596" t="s">
        <v>330</v>
      </c>
      <c r="C149" s="597" t="s">
        <v>332</v>
      </c>
      <c r="D149" s="166" t="s">
        <v>431</v>
      </c>
      <c r="E149" s="598">
        <v>0</v>
      </c>
      <c r="F149" s="596">
        <v>0</v>
      </c>
      <c r="G149" s="598">
        <v>0</v>
      </c>
      <c r="H149" s="596"/>
      <c r="I149" s="596">
        <f t="shared" si="82"/>
        <v>0</v>
      </c>
      <c r="J149" s="728"/>
      <c r="K149" s="728"/>
      <c r="L149" s="731">
        <f t="shared" si="83"/>
        <v>0</v>
      </c>
      <c r="M149" s="947"/>
      <c r="N149" s="617"/>
      <c r="O149" s="602">
        <f t="shared" si="81"/>
        <v>0</v>
      </c>
      <c r="P149" s="940"/>
      <c r="Q149" s="600">
        <f t="shared" si="78"/>
        <v>0</v>
      </c>
      <c r="R149" s="940"/>
      <c r="S149" s="596">
        <v>0</v>
      </c>
      <c r="T149" s="724"/>
      <c r="U149" s="728"/>
      <c r="V149" s="728"/>
      <c r="W149" s="731">
        <f t="shared" si="84"/>
        <v>0</v>
      </c>
      <c r="X149" s="947"/>
      <c r="Y149" s="616"/>
      <c r="Z149" s="602">
        <f t="shared" si="87"/>
        <v>0</v>
      </c>
      <c r="AA149" s="835"/>
      <c r="AB149" s="602">
        <f t="shared" si="88"/>
        <v>0</v>
      </c>
      <c r="AC149" s="940"/>
      <c r="AD149" s="956"/>
      <c r="AE149" s="956"/>
      <c r="AF149" s="598">
        <v>0</v>
      </c>
      <c r="AG149" s="596"/>
      <c r="AH149" s="728"/>
      <c r="AI149" s="728"/>
      <c r="AJ149" s="729">
        <f t="shared" ref="AJ149:AJ177" si="94">AH149+AI149</f>
        <v>0</v>
      </c>
      <c r="AK149" s="946"/>
      <c r="AL149" s="616"/>
      <c r="AM149" s="602">
        <f t="shared" si="89"/>
        <v>0</v>
      </c>
      <c r="AN149" s="835"/>
      <c r="AO149" s="835">
        <f t="shared" si="79"/>
        <v>0</v>
      </c>
      <c r="AP149" s="940"/>
      <c r="AQ149" s="722">
        <v>25</v>
      </c>
      <c r="AR149" s="728">
        <v>14</v>
      </c>
      <c r="AS149" s="728">
        <v>25</v>
      </c>
      <c r="AT149" s="729">
        <f t="shared" si="72"/>
        <v>39</v>
      </c>
      <c r="AU149" s="946"/>
      <c r="AV149" s="616">
        <v>375</v>
      </c>
      <c r="AW149" s="602">
        <f t="shared" si="90"/>
        <v>25</v>
      </c>
      <c r="AX149" s="940"/>
      <c r="AY149" s="602">
        <f t="shared" si="91"/>
        <v>0</v>
      </c>
      <c r="AZ149" s="940"/>
      <c r="BA149" s="962"/>
      <c r="BB149" s="962"/>
      <c r="BC149" s="598"/>
      <c r="BD149" s="665">
        <v>25</v>
      </c>
      <c r="BE149" s="596">
        <v>0</v>
      </c>
      <c r="BF149" s="596">
        <f t="shared" si="93"/>
        <v>25</v>
      </c>
      <c r="BG149" s="728">
        <v>14</v>
      </c>
      <c r="BH149" s="728">
        <v>25</v>
      </c>
      <c r="BI149" s="729">
        <f t="shared" si="85"/>
        <v>39</v>
      </c>
      <c r="BJ149" s="729"/>
      <c r="BK149" s="616">
        <f>1225+25</f>
        <v>1250</v>
      </c>
      <c r="BL149" s="603">
        <f t="shared" si="92"/>
        <v>25</v>
      </c>
      <c r="BM149" s="964"/>
      <c r="BN149" s="602">
        <f t="shared" si="80"/>
        <v>0</v>
      </c>
      <c r="BO149" s="940"/>
      <c r="BP149" s="593">
        <f t="shared" ref="BP149:BP181" si="95">BO149+AZ149+AP149+AC149+R149</f>
        <v>0</v>
      </c>
      <c r="BS149" s="741">
        <v>0</v>
      </c>
      <c r="BT149" s="741">
        <v>0</v>
      </c>
      <c r="BU149" s="741">
        <f t="shared" ref="BU149:BU177" si="96">BS149+BT149</f>
        <v>0</v>
      </c>
      <c r="BV149" s="741">
        <v>0</v>
      </c>
      <c r="BW149" s="741"/>
      <c r="BX149" s="741">
        <v>0</v>
      </c>
      <c r="BY149" s="741">
        <v>0</v>
      </c>
      <c r="BZ149" s="741">
        <f t="shared" si="86"/>
        <v>0</v>
      </c>
      <c r="CA149" s="741">
        <v>0</v>
      </c>
      <c r="CB149" s="741"/>
      <c r="CC149" s="741">
        <f t="shared" ref="CC149:CC181" si="97">BV149+CA149</f>
        <v>0</v>
      </c>
      <c r="CD149" s="751"/>
      <c r="CE149" s="748"/>
      <c r="CF149" s="748"/>
      <c r="CG149" s="748">
        <f t="shared" si="76"/>
        <v>0</v>
      </c>
      <c r="CH149" s="759"/>
      <c r="CI149" s="742"/>
      <c r="CJ149" s="591">
        <f t="shared" ref="CJ149:CJ181" si="98">BN149+AY149+AO149+AB149+Q149</f>
        <v>0</v>
      </c>
    </row>
    <row r="150" spans="1:88" ht="21.6" customHeight="1" x14ac:dyDescent="0.25">
      <c r="A150" s="596"/>
      <c r="B150" s="596"/>
      <c r="C150" s="597"/>
      <c r="D150" s="143"/>
      <c r="E150" s="598">
        <v>0</v>
      </c>
      <c r="F150" s="596">
        <v>0</v>
      </c>
      <c r="G150" s="598"/>
      <c r="H150" s="596"/>
      <c r="I150" s="596">
        <f t="shared" si="82"/>
        <v>0</v>
      </c>
      <c r="J150" s="728"/>
      <c r="K150" s="728"/>
      <c r="L150" s="731">
        <f t="shared" si="83"/>
        <v>0</v>
      </c>
      <c r="M150" s="947"/>
      <c r="N150" s="617"/>
      <c r="O150" s="602">
        <f t="shared" si="81"/>
        <v>0</v>
      </c>
      <c r="P150" s="940"/>
      <c r="Q150" s="600">
        <f t="shared" si="78"/>
        <v>0</v>
      </c>
      <c r="R150" s="940"/>
      <c r="S150" s="596">
        <v>0</v>
      </c>
      <c r="T150" s="724"/>
      <c r="U150" s="728"/>
      <c r="V150" s="728"/>
      <c r="W150" s="731">
        <f t="shared" si="84"/>
        <v>0</v>
      </c>
      <c r="X150" s="947"/>
      <c r="Y150" s="616"/>
      <c r="Z150" s="602">
        <f t="shared" si="87"/>
        <v>0</v>
      </c>
      <c r="AA150" s="835"/>
      <c r="AB150" s="602">
        <f t="shared" si="88"/>
        <v>0</v>
      </c>
      <c r="AC150" s="940"/>
      <c r="AD150" s="956"/>
      <c r="AE150" s="956"/>
      <c r="AF150" s="598"/>
      <c r="AG150" s="596"/>
      <c r="AH150" s="728"/>
      <c r="AI150" s="728"/>
      <c r="AJ150" s="729">
        <f t="shared" si="94"/>
        <v>0</v>
      </c>
      <c r="AK150" s="946"/>
      <c r="AL150" s="616"/>
      <c r="AM150" s="602">
        <f t="shared" si="89"/>
        <v>0</v>
      </c>
      <c r="AN150" s="835"/>
      <c r="AO150" s="835">
        <f t="shared" si="79"/>
        <v>0</v>
      </c>
      <c r="AP150" s="940"/>
      <c r="AQ150" s="722">
        <v>0</v>
      </c>
      <c r="AR150" s="728"/>
      <c r="AS150" s="728"/>
      <c r="AT150" s="729">
        <f t="shared" si="72"/>
        <v>0</v>
      </c>
      <c r="AU150" s="946"/>
      <c r="AV150" s="616"/>
      <c r="AW150" s="602">
        <f t="shared" si="90"/>
        <v>0</v>
      </c>
      <c r="AX150" s="940"/>
      <c r="AY150" s="602">
        <f t="shared" si="91"/>
        <v>0</v>
      </c>
      <c r="AZ150" s="940"/>
      <c r="BA150" s="962"/>
      <c r="BB150" s="962"/>
      <c r="BC150" s="611"/>
      <c r="BD150" s="712"/>
      <c r="BE150" s="596"/>
      <c r="BF150" s="596">
        <f t="shared" si="93"/>
        <v>0</v>
      </c>
      <c r="BG150" s="728"/>
      <c r="BH150" s="728"/>
      <c r="BI150" s="729">
        <f t="shared" si="85"/>
        <v>0</v>
      </c>
      <c r="BJ150" s="729"/>
      <c r="BK150" s="616"/>
      <c r="BL150" s="603">
        <f t="shared" si="92"/>
        <v>0</v>
      </c>
      <c r="BM150" s="964"/>
      <c r="BN150" s="602">
        <f t="shared" si="80"/>
        <v>0</v>
      </c>
      <c r="BO150" s="940"/>
      <c r="BP150" s="593">
        <f t="shared" si="95"/>
        <v>0</v>
      </c>
      <c r="BS150" s="741">
        <v>0</v>
      </c>
      <c r="BT150" s="741">
        <v>0</v>
      </c>
      <c r="BU150" s="741">
        <f t="shared" si="96"/>
        <v>0</v>
      </c>
      <c r="BV150" s="741">
        <v>0</v>
      </c>
      <c r="BW150" s="741"/>
      <c r="BX150" s="741">
        <v>0</v>
      </c>
      <c r="BY150" s="741">
        <v>0</v>
      </c>
      <c r="BZ150" s="741">
        <f t="shared" si="86"/>
        <v>0</v>
      </c>
      <c r="CA150" s="741">
        <v>0</v>
      </c>
      <c r="CB150" s="741"/>
      <c r="CC150" s="741">
        <f t="shared" si="97"/>
        <v>0</v>
      </c>
      <c r="CD150" s="751"/>
      <c r="CE150" s="748"/>
      <c r="CF150" s="748"/>
      <c r="CG150" s="748">
        <f t="shared" si="76"/>
        <v>0</v>
      </c>
      <c r="CH150" s="759"/>
      <c r="CI150" s="742"/>
      <c r="CJ150" s="591">
        <f t="shared" si="98"/>
        <v>0</v>
      </c>
    </row>
    <row r="151" spans="1:88" s="593" customFormat="1" ht="21.6" customHeight="1" x14ac:dyDescent="0.25">
      <c r="A151" s="606" t="s">
        <v>28</v>
      </c>
      <c r="B151" s="606" t="s">
        <v>85</v>
      </c>
      <c r="C151" s="607" t="s">
        <v>90</v>
      </c>
      <c r="D151" s="166" t="s">
        <v>429</v>
      </c>
      <c r="E151" s="608">
        <v>75.333333333333329</v>
      </c>
      <c r="F151" s="606">
        <v>353</v>
      </c>
      <c r="G151" s="608">
        <v>66.333333333333329</v>
      </c>
      <c r="H151" s="606">
        <v>129.66666666666666</v>
      </c>
      <c r="I151" s="606">
        <f t="shared" si="82"/>
        <v>223.33333333333334</v>
      </c>
      <c r="J151" s="728">
        <f>5+32</f>
        <v>37</v>
      </c>
      <c r="K151" s="728">
        <f>7</f>
        <v>7</v>
      </c>
      <c r="L151" s="731">
        <f t="shared" si="83"/>
        <v>44</v>
      </c>
      <c r="M151" s="947">
        <f>SUM(L151:L163)</f>
        <v>277</v>
      </c>
      <c r="N151" s="617">
        <f>995+135</f>
        <v>1130</v>
      </c>
      <c r="O151" s="602">
        <f t="shared" si="81"/>
        <v>75.333333333333329</v>
      </c>
      <c r="P151" s="940">
        <f>SUM(O151:O163)</f>
        <v>352.99999999999994</v>
      </c>
      <c r="Q151" s="600">
        <f t="shared" si="78"/>
        <v>0</v>
      </c>
      <c r="R151" s="940">
        <f>SUM(Q151:Q163)</f>
        <v>0</v>
      </c>
      <c r="S151" s="596">
        <v>0</v>
      </c>
      <c r="T151" s="724">
        <f>SUM(S151:S163)</f>
        <v>44.333333333333336</v>
      </c>
      <c r="U151" s="728"/>
      <c r="V151" s="728"/>
      <c r="W151" s="731">
        <f t="shared" si="84"/>
        <v>0</v>
      </c>
      <c r="X151" s="947">
        <f>SUM(W151:W163)</f>
        <v>48</v>
      </c>
      <c r="Y151" s="616"/>
      <c r="Z151" s="602">
        <f t="shared" si="87"/>
        <v>0</v>
      </c>
      <c r="AA151" s="835">
        <f>SUM(Z151:Z163)</f>
        <v>44.333333333333336</v>
      </c>
      <c r="AB151" s="602">
        <f t="shared" si="88"/>
        <v>0</v>
      </c>
      <c r="AC151" s="940">
        <f>SUM(AB151:AB163)</f>
        <v>0</v>
      </c>
      <c r="AD151" s="955">
        <f>M151+X151</f>
        <v>325</v>
      </c>
      <c r="AE151" s="955">
        <f>R151+AC151</f>
        <v>0</v>
      </c>
      <c r="AF151" s="608">
        <v>58.333333333333336</v>
      </c>
      <c r="AG151" s="606">
        <v>138.333333333333</v>
      </c>
      <c r="AH151" s="728">
        <v>31</v>
      </c>
      <c r="AI151" s="728">
        <v>4</v>
      </c>
      <c r="AJ151" s="729">
        <f t="shared" si="94"/>
        <v>35</v>
      </c>
      <c r="AK151" s="946">
        <f>SUM(AJ151:AJ163)</f>
        <v>88</v>
      </c>
      <c r="AL151" s="616">
        <v>875</v>
      </c>
      <c r="AM151" s="602">
        <f t="shared" si="89"/>
        <v>58.333333333333336</v>
      </c>
      <c r="AN151" s="835">
        <f>SUM(AM151:AM163)</f>
        <v>138.33333333333334</v>
      </c>
      <c r="AO151" s="835">
        <f t="shared" si="79"/>
        <v>0</v>
      </c>
      <c r="AP151" s="940">
        <f>SUM(AO151:AO163)</f>
        <v>0</v>
      </c>
      <c r="AQ151" s="722">
        <v>0</v>
      </c>
      <c r="AR151" s="728"/>
      <c r="AS151" s="728"/>
      <c r="AT151" s="729">
        <f t="shared" si="72"/>
        <v>0</v>
      </c>
      <c r="AU151" s="946">
        <f>SUM(AT151:AT163)</f>
        <v>54</v>
      </c>
      <c r="AV151" s="616"/>
      <c r="AW151" s="602">
        <f t="shared" si="90"/>
        <v>0</v>
      </c>
      <c r="AX151" s="940">
        <f>SUM(AW151:AW163)</f>
        <v>61.333333333333329</v>
      </c>
      <c r="AY151" s="602">
        <f t="shared" si="91"/>
        <v>0</v>
      </c>
      <c r="AZ151" s="940">
        <f>SUM(AY151:AY163)</f>
        <v>-1</v>
      </c>
      <c r="BA151" s="961">
        <f>AK151+AU151</f>
        <v>142</v>
      </c>
      <c r="BB151" s="961">
        <f>AP151+AZ151</f>
        <v>-1</v>
      </c>
      <c r="BC151" s="608">
        <f>SUM(BD151:BD163)</f>
        <v>570</v>
      </c>
      <c r="BD151" s="713">
        <v>133</v>
      </c>
      <c r="BE151" s="606">
        <v>124</v>
      </c>
      <c r="BF151" s="596">
        <f t="shared" si="93"/>
        <v>9</v>
      </c>
      <c r="BG151" s="728">
        <f>37+33+5</f>
        <v>75</v>
      </c>
      <c r="BH151" s="728">
        <f>7+4</f>
        <v>11</v>
      </c>
      <c r="BI151" s="729">
        <f t="shared" si="85"/>
        <v>86</v>
      </c>
      <c r="BJ151" s="729">
        <f>SUM(BI151:BI163)</f>
        <v>459</v>
      </c>
      <c r="BK151" s="616">
        <f>3350+2900+450</f>
        <v>6700</v>
      </c>
      <c r="BL151" s="603">
        <f t="shared" si="92"/>
        <v>134</v>
      </c>
      <c r="BM151" s="964">
        <f>SUM(BL151:BL163)</f>
        <v>571</v>
      </c>
      <c r="BN151" s="602">
        <f t="shared" si="80"/>
        <v>-1</v>
      </c>
      <c r="BO151" s="940">
        <f>SUM(BN151:BN163)</f>
        <v>-1</v>
      </c>
      <c r="BP151" s="593">
        <f t="shared" si="95"/>
        <v>-2</v>
      </c>
      <c r="BS151" s="744">
        <v>5</v>
      </c>
      <c r="BT151" s="744">
        <v>0</v>
      </c>
      <c r="BU151" s="741">
        <f t="shared" si="96"/>
        <v>5</v>
      </c>
      <c r="BV151" s="744">
        <v>9</v>
      </c>
      <c r="BW151" s="744">
        <f>SUM(BV151:BV163)</f>
        <v>172</v>
      </c>
      <c r="BX151" s="744">
        <v>31</v>
      </c>
      <c r="BY151" s="744">
        <v>4</v>
      </c>
      <c r="BZ151" s="741">
        <f t="shared" si="86"/>
        <v>35</v>
      </c>
      <c r="CA151" s="744">
        <v>58.333333333333336</v>
      </c>
      <c r="CB151" s="744">
        <f>SUM(CA151:CA163)</f>
        <v>122</v>
      </c>
      <c r="CC151" s="741">
        <f t="shared" si="97"/>
        <v>67.333333333333343</v>
      </c>
      <c r="CD151" s="754">
        <f>SUM(CC151:CC163)</f>
        <v>294</v>
      </c>
      <c r="CE151" s="748">
        <f>37+33+5</f>
        <v>75</v>
      </c>
      <c r="CF151" s="748">
        <f>7+4</f>
        <v>11</v>
      </c>
      <c r="CG151" s="748">
        <f t="shared" si="76"/>
        <v>86</v>
      </c>
      <c r="CH151" s="765">
        <v>134</v>
      </c>
      <c r="CI151" s="744">
        <f>SUM(CH151:CH163)</f>
        <v>333</v>
      </c>
      <c r="CJ151" s="593">
        <f t="shared" si="98"/>
        <v>-1</v>
      </c>
    </row>
    <row r="152" spans="1:88" ht="21.6" customHeight="1" x14ac:dyDescent="0.25">
      <c r="A152" s="596" t="s">
        <v>28</v>
      </c>
      <c r="B152" s="596" t="s">
        <v>85</v>
      </c>
      <c r="C152" s="597" t="s">
        <v>88</v>
      </c>
      <c r="D152" s="416"/>
      <c r="E152" s="598">
        <v>0</v>
      </c>
      <c r="F152" s="596">
        <v>0</v>
      </c>
      <c r="G152" s="598">
        <v>0</v>
      </c>
      <c r="H152" s="596"/>
      <c r="I152" s="596">
        <f t="shared" si="82"/>
        <v>0</v>
      </c>
      <c r="J152" s="728"/>
      <c r="K152" s="728"/>
      <c r="L152" s="731">
        <f t="shared" si="83"/>
        <v>0</v>
      </c>
      <c r="M152" s="947"/>
      <c r="N152" s="617"/>
      <c r="O152" s="602">
        <f t="shared" si="81"/>
        <v>0</v>
      </c>
      <c r="P152" s="940"/>
      <c r="Q152" s="600">
        <f t="shared" si="78"/>
        <v>0</v>
      </c>
      <c r="R152" s="940"/>
      <c r="S152" s="596">
        <v>0</v>
      </c>
      <c r="T152" s="724"/>
      <c r="U152" s="728"/>
      <c r="V152" s="728"/>
      <c r="W152" s="731">
        <f t="shared" si="84"/>
        <v>0</v>
      </c>
      <c r="X152" s="947"/>
      <c r="Y152" s="616"/>
      <c r="Z152" s="602">
        <f t="shared" si="87"/>
        <v>0</v>
      </c>
      <c r="AA152" s="835"/>
      <c r="AB152" s="602">
        <f t="shared" si="88"/>
        <v>0</v>
      </c>
      <c r="AC152" s="940"/>
      <c r="AD152" s="956"/>
      <c r="AE152" s="956"/>
      <c r="AF152" s="598">
        <v>0</v>
      </c>
      <c r="AG152" s="596"/>
      <c r="AH152" s="728"/>
      <c r="AI152" s="728"/>
      <c r="AJ152" s="729">
        <f t="shared" si="94"/>
        <v>0</v>
      </c>
      <c r="AK152" s="946"/>
      <c r="AL152" s="616"/>
      <c r="AM152" s="602">
        <f t="shared" si="89"/>
        <v>0</v>
      </c>
      <c r="AN152" s="835"/>
      <c r="AO152" s="835">
        <f t="shared" si="79"/>
        <v>0</v>
      </c>
      <c r="AP152" s="940"/>
      <c r="AQ152" s="722">
        <v>0</v>
      </c>
      <c r="AR152" s="728"/>
      <c r="AS152" s="728"/>
      <c r="AT152" s="729">
        <f t="shared" si="72"/>
        <v>0</v>
      </c>
      <c r="AU152" s="946"/>
      <c r="AV152" s="616"/>
      <c r="AW152" s="602">
        <f t="shared" si="90"/>
        <v>0</v>
      </c>
      <c r="AX152" s="940"/>
      <c r="AY152" s="602">
        <f t="shared" si="91"/>
        <v>0</v>
      </c>
      <c r="AZ152" s="940"/>
      <c r="BA152" s="962"/>
      <c r="BB152" s="962"/>
      <c r="BC152" s="598"/>
      <c r="BD152" s="665">
        <v>0</v>
      </c>
      <c r="BE152" s="596">
        <v>0</v>
      </c>
      <c r="BF152" s="596">
        <f t="shared" si="93"/>
        <v>0</v>
      </c>
      <c r="BG152" s="728"/>
      <c r="BH152" s="728"/>
      <c r="BI152" s="729">
        <f t="shared" si="85"/>
        <v>0</v>
      </c>
      <c r="BJ152" s="729"/>
      <c r="BK152" s="616"/>
      <c r="BL152" s="603">
        <f t="shared" si="92"/>
        <v>0</v>
      </c>
      <c r="BM152" s="964"/>
      <c r="BN152" s="602">
        <f t="shared" si="80"/>
        <v>0</v>
      </c>
      <c r="BO152" s="940"/>
      <c r="BP152" s="593">
        <f t="shared" si="95"/>
        <v>0</v>
      </c>
      <c r="BS152" s="741">
        <v>0</v>
      </c>
      <c r="BT152" s="741">
        <v>0</v>
      </c>
      <c r="BU152" s="741">
        <f t="shared" si="96"/>
        <v>0</v>
      </c>
      <c r="BV152" s="741">
        <v>0</v>
      </c>
      <c r="BW152" s="741"/>
      <c r="BX152" s="741">
        <v>0</v>
      </c>
      <c r="BY152" s="741">
        <v>0</v>
      </c>
      <c r="BZ152" s="741">
        <f t="shared" si="86"/>
        <v>0</v>
      </c>
      <c r="CA152" s="741">
        <v>0</v>
      </c>
      <c r="CB152" s="741"/>
      <c r="CC152" s="741">
        <f t="shared" si="97"/>
        <v>0</v>
      </c>
      <c r="CD152" s="751"/>
      <c r="CE152" s="748"/>
      <c r="CF152" s="748"/>
      <c r="CG152" s="748">
        <f t="shared" si="76"/>
        <v>0</v>
      </c>
      <c r="CH152" s="759"/>
      <c r="CI152" s="742"/>
      <c r="CJ152" s="591">
        <f t="shared" si="98"/>
        <v>0</v>
      </c>
    </row>
    <row r="153" spans="1:88" ht="21.6" customHeight="1" x14ac:dyDescent="0.25">
      <c r="A153" s="596"/>
      <c r="B153" s="596" t="s">
        <v>85</v>
      </c>
      <c r="C153" s="597" t="s">
        <v>313</v>
      </c>
      <c r="D153" s="167" t="s">
        <v>431</v>
      </c>
      <c r="E153" s="598">
        <v>14</v>
      </c>
      <c r="F153" s="596">
        <v>0</v>
      </c>
      <c r="G153" s="598">
        <v>0</v>
      </c>
      <c r="H153" s="596"/>
      <c r="I153" s="596">
        <f t="shared" si="82"/>
        <v>0</v>
      </c>
      <c r="J153" s="728">
        <v>6</v>
      </c>
      <c r="K153" s="728">
        <v>8</v>
      </c>
      <c r="L153" s="731">
        <f t="shared" si="83"/>
        <v>14</v>
      </c>
      <c r="M153" s="947"/>
      <c r="N153" s="617">
        <v>210</v>
      </c>
      <c r="O153" s="602">
        <f t="shared" si="81"/>
        <v>14</v>
      </c>
      <c r="P153" s="940"/>
      <c r="Q153" s="600">
        <f t="shared" si="78"/>
        <v>0</v>
      </c>
      <c r="R153" s="940"/>
      <c r="S153" s="596">
        <v>0</v>
      </c>
      <c r="T153" s="724"/>
      <c r="U153" s="728"/>
      <c r="V153" s="728"/>
      <c r="W153" s="731">
        <f t="shared" si="84"/>
        <v>0</v>
      </c>
      <c r="X153" s="947"/>
      <c r="Y153" s="616"/>
      <c r="Z153" s="602">
        <f t="shared" si="87"/>
        <v>0</v>
      </c>
      <c r="AA153" s="835"/>
      <c r="AB153" s="602">
        <f t="shared" si="88"/>
        <v>0</v>
      </c>
      <c r="AC153" s="940"/>
      <c r="AD153" s="956"/>
      <c r="AE153" s="956"/>
      <c r="AF153" s="598">
        <v>0</v>
      </c>
      <c r="AG153" s="596"/>
      <c r="AH153" s="728"/>
      <c r="AI153" s="728"/>
      <c r="AJ153" s="729">
        <f t="shared" si="94"/>
        <v>0</v>
      </c>
      <c r="AK153" s="946"/>
      <c r="AL153" s="616"/>
      <c r="AM153" s="602">
        <f t="shared" si="89"/>
        <v>0</v>
      </c>
      <c r="AN153" s="835"/>
      <c r="AO153" s="835">
        <f t="shared" si="79"/>
        <v>0</v>
      </c>
      <c r="AP153" s="940"/>
      <c r="AQ153" s="722">
        <v>0</v>
      </c>
      <c r="AR153" s="728"/>
      <c r="AS153" s="728"/>
      <c r="AT153" s="729">
        <f t="shared" si="72"/>
        <v>0</v>
      </c>
      <c r="AU153" s="946"/>
      <c r="AV153" s="616"/>
      <c r="AW153" s="602">
        <f t="shared" si="90"/>
        <v>0</v>
      </c>
      <c r="AX153" s="940"/>
      <c r="AY153" s="602">
        <f t="shared" si="91"/>
        <v>0</v>
      </c>
      <c r="AZ153" s="940"/>
      <c r="BA153" s="962"/>
      <c r="BB153" s="962"/>
      <c r="BC153" s="598"/>
      <c r="BD153" s="665">
        <v>14</v>
      </c>
      <c r="BE153" s="596">
        <v>0</v>
      </c>
      <c r="BF153" s="596">
        <f t="shared" si="93"/>
        <v>14</v>
      </c>
      <c r="BG153" s="728">
        <v>6</v>
      </c>
      <c r="BH153" s="728">
        <v>8</v>
      </c>
      <c r="BI153" s="729">
        <f t="shared" si="85"/>
        <v>14</v>
      </c>
      <c r="BJ153" s="729"/>
      <c r="BK153" s="616">
        <v>700</v>
      </c>
      <c r="BL153" s="603">
        <f t="shared" si="92"/>
        <v>14</v>
      </c>
      <c r="BM153" s="964"/>
      <c r="BN153" s="602">
        <f t="shared" si="80"/>
        <v>0</v>
      </c>
      <c r="BO153" s="940"/>
      <c r="BP153" s="593">
        <f t="shared" si="95"/>
        <v>0</v>
      </c>
      <c r="BS153" s="741">
        <v>6</v>
      </c>
      <c r="BT153" s="741">
        <v>8</v>
      </c>
      <c r="BU153" s="741">
        <f t="shared" si="96"/>
        <v>14</v>
      </c>
      <c r="BV153" s="741">
        <v>14</v>
      </c>
      <c r="BW153" s="741"/>
      <c r="BX153" s="741">
        <v>0</v>
      </c>
      <c r="BY153" s="741">
        <v>0</v>
      </c>
      <c r="BZ153" s="741">
        <f t="shared" si="86"/>
        <v>0</v>
      </c>
      <c r="CA153" s="741">
        <v>0</v>
      </c>
      <c r="CB153" s="741"/>
      <c r="CC153" s="741">
        <f t="shared" si="97"/>
        <v>14</v>
      </c>
      <c r="CD153" s="751"/>
      <c r="CE153" s="748"/>
      <c r="CF153" s="748"/>
      <c r="CG153" s="748">
        <f t="shared" si="76"/>
        <v>0</v>
      </c>
      <c r="CH153" s="759"/>
      <c r="CI153" s="742"/>
      <c r="CJ153" s="591">
        <f t="shared" si="98"/>
        <v>0</v>
      </c>
    </row>
    <row r="154" spans="1:88" ht="21.6" customHeight="1" x14ac:dyDescent="0.25">
      <c r="A154" s="596"/>
      <c r="B154" s="596" t="s">
        <v>85</v>
      </c>
      <c r="C154" s="597" t="s">
        <v>545</v>
      </c>
      <c r="D154" s="167" t="s">
        <v>429</v>
      </c>
      <c r="E154" s="598">
        <v>25.333333333333332</v>
      </c>
      <c r="F154" s="596">
        <v>0</v>
      </c>
      <c r="G154" s="598">
        <v>25.333333333333332</v>
      </c>
      <c r="H154" s="596"/>
      <c r="I154" s="596">
        <f t="shared" si="82"/>
        <v>0</v>
      </c>
      <c r="J154" s="728">
        <f>23</f>
        <v>23</v>
      </c>
      <c r="K154" s="728">
        <f>3</f>
        <v>3</v>
      </c>
      <c r="L154" s="731">
        <f t="shared" si="83"/>
        <v>26</v>
      </c>
      <c r="M154" s="947"/>
      <c r="N154" s="617">
        <v>380</v>
      </c>
      <c r="O154" s="602">
        <f t="shared" si="81"/>
        <v>25.333333333333332</v>
      </c>
      <c r="P154" s="940"/>
      <c r="Q154" s="600">
        <f t="shared" si="78"/>
        <v>0</v>
      </c>
      <c r="R154" s="940"/>
      <c r="S154" s="596">
        <v>19.666666666666668</v>
      </c>
      <c r="T154" s="724"/>
      <c r="U154" s="728">
        <f>4+17</f>
        <v>21</v>
      </c>
      <c r="V154" s="728">
        <v>3</v>
      </c>
      <c r="W154" s="731">
        <f t="shared" si="84"/>
        <v>24</v>
      </c>
      <c r="X154" s="947"/>
      <c r="Y154" s="616">
        <f>245+50</f>
        <v>295</v>
      </c>
      <c r="Z154" s="602">
        <f t="shared" si="87"/>
        <v>19.666666666666668</v>
      </c>
      <c r="AA154" s="835"/>
      <c r="AB154" s="602">
        <f t="shared" si="88"/>
        <v>0</v>
      </c>
      <c r="AC154" s="940"/>
      <c r="AD154" s="956"/>
      <c r="AE154" s="956"/>
      <c r="AF154" s="598">
        <v>1.6666666666666667</v>
      </c>
      <c r="AG154" s="596"/>
      <c r="AH154" s="728">
        <v>3</v>
      </c>
      <c r="AI154" s="728"/>
      <c r="AJ154" s="729">
        <f t="shared" si="94"/>
        <v>3</v>
      </c>
      <c r="AK154" s="946"/>
      <c r="AL154" s="616">
        <v>25</v>
      </c>
      <c r="AM154" s="602">
        <f t="shared" si="89"/>
        <v>1.6666666666666667</v>
      </c>
      <c r="AN154" s="835"/>
      <c r="AO154" s="835">
        <f t="shared" si="79"/>
        <v>0</v>
      </c>
      <c r="AP154" s="940"/>
      <c r="AQ154" s="722">
        <v>0.66666666666666663</v>
      </c>
      <c r="AR154" s="728">
        <v>1</v>
      </c>
      <c r="AS154" s="728"/>
      <c r="AT154" s="729">
        <f t="shared" si="72"/>
        <v>1</v>
      </c>
      <c r="AU154" s="946"/>
      <c r="AV154" s="616">
        <v>10</v>
      </c>
      <c r="AW154" s="602">
        <f t="shared" si="90"/>
        <v>0.66666666666666663</v>
      </c>
      <c r="AX154" s="940"/>
      <c r="AY154" s="602">
        <f t="shared" si="91"/>
        <v>0</v>
      </c>
      <c r="AZ154" s="940"/>
      <c r="BA154" s="962"/>
      <c r="BB154" s="962"/>
      <c r="BC154" s="598"/>
      <c r="BD154" s="665">
        <v>27</v>
      </c>
      <c r="BE154" s="596">
        <v>27</v>
      </c>
      <c r="BF154" s="596">
        <f t="shared" si="93"/>
        <v>0</v>
      </c>
      <c r="BG154" s="728">
        <f>23+3</f>
        <v>26</v>
      </c>
      <c r="BH154" s="728">
        <v>3</v>
      </c>
      <c r="BI154" s="729">
        <f t="shared" si="85"/>
        <v>29</v>
      </c>
      <c r="BJ154" s="729"/>
      <c r="BK154" s="616">
        <f>1270+80</f>
        <v>1350</v>
      </c>
      <c r="BL154" s="603">
        <f t="shared" si="92"/>
        <v>27</v>
      </c>
      <c r="BM154" s="964"/>
      <c r="BN154" s="602">
        <f t="shared" si="80"/>
        <v>0</v>
      </c>
      <c r="BO154" s="940"/>
      <c r="BP154" s="593">
        <f t="shared" si="95"/>
        <v>0</v>
      </c>
      <c r="BS154" s="741">
        <v>21</v>
      </c>
      <c r="BT154" s="741">
        <v>3</v>
      </c>
      <c r="BU154" s="741">
        <f t="shared" si="96"/>
        <v>24</v>
      </c>
      <c r="BV154" s="741">
        <v>19.666666666666668</v>
      </c>
      <c r="BW154" s="741"/>
      <c r="BX154" s="741">
        <v>4</v>
      </c>
      <c r="BY154" s="741">
        <v>0</v>
      </c>
      <c r="BZ154" s="741">
        <f t="shared" si="86"/>
        <v>4</v>
      </c>
      <c r="CA154" s="741">
        <v>2.3333333333333335</v>
      </c>
      <c r="CB154" s="741"/>
      <c r="CC154" s="741">
        <f t="shared" si="97"/>
        <v>22</v>
      </c>
      <c r="CD154" s="751"/>
      <c r="CE154" s="748">
        <f>23+3</f>
        <v>26</v>
      </c>
      <c r="CF154" s="748">
        <v>3</v>
      </c>
      <c r="CG154" s="748">
        <f t="shared" si="76"/>
        <v>29</v>
      </c>
      <c r="CH154" s="759">
        <v>27</v>
      </c>
      <c r="CI154" s="742"/>
      <c r="CJ154" s="591">
        <f t="shared" si="98"/>
        <v>0</v>
      </c>
    </row>
    <row r="155" spans="1:88" ht="21.6" customHeight="1" x14ac:dyDescent="0.25">
      <c r="A155" s="726"/>
      <c r="B155" s="726" t="s">
        <v>85</v>
      </c>
      <c r="C155" s="597" t="s">
        <v>767</v>
      </c>
      <c r="D155" s="167" t="s">
        <v>429</v>
      </c>
      <c r="E155" s="598"/>
      <c r="F155" s="726"/>
      <c r="G155" s="598"/>
      <c r="H155" s="726"/>
      <c r="I155" s="726"/>
      <c r="J155" s="728"/>
      <c r="K155" s="728"/>
      <c r="L155" s="731">
        <f t="shared" si="83"/>
        <v>0</v>
      </c>
      <c r="M155" s="947"/>
      <c r="N155" s="617"/>
      <c r="O155" s="602"/>
      <c r="P155" s="940"/>
      <c r="Q155" s="600"/>
      <c r="R155" s="940"/>
      <c r="S155" s="726"/>
      <c r="T155" s="726"/>
      <c r="U155" s="728"/>
      <c r="V155" s="728"/>
      <c r="W155" s="731">
        <f t="shared" si="84"/>
        <v>0</v>
      </c>
      <c r="X155" s="947"/>
      <c r="Y155" s="616"/>
      <c r="Z155" s="602"/>
      <c r="AA155" s="835"/>
      <c r="AB155" s="602"/>
      <c r="AC155" s="940"/>
      <c r="AD155" s="956"/>
      <c r="AE155" s="956"/>
      <c r="AF155" s="598"/>
      <c r="AG155" s="726"/>
      <c r="AH155" s="728"/>
      <c r="AI155" s="728"/>
      <c r="AJ155" s="729">
        <f t="shared" si="94"/>
        <v>0</v>
      </c>
      <c r="AK155" s="946"/>
      <c r="AL155" s="616"/>
      <c r="AM155" s="602"/>
      <c r="AN155" s="835"/>
      <c r="AO155" s="835"/>
      <c r="AP155" s="940"/>
      <c r="AQ155" s="722"/>
      <c r="AR155" s="728"/>
      <c r="AS155" s="728"/>
      <c r="AT155" s="729">
        <f t="shared" si="72"/>
        <v>0</v>
      </c>
      <c r="AU155" s="946"/>
      <c r="AV155" s="616"/>
      <c r="AW155" s="602"/>
      <c r="AX155" s="940"/>
      <c r="AY155" s="602"/>
      <c r="AZ155" s="940"/>
      <c r="BA155" s="962"/>
      <c r="BB155" s="962"/>
      <c r="BC155" s="598"/>
      <c r="BD155" s="665"/>
      <c r="BE155" s="726"/>
      <c r="BF155" s="726"/>
      <c r="BG155" s="728"/>
      <c r="BH155" s="728"/>
      <c r="BI155" s="729">
        <f t="shared" si="85"/>
        <v>0</v>
      </c>
      <c r="BJ155" s="729"/>
      <c r="BK155" s="616"/>
      <c r="BL155" s="603"/>
      <c r="BM155" s="964"/>
      <c r="BN155" s="602"/>
      <c r="BO155" s="940"/>
      <c r="BP155" s="593">
        <f t="shared" si="95"/>
        <v>0</v>
      </c>
      <c r="BS155" s="741">
        <v>0</v>
      </c>
      <c r="BT155" s="741">
        <v>0</v>
      </c>
      <c r="BU155" s="741">
        <f t="shared" si="96"/>
        <v>0</v>
      </c>
      <c r="BV155" s="741">
        <v>0</v>
      </c>
      <c r="BW155" s="741"/>
      <c r="BX155" s="741">
        <v>0</v>
      </c>
      <c r="BY155" s="741">
        <v>0</v>
      </c>
      <c r="BZ155" s="741">
        <f t="shared" si="86"/>
        <v>0</v>
      </c>
      <c r="CA155" s="741">
        <v>0</v>
      </c>
      <c r="CB155" s="741"/>
      <c r="CC155" s="741">
        <f t="shared" si="97"/>
        <v>0</v>
      </c>
      <c r="CD155" s="751"/>
      <c r="CE155" s="748"/>
      <c r="CF155" s="748"/>
      <c r="CG155" s="748">
        <f t="shared" si="76"/>
        <v>0</v>
      </c>
      <c r="CH155" s="759"/>
      <c r="CI155" s="742"/>
      <c r="CJ155" s="591">
        <f t="shared" si="98"/>
        <v>0</v>
      </c>
    </row>
    <row r="156" spans="1:88" ht="32.25" customHeight="1" x14ac:dyDescent="0.25">
      <c r="A156" s="596" t="s">
        <v>28</v>
      </c>
      <c r="B156" s="596" t="s">
        <v>85</v>
      </c>
      <c r="C156" s="597" t="s">
        <v>89</v>
      </c>
      <c r="D156" s="166" t="s">
        <v>429</v>
      </c>
      <c r="E156" s="598">
        <v>62</v>
      </c>
      <c r="F156" s="596">
        <v>0</v>
      </c>
      <c r="G156" s="598">
        <v>12</v>
      </c>
      <c r="H156" s="596"/>
      <c r="I156" s="596">
        <f t="shared" si="82"/>
        <v>0</v>
      </c>
      <c r="J156" s="728">
        <f>4+28+2</f>
        <v>34</v>
      </c>
      <c r="K156" s="728">
        <f>3+2</f>
        <v>5</v>
      </c>
      <c r="L156" s="731">
        <f t="shared" si="83"/>
        <v>39</v>
      </c>
      <c r="M156" s="947"/>
      <c r="N156" s="617">
        <f>180+660+90</f>
        <v>930</v>
      </c>
      <c r="O156" s="602">
        <f t="shared" si="81"/>
        <v>62</v>
      </c>
      <c r="P156" s="940"/>
      <c r="Q156" s="600">
        <f t="shared" ref="Q156:Q177" si="99">E156-O156</f>
        <v>0</v>
      </c>
      <c r="R156" s="940"/>
      <c r="S156" s="596">
        <v>0</v>
      </c>
      <c r="T156" s="724"/>
      <c r="U156" s="728"/>
      <c r="V156" s="728"/>
      <c r="W156" s="731">
        <f t="shared" si="84"/>
        <v>0</v>
      </c>
      <c r="X156" s="947"/>
      <c r="Y156" s="616"/>
      <c r="Z156" s="602">
        <f t="shared" si="87"/>
        <v>0</v>
      </c>
      <c r="AA156" s="835"/>
      <c r="AB156" s="602">
        <f t="shared" si="88"/>
        <v>0</v>
      </c>
      <c r="AC156" s="940"/>
      <c r="AD156" s="956"/>
      <c r="AE156" s="956"/>
      <c r="AF156" s="598">
        <v>17</v>
      </c>
      <c r="AG156" s="596"/>
      <c r="AH156" s="728">
        <v>8</v>
      </c>
      <c r="AI156" s="728">
        <v>2</v>
      </c>
      <c r="AJ156" s="729">
        <f t="shared" si="94"/>
        <v>10</v>
      </c>
      <c r="AK156" s="946"/>
      <c r="AL156" s="616">
        <v>255</v>
      </c>
      <c r="AM156" s="602">
        <f t="shared" si="89"/>
        <v>17</v>
      </c>
      <c r="AN156" s="835"/>
      <c r="AO156" s="835">
        <f t="shared" ref="AO156:AO177" si="100">AF156-AM156</f>
        <v>0</v>
      </c>
      <c r="AP156" s="940"/>
      <c r="AQ156" s="722">
        <v>0</v>
      </c>
      <c r="AR156" s="728"/>
      <c r="AS156" s="728"/>
      <c r="AT156" s="729">
        <f t="shared" si="72"/>
        <v>0</v>
      </c>
      <c r="AU156" s="946"/>
      <c r="AV156" s="616"/>
      <c r="AW156" s="602">
        <f t="shared" si="90"/>
        <v>0</v>
      </c>
      <c r="AX156" s="940"/>
      <c r="AY156" s="602">
        <f t="shared" si="91"/>
        <v>0</v>
      </c>
      <c r="AZ156" s="940"/>
      <c r="BA156" s="962"/>
      <c r="BB156" s="962"/>
      <c r="BC156" s="598"/>
      <c r="BD156" s="665">
        <v>79</v>
      </c>
      <c r="BE156" s="596">
        <v>12</v>
      </c>
      <c r="BF156" s="596">
        <f t="shared" si="93"/>
        <v>67</v>
      </c>
      <c r="BG156" s="728">
        <f>2+4+8+28+4</f>
        <v>46</v>
      </c>
      <c r="BH156" s="728">
        <f>2+4+2+3</f>
        <v>11</v>
      </c>
      <c r="BI156" s="729">
        <f t="shared" si="85"/>
        <v>57</v>
      </c>
      <c r="BJ156" s="729"/>
      <c r="BK156" s="616">
        <f>850+2200+300+600</f>
        <v>3950</v>
      </c>
      <c r="BL156" s="603">
        <f t="shared" si="92"/>
        <v>79</v>
      </c>
      <c r="BM156" s="964"/>
      <c r="BN156" s="602">
        <f t="shared" ref="BN156:BN177" si="101">BD156-BL156</f>
        <v>0</v>
      </c>
      <c r="BO156" s="940"/>
      <c r="BP156" s="593">
        <f t="shared" si="95"/>
        <v>0</v>
      </c>
      <c r="BS156" s="741"/>
      <c r="BT156" s="741"/>
      <c r="BU156" s="741">
        <f t="shared" si="96"/>
        <v>0</v>
      </c>
      <c r="BV156" s="741"/>
      <c r="BW156" s="741"/>
      <c r="BX156" s="741"/>
      <c r="BY156" s="741"/>
      <c r="BZ156" s="741">
        <f t="shared" si="86"/>
        <v>0</v>
      </c>
      <c r="CA156" s="741"/>
      <c r="CB156" s="741"/>
      <c r="CC156" s="741">
        <f t="shared" si="97"/>
        <v>0</v>
      </c>
      <c r="CD156" s="751"/>
      <c r="CE156" s="748"/>
      <c r="CF156" s="748"/>
      <c r="CG156" s="748">
        <f t="shared" si="76"/>
        <v>0</v>
      </c>
      <c r="CH156" s="759"/>
      <c r="CI156" s="742"/>
      <c r="CJ156" s="591">
        <f t="shared" si="98"/>
        <v>0</v>
      </c>
    </row>
    <row r="157" spans="1:88" ht="21.6" customHeight="1" x14ac:dyDescent="0.25">
      <c r="A157" s="596"/>
      <c r="B157" s="596" t="s">
        <v>85</v>
      </c>
      <c r="C157" s="597" t="s">
        <v>622</v>
      </c>
      <c r="D157" s="166" t="s">
        <v>429</v>
      </c>
      <c r="E157" s="598">
        <v>32</v>
      </c>
      <c r="F157" s="596">
        <v>0</v>
      </c>
      <c r="G157" s="598"/>
      <c r="H157" s="596"/>
      <c r="I157" s="596">
        <f t="shared" si="82"/>
        <v>0</v>
      </c>
      <c r="J157" s="728">
        <f>18+10</f>
        <v>28</v>
      </c>
      <c r="K157" s="728">
        <f>2+2</f>
        <v>4</v>
      </c>
      <c r="L157" s="731">
        <f t="shared" si="83"/>
        <v>32</v>
      </c>
      <c r="M157" s="947"/>
      <c r="N157" s="617">
        <v>480</v>
      </c>
      <c r="O157" s="602">
        <f t="shared" si="81"/>
        <v>32</v>
      </c>
      <c r="P157" s="940"/>
      <c r="Q157" s="600">
        <f t="shared" si="99"/>
        <v>0</v>
      </c>
      <c r="R157" s="940"/>
      <c r="S157" s="596">
        <v>9.6666666666666661</v>
      </c>
      <c r="T157" s="724"/>
      <c r="U157" s="728">
        <f>4+4</f>
        <v>8</v>
      </c>
      <c r="V157" s="728">
        <f>2+1</f>
        <v>3</v>
      </c>
      <c r="W157" s="731">
        <f t="shared" si="84"/>
        <v>11</v>
      </c>
      <c r="X157" s="947"/>
      <c r="Y157" s="616">
        <f>85+60</f>
        <v>145</v>
      </c>
      <c r="Z157" s="602">
        <f t="shared" si="87"/>
        <v>9.6666666666666661</v>
      </c>
      <c r="AA157" s="835"/>
      <c r="AB157" s="602">
        <f t="shared" si="88"/>
        <v>0</v>
      </c>
      <c r="AC157" s="940"/>
      <c r="AD157" s="956"/>
      <c r="AE157" s="956"/>
      <c r="AF157" s="598"/>
      <c r="AG157" s="596"/>
      <c r="AH157" s="728"/>
      <c r="AI157" s="728"/>
      <c r="AJ157" s="729">
        <f t="shared" si="94"/>
        <v>0</v>
      </c>
      <c r="AK157" s="946"/>
      <c r="AL157" s="616"/>
      <c r="AM157" s="602">
        <f t="shared" si="89"/>
        <v>0</v>
      </c>
      <c r="AN157" s="835"/>
      <c r="AO157" s="835">
        <f t="shared" si="100"/>
        <v>0</v>
      </c>
      <c r="AP157" s="940"/>
      <c r="AQ157" s="722">
        <v>43</v>
      </c>
      <c r="AR157" s="728">
        <f>15+10+4+3</f>
        <v>32</v>
      </c>
      <c r="AS157" s="728">
        <f>2+2+2+1</f>
        <v>7</v>
      </c>
      <c r="AT157" s="729">
        <f t="shared" si="72"/>
        <v>39</v>
      </c>
      <c r="AU157" s="946"/>
      <c r="AV157" s="616">
        <f>277.5+180+75+127.5</f>
        <v>660</v>
      </c>
      <c r="AW157" s="602">
        <f t="shared" si="90"/>
        <v>44</v>
      </c>
      <c r="AX157" s="940"/>
      <c r="AY157" s="602">
        <f t="shared" si="91"/>
        <v>-1</v>
      </c>
      <c r="AZ157" s="940"/>
      <c r="BA157" s="962"/>
      <c r="BB157" s="962"/>
      <c r="BC157" s="598"/>
      <c r="BD157" s="665">
        <v>84</v>
      </c>
      <c r="BE157" s="596">
        <v>0</v>
      </c>
      <c r="BF157" s="596">
        <f t="shared" si="93"/>
        <v>84</v>
      </c>
      <c r="BG157" s="728">
        <f>11+16+4+10+4+18</f>
        <v>63</v>
      </c>
      <c r="BH157" s="728">
        <f>3+2+2+2+2+2</f>
        <v>13</v>
      </c>
      <c r="BI157" s="729">
        <f t="shared" si="85"/>
        <v>76</v>
      </c>
      <c r="BJ157" s="729"/>
      <c r="BK157" s="616">
        <f>550+250+1250+250+1000+900</f>
        <v>4200</v>
      </c>
      <c r="BL157" s="603">
        <f t="shared" si="92"/>
        <v>84</v>
      </c>
      <c r="BM157" s="964"/>
      <c r="BN157" s="602">
        <f t="shared" si="101"/>
        <v>0</v>
      </c>
      <c r="BO157" s="940"/>
      <c r="BP157" s="593">
        <f t="shared" si="95"/>
        <v>0</v>
      </c>
      <c r="BS157" s="741">
        <v>28</v>
      </c>
      <c r="BT157" s="741">
        <v>4</v>
      </c>
      <c r="BU157" s="741">
        <f t="shared" si="96"/>
        <v>32</v>
      </c>
      <c r="BV157" s="741">
        <v>32</v>
      </c>
      <c r="BW157" s="741"/>
      <c r="BX157" s="741">
        <v>0</v>
      </c>
      <c r="BY157" s="741">
        <v>0</v>
      </c>
      <c r="BZ157" s="741">
        <f t="shared" si="86"/>
        <v>0</v>
      </c>
      <c r="CA157" s="741">
        <v>0</v>
      </c>
      <c r="CB157" s="741"/>
      <c r="CC157" s="741">
        <f t="shared" si="97"/>
        <v>32</v>
      </c>
      <c r="CD157" s="751"/>
      <c r="CE157" s="748"/>
      <c r="CF157" s="748"/>
      <c r="CG157" s="748">
        <f t="shared" si="76"/>
        <v>0</v>
      </c>
      <c r="CH157" s="759"/>
      <c r="CI157" s="742"/>
      <c r="CJ157" s="591">
        <f t="shared" si="98"/>
        <v>-1</v>
      </c>
    </row>
    <row r="158" spans="1:88" ht="21.6" customHeight="1" x14ac:dyDescent="0.25">
      <c r="A158" s="596" t="s">
        <v>28</v>
      </c>
      <c r="B158" s="596" t="s">
        <v>85</v>
      </c>
      <c r="C158" s="597" t="s">
        <v>86</v>
      </c>
      <c r="D158" s="80" t="s">
        <v>429</v>
      </c>
      <c r="E158" s="598">
        <v>0</v>
      </c>
      <c r="F158" s="596">
        <v>0</v>
      </c>
      <c r="G158" s="598">
        <v>0</v>
      </c>
      <c r="H158" s="596"/>
      <c r="I158" s="596">
        <f t="shared" si="82"/>
        <v>0</v>
      </c>
      <c r="J158" s="728"/>
      <c r="K158" s="728"/>
      <c r="L158" s="731">
        <f t="shared" si="83"/>
        <v>0</v>
      </c>
      <c r="M158" s="947"/>
      <c r="N158" s="617"/>
      <c r="O158" s="602">
        <f t="shared" si="81"/>
        <v>0</v>
      </c>
      <c r="P158" s="940"/>
      <c r="Q158" s="600">
        <f t="shared" si="99"/>
        <v>0</v>
      </c>
      <c r="R158" s="940"/>
      <c r="S158" s="596">
        <v>15</v>
      </c>
      <c r="T158" s="724"/>
      <c r="U158" s="728">
        <f>10</f>
        <v>10</v>
      </c>
      <c r="V158" s="728">
        <f>3</f>
        <v>3</v>
      </c>
      <c r="W158" s="731">
        <f t="shared" si="84"/>
        <v>13</v>
      </c>
      <c r="X158" s="947"/>
      <c r="Y158" s="616">
        <f>225</f>
        <v>225</v>
      </c>
      <c r="Z158" s="602">
        <f t="shared" si="87"/>
        <v>15</v>
      </c>
      <c r="AA158" s="835"/>
      <c r="AB158" s="602">
        <f t="shared" si="88"/>
        <v>0</v>
      </c>
      <c r="AC158" s="940"/>
      <c r="AD158" s="956"/>
      <c r="AE158" s="956"/>
      <c r="AF158" s="598">
        <v>0</v>
      </c>
      <c r="AG158" s="596"/>
      <c r="AH158" s="728"/>
      <c r="AI158" s="728"/>
      <c r="AJ158" s="729">
        <f t="shared" si="94"/>
        <v>0</v>
      </c>
      <c r="AK158" s="946"/>
      <c r="AL158" s="616"/>
      <c r="AM158" s="602">
        <f t="shared" si="89"/>
        <v>0</v>
      </c>
      <c r="AN158" s="835"/>
      <c r="AO158" s="835">
        <f t="shared" si="100"/>
        <v>0</v>
      </c>
      <c r="AP158" s="940"/>
      <c r="AQ158" s="722">
        <v>2.6666666666666665</v>
      </c>
      <c r="AR158" s="728">
        <v>5</v>
      </c>
      <c r="AS158" s="728"/>
      <c r="AT158" s="729">
        <f t="shared" si="72"/>
        <v>5</v>
      </c>
      <c r="AU158" s="946"/>
      <c r="AV158" s="616">
        <v>40</v>
      </c>
      <c r="AW158" s="602">
        <f t="shared" si="90"/>
        <v>2.6666666666666665</v>
      </c>
      <c r="AX158" s="940"/>
      <c r="AY158" s="602">
        <f t="shared" si="91"/>
        <v>0</v>
      </c>
      <c r="AZ158" s="940"/>
      <c r="BA158" s="962"/>
      <c r="BB158" s="962"/>
      <c r="BC158" s="598"/>
      <c r="BD158" s="665">
        <v>14</v>
      </c>
      <c r="BE158" s="596">
        <v>0</v>
      </c>
      <c r="BF158" s="596">
        <f t="shared" si="93"/>
        <v>14</v>
      </c>
      <c r="BG158" s="728">
        <f>15+5</f>
        <v>20</v>
      </c>
      <c r="BH158" s="728">
        <f>4</f>
        <v>4</v>
      </c>
      <c r="BI158" s="729">
        <f t="shared" si="85"/>
        <v>24</v>
      </c>
      <c r="BJ158" s="729"/>
      <c r="BK158" s="616">
        <f>700</f>
        <v>700</v>
      </c>
      <c r="BL158" s="603">
        <f t="shared" si="92"/>
        <v>14</v>
      </c>
      <c r="BM158" s="964"/>
      <c r="BN158" s="602">
        <f t="shared" si="101"/>
        <v>0</v>
      </c>
      <c r="BO158" s="940"/>
      <c r="BP158" s="593">
        <f t="shared" si="95"/>
        <v>0</v>
      </c>
      <c r="BS158" s="741">
        <v>0</v>
      </c>
      <c r="BT158" s="741">
        <v>0</v>
      </c>
      <c r="BU158" s="741">
        <f t="shared" si="96"/>
        <v>0</v>
      </c>
      <c r="BV158" s="741">
        <v>0</v>
      </c>
      <c r="BW158" s="741"/>
      <c r="BX158" s="741">
        <v>0</v>
      </c>
      <c r="BY158" s="741">
        <v>0</v>
      </c>
      <c r="BZ158" s="741">
        <f t="shared" si="86"/>
        <v>0</v>
      </c>
      <c r="CA158" s="741">
        <v>0</v>
      </c>
      <c r="CB158" s="741"/>
      <c r="CC158" s="741">
        <f t="shared" si="97"/>
        <v>0</v>
      </c>
      <c r="CD158" s="751"/>
      <c r="CE158" s="748"/>
      <c r="CF158" s="748"/>
      <c r="CG158" s="748">
        <f t="shared" si="76"/>
        <v>0</v>
      </c>
      <c r="CH158" s="759"/>
      <c r="CI158" s="742"/>
      <c r="CJ158" s="591">
        <f t="shared" si="98"/>
        <v>0</v>
      </c>
    </row>
    <row r="159" spans="1:88" ht="21.6" customHeight="1" x14ac:dyDescent="0.25">
      <c r="A159" s="596" t="s">
        <v>28</v>
      </c>
      <c r="B159" s="596" t="s">
        <v>85</v>
      </c>
      <c r="C159" s="597" t="s">
        <v>87</v>
      </c>
      <c r="D159" s="166"/>
      <c r="E159" s="598">
        <v>0</v>
      </c>
      <c r="F159" s="596">
        <v>0</v>
      </c>
      <c r="G159" s="598">
        <v>0</v>
      </c>
      <c r="H159" s="596"/>
      <c r="I159" s="596">
        <f t="shared" si="82"/>
        <v>0</v>
      </c>
      <c r="J159" s="728"/>
      <c r="K159" s="728"/>
      <c r="L159" s="731">
        <f t="shared" si="83"/>
        <v>0</v>
      </c>
      <c r="M159" s="947"/>
      <c r="N159" s="617"/>
      <c r="O159" s="602">
        <f t="shared" si="81"/>
        <v>0</v>
      </c>
      <c r="P159" s="940"/>
      <c r="Q159" s="600">
        <f t="shared" si="99"/>
        <v>0</v>
      </c>
      <c r="R159" s="940"/>
      <c r="S159" s="596">
        <v>0</v>
      </c>
      <c r="T159" s="724"/>
      <c r="U159" s="728"/>
      <c r="V159" s="728"/>
      <c r="W159" s="731">
        <f t="shared" si="84"/>
        <v>0</v>
      </c>
      <c r="X159" s="947"/>
      <c r="Y159" s="616"/>
      <c r="Z159" s="602">
        <f t="shared" si="87"/>
        <v>0</v>
      </c>
      <c r="AA159" s="835"/>
      <c r="AB159" s="602">
        <f t="shared" si="88"/>
        <v>0</v>
      </c>
      <c r="AC159" s="940"/>
      <c r="AD159" s="956"/>
      <c r="AE159" s="956"/>
      <c r="AF159" s="598">
        <v>0</v>
      </c>
      <c r="AG159" s="596"/>
      <c r="AH159" s="728"/>
      <c r="AI159" s="728"/>
      <c r="AJ159" s="729">
        <f t="shared" si="94"/>
        <v>0</v>
      </c>
      <c r="AK159" s="946"/>
      <c r="AL159" s="616"/>
      <c r="AM159" s="602">
        <f t="shared" si="89"/>
        <v>0</v>
      </c>
      <c r="AN159" s="835"/>
      <c r="AO159" s="835">
        <f t="shared" si="100"/>
        <v>0</v>
      </c>
      <c r="AP159" s="940"/>
      <c r="AQ159" s="722">
        <v>0</v>
      </c>
      <c r="AR159" s="728"/>
      <c r="AS159" s="728"/>
      <c r="AT159" s="729">
        <f t="shared" si="72"/>
        <v>0</v>
      </c>
      <c r="AU159" s="946"/>
      <c r="AV159" s="616"/>
      <c r="AW159" s="602">
        <f t="shared" si="90"/>
        <v>0</v>
      </c>
      <c r="AX159" s="940"/>
      <c r="AY159" s="602">
        <f t="shared" si="91"/>
        <v>0</v>
      </c>
      <c r="AZ159" s="940"/>
      <c r="BA159" s="962"/>
      <c r="BB159" s="962"/>
      <c r="BC159" s="598"/>
      <c r="BD159" s="665">
        <v>0</v>
      </c>
      <c r="BE159" s="596">
        <v>0</v>
      </c>
      <c r="BF159" s="596">
        <f t="shared" si="93"/>
        <v>0</v>
      </c>
      <c r="BG159" s="728"/>
      <c r="BH159" s="728"/>
      <c r="BI159" s="729">
        <f t="shared" si="85"/>
        <v>0</v>
      </c>
      <c r="BJ159" s="729"/>
      <c r="BK159" s="616"/>
      <c r="BL159" s="603">
        <f t="shared" si="92"/>
        <v>0</v>
      </c>
      <c r="BM159" s="964"/>
      <c r="BN159" s="602">
        <f t="shared" si="101"/>
        <v>0</v>
      </c>
      <c r="BO159" s="940"/>
      <c r="BP159" s="593">
        <f t="shared" si="95"/>
        <v>0</v>
      </c>
      <c r="BS159" s="741">
        <v>0</v>
      </c>
      <c r="BT159" s="741">
        <v>0</v>
      </c>
      <c r="BU159" s="741">
        <f t="shared" si="96"/>
        <v>0</v>
      </c>
      <c r="BV159" s="741">
        <v>0</v>
      </c>
      <c r="BW159" s="741"/>
      <c r="BX159" s="741">
        <v>0</v>
      </c>
      <c r="BY159" s="741">
        <v>0</v>
      </c>
      <c r="BZ159" s="741">
        <f t="shared" si="86"/>
        <v>0</v>
      </c>
      <c r="CA159" s="741">
        <v>0</v>
      </c>
      <c r="CB159" s="741"/>
      <c r="CC159" s="741">
        <f t="shared" si="97"/>
        <v>0</v>
      </c>
      <c r="CD159" s="751"/>
      <c r="CE159" s="748"/>
      <c r="CF159" s="748"/>
      <c r="CG159" s="748">
        <f t="shared" si="76"/>
        <v>0</v>
      </c>
      <c r="CH159" s="759"/>
      <c r="CI159" s="742"/>
      <c r="CJ159" s="591">
        <f t="shared" si="98"/>
        <v>0</v>
      </c>
    </row>
    <row r="160" spans="1:88" ht="21.6" customHeight="1" x14ac:dyDescent="0.25">
      <c r="A160" s="596" t="s">
        <v>28</v>
      </c>
      <c r="B160" s="596" t="s">
        <v>85</v>
      </c>
      <c r="C160" s="597" t="s">
        <v>91</v>
      </c>
      <c r="D160" s="174" t="s">
        <v>429</v>
      </c>
      <c r="E160" s="598">
        <v>0</v>
      </c>
      <c r="F160" s="596">
        <v>0</v>
      </c>
      <c r="G160" s="598">
        <v>0</v>
      </c>
      <c r="H160" s="596"/>
      <c r="I160" s="596">
        <f t="shared" si="82"/>
        <v>0</v>
      </c>
      <c r="J160" s="728"/>
      <c r="K160" s="728"/>
      <c r="L160" s="731">
        <f t="shared" si="83"/>
        <v>0</v>
      </c>
      <c r="M160" s="947"/>
      <c r="N160" s="617"/>
      <c r="O160" s="602">
        <f t="shared" si="81"/>
        <v>0</v>
      </c>
      <c r="P160" s="940"/>
      <c r="Q160" s="600">
        <f t="shared" si="99"/>
        <v>0</v>
      </c>
      <c r="R160" s="940"/>
      <c r="S160" s="596">
        <v>0</v>
      </c>
      <c r="T160" s="724"/>
      <c r="U160" s="728"/>
      <c r="V160" s="728"/>
      <c r="W160" s="731">
        <f t="shared" si="84"/>
        <v>0</v>
      </c>
      <c r="X160" s="947"/>
      <c r="Y160" s="616"/>
      <c r="Z160" s="602">
        <f t="shared" si="87"/>
        <v>0</v>
      </c>
      <c r="AA160" s="835"/>
      <c r="AB160" s="602">
        <f t="shared" si="88"/>
        <v>0</v>
      </c>
      <c r="AC160" s="940"/>
      <c r="AD160" s="956"/>
      <c r="AE160" s="956"/>
      <c r="AF160" s="598">
        <v>61.333333333333336</v>
      </c>
      <c r="AG160" s="596"/>
      <c r="AH160" s="728">
        <f>20+16</f>
        <v>36</v>
      </c>
      <c r="AI160" s="728">
        <f>1+3</f>
        <v>4</v>
      </c>
      <c r="AJ160" s="729">
        <f t="shared" si="94"/>
        <v>40</v>
      </c>
      <c r="AK160" s="946"/>
      <c r="AL160" s="616">
        <v>920</v>
      </c>
      <c r="AM160" s="602">
        <f t="shared" si="89"/>
        <v>61.333333333333336</v>
      </c>
      <c r="AN160" s="835"/>
      <c r="AO160" s="835">
        <f t="shared" si="100"/>
        <v>0</v>
      </c>
      <c r="AP160" s="940"/>
      <c r="AQ160" s="722">
        <v>14</v>
      </c>
      <c r="AR160" s="728">
        <f>4+2</f>
        <v>6</v>
      </c>
      <c r="AS160" s="728">
        <f>1+1+1</f>
        <v>3</v>
      </c>
      <c r="AT160" s="729">
        <f t="shared" si="72"/>
        <v>9</v>
      </c>
      <c r="AU160" s="946"/>
      <c r="AV160" s="616">
        <f>120+75+15</f>
        <v>210</v>
      </c>
      <c r="AW160" s="602">
        <f t="shared" si="90"/>
        <v>14</v>
      </c>
      <c r="AX160" s="940"/>
      <c r="AY160" s="602">
        <f t="shared" si="91"/>
        <v>0</v>
      </c>
      <c r="AZ160" s="940"/>
      <c r="BA160" s="962"/>
      <c r="BB160" s="962"/>
      <c r="BC160" s="598"/>
      <c r="BD160" s="665">
        <v>75</v>
      </c>
      <c r="BE160" s="596">
        <v>0</v>
      </c>
      <c r="BF160" s="596">
        <f t="shared" si="93"/>
        <v>75</v>
      </c>
      <c r="BG160" s="728">
        <f>4+18+17</f>
        <v>39</v>
      </c>
      <c r="BH160" s="728">
        <f>1+1+3</f>
        <v>5</v>
      </c>
      <c r="BI160" s="729">
        <f t="shared" si="85"/>
        <v>44</v>
      </c>
      <c r="BJ160" s="729"/>
      <c r="BK160" s="616">
        <f>1750+1600+400</f>
        <v>3750</v>
      </c>
      <c r="BL160" s="603">
        <f t="shared" si="92"/>
        <v>75</v>
      </c>
      <c r="BM160" s="964"/>
      <c r="BN160" s="602">
        <f t="shared" si="101"/>
        <v>0</v>
      </c>
      <c r="BO160" s="940"/>
      <c r="BP160" s="593">
        <f t="shared" si="95"/>
        <v>0</v>
      </c>
      <c r="BS160" s="741">
        <v>0</v>
      </c>
      <c r="BT160" s="741">
        <v>0</v>
      </c>
      <c r="BU160" s="741">
        <f t="shared" si="96"/>
        <v>0</v>
      </c>
      <c r="BV160" s="741">
        <v>0</v>
      </c>
      <c r="BW160" s="741"/>
      <c r="BX160" s="741">
        <v>36</v>
      </c>
      <c r="BY160" s="741">
        <v>4</v>
      </c>
      <c r="BZ160" s="741">
        <f t="shared" si="86"/>
        <v>40</v>
      </c>
      <c r="CA160" s="741">
        <v>61.333333333333336</v>
      </c>
      <c r="CB160" s="741"/>
      <c r="CC160" s="741">
        <f t="shared" si="97"/>
        <v>61.333333333333336</v>
      </c>
      <c r="CD160" s="751"/>
      <c r="CE160" s="748">
        <f>4+18+17</f>
        <v>39</v>
      </c>
      <c r="CF160" s="748">
        <f>1+1+3</f>
        <v>5</v>
      </c>
      <c r="CG160" s="748">
        <f t="shared" si="76"/>
        <v>44</v>
      </c>
      <c r="CH160" s="759">
        <v>75</v>
      </c>
      <c r="CI160" s="742"/>
      <c r="CJ160" s="591">
        <f t="shared" si="98"/>
        <v>0</v>
      </c>
    </row>
    <row r="161" spans="1:88" ht="21.6" customHeight="1" x14ac:dyDescent="0.25">
      <c r="A161" s="596"/>
      <c r="B161" s="596" t="s">
        <v>85</v>
      </c>
      <c r="C161" s="597" t="s">
        <v>546</v>
      </c>
      <c r="D161" s="174" t="s">
        <v>429</v>
      </c>
      <c r="E161" s="598">
        <v>47</v>
      </c>
      <c r="F161" s="596">
        <v>0</v>
      </c>
      <c r="G161" s="598">
        <v>26</v>
      </c>
      <c r="H161" s="596"/>
      <c r="I161" s="596">
        <f t="shared" si="82"/>
        <v>0</v>
      </c>
      <c r="J161" s="728">
        <f>5+11+21</f>
        <v>37</v>
      </c>
      <c r="K161" s="728">
        <f>2+1+3</f>
        <v>6</v>
      </c>
      <c r="L161" s="731">
        <f t="shared" si="83"/>
        <v>43</v>
      </c>
      <c r="M161" s="947"/>
      <c r="N161" s="617">
        <f>390+125+190</f>
        <v>705</v>
      </c>
      <c r="O161" s="602">
        <f t="shared" si="81"/>
        <v>47</v>
      </c>
      <c r="P161" s="940"/>
      <c r="Q161" s="600">
        <f t="shared" si="99"/>
        <v>0</v>
      </c>
      <c r="R161" s="940"/>
      <c r="S161" s="596">
        <v>0</v>
      </c>
      <c r="T161" s="724"/>
      <c r="U161" s="728"/>
      <c r="V161" s="728"/>
      <c r="W161" s="731">
        <f t="shared" si="84"/>
        <v>0</v>
      </c>
      <c r="X161" s="947"/>
      <c r="Y161" s="616"/>
      <c r="Z161" s="602">
        <f t="shared" si="87"/>
        <v>0</v>
      </c>
      <c r="AA161" s="835"/>
      <c r="AB161" s="602">
        <f t="shared" si="88"/>
        <v>0</v>
      </c>
      <c r="AC161" s="940"/>
      <c r="AD161" s="956"/>
      <c r="AE161" s="956"/>
      <c r="AF161" s="598">
        <v>0</v>
      </c>
      <c r="AG161" s="596"/>
      <c r="AH161" s="728"/>
      <c r="AI161" s="728"/>
      <c r="AJ161" s="729">
        <f t="shared" si="94"/>
        <v>0</v>
      </c>
      <c r="AK161" s="946"/>
      <c r="AL161" s="616"/>
      <c r="AM161" s="602">
        <f t="shared" si="89"/>
        <v>0</v>
      </c>
      <c r="AN161" s="835"/>
      <c r="AO161" s="835">
        <f t="shared" si="100"/>
        <v>0</v>
      </c>
      <c r="AP161" s="940"/>
      <c r="AQ161" s="722">
        <v>0</v>
      </c>
      <c r="AR161" s="728"/>
      <c r="AS161" s="728"/>
      <c r="AT161" s="729">
        <f t="shared" si="72"/>
        <v>0</v>
      </c>
      <c r="AU161" s="946"/>
      <c r="AV161" s="616"/>
      <c r="AW161" s="602">
        <f t="shared" si="90"/>
        <v>0</v>
      </c>
      <c r="AX161" s="940"/>
      <c r="AY161" s="602">
        <f t="shared" si="91"/>
        <v>0</v>
      </c>
      <c r="AZ161" s="940"/>
      <c r="BA161" s="962"/>
      <c r="BB161" s="962"/>
      <c r="BC161" s="598"/>
      <c r="BD161" s="665">
        <v>47</v>
      </c>
      <c r="BE161" s="596">
        <v>26</v>
      </c>
      <c r="BF161" s="596">
        <f t="shared" si="93"/>
        <v>21</v>
      </c>
      <c r="BG161" s="728">
        <f>5+20+11</f>
        <v>36</v>
      </c>
      <c r="BH161" s="728">
        <f>2+3+1</f>
        <v>6</v>
      </c>
      <c r="BI161" s="729">
        <f t="shared" si="85"/>
        <v>42</v>
      </c>
      <c r="BJ161" s="729"/>
      <c r="BK161" s="616">
        <f>1350+600+400</f>
        <v>2350</v>
      </c>
      <c r="BL161" s="603">
        <f t="shared" si="92"/>
        <v>47</v>
      </c>
      <c r="BM161" s="964"/>
      <c r="BN161" s="602">
        <f t="shared" si="101"/>
        <v>0</v>
      </c>
      <c r="BO161" s="940"/>
      <c r="BP161" s="593">
        <f t="shared" si="95"/>
        <v>0</v>
      </c>
      <c r="BS161" s="741"/>
      <c r="BT161" s="741"/>
      <c r="BU161" s="741">
        <f t="shared" si="96"/>
        <v>0</v>
      </c>
      <c r="BV161" s="741"/>
      <c r="BW161" s="741"/>
      <c r="BX161" s="741">
        <v>0</v>
      </c>
      <c r="BY161" s="741">
        <v>0</v>
      </c>
      <c r="BZ161" s="741">
        <f t="shared" si="86"/>
        <v>0</v>
      </c>
      <c r="CA161" s="741">
        <v>0</v>
      </c>
      <c r="CB161" s="741"/>
      <c r="CC161" s="741">
        <f t="shared" si="97"/>
        <v>0</v>
      </c>
      <c r="CD161" s="751"/>
      <c r="CE161" s="748"/>
      <c r="CF161" s="748"/>
      <c r="CG161" s="748">
        <f t="shared" si="76"/>
        <v>0</v>
      </c>
      <c r="CH161" s="759"/>
      <c r="CI161" s="742"/>
      <c r="CJ161" s="591">
        <f t="shared" si="98"/>
        <v>0</v>
      </c>
    </row>
    <row r="162" spans="1:88" ht="21.6" customHeight="1" x14ac:dyDescent="0.25">
      <c r="A162" s="596"/>
      <c r="B162" s="596" t="s">
        <v>85</v>
      </c>
      <c r="C162" s="597" t="s">
        <v>314</v>
      </c>
      <c r="D162" s="253" t="s">
        <v>431</v>
      </c>
      <c r="E162" s="598">
        <v>30</v>
      </c>
      <c r="F162" s="596">
        <v>0</v>
      </c>
      <c r="G162" s="598">
        <v>0</v>
      </c>
      <c r="H162" s="596"/>
      <c r="I162" s="596">
        <f t="shared" si="82"/>
        <v>0</v>
      </c>
      <c r="J162" s="728"/>
      <c r="K162" s="728">
        <f>18+11</f>
        <v>29</v>
      </c>
      <c r="L162" s="731">
        <f t="shared" si="83"/>
        <v>29</v>
      </c>
      <c r="M162" s="947"/>
      <c r="N162" s="617">
        <f>285+165</f>
        <v>450</v>
      </c>
      <c r="O162" s="602">
        <f t="shared" si="81"/>
        <v>30</v>
      </c>
      <c r="P162" s="940"/>
      <c r="Q162" s="600">
        <f t="shared" si="99"/>
        <v>0</v>
      </c>
      <c r="R162" s="940"/>
      <c r="S162" s="596">
        <v>0</v>
      </c>
      <c r="T162" s="724"/>
      <c r="U162" s="728"/>
      <c r="V162" s="728"/>
      <c r="W162" s="731">
        <f t="shared" si="84"/>
        <v>0</v>
      </c>
      <c r="X162" s="947"/>
      <c r="Y162" s="616"/>
      <c r="Z162" s="602">
        <f t="shared" si="87"/>
        <v>0</v>
      </c>
      <c r="AA162" s="835"/>
      <c r="AB162" s="602">
        <f t="shared" si="88"/>
        <v>0</v>
      </c>
      <c r="AC162" s="940"/>
      <c r="AD162" s="956"/>
      <c r="AE162" s="956"/>
      <c r="AF162" s="598">
        <v>0</v>
      </c>
      <c r="AG162" s="596"/>
      <c r="AH162" s="728"/>
      <c r="AI162" s="728"/>
      <c r="AJ162" s="729">
        <f t="shared" si="94"/>
        <v>0</v>
      </c>
      <c r="AK162" s="946"/>
      <c r="AL162" s="616"/>
      <c r="AM162" s="602">
        <f t="shared" si="89"/>
        <v>0</v>
      </c>
      <c r="AN162" s="835"/>
      <c r="AO162" s="835">
        <f t="shared" si="100"/>
        <v>0</v>
      </c>
      <c r="AP162" s="940"/>
      <c r="AQ162" s="722">
        <v>0</v>
      </c>
      <c r="AR162" s="728"/>
      <c r="AS162" s="728"/>
      <c r="AT162" s="729">
        <f t="shared" si="72"/>
        <v>0</v>
      </c>
      <c r="AU162" s="946"/>
      <c r="AV162" s="616"/>
      <c r="AW162" s="602">
        <f t="shared" si="90"/>
        <v>0</v>
      </c>
      <c r="AX162" s="940"/>
      <c r="AY162" s="602">
        <f t="shared" si="91"/>
        <v>0</v>
      </c>
      <c r="AZ162" s="940"/>
      <c r="BA162" s="962"/>
      <c r="BB162" s="962"/>
      <c r="BC162" s="598"/>
      <c r="BD162" s="665">
        <v>30</v>
      </c>
      <c r="BE162" s="596">
        <v>0</v>
      </c>
      <c r="BF162" s="596">
        <f t="shared" si="93"/>
        <v>30</v>
      </c>
      <c r="BG162" s="728"/>
      <c r="BH162" s="728">
        <v>30</v>
      </c>
      <c r="BI162" s="729">
        <f t="shared" si="85"/>
        <v>30</v>
      </c>
      <c r="BJ162" s="729"/>
      <c r="BK162" s="616">
        <v>1500</v>
      </c>
      <c r="BL162" s="603">
        <f t="shared" si="92"/>
        <v>30</v>
      </c>
      <c r="BM162" s="964"/>
      <c r="BN162" s="602">
        <f t="shared" si="101"/>
        <v>0</v>
      </c>
      <c r="BO162" s="940"/>
      <c r="BP162" s="593">
        <f t="shared" si="95"/>
        <v>0</v>
      </c>
      <c r="BS162" s="741">
        <v>0</v>
      </c>
      <c r="BT162" s="741">
        <v>29</v>
      </c>
      <c r="BU162" s="741">
        <f t="shared" si="96"/>
        <v>29</v>
      </c>
      <c r="BV162" s="741">
        <v>30</v>
      </c>
      <c r="BW162" s="741"/>
      <c r="BX162" s="741">
        <v>0</v>
      </c>
      <c r="BY162" s="741">
        <v>0</v>
      </c>
      <c r="BZ162" s="741">
        <f t="shared" si="86"/>
        <v>0</v>
      </c>
      <c r="CA162" s="741">
        <v>0</v>
      </c>
      <c r="CB162" s="741"/>
      <c r="CC162" s="741">
        <f t="shared" si="97"/>
        <v>30</v>
      </c>
      <c r="CD162" s="751"/>
      <c r="CE162" s="748"/>
      <c r="CF162" s="748">
        <v>30</v>
      </c>
      <c r="CG162" s="748">
        <f t="shared" si="76"/>
        <v>30</v>
      </c>
      <c r="CH162" s="759">
        <v>30</v>
      </c>
      <c r="CI162" s="742"/>
      <c r="CJ162" s="591">
        <f t="shared" si="98"/>
        <v>0</v>
      </c>
    </row>
    <row r="163" spans="1:88" ht="21.6" customHeight="1" x14ac:dyDescent="0.25">
      <c r="A163" s="596" t="s">
        <v>28</v>
      </c>
      <c r="B163" s="596" t="s">
        <v>85</v>
      </c>
      <c r="C163" s="597" t="s">
        <v>74</v>
      </c>
      <c r="D163" s="166" t="s">
        <v>431</v>
      </c>
      <c r="E163" s="598">
        <v>67.333333333333329</v>
      </c>
      <c r="F163" s="596">
        <v>0</v>
      </c>
      <c r="G163" s="598">
        <v>0</v>
      </c>
      <c r="H163" s="596"/>
      <c r="I163" s="596">
        <f t="shared" si="82"/>
        <v>0</v>
      </c>
      <c r="J163" s="728">
        <f>29+2</f>
        <v>31</v>
      </c>
      <c r="K163" s="728">
        <v>19</v>
      </c>
      <c r="L163" s="731">
        <f t="shared" si="83"/>
        <v>50</v>
      </c>
      <c r="M163" s="947"/>
      <c r="N163" s="617">
        <f>30+980</f>
        <v>1010</v>
      </c>
      <c r="O163" s="602">
        <f t="shared" si="81"/>
        <v>67.333333333333329</v>
      </c>
      <c r="P163" s="940"/>
      <c r="Q163" s="600">
        <f t="shared" si="99"/>
        <v>0</v>
      </c>
      <c r="R163" s="940"/>
      <c r="S163" s="596">
        <v>0</v>
      </c>
      <c r="T163" s="724"/>
      <c r="U163" s="728"/>
      <c r="V163" s="728"/>
      <c r="W163" s="731">
        <f t="shared" si="84"/>
        <v>0</v>
      </c>
      <c r="X163" s="947"/>
      <c r="Y163" s="616"/>
      <c r="Z163" s="602">
        <f t="shared" si="87"/>
        <v>0</v>
      </c>
      <c r="AA163" s="835"/>
      <c r="AB163" s="602">
        <f t="shared" si="88"/>
        <v>0</v>
      </c>
      <c r="AC163" s="940"/>
      <c r="AD163" s="956"/>
      <c r="AE163" s="956"/>
      <c r="AF163" s="598">
        <v>0</v>
      </c>
      <c r="AG163" s="596"/>
      <c r="AH163" s="728"/>
      <c r="AI163" s="728"/>
      <c r="AJ163" s="729">
        <f t="shared" si="94"/>
        <v>0</v>
      </c>
      <c r="AK163" s="946"/>
      <c r="AL163" s="616"/>
      <c r="AM163" s="602">
        <f t="shared" si="89"/>
        <v>0</v>
      </c>
      <c r="AN163" s="835"/>
      <c r="AO163" s="835">
        <f t="shared" si="100"/>
        <v>0</v>
      </c>
      <c r="AP163" s="940"/>
      <c r="AQ163" s="722">
        <v>0</v>
      </c>
      <c r="AR163" s="728"/>
      <c r="AS163" s="728"/>
      <c r="AT163" s="729">
        <f t="shared" si="72"/>
        <v>0</v>
      </c>
      <c r="AU163" s="946"/>
      <c r="AV163" s="616"/>
      <c r="AW163" s="602">
        <f t="shared" si="90"/>
        <v>0</v>
      </c>
      <c r="AX163" s="940"/>
      <c r="AY163" s="602">
        <f t="shared" si="91"/>
        <v>0</v>
      </c>
      <c r="AZ163" s="940"/>
      <c r="BA163" s="962"/>
      <c r="BB163" s="962"/>
      <c r="BC163" s="598"/>
      <c r="BD163" s="665">
        <v>67</v>
      </c>
      <c r="BE163" s="596">
        <v>0</v>
      </c>
      <c r="BF163" s="596">
        <f t="shared" si="93"/>
        <v>67</v>
      </c>
      <c r="BG163" s="728">
        <f>30+2</f>
        <v>32</v>
      </c>
      <c r="BH163" s="728">
        <f>25</f>
        <v>25</v>
      </c>
      <c r="BI163" s="729">
        <f t="shared" si="85"/>
        <v>57</v>
      </c>
      <c r="BJ163" s="729"/>
      <c r="BK163" s="616">
        <f>3250+100</f>
        <v>3350</v>
      </c>
      <c r="BL163" s="603">
        <f t="shared" si="92"/>
        <v>67</v>
      </c>
      <c r="BM163" s="964"/>
      <c r="BN163" s="602">
        <f t="shared" si="101"/>
        <v>0</v>
      </c>
      <c r="BO163" s="940"/>
      <c r="BP163" s="593">
        <f t="shared" si="95"/>
        <v>0</v>
      </c>
      <c r="BS163" s="741">
        <v>31</v>
      </c>
      <c r="BT163" s="741">
        <v>19</v>
      </c>
      <c r="BU163" s="741">
        <f t="shared" si="96"/>
        <v>50</v>
      </c>
      <c r="BV163" s="741">
        <v>67.333333333333329</v>
      </c>
      <c r="BW163" s="741"/>
      <c r="BX163" s="741">
        <v>0</v>
      </c>
      <c r="BY163" s="741">
        <v>0</v>
      </c>
      <c r="BZ163" s="741">
        <f t="shared" si="86"/>
        <v>0</v>
      </c>
      <c r="CA163" s="741">
        <v>0</v>
      </c>
      <c r="CB163" s="741"/>
      <c r="CC163" s="741">
        <f t="shared" si="97"/>
        <v>67.333333333333329</v>
      </c>
      <c r="CD163" s="751"/>
      <c r="CE163" s="748">
        <f>30+2</f>
        <v>32</v>
      </c>
      <c r="CF163" s="748">
        <f>25</f>
        <v>25</v>
      </c>
      <c r="CG163" s="748">
        <f t="shared" si="76"/>
        <v>57</v>
      </c>
      <c r="CH163" s="759">
        <v>67</v>
      </c>
      <c r="CI163" s="742"/>
      <c r="CJ163" s="591">
        <f t="shared" si="98"/>
        <v>0</v>
      </c>
    </row>
    <row r="164" spans="1:88" ht="21.6" customHeight="1" x14ac:dyDescent="0.25">
      <c r="A164" s="596"/>
      <c r="B164" s="596"/>
      <c r="C164" s="597"/>
      <c r="D164" s="143"/>
      <c r="E164" s="598">
        <v>0</v>
      </c>
      <c r="F164" s="596">
        <v>0</v>
      </c>
      <c r="G164" s="598"/>
      <c r="H164" s="596"/>
      <c r="I164" s="596">
        <f t="shared" si="82"/>
        <v>0</v>
      </c>
      <c r="J164" s="728"/>
      <c r="K164" s="728"/>
      <c r="L164" s="731">
        <f t="shared" si="83"/>
        <v>0</v>
      </c>
      <c r="M164" s="947"/>
      <c r="N164" s="617"/>
      <c r="O164" s="602">
        <f t="shared" si="81"/>
        <v>0</v>
      </c>
      <c r="P164" s="940"/>
      <c r="Q164" s="600">
        <f t="shared" si="99"/>
        <v>0</v>
      </c>
      <c r="R164" s="940"/>
      <c r="S164" s="596">
        <v>0</v>
      </c>
      <c r="T164" s="724"/>
      <c r="U164" s="728"/>
      <c r="V164" s="728"/>
      <c r="W164" s="731">
        <f t="shared" si="84"/>
        <v>0</v>
      </c>
      <c r="X164" s="947"/>
      <c r="Y164" s="616"/>
      <c r="Z164" s="602">
        <f t="shared" si="87"/>
        <v>0</v>
      </c>
      <c r="AA164" s="835"/>
      <c r="AB164" s="602">
        <f t="shared" si="88"/>
        <v>0</v>
      </c>
      <c r="AC164" s="940"/>
      <c r="AD164" s="956"/>
      <c r="AE164" s="956"/>
      <c r="AF164" s="598"/>
      <c r="AG164" s="596"/>
      <c r="AH164" s="728"/>
      <c r="AI164" s="728"/>
      <c r="AJ164" s="729">
        <f t="shared" si="94"/>
        <v>0</v>
      </c>
      <c r="AK164" s="946"/>
      <c r="AL164" s="616"/>
      <c r="AM164" s="602">
        <f t="shared" si="89"/>
        <v>0</v>
      </c>
      <c r="AN164" s="835"/>
      <c r="AO164" s="835">
        <f t="shared" si="100"/>
        <v>0</v>
      </c>
      <c r="AP164" s="940"/>
      <c r="AQ164" s="722">
        <v>0</v>
      </c>
      <c r="AR164" s="728"/>
      <c r="AS164" s="728"/>
      <c r="AT164" s="729">
        <f t="shared" si="72"/>
        <v>0</v>
      </c>
      <c r="AU164" s="946"/>
      <c r="AV164" s="616"/>
      <c r="AW164" s="602">
        <f t="shared" si="90"/>
        <v>0</v>
      </c>
      <c r="AX164" s="940"/>
      <c r="AY164" s="602">
        <f t="shared" si="91"/>
        <v>0</v>
      </c>
      <c r="AZ164" s="940"/>
      <c r="BA164" s="962"/>
      <c r="BB164" s="962"/>
      <c r="BC164" s="611"/>
      <c r="BD164" s="712"/>
      <c r="BE164" s="596"/>
      <c r="BF164" s="596">
        <f t="shared" si="93"/>
        <v>0</v>
      </c>
      <c r="BG164" s="728"/>
      <c r="BH164" s="728"/>
      <c r="BI164" s="729">
        <f t="shared" si="85"/>
        <v>0</v>
      </c>
      <c r="BJ164" s="729"/>
      <c r="BK164" s="616"/>
      <c r="BL164" s="603">
        <f t="shared" si="92"/>
        <v>0</v>
      </c>
      <c r="BM164" s="964"/>
      <c r="BN164" s="602">
        <f t="shared" si="101"/>
        <v>0</v>
      </c>
      <c r="BO164" s="940"/>
      <c r="BP164" s="593">
        <f t="shared" si="95"/>
        <v>0</v>
      </c>
      <c r="BS164" s="741">
        <v>0</v>
      </c>
      <c r="BT164" s="741">
        <v>0</v>
      </c>
      <c r="BU164" s="741">
        <f t="shared" si="96"/>
        <v>0</v>
      </c>
      <c r="BV164" s="741">
        <v>0</v>
      </c>
      <c r="BW164" s="741"/>
      <c r="BX164" s="741">
        <v>0</v>
      </c>
      <c r="BY164" s="741">
        <v>0</v>
      </c>
      <c r="BZ164" s="741">
        <f t="shared" si="86"/>
        <v>0</v>
      </c>
      <c r="CA164" s="741">
        <v>0</v>
      </c>
      <c r="CB164" s="741"/>
      <c r="CC164" s="741">
        <f t="shared" si="97"/>
        <v>0</v>
      </c>
      <c r="CD164" s="751"/>
      <c r="CE164" s="748"/>
      <c r="CF164" s="748"/>
      <c r="CG164" s="748">
        <f t="shared" si="76"/>
        <v>0</v>
      </c>
      <c r="CH164" s="759"/>
      <c r="CI164" s="742"/>
      <c r="CJ164" s="591">
        <f t="shared" si="98"/>
        <v>0</v>
      </c>
    </row>
    <row r="165" spans="1:88" s="593" customFormat="1" ht="21.6" customHeight="1" x14ac:dyDescent="0.25">
      <c r="A165" s="606" t="s">
        <v>28</v>
      </c>
      <c r="B165" s="606" t="s">
        <v>92</v>
      </c>
      <c r="C165" s="607" t="s">
        <v>93</v>
      </c>
      <c r="D165" s="182" t="s">
        <v>429</v>
      </c>
      <c r="E165" s="608">
        <v>21.333333333333332</v>
      </c>
      <c r="F165" s="606">
        <v>360.99999999999994</v>
      </c>
      <c r="G165" s="608">
        <v>21.333333333333332</v>
      </c>
      <c r="H165" s="606">
        <v>233.33333333333329</v>
      </c>
      <c r="I165" s="606">
        <f t="shared" si="82"/>
        <v>127.66666666666666</v>
      </c>
      <c r="J165" s="728">
        <v>64</v>
      </c>
      <c r="K165" s="728">
        <v>32</v>
      </c>
      <c r="L165" s="731">
        <f t="shared" si="83"/>
        <v>96</v>
      </c>
      <c r="M165" s="947">
        <f>SUM(L165:L177)</f>
        <v>608</v>
      </c>
      <c r="N165" s="617">
        <v>320</v>
      </c>
      <c r="O165" s="602">
        <f t="shared" si="81"/>
        <v>21.333333333333332</v>
      </c>
      <c r="P165" s="940">
        <f>SUM(O165:O177)</f>
        <v>361.00333333333327</v>
      </c>
      <c r="Q165" s="600">
        <f t="shared" si="99"/>
        <v>0</v>
      </c>
      <c r="R165" s="940">
        <f>SUM(Q165:Q177)</f>
        <v>-3.3333333333338544E-3</v>
      </c>
      <c r="S165" s="596">
        <v>0</v>
      </c>
      <c r="T165" s="724">
        <f>SUM(S165:S177)</f>
        <v>0</v>
      </c>
      <c r="U165" s="728"/>
      <c r="V165" s="728"/>
      <c r="W165" s="731">
        <f t="shared" si="84"/>
        <v>0</v>
      </c>
      <c r="X165" s="947">
        <f>SUM(W165:W177)</f>
        <v>0</v>
      </c>
      <c r="Y165" s="616"/>
      <c r="Z165" s="602">
        <f t="shared" si="87"/>
        <v>0</v>
      </c>
      <c r="AA165" s="835">
        <f>SUM(Z165:Z177)</f>
        <v>0</v>
      </c>
      <c r="AB165" s="602">
        <f t="shared" si="88"/>
        <v>0</v>
      </c>
      <c r="AC165" s="940">
        <f>SUM(AB165:AB177)</f>
        <v>0</v>
      </c>
      <c r="AD165" s="955">
        <f>M165+X165</f>
        <v>608</v>
      </c>
      <c r="AE165" s="955">
        <f>R165+AC165</f>
        <v>-3.3333333333338544E-3</v>
      </c>
      <c r="AF165" s="608">
        <v>4</v>
      </c>
      <c r="AG165" s="606">
        <v>55.666666666666671</v>
      </c>
      <c r="AH165" s="728">
        <v>13</v>
      </c>
      <c r="AI165" s="728">
        <v>5</v>
      </c>
      <c r="AJ165" s="729">
        <f t="shared" si="94"/>
        <v>18</v>
      </c>
      <c r="AK165" s="946">
        <f>SUM(AJ165:AJ177)</f>
        <v>127</v>
      </c>
      <c r="AL165" s="616">
        <v>60</v>
      </c>
      <c r="AM165" s="602">
        <f t="shared" si="89"/>
        <v>4</v>
      </c>
      <c r="AN165" s="835">
        <f>SUM(AM165:AM177)</f>
        <v>55.666666666666671</v>
      </c>
      <c r="AO165" s="835">
        <f t="shared" si="100"/>
        <v>0</v>
      </c>
      <c r="AP165" s="940">
        <f>SUM(AO165:AO177)</f>
        <v>0</v>
      </c>
      <c r="AQ165" s="722">
        <v>0</v>
      </c>
      <c r="AR165" s="728"/>
      <c r="AS165" s="728"/>
      <c r="AT165" s="729">
        <f t="shared" si="72"/>
        <v>0</v>
      </c>
      <c r="AU165" s="946">
        <f>SUM(AT165:AT177)</f>
        <v>0</v>
      </c>
      <c r="AV165" s="616"/>
      <c r="AW165" s="602">
        <f t="shared" si="90"/>
        <v>0</v>
      </c>
      <c r="AX165" s="940">
        <f>SUM(AW165:AW177)</f>
        <v>0</v>
      </c>
      <c r="AY165" s="602">
        <f t="shared" si="91"/>
        <v>0</v>
      </c>
      <c r="AZ165" s="940">
        <f>SUM(AY165:AY177)</f>
        <v>0</v>
      </c>
      <c r="BA165" s="961">
        <f>AK165+AU165</f>
        <v>127</v>
      </c>
      <c r="BB165" s="961">
        <f>AP165+AZ165</f>
        <v>0</v>
      </c>
      <c r="BC165" s="608">
        <f>SUM(BD165:BD177)</f>
        <v>409</v>
      </c>
      <c r="BD165" s="713">
        <v>25</v>
      </c>
      <c r="BE165" s="606">
        <v>25</v>
      </c>
      <c r="BF165" s="596">
        <f t="shared" si="93"/>
        <v>0</v>
      </c>
      <c r="BG165" s="728">
        <f>13+64</f>
        <v>77</v>
      </c>
      <c r="BH165" s="728">
        <f>5+32</f>
        <v>37</v>
      </c>
      <c r="BI165" s="729">
        <f t="shared" si="85"/>
        <v>114</v>
      </c>
      <c r="BJ165" s="729">
        <f>SUM(BI165:BI177)</f>
        <v>700</v>
      </c>
      <c r="BK165" s="616">
        <f>1050+200</f>
        <v>1250</v>
      </c>
      <c r="BL165" s="603">
        <f t="shared" si="92"/>
        <v>25</v>
      </c>
      <c r="BM165" s="964">
        <f>SUM(BL165:BL177)</f>
        <v>409.8</v>
      </c>
      <c r="BN165" s="602">
        <f t="shared" si="101"/>
        <v>0</v>
      </c>
      <c r="BO165" s="940">
        <f>SUM(BN165:BN177)</f>
        <v>-0.80000000000000071</v>
      </c>
      <c r="BP165" s="593">
        <f t="shared" si="95"/>
        <v>-0.80333333333333456</v>
      </c>
      <c r="BS165" s="744">
        <v>0</v>
      </c>
      <c r="BT165" s="744">
        <v>0</v>
      </c>
      <c r="BU165" s="741">
        <f t="shared" si="96"/>
        <v>0</v>
      </c>
      <c r="BV165" s="744">
        <v>0</v>
      </c>
      <c r="BW165" s="744">
        <f>SUM(BV165:BV177)</f>
        <v>127.66666666666667</v>
      </c>
      <c r="BX165" s="744">
        <v>13</v>
      </c>
      <c r="BY165" s="744">
        <v>5</v>
      </c>
      <c r="BZ165" s="741">
        <f t="shared" si="86"/>
        <v>18</v>
      </c>
      <c r="CA165" s="744">
        <v>4</v>
      </c>
      <c r="CB165" s="744">
        <f>SUM(CA165:CA177)</f>
        <v>55.666666666666671</v>
      </c>
      <c r="CC165" s="741">
        <f t="shared" si="97"/>
        <v>4</v>
      </c>
      <c r="CD165" s="754">
        <f>SUM(CC165:CC177)</f>
        <v>183.33333333333331</v>
      </c>
      <c r="CE165" s="748">
        <f>13+64</f>
        <v>77</v>
      </c>
      <c r="CF165" s="748">
        <f>5+32</f>
        <v>37</v>
      </c>
      <c r="CG165" s="748">
        <f t="shared" si="76"/>
        <v>114</v>
      </c>
      <c r="CH165" s="765">
        <v>25</v>
      </c>
      <c r="CI165" s="744">
        <f>SUM(CH165:CH177)</f>
        <v>389</v>
      </c>
      <c r="CJ165" s="593">
        <f t="shared" si="98"/>
        <v>0</v>
      </c>
    </row>
    <row r="166" spans="1:88" ht="21.6" customHeight="1" x14ac:dyDescent="0.25">
      <c r="A166" s="596" t="s">
        <v>28</v>
      </c>
      <c r="B166" s="596" t="s">
        <v>92</v>
      </c>
      <c r="C166" s="597" t="s">
        <v>94</v>
      </c>
      <c r="D166" s="182" t="s">
        <v>429</v>
      </c>
      <c r="E166" s="598">
        <v>44</v>
      </c>
      <c r="F166" s="596">
        <v>0</v>
      </c>
      <c r="G166" s="598">
        <v>15.333333333333334</v>
      </c>
      <c r="H166" s="596"/>
      <c r="I166" s="596">
        <f t="shared" si="82"/>
        <v>0</v>
      </c>
      <c r="J166" s="728">
        <f>27+14+9</f>
        <v>50</v>
      </c>
      <c r="K166" s="728">
        <f>7+1+1</f>
        <v>9</v>
      </c>
      <c r="L166" s="731">
        <f t="shared" si="83"/>
        <v>59</v>
      </c>
      <c r="M166" s="947"/>
      <c r="N166" s="617">
        <v>660.0499999999995</v>
      </c>
      <c r="O166" s="602">
        <f t="shared" si="81"/>
        <v>44.003333333333302</v>
      </c>
      <c r="P166" s="940"/>
      <c r="Q166" s="600">
        <f t="shared" si="99"/>
        <v>-3.33333333330188E-3</v>
      </c>
      <c r="R166" s="940"/>
      <c r="S166" s="596">
        <v>0</v>
      </c>
      <c r="T166" s="724"/>
      <c r="U166" s="728"/>
      <c r="V166" s="728"/>
      <c r="W166" s="731">
        <f t="shared" si="84"/>
        <v>0</v>
      </c>
      <c r="X166" s="947"/>
      <c r="Y166" s="616"/>
      <c r="Z166" s="602">
        <f t="shared" si="87"/>
        <v>0</v>
      </c>
      <c r="AA166" s="835"/>
      <c r="AB166" s="602">
        <f t="shared" si="88"/>
        <v>0</v>
      </c>
      <c r="AC166" s="940"/>
      <c r="AD166" s="956"/>
      <c r="AE166" s="956"/>
      <c r="AF166" s="598">
        <v>0</v>
      </c>
      <c r="AG166" s="596"/>
      <c r="AH166" s="728"/>
      <c r="AI166" s="728"/>
      <c r="AJ166" s="729">
        <f t="shared" si="94"/>
        <v>0</v>
      </c>
      <c r="AK166" s="946"/>
      <c r="AL166" s="616"/>
      <c r="AM166" s="602">
        <f t="shared" si="89"/>
        <v>0</v>
      </c>
      <c r="AN166" s="835"/>
      <c r="AO166" s="835">
        <f t="shared" si="100"/>
        <v>0</v>
      </c>
      <c r="AP166" s="940"/>
      <c r="AQ166" s="722">
        <v>0</v>
      </c>
      <c r="AR166" s="728"/>
      <c r="AS166" s="728"/>
      <c r="AT166" s="729">
        <f t="shared" si="72"/>
        <v>0</v>
      </c>
      <c r="AU166" s="946"/>
      <c r="AV166" s="616"/>
      <c r="AW166" s="602">
        <f t="shared" si="90"/>
        <v>0</v>
      </c>
      <c r="AX166" s="940"/>
      <c r="AY166" s="602">
        <f t="shared" si="91"/>
        <v>0</v>
      </c>
      <c r="AZ166" s="940"/>
      <c r="BA166" s="962"/>
      <c r="BB166" s="962"/>
      <c r="BC166" s="611"/>
      <c r="BD166" s="712">
        <v>43</v>
      </c>
      <c r="BE166" s="596">
        <v>15</v>
      </c>
      <c r="BF166" s="596">
        <f t="shared" si="93"/>
        <v>28</v>
      </c>
      <c r="BG166" s="728">
        <f>27+9+14</f>
        <v>50</v>
      </c>
      <c r="BH166" s="728">
        <f>7+1+1</f>
        <v>9</v>
      </c>
      <c r="BI166" s="729">
        <f t="shared" si="85"/>
        <v>59</v>
      </c>
      <c r="BJ166" s="729"/>
      <c r="BK166" s="616">
        <f>400+350+1400</f>
        <v>2150</v>
      </c>
      <c r="BL166" s="603">
        <f t="shared" si="92"/>
        <v>43</v>
      </c>
      <c r="BM166" s="964"/>
      <c r="BN166" s="602">
        <f t="shared" si="101"/>
        <v>0</v>
      </c>
      <c r="BO166" s="940"/>
      <c r="BP166" s="593">
        <f t="shared" si="95"/>
        <v>0</v>
      </c>
      <c r="BS166" s="741">
        <v>27</v>
      </c>
      <c r="BT166" s="741">
        <v>7</v>
      </c>
      <c r="BU166" s="741">
        <f t="shared" si="96"/>
        <v>34</v>
      </c>
      <c r="BV166" s="741">
        <v>28.666666666666668</v>
      </c>
      <c r="BW166" s="741"/>
      <c r="BX166" s="741">
        <v>0</v>
      </c>
      <c r="BY166" s="741">
        <v>0</v>
      </c>
      <c r="BZ166" s="741">
        <f t="shared" si="86"/>
        <v>0</v>
      </c>
      <c r="CA166" s="741">
        <v>0</v>
      </c>
      <c r="CB166" s="741"/>
      <c r="CC166" s="741">
        <f t="shared" si="97"/>
        <v>28.666666666666668</v>
      </c>
      <c r="CD166" s="751"/>
      <c r="CE166" s="748">
        <f>27+9+14</f>
        <v>50</v>
      </c>
      <c r="CF166" s="748">
        <f>7+1+1</f>
        <v>9</v>
      </c>
      <c r="CG166" s="748">
        <f t="shared" si="76"/>
        <v>59</v>
      </c>
      <c r="CH166" s="759">
        <v>43</v>
      </c>
      <c r="CI166" s="742"/>
      <c r="CJ166" s="591">
        <f t="shared" si="98"/>
        <v>-3.33333333330188E-3</v>
      </c>
    </row>
    <row r="167" spans="1:88" ht="21.6" customHeight="1" x14ac:dyDescent="0.25">
      <c r="A167" s="596"/>
      <c r="B167" s="596" t="s">
        <v>92</v>
      </c>
      <c r="C167" s="597" t="s">
        <v>417</v>
      </c>
      <c r="D167" s="182" t="s">
        <v>429</v>
      </c>
      <c r="E167" s="598">
        <v>30.333333333333336</v>
      </c>
      <c r="F167" s="596">
        <v>0</v>
      </c>
      <c r="G167" s="598">
        <v>15</v>
      </c>
      <c r="H167" s="596"/>
      <c r="I167" s="596">
        <f t="shared" si="82"/>
        <v>0</v>
      </c>
      <c r="J167" s="728">
        <f>8+13</f>
        <v>21</v>
      </c>
      <c r="K167" s="728">
        <f>5+5</f>
        <v>10</v>
      </c>
      <c r="L167" s="731">
        <f t="shared" si="83"/>
        <v>31</v>
      </c>
      <c r="M167" s="947"/>
      <c r="N167" s="617">
        <v>454.95</v>
      </c>
      <c r="O167" s="602">
        <f t="shared" si="81"/>
        <v>30.33</v>
      </c>
      <c r="P167" s="940"/>
      <c r="Q167" s="600">
        <f t="shared" si="99"/>
        <v>3.3333333333374071E-3</v>
      </c>
      <c r="R167" s="940"/>
      <c r="S167" s="596">
        <v>0</v>
      </c>
      <c r="T167" s="724"/>
      <c r="U167" s="728"/>
      <c r="V167" s="728"/>
      <c r="W167" s="731">
        <f t="shared" si="84"/>
        <v>0</v>
      </c>
      <c r="X167" s="947"/>
      <c r="Y167" s="616"/>
      <c r="Z167" s="602">
        <f t="shared" si="87"/>
        <v>0</v>
      </c>
      <c r="AA167" s="835"/>
      <c r="AB167" s="602">
        <f t="shared" si="88"/>
        <v>0</v>
      </c>
      <c r="AC167" s="940"/>
      <c r="AD167" s="956"/>
      <c r="AE167" s="956"/>
      <c r="AF167" s="598">
        <v>12.666666666666666</v>
      </c>
      <c r="AG167" s="596"/>
      <c r="AH167" s="728"/>
      <c r="AI167" s="728"/>
      <c r="AJ167" s="729">
        <f t="shared" si="94"/>
        <v>0</v>
      </c>
      <c r="AK167" s="946"/>
      <c r="AL167" s="616">
        <f>50+20+120</f>
        <v>190</v>
      </c>
      <c r="AM167" s="602">
        <f t="shared" si="89"/>
        <v>12.666666666666666</v>
      </c>
      <c r="AN167" s="835"/>
      <c r="AO167" s="835">
        <f t="shared" si="100"/>
        <v>0</v>
      </c>
      <c r="AP167" s="940"/>
      <c r="AQ167" s="722">
        <v>0</v>
      </c>
      <c r="AR167" s="728"/>
      <c r="AS167" s="728"/>
      <c r="AT167" s="729">
        <f t="shared" si="72"/>
        <v>0</v>
      </c>
      <c r="AU167" s="946"/>
      <c r="AV167" s="616"/>
      <c r="AW167" s="602">
        <f t="shared" si="90"/>
        <v>0</v>
      </c>
      <c r="AX167" s="940"/>
      <c r="AY167" s="602">
        <f t="shared" si="91"/>
        <v>0</v>
      </c>
      <c r="AZ167" s="940"/>
      <c r="BA167" s="962"/>
      <c r="BB167" s="962"/>
      <c r="BC167" s="611"/>
      <c r="BD167" s="712">
        <v>42</v>
      </c>
      <c r="BE167" s="596">
        <v>27</v>
      </c>
      <c r="BF167" s="596">
        <f t="shared" si="93"/>
        <v>15</v>
      </c>
      <c r="BG167" s="728">
        <f>8+13</f>
        <v>21</v>
      </c>
      <c r="BH167" s="728">
        <f>5+5</f>
        <v>10</v>
      </c>
      <c r="BI167" s="729">
        <f t="shared" si="85"/>
        <v>31</v>
      </c>
      <c r="BJ167" s="729"/>
      <c r="BK167" s="616">
        <f>500+750+300+150+400</f>
        <v>2100</v>
      </c>
      <c r="BL167" s="603">
        <f t="shared" si="92"/>
        <v>42</v>
      </c>
      <c r="BM167" s="964"/>
      <c r="BN167" s="602">
        <f t="shared" si="101"/>
        <v>0</v>
      </c>
      <c r="BO167" s="940"/>
      <c r="BP167" s="593">
        <f t="shared" si="95"/>
        <v>0</v>
      </c>
      <c r="BS167" s="741">
        <v>8</v>
      </c>
      <c r="BT167" s="741">
        <v>5</v>
      </c>
      <c r="BU167" s="741">
        <f t="shared" si="96"/>
        <v>13</v>
      </c>
      <c r="BV167" s="741">
        <v>15.333333333333334</v>
      </c>
      <c r="BW167" s="741"/>
      <c r="BX167" s="741">
        <v>0</v>
      </c>
      <c r="BY167" s="741">
        <v>0</v>
      </c>
      <c r="BZ167" s="741">
        <f t="shared" si="86"/>
        <v>0</v>
      </c>
      <c r="CA167" s="741">
        <v>12.666666666666666</v>
      </c>
      <c r="CB167" s="741"/>
      <c r="CC167" s="741">
        <f t="shared" si="97"/>
        <v>28</v>
      </c>
      <c r="CD167" s="751"/>
      <c r="CE167" s="748">
        <f>8+13</f>
        <v>21</v>
      </c>
      <c r="CF167" s="748">
        <f>5+5</f>
        <v>10</v>
      </c>
      <c r="CG167" s="748">
        <f t="shared" si="76"/>
        <v>31</v>
      </c>
      <c r="CH167" s="759">
        <v>42</v>
      </c>
      <c r="CI167" s="742"/>
      <c r="CJ167" s="591">
        <f t="shared" si="98"/>
        <v>3.3333333333374071E-3</v>
      </c>
    </row>
    <row r="168" spans="1:88" ht="21.6" customHeight="1" x14ac:dyDescent="0.25">
      <c r="A168" s="596" t="s">
        <v>28</v>
      </c>
      <c r="B168" s="596" t="s">
        <v>92</v>
      </c>
      <c r="C168" s="597" t="s">
        <v>95</v>
      </c>
      <c r="D168" s="182" t="s">
        <v>429</v>
      </c>
      <c r="E168" s="598">
        <v>15.333333333333334</v>
      </c>
      <c r="F168" s="596">
        <v>0</v>
      </c>
      <c r="G168" s="598">
        <v>0</v>
      </c>
      <c r="H168" s="596"/>
      <c r="I168" s="596">
        <f t="shared" si="82"/>
        <v>0</v>
      </c>
      <c r="J168" s="728">
        <v>11</v>
      </c>
      <c r="K168" s="728">
        <v>7</v>
      </c>
      <c r="L168" s="731">
        <f t="shared" si="83"/>
        <v>18</v>
      </c>
      <c r="M168" s="947"/>
      <c r="N168" s="617">
        <v>229.95</v>
      </c>
      <c r="O168" s="602">
        <f t="shared" si="81"/>
        <v>15.33</v>
      </c>
      <c r="P168" s="940"/>
      <c r="Q168" s="600">
        <f t="shared" si="99"/>
        <v>3.3333333333338544E-3</v>
      </c>
      <c r="R168" s="940"/>
      <c r="S168" s="596">
        <v>0</v>
      </c>
      <c r="T168" s="724"/>
      <c r="U168" s="728"/>
      <c r="V168" s="728"/>
      <c r="W168" s="731">
        <f t="shared" si="84"/>
        <v>0</v>
      </c>
      <c r="X168" s="947"/>
      <c r="Y168" s="616"/>
      <c r="Z168" s="602">
        <f t="shared" si="87"/>
        <v>0</v>
      </c>
      <c r="AA168" s="835"/>
      <c r="AB168" s="602">
        <f t="shared" si="88"/>
        <v>0</v>
      </c>
      <c r="AC168" s="940"/>
      <c r="AD168" s="956"/>
      <c r="AE168" s="956"/>
      <c r="AF168" s="598">
        <v>0</v>
      </c>
      <c r="AG168" s="596"/>
      <c r="AH168" s="728"/>
      <c r="AI168" s="728"/>
      <c r="AJ168" s="729">
        <f t="shared" si="94"/>
        <v>0</v>
      </c>
      <c r="AK168" s="946"/>
      <c r="AL168" s="616"/>
      <c r="AM168" s="602">
        <f t="shared" si="89"/>
        <v>0</v>
      </c>
      <c r="AN168" s="835"/>
      <c r="AO168" s="835">
        <f t="shared" si="100"/>
        <v>0</v>
      </c>
      <c r="AP168" s="940"/>
      <c r="AQ168" s="722">
        <v>0</v>
      </c>
      <c r="AR168" s="728"/>
      <c r="AS168" s="728"/>
      <c r="AT168" s="729">
        <f t="shared" si="72"/>
        <v>0</v>
      </c>
      <c r="AU168" s="946"/>
      <c r="AV168" s="616"/>
      <c r="AW168" s="602">
        <f t="shared" si="90"/>
        <v>0</v>
      </c>
      <c r="AX168" s="940"/>
      <c r="AY168" s="602">
        <f t="shared" si="91"/>
        <v>0</v>
      </c>
      <c r="AZ168" s="940"/>
      <c r="BA168" s="962"/>
      <c r="BB168" s="962"/>
      <c r="BC168" s="611"/>
      <c r="BD168" s="712">
        <v>15</v>
      </c>
      <c r="BE168" s="596">
        <v>0</v>
      </c>
      <c r="BF168" s="596">
        <f t="shared" si="93"/>
        <v>15</v>
      </c>
      <c r="BG168" s="728">
        <v>11</v>
      </c>
      <c r="BH168" s="728">
        <v>7</v>
      </c>
      <c r="BI168" s="729">
        <f t="shared" si="85"/>
        <v>18</v>
      </c>
      <c r="BJ168" s="729"/>
      <c r="BK168" s="616">
        <f>750</f>
        <v>750</v>
      </c>
      <c r="BL168" s="603">
        <f t="shared" si="92"/>
        <v>15</v>
      </c>
      <c r="BM168" s="964"/>
      <c r="BN168" s="602">
        <f t="shared" si="101"/>
        <v>0</v>
      </c>
      <c r="BO168" s="940"/>
      <c r="BP168" s="593">
        <f t="shared" si="95"/>
        <v>0</v>
      </c>
      <c r="BS168" s="741">
        <v>11</v>
      </c>
      <c r="BT168" s="741">
        <v>7</v>
      </c>
      <c r="BU168" s="741">
        <f t="shared" si="96"/>
        <v>18</v>
      </c>
      <c r="BV168" s="741">
        <v>15.333333333333334</v>
      </c>
      <c r="BW168" s="741"/>
      <c r="BX168" s="741">
        <v>0</v>
      </c>
      <c r="BY168" s="741">
        <v>0</v>
      </c>
      <c r="BZ168" s="741">
        <f t="shared" si="86"/>
        <v>0</v>
      </c>
      <c r="CA168" s="741">
        <v>0</v>
      </c>
      <c r="CB168" s="741"/>
      <c r="CC168" s="741">
        <f t="shared" si="97"/>
        <v>15.333333333333334</v>
      </c>
      <c r="CD168" s="751"/>
      <c r="CE168" s="748">
        <v>11</v>
      </c>
      <c r="CF168" s="748">
        <v>7</v>
      </c>
      <c r="CG168" s="748">
        <f t="shared" si="76"/>
        <v>18</v>
      </c>
      <c r="CH168" s="759">
        <v>15</v>
      </c>
      <c r="CI168" s="742"/>
      <c r="CJ168" s="591">
        <f t="shared" si="98"/>
        <v>3.3333333333338544E-3</v>
      </c>
    </row>
    <row r="169" spans="1:88" ht="21.6" customHeight="1" x14ac:dyDescent="0.25">
      <c r="A169" s="596"/>
      <c r="B169" s="596" t="s">
        <v>92</v>
      </c>
      <c r="C169" s="597" t="s">
        <v>281</v>
      </c>
      <c r="D169" s="182" t="s">
        <v>429</v>
      </c>
      <c r="E169" s="598">
        <v>18</v>
      </c>
      <c r="F169" s="596">
        <v>0</v>
      </c>
      <c r="G169" s="598">
        <v>7.333333333333333</v>
      </c>
      <c r="H169" s="596"/>
      <c r="I169" s="596">
        <f t="shared" si="82"/>
        <v>0</v>
      </c>
      <c r="J169" s="728">
        <f>21+8+7</f>
        <v>36</v>
      </c>
      <c r="K169" s="728">
        <f>8+3+2</f>
        <v>13</v>
      </c>
      <c r="L169" s="731">
        <f t="shared" si="83"/>
        <v>49</v>
      </c>
      <c r="M169" s="947"/>
      <c r="N169" s="617">
        <v>270.04999999999995</v>
      </c>
      <c r="O169" s="602">
        <f t="shared" si="81"/>
        <v>18.00333333333333</v>
      </c>
      <c r="P169" s="940"/>
      <c r="Q169" s="600">
        <f t="shared" si="99"/>
        <v>-3.3333333333303017E-3</v>
      </c>
      <c r="R169" s="940"/>
      <c r="S169" s="596">
        <v>0</v>
      </c>
      <c r="T169" s="724"/>
      <c r="U169" s="728"/>
      <c r="V169" s="728"/>
      <c r="W169" s="731">
        <f t="shared" si="84"/>
        <v>0</v>
      </c>
      <c r="X169" s="947"/>
      <c r="Y169" s="616"/>
      <c r="Z169" s="602">
        <f t="shared" si="87"/>
        <v>0</v>
      </c>
      <c r="AA169" s="835"/>
      <c r="AB169" s="602">
        <f t="shared" si="88"/>
        <v>0</v>
      </c>
      <c r="AC169" s="940"/>
      <c r="AD169" s="956"/>
      <c r="AE169" s="956"/>
      <c r="AF169" s="598">
        <v>3.6666666666666665</v>
      </c>
      <c r="AG169" s="596"/>
      <c r="AH169" s="728">
        <v>7</v>
      </c>
      <c r="AI169" s="728">
        <v>4</v>
      </c>
      <c r="AJ169" s="729">
        <f t="shared" si="94"/>
        <v>11</v>
      </c>
      <c r="AK169" s="946"/>
      <c r="AL169" s="616">
        <v>55</v>
      </c>
      <c r="AM169" s="602">
        <f t="shared" si="89"/>
        <v>3.6666666666666665</v>
      </c>
      <c r="AN169" s="835"/>
      <c r="AO169" s="835">
        <f t="shared" si="100"/>
        <v>0</v>
      </c>
      <c r="AP169" s="940"/>
      <c r="AQ169" s="722">
        <v>0</v>
      </c>
      <c r="AR169" s="728"/>
      <c r="AS169" s="728"/>
      <c r="AT169" s="729">
        <f t="shared" si="72"/>
        <v>0</v>
      </c>
      <c r="AU169" s="946"/>
      <c r="AV169" s="616"/>
      <c r="AW169" s="602">
        <f t="shared" si="90"/>
        <v>0</v>
      </c>
      <c r="AX169" s="940"/>
      <c r="AY169" s="602">
        <f t="shared" si="91"/>
        <v>0</v>
      </c>
      <c r="AZ169" s="940"/>
      <c r="BA169" s="962"/>
      <c r="BB169" s="962"/>
      <c r="BC169" s="611"/>
      <c r="BD169" s="712">
        <v>20</v>
      </c>
      <c r="BE169" s="596">
        <v>10</v>
      </c>
      <c r="BF169" s="596">
        <f t="shared" si="93"/>
        <v>10</v>
      </c>
      <c r="BG169" s="728">
        <f>7+21+8+7</f>
        <v>43</v>
      </c>
      <c r="BH169" s="728">
        <f>4+8+3+2</f>
        <v>17</v>
      </c>
      <c r="BI169" s="729">
        <f t="shared" si="85"/>
        <v>60</v>
      </c>
      <c r="BJ169" s="729"/>
      <c r="BK169" s="616">
        <f>150+200+540+150</f>
        <v>1040</v>
      </c>
      <c r="BL169" s="603">
        <f>BK169/50</f>
        <v>20.8</v>
      </c>
      <c r="BM169" s="964"/>
      <c r="BN169" s="602">
        <f t="shared" si="101"/>
        <v>-0.80000000000000071</v>
      </c>
      <c r="BO169" s="940"/>
      <c r="BP169" s="593">
        <f t="shared" si="95"/>
        <v>0</v>
      </c>
      <c r="BS169" s="741">
        <v>21</v>
      </c>
      <c r="BT169" s="741">
        <v>8</v>
      </c>
      <c r="BU169" s="741">
        <f t="shared" si="96"/>
        <v>29</v>
      </c>
      <c r="BV169" s="741">
        <v>10.666666666666666</v>
      </c>
      <c r="BW169" s="741"/>
      <c r="BX169" s="741">
        <v>7</v>
      </c>
      <c r="BY169" s="741">
        <v>4</v>
      </c>
      <c r="BZ169" s="741">
        <f t="shared" si="86"/>
        <v>11</v>
      </c>
      <c r="CA169" s="741">
        <v>3.6666666666666665</v>
      </c>
      <c r="CB169" s="741"/>
      <c r="CC169" s="741">
        <f t="shared" si="97"/>
        <v>14.333333333333332</v>
      </c>
      <c r="CD169" s="751"/>
      <c r="CE169" s="748"/>
      <c r="CF169" s="748"/>
      <c r="CG169" s="748">
        <f t="shared" si="76"/>
        <v>0</v>
      </c>
      <c r="CH169" s="759"/>
      <c r="CI169" s="742"/>
      <c r="CJ169" s="591">
        <f t="shared" si="98"/>
        <v>-0.80333333333333101</v>
      </c>
    </row>
    <row r="170" spans="1:88" ht="45" customHeight="1" x14ac:dyDescent="0.25">
      <c r="A170" s="596"/>
      <c r="B170" s="596" t="s">
        <v>92</v>
      </c>
      <c r="C170" s="597" t="s">
        <v>283</v>
      </c>
      <c r="D170" s="182" t="s">
        <v>429</v>
      </c>
      <c r="E170" s="598">
        <v>69.333333333333329</v>
      </c>
      <c r="F170" s="596">
        <v>0</v>
      </c>
      <c r="G170" s="598">
        <v>69.333333333333329</v>
      </c>
      <c r="H170" s="596"/>
      <c r="I170" s="596">
        <f t="shared" si="82"/>
        <v>0</v>
      </c>
      <c r="J170" s="728">
        <v>57</v>
      </c>
      <c r="K170" s="728">
        <v>13</v>
      </c>
      <c r="L170" s="731">
        <f t="shared" si="83"/>
        <v>70</v>
      </c>
      <c r="M170" s="947"/>
      <c r="N170" s="617">
        <v>1039.9999999999995</v>
      </c>
      <c r="O170" s="602">
        <f t="shared" si="81"/>
        <v>69.3333333333333</v>
      </c>
      <c r="P170" s="940"/>
      <c r="Q170" s="600">
        <f t="shared" si="99"/>
        <v>0</v>
      </c>
      <c r="R170" s="940"/>
      <c r="S170" s="596">
        <v>0</v>
      </c>
      <c r="T170" s="724"/>
      <c r="U170" s="728"/>
      <c r="V170" s="728"/>
      <c r="W170" s="731">
        <f t="shared" si="84"/>
        <v>0</v>
      </c>
      <c r="X170" s="947"/>
      <c r="Y170" s="616"/>
      <c r="Z170" s="602">
        <f t="shared" si="87"/>
        <v>0</v>
      </c>
      <c r="AA170" s="835"/>
      <c r="AB170" s="602">
        <f t="shared" si="88"/>
        <v>0</v>
      </c>
      <c r="AC170" s="940"/>
      <c r="AD170" s="956"/>
      <c r="AE170" s="956"/>
      <c r="AF170" s="598">
        <v>0</v>
      </c>
      <c r="AG170" s="596"/>
      <c r="AH170" s="728"/>
      <c r="AI170" s="728"/>
      <c r="AJ170" s="729">
        <f t="shared" si="94"/>
        <v>0</v>
      </c>
      <c r="AK170" s="946"/>
      <c r="AL170" s="616"/>
      <c r="AM170" s="602">
        <f t="shared" si="89"/>
        <v>0</v>
      </c>
      <c r="AN170" s="835"/>
      <c r="AO170" s="835">
        <f t="shared" si="100"/>
        <v>0</v>
      </c>
      <c r="AP170" s="940"/>
      <c r="AQ170" s="722">
        <v>0</v>
      </c>
      <c r="AR170" s="728"/>
      <c r="AS170" s="728"/>
      <c r="AT170" s="729">
        <f t="shared" si="72"/>
        <v>0</v>
      </c>
      <c r="AU170" s="946"/>
      <c r="AV170" s="616"/>
      <c r="AW170" s="602">
        <f t="shared" si="90"/>
        <v>0</v>
      </c>
      <c r="AX170" s="940"/>
      <c r="AY170" s="602">
        <f t="shared" si="91"/>
        <v>0</v>
      </c>
      <c r="AZ170" s="940"/>
      <c r="BA170" s="962"/>
      <c r="BB170" s="962"/>
      <c r="BC170" s="611"/>
      <c r="BD170" s="712">
        <v>69</v>
      </c>
      <c r="BE170" s="596">
        <v>69</v>
      </c>
      <c r="BF170" s="596">
        <f t="shared" si="93"/>
        <v>0</v>
      </c>
      <c r="BG170" s="728">
        <v>57</v>
      </c>
      <c r="BH170" s="728">
        <v>13</v>
      </c>
      <c r="BI170" s="729">
        <f t="shared" si="85"/>
        <v>70</v>
      </c>
      <c r="BJ170" s="729"/>
      <c r="BK170" s="616">
        <v>3450</v>
      </c>
      <c r="BL170" s="603">
        <f t="shared" si="92"/>
        <v>69</v>
      </c>
      <c r="BM170" s="964"/>
      <c r="BN170" s="602">
        <f t="shared" si="101"/>
        <v>0</v>
      </c>
      <c r="BO170" s="940"/>
      <c r="BP170" s="593">
        <f t="shared" si="95"/>
        <v>0</v>
      </c>
      <c r="BS170" s="741">
        <v>0</v>
      </c>
      <c r="BT170" s="741">
        <v>0</v>
      </c>
      <c r="BU170" s="741">
        <f t="shared" si="96"/>
        <v>0</v>
      </c>
      <c r="BV170" s="741">
        <v>0</v>
      </c>
      <c r="BW170" s="741"/>
      <c r="BX170" s="741">
        <v>0</v>
      </c>
      <c r="BY170" s="741">
        <v>0</v>
      </c>
      <c r="BZ170" s="741">
        <f t="shared" si="86"/>
        <v>0</v>
      </c>
      <c r="CA170" s="741">
        <v>0</v>
      </c>
      <c r="CB170" s="741"/>
      <c r="CC170" s="741">
        <f t="shared" si="97"/>
        <v>0</v>
      </c>
      <c r="CD170" s="751"/>
      <c r="CE170" s="748">
        <v>57</v>
      </c>
      <c r="CF170" s="748">
        <v>13</v>
      </c>
      <c r="CG170" s="748">
        <f t="shared" si="76"/>
        <v>70</v>
      </c>
      <c r="CH170" s="759">
        <v>69</v>
      </c>
      <c r="CI170" s="742"/>
      <c r="CJ170" s="591">
        <f t="shared" si="98"/>
        <v>0</v>
      </c>
    </row>
    <row r="171" spans="1:88" ht="21.6" customHeight="1" x14ac:dyDescent="0.25">
      <c r="A171" s="596"/>
      <c r="B171" s="596" t="s">
        <v>92</v>
      </c>
      <c r="C171" s="597" t="s">
        <v>284</v>
      </c>
      <c r="D171" s="167"/>
      <c r="E171" s="598">
        <v>0</v>
      </c>
      <c r="F171" s="596">
        <v>0</v>
      </c>
      <c r="G171" s="598">
        <v>0</v>
      </c>
      <c r="H171" s="596"/>
      <c r="I171" s="596">
        <f t="shared" si="82"/>
        <v>0</v>
      </c>
      <c r="J171" s="728"/>
      <c r="K171" s="728"/>
      <c r="L171" s="731">
        <f t="shared" si="83"/>
        <v>0</v>
      </c>
      <c r="M171" s="947"/>
      <c r="N171" s="617"/>
      <c r="O171" s="602">
        <f t="shared" si="81"/>
        <v>0</v>
      </c>
      <c r="P171" s="940"/>
      <c r="Q171" s="600">
        <f t="shared" si="99"/>
        <v>0</v>
      </c>
      <c r="R171" s="940"/>
      <c r="S171" s="596">
        <v>0</v>
      </c>
      <c r="T171" s="724"/>
      <c r="U171" s="728"/>
      <c r="V171" s="728"/>
      <c r="W171" s="731">
        <f t="shared" si="84"/>
        <v>0</v>
      </c>
      <c r="X171" s="947"/>
      <c r="Y171" s="616"/>
      <c r="Z171" s="602">
        <f t="shared" si="87"/>
        <v>0</v>
      </c>
      <c r="AA171" s="835"/>
      <c r="AB171" s="602">
        <f t="shared" si="88"/>
        <v>0</v>
      </c>
      <c r="AC171" s="940"/>
      <c r="AD171" s="956"/>
      <c r="AE171" s="956"/>
      <c r="AF171" s="598">
        <v>0</v>
      </c>
      <c r="AG171" s="596"/>
      <c r="AH171" s="728"/>
      <c r="AI171" s="728"/>
      <c r="AJ171" s="729">
        <f t="shared" si="94"/>
        <v>0</v>
      </c>
      <c r="AK171" s="946"/>
      <c r="AL171" s="616"/>
      <c r="AM171" s="602">
        <f t="shared" si="89"/>
        <v>0</v>
      </c>
      <c r="AN171" s="835"/>
      <c r="AO171" s="835">
        <f t="shared" si="100"/>
        <v>0</v>
      </c>
      <c r="AP171" s="940"/>
      <c r="AQ171" s="722">
        <v>0</v>
      </c>
      <c r="AR171" s="728"/>
      <c r="AS171" s="728"/>
      <c r="AT171" s="729">
        <f t="shared" si="72"/>
        <v>0</v>
      </c>
      <c r="AU171" s="946"/>
      <c r="AV171" s="616"/>
      <c r="AW171" s="602">
        <f t="shared" si="90"/>
        <v>0</v>
      </c>
      <c r="AX171" s="940"/>
      <c r="AY171" s="602">
        <f t="shared" si="91"/>
        <v>0</v>
      </c>
      <c r="AZ171" s="940"/>
      <c r="BA171" s="962"/>
      <c r="BB171" s="962"/>
      <c r="BC171" s="611"/>
      <c r="BD171" s="712">
        <v>0</v>
      </c>
      <c r="BE171" s="596">
        <v>0</v>
      </c>
      <c r="BF171" s="596">
        <f t="shared" si="93"/>
        <v>0</v>
      </c>
      <c r="BG171" s="728"/>
      <c r="BH171" s="728"/>
      <c r="BI171" s="729">
        <f t="shared" si="85"/>
        <v>0</v>
      </c>
      <c r="BJ171" s="729"/>
      <c r="BK171" s="616"/>
      <c r="BL171" s="603">
        <f t="shared" si="92"/>
        <v>0</v>
      </c>
      <c r="BM171" s="964"/>
      <c r="BN171" s="602">
        <f t="shared" si="101"/>
        <v>0</v>
      </c>
      <c r="BO171" s="940"/>
      <c r="BP171" s="593">
        <f t="shared" si="95"/>
        <v>0</v>
      </c>
      <c r="BS171" s="741">
        <v>0</v>
      </c>
      <c r="BT171" s="741">
        <v>0</v>
      </c>
      <c r="BU171" s="741">
        <f t="shared" si="96"/>
        <v>0</v>
      </c>
      <c r="BV171" s="741">
        <v>0</v>
      </c>
      <c r="BW171" s="741"/>
      <c r="BX171" s="741">
        <v>0</v>
      </c>
      <c r="BY171" s="741">
        <v>0</v>
      </c>
      <c r="BZ171" s="741">
        <f t="shared" si="86"/>
        <v>0</v>
      </c>
      <c r="CA171" s="741">
        <v>0</v>
      </c>
      <c r="CB171" s="741"/>
      <c r="CC171" s="741">
        <f t="shared" si="97"/>
        <v>0</v>
      </c>
      <c r="CD171" s="751"/>
      <c r="CE171" s="748"/>
      <c r="CF171" s="748"/>
      <c r="CG171" s="748">
        <f t="shared" si="76"/>
        <v>0</v>
      </c>
      <c r="CH171" s="759"/>
      <c r="CI171" s="742"/>
      <c r="CJ171" s="591">
        <f t="shared" si="98"/>
        <v>0</v>
      </c>
    </row>
    <row r="172" spans="1:88" ht="21.6" customHeight="1" x14ac:dyDescent="0.25">
      <c r="A172" s="596" t="s">
        <v>28</v>
      </c>
      <c r="B172" s="596" t="s">
        <v>92</v>
      </c>
      <c r="C172" s="597" t="s">
        <v>96</v>
      </c>
      <c r="D172" s="182"/>
      <c r="E172" s="598">
        <v>0</v>
      </c>
      <c r="F172" s="596">
        <v>0</v>
      </c>
      <c r="G172" s="598">
        <v>0</v>
      </c>
      <c r="H172" s="596"/>
      <c r="I172" s="596">
        <f t="shared" si="82"/>
        <v>0</v>
      </c>
      <c r="J172" s="728">
        <f>10</f>
        <v>10</v>
      </c>
      <c r="K172" s="728">
        <f>3</f>
        <v>3</v>
      </c>
      <c r="L172" s="731">
        <f t="shared" si="83"/>
        <v>13</v>
      </c>
      <c r="M172" s="947"/>
      <c r="N172" s="617"/>
      <c r="O172" s="602">
        <f t="shared" si="81"/>
        <v>0</v>
      </c>
      <c r="P172" s="940"/>
      <c r="Q172" s="600">
        <f t="shared" si="99"/>
        <v>0</v>
      </c>
      <c r="R172" s="940"/>
      <c r="S172" s="596">
        <v>0</v>
      </c>
      <c r="T172" s="724"/>
      <c r="U172" s="728"/>
      <c r="V172" s="728"/>
      <c r="W172" s="731">
        <f t="shared" si="84"/>
        <v>0</v>
      </c>
      <c r="X172" s="947"/>
      <c r="Y172" s="616"/>
      <c r="Z172" s="602">
        <f t="shared" si="87"/>
        <v>0</v>
      </c>
      <c r="AA172" s="835"/>
      <c r="AB172" s="602">
        <f t="shared" si="88"/>
        <v>0</v>
      </c>
      <c r="AC172" s="940"/>
      <c r="AD172" s="956"/>
      <c r="AE172" s="956"/>
      <c r="AF172" s="598">
        <v>0</v>
      </c>
      <c r="AG172" s="596"/>
      <c r="AH172" s="728">
        <f>1+1+5</f>
        <v>7</v>
      </c>
      <c r="AI172" s="728">
        <f>3+3+9</f>
        <v>15</v>
      </c>
      <c r="AJ172" s="729">
        <f t="shared" si="94"/>
        <v>22</v>
      </c>
      <c r="AK172" s="946"/>
      <c r="AL172" s="616"/>
      <c r="AM172" s="602">
        <f t="shared" si="89"/>
        <v>0</v>
      </c>
      <c r="AN172" s="835"/>
      <c r="AO172" s="835">
        <f t="shared" si="100"/>
        <v>0</v>
      </c>
      <c r="AP172" s="940"/>
      <c r="AQ172" s="722">
        <v>0</v>
      </c>
      <c r="AR172" s="728"/>
      <c r="AS172" s="728"/>
      <c r="AT172" s="729">
        <f t="shared" si="72"/>
        <v>0</v>
      </c>
      <c r="AU172" s="946"/>
      <c r="AV172" s="616"/>
      <c r="AW172" s="602">
        <f t="shared" si="90"/>
        <v>0</v>
      </c>
      <c r="AX172" s="940"/>
      <c r="AY172" s="602">
        <f t="shared" si="91"/>
        <v>0</v>
      </c>
      <c r="AZ172" s="940"/>
      <c r="BA172" s="962"/>
      <c r="BB172" s="962"/>
      <c r="BC172" s="611"/>
      <c r="BD172" s="712">
        <v>0</v>
      </c>
      <c r="BE172" s="596">
        <v>0</v>
      </c>
      <c r="BF172" s="596">
        <f t="shared" si="93"/>
        <v>0</v>
      </c>
      <c r="BG172" s="728"/>
      <c r="BH172" s="728"/>
      <c r="BI172" s="729">
        <f t="shared" si="85"/>
        <v>0</v>
      </c>
      <c r="BJ172" s="729"/>
      <c r="BK172" s="616"/>
      <c r="BL172" s="603">
        <f t="shared" si="92"/>
        <v>0</v>
      </c>
      <c r="BM172" s="964"/>
      <c r="BN172" s="602">
        <f t="shared" si="101"/>
        <v>0</v>
      </c>
      <c r="BO172" s="940"/>
      <c r="BP172" s="593">
        <f t="shared" si="95"/>
        <v>0</v>
      </c>
      <c r="BS172" s="741">
        <v>0</v>
      </c>
      <c r="BT172" s="741">
        <v>0</v>
      </c>
      <c r="BU172" s="741">
        <f t="shared" si="96"/>
        <v>0</v>
      </c>
      <c r="BV172" s="741">
        <v>0</v>
      </c>
      <c r="BW172" s="741"/>
      <c r="BX172" s="741">
        <v>7</v>
      </c>
      <c r="BY172" s="741">
        <v>15</v>
      </c>
      <c r="BZ172" s="741">
        <f t="shared" si="86"/>
        <v>22</v>
      </c>
      <c r="CA172" s="741">
        <v>0</v>
      </c>
      <c r="CB172" s="741"/>
      <c r="CC172" s="741">
        <f t="shared" si="97"/>
        <v>0</v>
      </c>
      <c r="CD172" s="751"/>
      <c r="CE172" s="748"/>
      <c r="CF172" s="748"/>
      <c r="CG172" s="748">
        <f t="shared" si="76"/>
        <v>0</v>
      </c>
      <c r="CH172" s="759"/>
      <c r="CI172" s="742"/>
      <c r="CJ172" s="591">
        <f t="shared" si="98"/>
        <v>0</v>
      </c>
    </row>
    <row r="173" spans="1:88" ht="35.25" customHeight="1" x14ac:dyDescent="0.25">
      <c r="A173" s="1118"/>
      <c r="B173" s="1118" t="s">
        <v>92</v>
      </c>
      <c r="C173" s="2" t="s">
        <v>773</v>
      </c>
      <c r="D173" s="182"/>
      <c r="E173" s="598"/>
      <c r="F173" s="1118"/>
      <c r="G173" s="598"/>
      <c r="H173" s="1118"/>
      <c r="I173" s="1118"/>
      <c r="J173" s="728"/>
      <c r="K173" s="728"/>
      <c r="L173" s="731"/>
      <c r="M173" s="947"/>
      <c r="N173" s="617"/>
      <c r="O173" s="602"/>
      <c r="P173" s="940"/>
      <c r="Q173" s="600"/>
      <c r="R173" s="940"/>
      <c r="S173" s="1118"/>
      <c r="T173" s="1118"/>
      <c r="U173" s="728"/>
      <c r="V173" s="728"/>
      <c r="W173" s="731"/>
      <c r="X173" s="947"/>
      <c r="Y173" s="616"/>
      <c r="Z173" s="602"/>
      <c r="AA173" s="1116"/>
      <c r="AB173" s="602"/>
      <c r="AC173" s="940"/>
      <c r="AD173" s="956"/>
      <c r="AE173" s="956"/>
      <c r="AF173" s="598"/>
      <c r="AG173" s="1118"/>
      <c r="AH173" s="728"/>
      <c r="AI173" s="728"/>
      <c r="AJ173" s="729"/>
      <c r="AK173" s="946"/>
      <c r="AL173" s="616"/>
      <c r="AM173" s="602"/>
      <c r="AN173" s="1116"/>
      <c r="AO173" s="1116"/>
      <c r="AP173" s="940"/>
      <c r="AQ173" s="722"/>
      <c r="AR173" s="728"/>
      <c r="AS173" s="728"/>
      <c r="AT173" s="729"/>
      <c r="AU173" s="946"/>
      <c r="AV173" s="616"/>
      <c r="AW173" s="602"/>
      <c r="AX173" s="940"/>
      <c r="AY173" s="602"/>
      <c r="AZ173" s="940"/>
      <c r="BA173" s="962"/>
      <c r="BB173" s="962"/>
      <c r="BC173" s="611"/>
      <c r="BD173" s="712"/>
      <c r="BE173" s="1118"/>
      <c r="BF173" s="1118"/>
      <c r="BG173" s="728"/>
      <c r="BH173" s="728"/>
      <c r="BI173" s="729"/>
      <c r="BJ173" s="729"/>
      <c r="BK173" s="616"/>
      <c r="BL173" s="603"/>
      <c r="BM173" s="1116"/>
      <c r="BN173" s="602"/>
      <c r="BO173" s="940"/>
      <c r="BS173" s="1115"/>
      <c r="BT173" s="1115"/>
      <c r="BU173" s="1115"/>
      <c r="BV173" s="1115"/>
      <c r="BW173" s="1115"/>
      <c r="BX173" s="1115"/>
      <c r="BY173" s="1115"/>
      <c r="BZ173" s="1115"/>
      <c r="CA173" s="1115"/>
      <c r="CB173" s="1115"/>
      <c r="CC173" s="1115"/>
      <c r="CD173" s="751"/>
      <c r="CE173" s="849"/>
      <c r="CF173" s="849"/>
      <c r="CG173" s="849"/>
      <c r="CH173" s="759"/>
      <c r="CI173" s="1115"/>
    </row>
    <row r="174" spans="1:88" ht="21.6" customHeight="1" x14ac:dyDescent="0.25">
      <c r="A174" s="596" t="s">
        <v>28</v>
      </c>
      <c r="B174" s="596" t="s">
        <v>92</v>
      </c>
      <c r="C174" s="597" t="s">
        <v>97</v>
      </c>
      <c r="D174" s="182" t="s">
        <v>431</v>
      </c>
      <c r="E174" s="598">
        <v>51.666666666666664</v>
      </c>
      <c r="F174" s="596">
        <v>0</v>
      </c>
      <c r="G174" s="598">
        <v>51.666666666666664</v>
      </c>
      <c r="H174" s="596"/>
      <c r="I174" s="596">
        <f t="shared" si="82"/>
        <v>0</v>
      </c>
      <c r="J174" s="728">
        <f>12+29+4</f>
        <v>45</v>
      </c>
      <c r="K174" s="728">
        <f>5+5</f>
        <v>10</v>
      </c>
      <c r="L174" s="731">
        <f t="shared" si="83"/>
        <v>55</v>
      </c>
      <c r="M174" s="947"/>
      <c r="N174" s="617">
        <v>775</v>
      </c>
      <c r="O174" s="602">
        <f t="shared" si="81"/>
        <v>51.666666666666664</v>
      </c>
      <c r="P174" s="940"/>
      <c r="Q174" s="600">
        <f t="shared" si="99"/>
        <v>0</v>
      </c>
      <c r="R174" s="940"/>
      <c r="S174" s="596">
        <v>0</v>
      </c>
      <c r="T174" s="724"/>
      <c r="U174" s="728"/>
      <c r="V174" s="728"/>
      <c r="W174" s="731">
        <f t="shared" si="84"/>
        <v>0</v>
      </c>
      <c r="X174" s="947"/>
      <c r="Y174" s="616"/>
      <c r="Z174" s="602">
        <f t="shared" si="87"/>
        <v>0</v>
      </c>
      <c r="AA174" s="835"/>
      <c r="AB174" s="602">
        <f t="shared" si="88"/>
        <v>0</v>
      </c>
      <c r="AC174" s="940"/>
      <c r="AD174" s="956"/>
      <c r="AE174" s="956"/>
      <c r="AF174" s="598">
        <v>33.333333333333336</v>
      </c>
      <c r="AG174" s="596"/>
      <c r="AH174" s="728">
        <v>54</v>
      </c>
      <c r="AI174" s="728">
        <v>17</v>
      </c>
      <c r="AJ174" s="729">
        <f t="shared" si="94"/>
        <v>71</v>
      </c>
      <c r="AK174" s="946"/>
      <c r="AL174" s="616">
        <v>500</v>
      </c>
      <c r="AM174" s="602">
        <f t="shared" si="89"/>
        <v>33.333333333333336</v>
      </c>
      <c r="AN174" s="835"/>
      <c r="AO174" s="835">
        <f t="shared" si="100"/>
        <v>0</v>
      </c>
      <c r="AP174" s="940"/>
      <c r="AQ174" s="722">
        <v>0</v>
      </c>
      <c r="AR174" s="728"/>
      <c r="AS174" s="728"/>
      <c r="AT174" s="729">
        <f t="shared" si="72"/>
        <v>0</v>
      </c>
      <c r="AU174" s="946"/>
      <c r="AV174" s="616"/>
      <c r="AW174" s="602">
        <f t="shared" si="90"/>
        <v>0</v>
      </c>
      <c r="AX174" s="940"/>
      <c r="AY174" s="602">
        <f t="shared" si="91"/>
        <v>0</v>
      </c>
      <c r="AZ174" s="940"/>
      <c r="BA174" s="962"/>
      <c r="BB174" s="962"/>
      <c r="BC174" s="611"/>
      <c r="BD174" s="712">
        <v>84</v>
      </c>
      <c r="BE174" s="596">
        <v>84</v>
      </c>
      <c r="BF174" s="596">
        <f t="shared" si="93"/>
        <v>0</v>
      </c>
      <c r="BG174" s="728">
        <f>54+12+29+4</f>
        <v>99</v>
      </c>
      <c r="BH174" s="728">
        <f>17+5+5</f>
        <v>27</v>
      </c>
      <c r="BI174" s="729">
        <f t="shared" si="85"/>
        <v>126</v>
      </c>
      <c r="BJ174" s="729"/>
      <c r="BK174" s="616">
        <f>750+1600+200+1650</f>
        <v>4200</v>
      </c>
      <c r="BL174" s="603">
        <f t="shared" si="92"/>
        <v>84</v>
      </c>
      <c r="BM174" s="964"/>
      <c r="BN174" s="602">
        <f t="shared" si="101"/>
        <v>0</v>
      </c>
      <c r="BO174" s="940"/>
      <c r="BP174" s="593">
        <f t="shared" si="95"/>
        <v>0</v>
      </c>
      <c r="BS174" s="741">
        <v>0</v>
      </c>
      <c r="BT174" s="741">
        <v>0</v>
      </c>
      <c r="BU174" s="741">
        <f t="shared" si="96"/>
        <v>0</v>
      </c>
      <c r="BV174" s="741">
        <v>0</v>
      </c>
      <c r="BW174" s="741"/>
      <c r="BX174" s="741">
        <v>54</v>
      </c>
      <c r="BY174" s="741">
        <v>17</v>
      </c>
      <c r="BZ174" s="741">
        <f t="shared" si="86"/>
        <v>71</v>
      </c>
      <c r="CA174" s="741">
        <v>33.333333333333336</v>
      </c>
      <c r="CB174" s="741"/>
      <c r="CC174" s="741">
        <f t="shared" si="97"/>
        <v>33.333333333333336</v>
      </c>
      <c r="CD174" s="751"/>
      <c r="CE174" s="748">
        <f>54+12+29+4</f>
        <v>99</v>
      </c>
      <c r="CF174" s="748">
        <f>17+5+5</f>
        <v>27</v>
      </c>
      <c r="CG174" s="748">
        <f t="shared" si="76"/>
        <v>126</v>
      </c>
      <c r="CH174" s="759">
        <v>84</v>
      </c>
      <c r="CI174" s="742"/>
      <c r="CJ174" s="591">
        <f t="shared" si="98"/>
        <v>0</v>
      </c>
    </row>
    <row r="175" spans="1:88" ht="21.6" customHeight="1" x14ac:dyDescent="0.25">
      <c r="A175" s="596" t="s">
        <v>28</v>
      </c>
      <c r="B175" s="596" t="s">
        <v>92</v>
      </c>
      <c r="C175" s="597" t="s">
        <v>98</v>
      </c>
      <c r="D175" s="182" t="s">
        <v>429</v>
      </c>
      <c r="E175" s="598">
        <v>17.666666666666668</v>
      </c>
      <c r="F175" s="596">
        <v>0</v>
      </c>
      <c r="G175" s="598">
        <v>17.666666666666668</v>
      </c>
      <c r="H175" s="596"/>
      <c r="I175" s="596">
        <f t="shared" si="82"/>
        <v>0</v>
      </c>
      <c r="J175" s="728">
        <f>28+4</f>
        <v>32</v>
      </c>
      <c r="K175" s="728">
        <f>8+2</f>
        <v>10</v>
      </c>
      <c r="L175" s="731">
        <f t="shared" si="83"/>
        <v>42</v>
      </c>
      <c r="M175" s="947"/>
      <c r="N175" s="617">
        <v>265</v>
      </c>
      <c r="O175" s="602">
        <f t="shared" si="81"/>
        <v>17.666666666666668</v>
      </c>
      <c r="P175" s="940"/>
      <c r="Q175" s="600">
        <f t="shared" si="99"/>
        <v>0</v>
      </c>
      <c r="R175" s="940"/>
      <c r="S175" s="596">
        <v>0</v>
      </c>
      <c r="T175" s="724"/>
      <c r="U175" s="728"/>
      <c r="V175" s="728"/>
      <c r="W175" s="731">
        <f t="shared" si="84"/>
        <v>0</v>
      </c>
      <c r="X175" s="947"/>
      <c r="Y175" s="616"/>
      <c r="Z175" s="602">
        <f t="shared" si="87"/>
        <v>0</v>
      </c>
      <c r="AA175" s="835"/>
      <c r="AB175" s="602">
        <f t="shared" si="88"/>
        <v>0</v>
      </c>
      <c r="AC175" s="940"/>
      <c r="AD175" s="956"/>
      <c r="AE175" s="956"/>
      <c r="AF175" s="598">
        <v>2</v>
      </c>
      <c r="AG175" s="596"/>
      <c r="AH175" s="728">
        <v>2</v>
      </c>
      <c r="AI175" s="728">
        <v>3</v>
      </c>
      <c r="AJ175" s="729">
        <f t="shared" si="94"/>
        <v>5</v>
      </c>
      <c r="AK175" s="946"/>
      <c r="AL175" s="616">
        <v>30</v>
      </c>
      <c r="AM175" s="602">
        <f t="shared" si="89"/>
        <v>2</v>
      </c>
      <c r="AN175" s="835"/>
      <c r="AO175" s="835">
        <f t="shared" si="100"/>
        <v>0</v>
      </c>
      <c r="AP175" s="940"/>
      <c r="AQ175" s="722">
        <v>0</v>
      </c>
      <c r="AR175" s="728"/>
      <c r="AS175" s="728"/>
      <c r="AT175" s="729">
        <f t="shared" si="72"/>
        <v>0</v>
      </c>
      <c r="AU175" s="946"/>
      <c r="AV175" s="616"/>
      <c r="AW175" s="602">
        <f t="shared" si="90"/>
        <v>0</v>
      </c>
      <c r="AX175" s="940"/>
      <c r="AY175" s="602">
        <f t="shared" si="91"/>
        <v>0</v>
      </c>
      <c r="AZ175" s="940"/>
      <c r="BA175" s="962"/>
      <c r="BB175" s="962"/>
      <c r="BC175" s="611"/>
      <c r="BD175" s="712">
        <v>19</v>
      </c>
      <c r="BE175" s="596">
        <v>19</v>
      </c>
      <c r="BF175" s="596">
        <f t="shared" si="93"/>
        <v>0</v>
      </c>
      <c r="BG175" s="728">
        <f>2+4+28</f>
        <v>34</v>
      </c>
      <c r="BH175" s="728">
        <f>3+2+8</f>
        <v>13</v>
      </c>
      <c r="BI175" s="729">
        <f t="shared" si="85"/>
        <v>47</v>
      </c>
      <c r="BJ175" s="729"/>
      <c r="BK175" s="616">
        <f>100+750+100</f>
        <v>950</v>
      </c>
      <c r="BL175" s="603">
        <f t="shared" si="92"/>
        <v>19</v>
      </c>
      <c r="BM175" s="964"/>
      <c r="BN175" s="602">
        <f t="shared" si="101"/>
        <v>0</v>
      </c>
      <c r="BO175" s="940"/>
      <c r="BP175" s="593">
        <f t="shared" si="95"/>
        <v>0</v>
      </c>
      <c r="BS175" s="741">
        <v>0</v>
      </c>
      <c r="BT175" s="741">
        <v>0</v>
      </c>
      <c r="BU175" s="741">
        <f t="shared" si="96"/>
        <v>0</v>
      </c>
      <c r="BV175" s="741">
        <v>0</v>
      </c>
      <c r="BW175" s="741"/>
      <c r="BX175" s="741">
        <v>2</v>
      </c>
      <c r="BY175" s="741">
        <v>3</v>
      </c>
      <c r="BZ175" s="741">
        <f t="shared" si="86"/>
        <v>5</v>
      </c>
      <c r="CA175" s="741">
        <v>2</v>
      </c>
      <c r="CB175" s="741"/>
      <c r="CC175" s="741">
        <f t="shared" si="97"/>
        <v>2</v>
      </c>
      <c r="CD175" s="751"/>
      <c r="CE175" s="748">
        <f>2+4+28</f>
        <v>34</v>
      </c>
      <c r="CF175" s="748">
        <f>3+2+8</f>
        <v>13</v>
      </c>
      <c r="CG175" s="748">
        <f t="shared" si="76"/>
        <v>47</v>
      </c>
      <c r="CH175" s="759">
        <v>19</v>
      </c>
      <c r="CI175" s="742"/>
      <c r="CJ175" s="591">
        <f t="shared" si="98"/>
        <v>0</v>
      </c>
    </row>
    <row r="176" spans="1:88" ht="21.6" customHeight="1" x14ac:dyDescent="0.25">
      <c r="A176" s="596" t="s">
        <v>28</v>
      </c>
      <c r="B176" s="596" t="s">
        <v>92</v>
      </c>
      <c r="C176" s="597" t="s">
        <v>99</v>
      </c>
      <c r="D176" s="182" t="s">
        <v>429</v>
      </c>
      <c r="E176" s="598">
        <v>43.333333333333329</v>
      </c>
      <c r="F176" s="596">
        <v>0</v>
      </c>
      <c r="G176" s="598">
        <v>35.666666666666664</v>
      </c>
      <c r="H176" s="596"/>
      <c r="I176" s="596">
        <f t="shared" si="82"/>
        <v>0</v>
      </c>
      <c r="J176" s="728">
        <f>6+17+16</f>
        <v>39</v>
      </c>
      <c r="K176" s="728">
        <f>1+12+7</f>
        <v>20</v>
      </c>
      <c r="L176" s="731">
        <f t="shared" si="83"/>
        <v>59</v>
      </c>
      <c r="M176" s="947"/>
      <c r="N176" s="617">
        <v>650.05000000000052</v>
      </c>
      <c r="O176" s="602">
        <f t="shared" si="81"/>
        <v>43.336666666666702</v>
      </c>
      <c r="P176" s="940"/>
      <c r="Q176" s="600">
        <f t="shared" si="99"/>
        <v>-3.3333333333729342E-3</v>
      </c>
      <c r="R176" s="940"/>
      <c r="S176" s="596">
        <v>0</v>
      </c>
      <c r="T176" s="724"/>
      <c r="U176" s="728"/>
      <c r="V176" s="728"/>
      <c r="W176" s="731">
        <f t="shared" si="84"/>
        <v>0</v>
      </c>
      <c r="X176" s="947"/>
      <c r="Y176" s="616"/>
      <c r="Z176" s="602">
        <f t="shared" si="87"/>
        <v>0</v>
      </c>
      <c r="AA176" s="835"/>
      <c r="AB176" s="602">
        <f t="shared" si="88"/>
        <v>0</v>
      </c>
      <c r="AC176" s="940"/>
      <c r="AD176" s="956"/>
      <c r="AE176" s="956"/>
      <c r="AF176" s="598">
        <v>0</v>
      </c>
      <c r="AG176" s="596"/>
      <c r="AH176" s="728"/>
      <c r="AI176" s="728"/>
      <c r="AJ176" s="729">
        <f t="shared" si="94"/>
        <v>0</v>
      </c>
      <c r="AK176" s="946"/>
      <c r="AL176" s="616"/>
      <c r="AM176" s="602">
        <f t="shared" si="89"/>
        <v>0</v>
      </c>
      <c r="AN176" s="835"/>
      <c r="AO176" s="835">
        <f t="shared" si="100"/>
        <v>0</v>
      </c>
      <c r="AP176" s="940"/>
      <c r="AQ176" s="722">
        <v>0</v>
      </c>
      <c r="AR176" s="728"/>
      <c r="AS176" s="728"/>
      <c r="AT176" s="729">
        <f t="shared" si="72"/>
        <v>0</v>
      </c>
      <c r="AU176" s="946"/>
      <c r="AV176" s="616"/>
      <c r="AW176" s="602">
        <f t="shared" si="90"/>
        <v>0</v>
      </c>
      <c r="AX176" s="940"/>
      <c r="AY176" s="602">
        <f t="shared" si="91"/>
        <v>0</v>
      </c>
      <c r="AZ176" s="940"/>
      <c r="BA176" s="962"/>
      <c r="BB176" s="962"/>
      <c r="BC176" s="611"/>
      <c r="BD176" s="712">
        <v>42</v>
      </c>
      <c r="BE176" s="596">
        <v>35</v>
      </c>
      <c r="BF176" s="596">
        <f t="shared" si="93"/>
        <v>7</v>
      </c>
      <c r="BG176" s="728">
        <f>17+16+6</f>
        <v>39</v>
      </c>
      <c r="BH176" s="728">
        <f>12+7+1</f>
        <v>20</v>
      </c>
      <c r="BI176" s="729">
        <f t="shared" si="85"/>
        <v>59</v>
      </c>
      <c r="BJ176" s="729"/>
      <c r="BK176" s="616">
        <f>1150+350+600</f>
        <v>2100</v>
      </c>
      <c r="BL176" s="603">
        <f t="shared" si="92"/>
        <v>42</v>
      </c>
      <c r="BM176" s="964"/>
      <c r="BN176" s="602">
        <f t="shared" si="101"/>
        <v>0</v>
      </c>
      <c r="BO176" s="940"/>
      <c r="BP176" s="593">
        <f t="shared" si="95"/>
        <v>0</v>
      </c>
      <c r="BS176" s="741">
        <v>6</v>
      </c>
      <c r="BT176" s="741">
        <v>1</v>
      </c>
      <c r="BU176" s="741">
        <f t="shared" si="96"/>
        <v>7</v>
      </c>
      <c r="BV176" s="741">
        <v>7.666666666666667</v>
      </c>
      <c r="BW176" s="741"/>
      <c r="BX176" s="741">
        <v>0</v>
      </c>
      <c r="BY176" s="741">
        <v>0</v>
      </c>
      <c r="BZ176" s="741">
        <f t="shared" si="86"/>
        <v>0</v>
      </c>
      <c r="CA176" s="741">
        <v>0</v>
      </c>
      <c r="CB176" s="741"/>
      <c r="CC176" s="741">
        <f t="shared" si="97"/>
        <v>7.666666666666667</v>
      </c>
      <c r="CD176" s="751"/>
      <c r="CE176" s="748">
        <f>17+16+6</f>
        <v>39</v>
      </c>
      <c r="CF176" s="748">
        <f>12+7+1</f>
        <v>20</v>
      </c>
      <c r="CG176" s="748">
        <f t="shared" si="76"/>
        <v>59</v>
      </c>
      <c r="CH176" s="759">
        <v>42</v>
      </c>
      <c r="CI176" s="742"/>
      <c r="CJ176" s="591">
        <f t="shared" si="98"/>
        <v>-3.3333333333729342E-3</v>
      </c>
    </row>
    <row r="177" spans="1:88" ht="21.6" customHeight="1" x14ac:dyDescent="0.25">
      <c r="A177" s="596" t="s">
        <v>28</v>
      </c>
      <c r="B177" s="596" t="s">
        <v>92</v>
      </c>
      <c r="C177" s="597" t="s">
        <v>100</v>
      </c>
      <c r="D177" s="182" t="s">
        <v>429</v>
      </c>
      <c r="E177" s="598">
        <v>50</v>
      </c>
      <c r="F177" s="596">
        <v>0</v>
      </c>
      <c r="G177" s="598">
        <v>0</v>
      </c>
      <c r="H177" s="596"/>
      <c r="I177" s="596">
        <f t="shared" si="82"/>
        <v>0</v>
      </c>
      <c r="J177" s="728">
        <v>96</v>
      </c>
      <c r="K177" s="728">
        <v>20</v>
      </c>
      <c r="L177" s="731">
        <f t="shared" si="83"/>
        <v>116</v>
      </c>
      <c r="M177" s="947"/>
      <c r="N177" s="617">
        <v>750</v>
      </c>
      <c r="O177" s="602">
        <f t="shared" si="81"/>
        <v>50</v>
      </c>
      <c r="P177" s="940"/>
      <c r="Q177" s="600">
        <f t="shared" si="99"/>
        <v>0</v>
      </c>
      <c r="R177" s="940"/>
      <c r="S177" s="596">
        <v>0</v>
      </c>
      <c r="T177" s="724"/>
      <c r="U177" s="728"/>
      <c r="V177" s="728"/>
      <c r="W177" s="731">
        <f t="shared" si="84"/>
        <v>0</v>
      </c>
      <c r="X177" s="947"/>
      <c r="Y177" s="616"/>
      <c r="Z177" s="602">
        <f t="shared" si="87"/>
        <v>0</v>
      </c>
      <c r="AA177" s="835"/>
      <c r="AB177" s="602">
        <f t="shared" si="88"/>
        <v>0</v>
      </c>
      <c r="AC177" s="940"/>
      <c r="AD177" s="956"/>
      <c r="AE177" s="956"/>
      <c r="AF177" s="598">
        <v>0</v>
      </c>
      <c r="AG177" s="596"/>
      <c r="AH177" s="728"/>
      <c r="AI177" s="728"/>
      <c r="AJ177" s="729">
        <f t="shared" si="94"/>
        <v>0</v>
      </c>
      <c r="AK177" s="946"/>
      <c r="AL177" s="616"/>
      <c r="AM177" s="602">
        <f t="shared" si="89"/>
        <v>0</v>
      </c>
      <c r="AN177" s="835"/>
      <c r="AO177" s="835">
        <f t="shared" si="100"/>
        <v>0</v>
      </c>
      <c r="AP177" s="940"/>
      <c r="AQ177" s="722">
        <v>0</v>
      </c>
      <c r="AR177" s="728"/>
      <c r="AS177" s="728"/>
      <c r="AT177" s="729">
        <f t="shared" si="72"/>
        <v>0</v>
      </c>
      <c r="AU177" s="946"/>
      <c r="AV177" s="616"/>
      <c r="AW177" s="602">
        <f t="shared" si="90"/>
        <v>0</v>
      </c>
      <c r="AX177" s="940"/>
      <c r="AY177" s="602">
        <f t="shared" si="91"/>
        <v>0</v>
      </c>
      <c r="AZ177" s="940"/>
      <c r="BA177" s="962"/>
      <c r="BB177" s="962"/>
      <c r="BC177" s="611"/>
      <c r="BD177" s="712">
        <v>50</v>
      </c>
      <c r="BE177" s="596">
        <v>0</v>
      </c>
      <c r="BF177" s="596">
        <f t="shared" si="93"/>
        <v>50</v>
      </c>
      <c r="BG177" s="728">
        <v>96</v>
      </c>
      <c r="BH177" s="728">
        <v>20</v>
      </c>
      <c r="BI177" s="729">
        <f t="shared" si="85"/>
        <v>116</v>
      </c>
      <c r="BJ177" s="729"/>
      <c r="BK177" s="616">
        <v>2500</v>
      </c>
      <c r="BL177" s="603">
        <f t="shared" si="92"/>
        <v>50</v>
      </c>
      <c r="BM177" s="964"/>
      <c r="BN177" s="602">
        <f t="shared" si="101"/>
        <v>0</v>
      </c>
      <c r="BO177" s="940"/>
      <c r="BP177" s="593">
        <f t="shared" si="95"/>
        <v>0</v>
      </c>
      <c r="BS177" s="741">
        <v>96</v>
      </c>
      <c r="BT177" s="741">
        <v>20</v>
      </c>
      <c r="BU177" s="741">
        <f t="shared" si="96"/>
        <v>116</v>
      </c>
      <c r="BV177" s="741">
        <v>50</v>
      </c>
      <c r="BW177" s="741"/>
      <c r="BX177" s="741">
        <v>0</v>
      </c>
      <c r="BY177" s="741">
        <v>0</v>
      </c>
      <c r="BZ177" s="741">
        <f t="shared" si="86"/>
        <v>0</v>
      </c>
      <c r="CA177" s="741">
        <v>0</v>
      </c>
      <c r="CB177" s="741"/>
      <c r="CC177" s="741">
        <f t="shared" si="97"/>
        <v>50</v>
      </c>
      <c r="CD177" s="751"/>
      <c r="CE177" s="748">
        <v>96</v>
      </c>
      <c r="CF177" s="748">
        <v>20</v>
      </c>
      <c r="CG177" s="748">
        <f t="shared" si="76"/>
        <v>116</v>
      </c>
      <c r="CH177" s="759">
        <v>50</v>
      </c>
      <c r="CI177" s="742"/>
      <c r="CJ177" s="591">
        <f t="shared" si="98"/>
        <v>0</v>
      </c>
    </row>
    <row r="178" spans="1:88" ht="21.6" customHeight="1" x14ac:dyDescent="0.25">
      <c r="A178" s="596"/>
      <c r="B178" s="596"/>
      <c r="C178" s="597"/>
      <c r="D178" s="182"/>
      <c r="E178" s="598"/>
      <c r="F178" s="596"/>
      <c r="G178" s="598"/>
      <c r="H178" s="596"/>
      <c r="I178" s="596"/>
      <c r="J178" s="728"/>
      <c r="K178" s="728"/>
      <c r="L178" s="731"/>
      <c r="M178" s="947"/>
      <c r="N178" s="617"/>
      <c r="O178" s="602"/>
      <c r="P178" s="940"/>
      <c r="Q178" s="600"/>
      <c r="R178" s="940"/>
      <c r="S178" s="596"/>
      <c r="T178" s="724"/>
      <c r="U178" s="728"/>
      <c r="V178" s="728"/>
      <c r="W178" s="731"/>
      <c r="X178" s="947"/>
      <c r="Y178" s="616"/>
      <c r="Z178" s="602"/>
      <c r="AA178" s="835"/>
      <c r="AB178" s="602"/>
      <c r="AC178" s="940"/>
      <c r="AD178" s="956"/>
      <c r="AE178" s="956"/>
      <c r="AF178" s="598"/>
      <c r="AG178" s="596"/>
      <c r="AH178" s="728"/>
      <c r="AI178" s="728"/>
      <c r="AJ178" s="729"/>
      <c r="AK178" s="946"/>
      <c r="AL178" s="616"/>
      <c r="AM178" s="602"/>
      <c r="AN178" s="835"/>
      <c r="AO178" s="835"/>
      <c r="AP178" s="940"/>
      <c r="AQ178" s="722"/>
      <c r="AR178" s="728"/>
      <c r="AS178" s="728"/>
      <c r="AT178" s="729"/>
      <c r="AU178" s="946"/>
      <c r="AV178" s="616"/>
      <c r="AW178" s="602"/>
      <c r="AX178" s="940"/>
      <c r="AY178" s="602"/>
      <c r="AZ178" s="940"/>
      <c r="BA178" s="962"/>
      <c r="BB178" s="962"/>
      <c r="BC178" s="611"/>
      <c r="BD178" s="712"/>
      <c r="BE178" s="596"/>
      <c r="BF178" s="596"/>
      <c r="BG178" s="728"/>
      <c r="BH178" s="728"/>
      <c r="BI178" s="729"/>
      <c r="BJ178" s="729"/>
      <c r="BK178" s="616"/>
      <c r="BL178" s="603"/>
      <c r="BM178" s="964"/>
      <c r="BN178" s="602"/>
      <c r="BO178" s="940"/>
      <c r="BP178" s="593">
        <f t="shared" si="95"/>
        <v>0</v>
      </c>
      <c r="BS178" s="741"/>
      <c r="BT178" s="741"/>
      <c r="BU178" s="741"/>
      <c r="BV178" s="741"/>
      <c r="BW178" s="741"/>
      <c r="BX178" s="741"/>
      <c r="BY178" s="741"/>
      <c r="BZ178" s="741"/>
      <c r="CA178" s="741"/>
      <c r="CB178" s="741"/>
      <c r="CC178" s="741"/>
      <c r="CD178" s="751"/>
      <c r="CE178" s="748"/>
      <c r="CF178" s="748"/>
      <c r="CG178" s="748"/>
      <c r="CH178" s="759"/>
      <c r="CI178" s="742"/>
      <c r="CJ178" s="591">
        <f t="shared" si="98"/>
        <v>0</v>
      </c>
    </row>
    <row r="179" spans="1:88" s="593" customFormat="1" ht="35.25" customHeight="1" x14ac:dyDescent="0.25">
      <c r="A179" s="606" t="s">
        <v>28</v>
      </c>
      <c r="B179" s="606" t="s">
        <v>101</v>
      </c>
      <c r="C179" s="607" t="s">
        <v>102</v>
      </c>
      <c r="D179" s="166" t="s">
        <v>437</v>
      </c>
      <c r="E179" s="608">
        <v>0</v>
      </c>
      <c r="F179" s="606">
        <v>101</v>
      </c>
      <c r="G179" s="608">
        <v>0</v>
      </c>
      <c r="H179" s="606">
        <v>0</v>
      </c>
      <c r="I179" s="606">
        <f t="shared" si="82"/>
        <v>101</v>
      </c>
      <c r="J179" s="728"/>
      <c r="K179" s="728"/>
      <c r="L179" s="731">
        <f t="shared" si="83"/>
        <v>0</v>
      </c>
      <c r="M179" s="947">
        <f>SUM(L179:L183)</f>
        <v>234</v>
      </c>
      <c r="N179" s="617"/>
      <c r="O179" s="602">
        <f t="shared" si="81"/>
        <v>0</v>
      </c>
      <c r="P179" s="940">
        <f>SUM(O179:O183)</f>
        <v>101</v>
      </c>
      <c r="Q179" s="600">
        <f>E179-O179</f>
        <v>0</v>
      </c>
      <c r="R179" s="940">
        <f>SUM(Q179:Q183)</f>
        <v>0</v>
      </c>
      <c r="S179" s="596">
        <v>0</v>
      </c>
      <c r="T179" s="724">
        <f>SUM(S179:S183)</f>
        <v>0</v>
      </c>
      <c r="U179" s="728"/>
      <c r="V179" s="728"/>
      <c r="W179" s="731">
        <f t="shared" si="84"/>
        <v>0</v>
      </c>
      <c r="X179" s="947">
        <f>SUM(W179:W183)</f>
        <v>0</v>
      </c>
      <c r="Y179" s="616"/>
      <c r="Z179" s="602">
        <f t="shared" si="87"/>
        <v>0</v>
      </c>
      <c r="AA179" s="835">
        <f>SUM(Z179:Z183)</f>
        <v>0</v>
      </c>
      <c r="AB179" s="602">
        <f t="shared" si="88"/>
        <v>0</v>
      </c>
      <c r="AC179" s="940">
        <f>SUM(AB179:AB183)</f>
        <v>0</v>
      </c>
      <c r="AD179" s="955">
        <f>M179+X179</f>
        <v>234</v>
      </c>
      <c r="AE179" s="955">
        <f>R179+AC179</f>
        <v>0</v>
      </c>
      <c r="AF179" s="608">
        <v>0</v>
      </c>
      <c r="AG179" s="606">
        <v>0</v>
      </c>
      <c r="AH179" s="728"/>
      <c r="AI179" s="728"/>
      <c r="AJ179" s="729">
        <f t="shared" ref="AJ179:AJ224" si="102">AH179+AI179</f>
        <v>0</v>
      </c>
      <c r="AK179" s="946">
        <f>SUM(AJ179:AJ183)</f>
        <v>0</v>
      </c>
      <c r="AL179" s="616"/>
      <c r="AM179" s="602">
        <f t="shared" si="89"/>
        <v>0</v>
      </c>
      <c r="AN179" s="835">
        <f>SUM(AM179:AM183)</f>
        <v>0</v>
      </c>
      <c r="AO179" s="835">
        <f>AF179-AM179</f>
        <v>0</v>
      </c>
      <c r="AP179" s="940">
        <f>SUM(AO179:AO183)</f>
        <v>0</v>
      </c>
      <c r="AQ179" s="722">
        <v>0</v>
      </c>
      <c r="AR179" s="728"/>
      <c r="AS179" s="728"/>
      <c r="AT179" s="729">
        <f t="shared" si="72"/>
        <v>0</v>
      </c>
      <c r="AU179" s="946">
        <f>SUM(AT179:AT183)</f>
        <v>10</v>
      </c>
      <c r="AV179" s="616"/>
      <c r="AW179" s="602">
        <f t="shared" si="90"/>
        <v>0</v>
      </c>
      <c r="AX179" s="940">
        <f>SUM(AW179:AW183)</f>
        <v>10</v>
      </c>
      <c r="AY179" s="602">
        <f t="shared" si="91"/>
        <v>0</v>
      </c>
      <c r="AZ179" s="940">
        <f>SUM(AY179:AY183)</f>
        <v>0</v>
      </c>
      <c r="BA179" s="961">
        <f>AK179+AU179</f>
        <v>10</v>
      </c>
      <c r="BB179" s="961">
        <f>AP179+AZ179</f>
        <v>0</v>
      </c>
      <c r="BC179" s="608">
        <f>SUM(BD179:BD183)</f>
        <v>100</v>
      </c>
      <c r="BD179" s="713">
        <v>0</v>
      </c>
      <c r="BE179" s="606">
        <v>0</v>
      </c>
      <c r="BF179" s="596">
        <f t="shared" si="93"/>
        <v>0</v>
      </c>
      <c r="BG179" s="728"/>
      <c r="BH179" s="728"/>
      <c r="BI179" s="729">
        <f t="shared" si="85"/>
        <v>0</v>
      </c>
      <c r="BJ179" s="729">
        <f>SUM(BI179:BI183)</f>
        <v>233</v>
      </c>
      <c r="BK179" s="616"/>
      <c r="BL179" s="603">
        <f t="shared" si="92"/>
        <v>0</v>
      </c>
      <c r="BM179" s="964">
        <f>SUM(BL179:BL183)</f>
        <v>103</v>
      </c>
      <c r="BN179" s="602">
        <f>BD179-BL179</f>
        <v>0</v>
      </c>
      <c r="BO179" s="940">
        <f>SUM(BN179:BN183)</f>
        <v>-3</v>
      </c>
      <c r="BP179" s="593">
        <f t="shared" si="95"/>
        <v>-3</v>
      </c>
      <c r="BS179" s="744">
        <v>0</v>
      </c>
      <c r="BT179" s="744">
        <v>0</v>
      </c>
      <c r="BU179" s="741">
        <f t="shared" ref="BU179:BU224" si="103">BS179+BT179</f>
        <v>0</v>
      </c>
      <c r="BV179" s="744">
        <v>0</v>
      </c>
      <c r="BW179" s="744">
        <f>SUM(BV179:BV183)</f>
        <v>47</v>
      </c>
      <c r="BX179" s="744">
        <v>0</v>
      </c>
      <c r="BY179" s="744">
        <v>0</v>
      </c>
      <c r="BZ179" s="741">
        <f t="shared" si="86"/>
        <v>0</v>
      </c>
      <c r="CA179" s="744">
        <v>0</v>
      </c>
      <c r="CB179" s="744">
        <f>SUM(CA179:CA183)</f>
        <v>0</v>
      </c>
      <c r="CC179" s="741">
        <f t="shared" si="97"/>
        <v>0</v>
      </c>
      <c r="CD179" s="754">
        <f>SUM(CC179:CC183)</f>
        <v>47</v>
      </c>
      <c r="CE179" s="748"/>
      <c r="CF179" s="748"/>
      <c r="CG179" s="748">
        <f t="shared" si="76"/>
        <v>0</v>
      </c>
      <c r="CH179" s="765"/>
      <c r="CI179" s="744">
        <f>SUM(CH179:CH183)</f>
        <v>47</v>
      </c>
      <c r="CJ179" s="593">
        <f t="shared" si="98"/>
        <v>0</v>
      </c>
    </row>
    <row r="180" spans="1:88" ht="35.25" customHeight="1" x14ac:dyDescent="0.25">
      <c r="A180" s="596" t="s">
        <v>28</v>
      </c>
      <c r="B180" s="596" t="s">
        <v>101</v>
      </c>
      <c r="C180" s="597" t="s">
        <v>103</v>
      </c>
      <c r="D180" s="166" t="s">
        <v>431</v>
      </c>
      <c r="E180" s="598">
        <v>14.666666666666666</v>
      </c>
      <c r="F180" s="596">
        <v>0</v>
      </c>
      <c r="G180" s="598">
        <v>0</v>
      </c>
      <c r="H180" s="596"/>
      <c r="I180" s="596">
        <f t="shared" si="82"/>
        <v>0</v>
      </c>
      <c r="J180" s="728">
        <f>14+10</f>
        <v>24</v>
      </c>
      <c r="K180" s="728">
        <f>1+2</f>
        <v>3</v>
      </c>
      <c r="L180" s="731">
        <f t="shared" si="83"/>
        <v>27</v>
      </c>
      <c r="M180" s="947"/>
      <c r="N180" s="617">
        <f>105+115</f>
        <v>220</v>
      </c>
      <c r="O180" s="602">
        <f t="shared" si="81"/>
        <v>14.666666666666666</v>
      </c>
      <c r="P180" s="940"/>
      <c r="Q180" s="600">
        <f>E180-O180</f>
        <v>0</v>
      </c>
      <c r="R180" s="940"/>
      <c r="S180" s="596">
        <v>0</v>
      </c>
      <c r="T180" s="724"/>
      <c r="U180" s="728"/>
      <c r="V180" s="728"/>
      <c r="W180" s="731">
        <f t="shared" si="84"/>
        <v>0</v>
      </c>
      <c r="X180" s="947"/>
      <c r="Y180" s="616"/>
      <c r="Z180" s="602">
        <f t="shared" si="87"/>
        <v>0</v>
      </c>
      <c r="AA180" s="835"/>
      <c r="AB180" s="602">
        <f t="shared" si="88"/>
        <v>0</v>
      </c>
      <c r="AC180" s="940"/>
      <c r="AD180" s="956"/>
      <c r="AE180" s="956"/>
      <c r="AF180" s="598">
        <v>0</v>
      </c>
      <c r="AG180" s="596"/>
      <c r="AH180" s="728"/>
      <c r="AI180" s="728"/>
      <c r="AJ180" s="729">
        <f t="shared" si="102"/>
        <v>0</v>
      </c>
      <c r="AK180" s="946"/>
      <c r="AL180" s="616"/>
      <c r="AM180" s="602">
        <f t="shared" si="89"/>
        <v>0</v>
      </c>
      <c r="AN180" s="835"/>
      <c r="AO180" s="835">
        <f>AF180-AM180</f>
        <v>0</v>
      </c>
      <c r="AP180" s="940"/>
      <c r="AQ180" s="722">
        <v>0</v>
      </c>
      <c r="AR180" s="728"/>
      <c r="AS180" s="728"/>
      <c r="AT180" s="729">
        <f t="shared" si="72"/>
        <v>0</v>
      </c>
      <c r="AU180" s="946"/>
      <c r="AV180" s="616"/>
      <c r="AW180" s="602">
        <f t="shared" si="90"/>
        <v>0</v>
      </c>
      <c r="AX180" s="940"/>
      <c r="AY180" s="602">
        <f t="shared" si="91"/>
        <v>0</v>
      </c>
      <c r="AZ180" s="940"/>
      <c r="BA180" s="962"/>
      <c r="BB180" s="962"/>
      <c r="BC180" s="598"/>
      <c r="BD180" s="665">
        <v>14</v>
      </c>
      <c r="BE180" s="596">
        <v>0</v>
      </c>
      <c r="BF180" s="596">
        <f t="shared" si="93"/>
        <v>14</v>
      </c>
      <c r="BG180" s="728">
        <v>22</v>
      </c>
      <c r="BH180" s="728">
        <v>4</v>
      </c>
      <c r="BI180" s="729">
        <f t="shared" si="85"/>
        <v>26</v>
      </c>
      <c r="BJ180" s="729"/>
      <c r="BK180" s="616">
        <v>750</v>
      </c>
      <c r="BL180" s="603">
        <f t="shared" si="92"/>
        <v>15</v>
      </c>
      <c r="BM180" s="964"/>
      <c r="BN180" s="602">
        <f>BD180-BL180</f>
        <v>-1</v>
      </c>
      <c r="BO180" s="940"/>
      <c r="BP180" s="593">
        <f t="shared" si="95"/>
        <v>0</v>
      </c>
      <c r="BS180" s="741">
        <v>24</v>
      </c>
      <c r="BT180" s="741">
        <v>3</v>
      </c>
      <c r="BU180" s="741">
        <f t="shared" si="103"/>
        <v>27</v>
      </c>
      <c r="BV180" s="741">
        <v>14.666666666666666</v>
      </c>
      <c r="BW180" s="741"/>
      <c r="BX180" s="741">
        <v>0</v>
      </c>
      <c r="BY180" s="741">
        <v>0</v>
      </c>
      <c r="BZ180" s="741">
        <f t="shared" si="86"/>
        <v>0</v>
      </c>
      <c r="CA180" s="741">
        <v>0</v>
      </c>
      <c r="CB180" s="741"/>
      <c r="CC180" s="741">
        <f t="shared" si="97"/>
        <v>14.666666666666666</v>
      </c>
      <c r="CD180" s="751"/>
      <c r="CE180" s="748">
        <v>22</v>
      </c>
      <c r="CF180" s="748">
        <v>4</v>
      </c>
      <c r="CG180" s="748">
        <f t="shared" si="76"/>
        <v>26</v>
      </c>
      <c r="CH180" s="759">
        <v>15</v>
      </c>
      <c r="CI180" s="742"/>
      <c r="CJ180" s="591">
        <f t="shared" si="98"/>
        <v>-1</v>
      </c>
    </row>
    <row r="181" spans="1:88" ht="58.5" customHeight="1" x14ac:dyDescent="0.25">
      <c r="A181" s="596"/>
      <c r="B181" s="596" t="s">
        <v>101</v>
      </c>
      <c r="C181" s="2" t="s">
        <v>753</v>
      </c>
      <c r="D181" s="166" t="s">
        <v>431</v>
      </c>
      <c r="E181" s="598"/>
      <c r="F181" s="596"/>
      <c r="G181" s="598"/>
      <c r="H181" s="596"/>
      <c r="I181" s="596">
        <f t="shared" si="82"/>
        <v>0</v>
      </c>
      <c r="J181" s="728"/>
      <c r="K181" s="728"/>
      <c r="L181" s="731">
        <f t="shared" si="83"/>
        <v>0</v>
      </c>
      <c r="M181" s="947"/>
      <c r="N181" s="617"/>
      <c r="O181" s="602"/>
      <c r="P181" s="940"/>
      <c r="Q181" s="600"/>
      <c r="R181" s="940"/>
      <c r="S181" s="596">
        <v>0</v>
      </c>
      <c r="T181" s="724"/>
      <c r="U181" s="728"/>
      <c r="V181" s="728"/>
      <c r="W181" s="731">
        <f t="shared" si="84"/>
        <v>0</v>
      </c>
      <c r="X181" s="947"/>
      <c r="Y181" s="616"/>
      <c r="Z181" s="602">
        <f t="shared" si="87"/>
        <v>0</v>
      </c>
      <c r="AA181" s="835"/>
      <c r="AB181" s="602">
        <f t="shared" si="88"/>
        <v>0</v>
      </c>
      <c r="AC181" s="940"/>
      <c r="AD181" s="956"/>
      <c r="AE181" s="956"/>
      <c r="AF181" s="598"/>
      <c r="AG181" s="596"/>
      <c r="AH181" s="728"/>
      <c r="AI181" s="728"/>
      <c r="AJ181" s="729">
        <f t="shared" si="102"/>
        <v>0</v>
      </c>
      <c r="AK181" s="946"/>
      <c r="AL181" s="616"/>
      <c r="AM181" s="602"/>
      <c r="AN181" s="835"/>
      <c r="AO181" s="835"/>
      <c r="AP181" s="940"/>
      <c r="AQ181" s="722">
        <v>10</v>
      </c>
      <c r="AR181" s="728">
        <v>3</v>
      </c>
      <c r="AS181" s="728">
        <v>7</v>
      </c>
      <c r="AT181" s="729">
        <f t="shared" si="72"/>
        <v>10</v>
      </c>
      <c r="AU181" s="946"/>
      <c r="AV181" s="616">
        <v>150</v>
      </c>
      <c r="AW181" s="602">
        <f t="shared" si="90"/>
        <v>10</v>
      </c>
      <c r="AX181" s="940"/>
      <c r="AY181" s="602">
        <f t="shared" si="91"/>
        <v>0</v>
      </c>
      <c r="AZ181" s="940"/>
      <c r="BA181" s="962"/>
      <c r="BB181" s="962"/>
      <c r="BC181" s="598"/>
      <c r="BD181" s="665"/>
      <c r="BE181" s="596"/>
      <c r="BF181" s="596"/>
      <c r="BG181" s="728"/>
      <c r="BH181" s="728"/>
      <c r="BI181" s="729">
        <f t="shared" si="85"/>
        <v>0</v>
      </c>
      <c r="BJ181" s="729"/>
      <c r="BK181" s="616"/>
      <c r="BL181" s="603"/>
      <c r="BM181" s="964"/>
      <c r="BN181" s="602"/>
      <c r="BO181" s="940"/>
      <c r="BP181" s="593">
        <f t="shared" si="95"/>
        <v>0</v>
      </c>
      <c r="BS181" s="741">
        <v>0</v>
      </c>
      <c r="BT181" s="741">
        <v>0</v>
      </c>
      <c r="BU181" s="741">
        <f t="shared" si="103"/>
        <v>0</v>
      </c>
      <c r="BV181" s="741">
        <v>0</v>
      </c>
      <c r="BW181" s="741"/>
      <c r="BX181" s="741">
        <v>0</v>
      </c>
      <c r="BY181" s="741">
        <v>0</v>
      </c>
      <c r="BZ181" s="741">
        <f t="shared" si="86"/>
        <v>0</v>
      </c>
      <c r="CA181" s="741">
        <v>0</v>
      </c>
      <c r="CB181" s="741"/>
      <c r="CC181" s="741">
        <f t="shared" si="97"/>
        <v>0</v>
      </c>
      <c r="CD181" s="751"/>
      <c r="CE181" s="748"/>
      <c r="CF181" s="748"/>
      <c r="CG181" s="748">
        <f t="shared" si="76"/>
        <v>0</v>
      </c>
      <c r="CH181" s="759"/>
      <c r="CI181" s="742"/>
      <c r="CJ181" s="591">
        <f t="shared" si="98"/>
        <v>0</v>
      </c>
    </row>
    <row r="182" spans="1:88" ht="46.5" customHeight="1" x14ac:dyDescent="0.25">
      <c r="A182" s="596" t="s">
        <v>28</v>
      </c>
      <c r="B182" s="596" t="s">
        <v>101</v>
      </c>
      <c r="C182" s="597" t="s">
        <v>599</v>
      </c>
      <c r="D182" s="166" t="s">
        <v>431</v>
      </c>
      <c r="E182" s="598">
        <v>54</v>
      </c>
      <c r="F182" s="596">
        <v>0</v>
      </c>
      <c r="G182" s="598">
        <v>0</v>
      </c>
      <c r="H182" s="596"/>
      <c r="I182" s="596">
        <f t="shared" si="82"/>
        <v>0</v>
      </c>
      <c r="J182" s="728"/>
      <c r="K182" s="728">
        <f>1+15+15+15+14+15+16+14+4</f>
        <v>109</v>
      </c>
      <c r="L182" s="731">
        <f t="shared" si="83"/>
        <v>109</v>
      </c>
      <c r="M182" s="947"/>
      <c r="N182" s="617">
        <f>15+90+160+120+120+80+80+85+60</f>
        <v>810</v>
      </c>
      <c r="O182" s="602">
        <f t="shared" si="81"/>
        <v>54</v>
      </c>
      <c r="P182" s="940"/>
      <c r="Q182" s="600">
        <f t="shared" ref="Q182:Q224" si="104">E182-O182</f>
        <v>0</v>
      </c>
      <c r="R182" s="940"/>
      <c r="S182" s="596">
        <v>0</v>
      </c>
      <c r="T182" s="724"/>
      <c r="U182" s="728"/>
      <c r="V182" s="728"/>
      <c r="W182" s="731">
        <f t="shared" si="84"/>
        <v>0</v>
      </c>
      <c r="X182" s="947"/>
      <c r="Y182" s="616"/>
      <c r="Z182" s="602">
        <f t="shared" si="87"/>
        <v>0</v>
      </c>
      <c r="AA182" s="835"/>
      <c r="AB182" s="602">
        <f t="shared" si="88"/>
        <v>0</v>
      </c>
      <c r="AC182" s="940"/>
      <c r="AD182" s="956"/>
      <c r="AE182" s="956"/>
      <c r="AF182" s="598">
        <v>0</v>
      </c>
      <c r="AG182" s="596"/>
      <c r="AH182" s="728"/>
      <c r="AI182" s="728"/>
      <c r="AJ182" s="729">
        <f t="shared" si="102"/>
        <v>0</v>
      </c>
      <c r="AK182" s="946"/>
      <c r="AL182" s="616"/>
      <c r="AM182" s="602">
        <f t="shared" si="89"/>
        <v>0</v>
      </c>
      <c r="AN182" s="835"/>
      <c r="AO182" s="835">
        <f t="shared" ref="AO182:AO224" si="105">AF182-AM182</f>
        <v>0</v>
      </c>
      <c r="AP182" s="940"/>
      <c r="AQ182" s="722">
        <v>0</v>
      </c>
      <c r="AR182" s="728"/>
      <c r="AS182" s="728"/>
      <c r="AT182" s="729">
        <f t="shared" ref="AT182:AT224" si="106">AR182+AS182</f>
        <v>0</v>
      </c>
      <c r="AU182" s="946"/>
      <c r="AV182" s="616"/>
      <c r="AW182" s="602">
        <f t="shared" si="90"/>
        <v>0</v>
      </c>
      <c r="AX182" s="940"/>
      <c r="AY182" s="602">
        <f t="shared" si="91"/>
        <v>0</v>
      </c>
      <c r="AZ182" s="940"/>
      <c r="BA182" s="962"/>
      <c r="BB182" s="962"/>
      <c r="BC182" s="598"/>
      <c r="BD182" s="665">
        <v>54</v>
      </c>
      <c r="BE182" s="596">
        <v>0</v>
      </c>
      <c r="BF182" s="596">
        <f t="shared" si="93"/>
        <v>54</v>
      </c>
      <c r="BG182" s="728"/>
      <c r="BH182" s="728">
        <f>108+2</f>
        <v>110</v>
      </c>
      <c r="BI182" s="729">
        <f t="shared" si="85"/>
        <v>110</v>
      </c>
      <c r="BJ182" s="729"/>
      <c r="BK182" s="616">
        <v>2800</v>
      </c>
      <c r="BL182" s="603">
        <f t="shared" si="92"/>
        <v>56</v>
      </c>
      <c r="BM182" s="964"/>
      <c r="BN182" s="602">
        <f t="shared" ref="BN182:BN224" si="107">BD182-BL182</f>
        <v>-2</v>
      </c>
      <c r="BO182" s="940"/>
      <c r="BP182" s="593">
        <f t="shared" ref="BP182:BP213" si="108">BO182+AZ182+AP182+AC182+R182</f>
        <v>0</v>
      </c>
      <c r="BS182" s="741">
        <v>0</v>
      </c>
      <c r="BT182" s="741"/>
      <c r="BU182" s="741">
        <f t="shared" si="103"/>
        <v>0</v>
      </c>
      <c r="BV182" s="741"/>
      <c r="BW182" s="741"/>
      <c r="BX182" s="741">
        <v>0</v>
      </c>
      <c r="BY182" s="741">
        <v>0</v>
      </c>
      <c r="BZ182" s="741">
        <f t="shared" si="86"/>
        <v>0</v>
      </c>
      <c r="CA182" s="741">
        <v>0</v>
      </c>
      <c r="CB182" s="741"/>
      <c r="CC182" s="741">
        <f t="shared" ref="CC182:CC213" si="109">BV182+CA182</f>
        <v>0</v>
      </c>
      <c r="CD182" s="751"/>
      <c r="CE182" s="748"/>
      <c r="CF182" s="748"/>
      <c r="CG182" s="748">
        <f t="shared" ref="CG182:CG224" si="110">CE182+CF182</f>
        <v>0</v>
      </c>
      <c r="CH182" s="759"/>
      <c r="CI182" s="742"/>
      <c r="CJ182" s="591">
        <f t="shared" ref="CJ182:CJ213" si="111">BN182+AY182+AO182+AB182+Q182</f>
        <v>-2</v>
      </c>
    </row>
    <row r="183" spans="1:88" ht="21.6" customHeight="1" x14ac:dyDescent="0.25">
      <c r="A183" s="596" t="s">
        <v>28</v>
      </c>
      <c r="B183" s="596" t="s">
        <v>101</v>
      </c>
      <c r="C183" s="597" t="s">
        <v>104</v>
      </c>
      <c r="D183" s="166" t="s">
        <v>437</v>
      </c>
      <c r="E183" s="598">
        <v>32.333333333333336</v>
      </c>
      <c r="F183" s="596">
        <v>0</v>
      </c>
      <c r="G183" s="598">
        <v>0</v>
      </c>
      <c r="H183" s="596"/>
      <c r="I183" s="596">
        <f t="shared" si="82"/>
        <v>0</v>
      </c>
      <c r="J183" s="728">
        <f>13+12+13+12+10+15+5</f>
        <v>80</v>
      </c>
      <c r="K183" s="728">
        <f>2+3+3+3+5+2</f>
        <v>18</v>
      </c>
      <c r="L183" s="731">
        <f t="shared" si="83"/>
        <v>98</v>
      </c>
      <c r="M183" s="947"/>
      <c r="N183" s="617">
        <f>75+75+75+75+75+75+35</f>
        <v>485</v>
      </c>
      <c r="O183" s="602">
        <f t="shared" si="81"/>
        <v>32.333333333333336</v>
      </c>
      <c r="P183" s="940"/>
      <c r="Q183" s="600">
        <f t="shared" si="104"/>
        <v>0</v>
      </c>
      <c r="R183" s="940"/>
      <c r="S183" s="596">
        <v>0</v>
      </c>
      <c r="T183" s="724"/>
      <c r="U183" s="728"/>
      <c r="V183" s="728"/>
      <c r="W183" s="731">
        <f t="shared" si="84"/>
        <v>0</v>
      </c>
      <c r="X183" s="947"/>
      <c r="Y183" s="616"/>
      <c r="Z183" s="602">
        <f t="shared" si="87"/>
        <v>0</v>
      </c>
      <c r="AA183" s="835"/>
      <c r="AB183" s="602">
        <f t="shared" si="88"/>
        <v>0</v>
      </c>
      <c r="AC183" s="940"/>
      <c r="AD183" s="956"/>
      <c r="AE183" s="956"/>
      <c r="AF183" s="598">
        <v>0</v>
      </c>
      <c r="AG183" s="596"/>
      <c r="AH183" s="728"/>
      <c r="AI183" s="728"/>
      <c r="AJ183" s="729">
        <f t="shared" si="102"/>
        <v>0</v>
      </c>
      <c r="AK183" s="946"/>
      <c r="AL183" s="616"/>
      <c r="AM183" s="602">
        <f t="shared" si="89"/>
        <v>0</v>
      </c>
      <c r="AN183" s="835"/>
      <c r="AO183" s="835">
        <f t="shared" si="105"/>
        <v>0</v>
      </c>
      <c r="AP183" s="940"/>
      <c r="AQ183" s="722">
        <v>0</v>
      </c>
      <c r="AR183" s="728"/>
      <c r="AS183" s="728"/>
      <c r="AT183" s="729">
        <f t="shared" si="106"/>
        <v>0</v>
      </c>
      <c r="AU183" s="946"/>
      <c r="AV183" s="616"/>
      <c r="AW183" s="602">
        <f t="shared" si="90"/>
        <v>0</v>
      </c>
      <c r="AX183" s="940"/>
      <c r="AY183" s="602">
        <f t="shared" si="91"/>
        <v>0</v>
      </c>
      <c r="AZ183" s="940"/>
      <c r="BA183" s="962"/>
      <c r="BB183" s="962"/>
      <c r="BC183" s="598"/>
      <c r="BD183" s="665">
        <v>32</v>
      </c>
      <c r="BE183" s="596">
        <v>0</v>
      </c>
      <c r="BF183" s="596">
        <f t="shared" si="93"/>
        <v>32</v>
      </c>
      <c r="BG183" s="728">
        <v>79</v>
      </c>
      <c r="BH183" s="728">
        <v>18</v>
      </c>
      <c r="BI183" s="729">
        <f t="shared" si="85"/>
        <v>97</v>
      </c>
      <c r="BJ183" s="729"/>
      <c r="BK183" s="616">
        <v>1600</v>
      </c>
      <c r="BL183" s="603">
        <f t="shared" si="92"/>
        <v>32</v>
      </c>
      <c r="BM183" s="964"/>
      <c r="BN183" s="602">
        <f t="shared" si="107"/>
        <v>0</v>
      </c>
      <c r="BO183" s="940"/>
      <c r="BP183" s="593">
        <f t="shared" si="108"/>
        <v>0</v>
      </c>
      <c r="BS183" s="741">
        <v>80</v>
      </c>
      <c r="BT183" s="741">
        <v>18</v>
      </c>
      <c r="BU183" s="741">
        <f t="shared" si="103"/>
        <v>98</v>
      </c>
      <c r="BV183" s="741">
        <v>32.333333333333336</v>
      </c>
      <c r="BW183" s="741"/>
      <c r="BX183" s="741">
        <v>0</v>
      </c>
      <c r="BY183" s="741">
        <v>0</v>
      </c>
      <c r="BZ183" s="741">
        <f t="shared" si="86"/>
        <v>0</v>
      </c>
      <c r="CA183" s="741">
        <v>0</v>
      </c>
      <c r="CB183" s="741"/>
      <c r="CC183" s="741">
        <f t="shared" si="109"/>
        <v>32.333333333333336</v>
      </c>
      <c r="CD183" s="751"/>
      <c r="CE183" s="748">
        <v>79</v>
      </c>
      <c r="CF183" s="748">
        <v>18</v>
      </c>
      <c r="CG183" s="748">
        <f t="shared" si="110"/>
        <v>97</v>
      </c>
      <c r="CH183" s="759">
        <v>32</v>
      </c>
      <c r="CI183" s="742"/>
      <c r="CJ183" s="591">
        <f t="shared" si="111"/>
        <v>0</v>
      </c>
    </row>
    <row r="184" spans="1:88" ht="21.6" customHeight="1" x14ac:dyDescent="0.25">
      <c r="A184" s="596"/>
      <c r="B184" s="596"/>
      <c r="C184" s="597"/>
      <c r="D184" s="143"/>
      <c r="E184" s="598">
        <v>0</v>
      </c>
      <c r="F184" s="596">
        <v>0</v>
      </c>
      <c r="G184" s="598"/>
      <c r="H184" s="596"/>
      <c r="I184" s="596">
        <f t="shared" si="82"/>
        <v>0</v>
      </c>
      <c r="J184" s="728"/>
      <c r="K184" s="728"/>
      <c r="L184" s="731">
        <f t="shared" si="83"/>
        <v>0</v>
      </c>
      <c r="M184" s="947"/>
      <c r="N184" s="617"/>
      <c r="O184" s="602">
        <f t="shared" si="81"/>
        <v>0</v>
      </c>
      <c r="P184" s="940"/>
      <c r="Q184" s="600">
        <f t="shared" si="104"/>
        <v>0</v>
      </c>
      <c r="R184" s="940"/>
      <c r="S184" s="596">
        <v>0</v>
      </c>
      <c r="T184" s="724"/>
      <c r="U184" s="728"/>
      <c r="V184" s="728"/>
      <c r="W184" s="731">
        <f t="shared" si="84"/>
        <v>0</v>
      </c>
      <c r="X184" s="947"/>
      <c r="Y184" s="616"/>
      <c r="Z184" s="602">
        <f t="shared" si="87"/>
        <v>0</v>
      </c>
      <c r="AA184" s="835"/>
      <c r="AB184" s="602">
        <f t="shared" si="88"/>
        <v>0</v>
      </c>
      <c r="AC184" s="940"/>
      <c r="AD184" s="956"/>
      <c r="AE184" s="956"/>
      <c r="AF184" s="598"/>
      <c r="AG184" s="596"/>
      <c r="AH184" s="728"/>
      <c r="AI184" s="728"/>
      <c r="AJ184" s="729">
        <f t="shared" si="102"/>
        <v>0</v>
      </c>
      <c r="AK184" s="946"/>
      <c r="AL184" s="616"/>
      <c r="AM184" s="602">
        <f t="shared" si="89"/>
        <v>0</v>
      </c>
      <c r="AN184" s="835"/>
      <c r="AO184" s="835">
        <f t="shared" si="105"/>
        <v>0</v>
      </c>
      <c r="AP184" s="940"/>
      <c r="AQ184" s="722">
        <v>0</v>
      </c>
      <c r="AR184" s="728"/>
      <c r="AS184" s="728"/>
      <c r="AT184" s="729">
        <f t="shared" si="106"/>
        <v>0</v>
      </c>
      <c r="AU184" s="946"/>
      <c r="AV184" s="616"/>
      <c r="AW184" s="602">
        <f t="shared" si="90"/>
        <v>0</v>
      </c>
      <c r="AX184" s="940"/>
      <c r="AY184" s="602">
        <f t="shared" si="91"/>
        <v>0</v>
      </c>
      <c r="AZ184" s="940"/>
      <c r="BA184" s="962"/>
      <c r="BB184" s="962"/>
      <c r="BC184" s="611"/>
      <c r="BD184" s="712"/>
      <c r="BE184" s="596"/>
      <c r="BF184" s="596">
        <f t="shared" si="93"/>
        <v>0</v>
      </c>
      <c r="BG184" s="728"/>
      <c r="BH184" s="728"/>
      <c r="BI184" s="729">
        <f t="shared" si="85"/>
        <v>0</v>
      </c>
      <c r="BJ184" s="729"/>
      <c r="BK184" s="616"/>
      <c r="BL184" s="603">
        <f t="shared" si="92"/>
        <v>0</v>
      </c>
      <c r="BM184" s="964"/>
      <c r="BN184" s="602">
        <f t="shared" si="107"/>
        <v>0</v>
      </c>
      <c r="BO184" s="940"/>
      <c r="BP184" s="593">
        <f t="shared" si="108"/>
        <v>0</v>
      </c>
      <c r="BS184" s="741">
        <v>0</v>
      </c>
      <c r="BT184" s="741">
        <v>0</v>
      </c>
      <c r="BU184" s="741">
        <f t="shared" si="103"/>
        <v>0</v>
      </c>
      <c r="BV184" s="741">
        <v>0</v>
      </c>
      <c r="BW184" s="741"/>
      <c r="BX184" s="741">
        <v>0</v>
      </c>
      <c r="BY184" s="741">
        <v>0</v>
      </c>
      <c r="BZ184" s="741">
        <f t="shared" si="86"/>
        <v>0</v>
      </c>
      <c r="CA184" s="741">
        <v>0</v>
      </c>
      <c r="CB184" s="741"/>
      <c r="CC184" s="741">
        <f t="shared" si="109"/>
        <v>0</v>
      </c>
      <c r="CD184" s="751"/>
      <c r="CE184" s="748"/>
      <c r="CF184" s="748"/>
      <c r="CG184" s="748">
        <f t="shared" si="110"/>
        <v>0</v>
      </c>
      <c r="CH184" s="759"/>
      <c r="CI184" s="742"/>
      <c r="CJ184" s="591">
        <f t="shared" si="111"/>
        <v>0</v>
      </c>
    </row>
    <row r="185" spans="1:88" s="593" customFormat="1" ht="21.6" customHeight="1" x14ac:dyDescent="0.25">
      <c r="A185" s="606" t="s">
        <v>28</v>
      </c>
      <c r="B185" s="606" t="s">
        <v>105</v>
      </c>
      <c r="C185" s="607" t="s">
        <v>106</v>
      </c>
      <c r="D185" s="166" t="s">
        <v>429</v>
      </c>
      <c r="E185" s="608">
        <v>0</v>
      </c>
      <c r="F185" s="606">
        <v>669.33333333333337</v>
      </c>
      <c r="G185" s="608">
        <v>0</v>
      </c>
      <c r="H185" s="606">
        <v>424.66666666666669</v>
      </c>
      <c r="I185" s="606">
        <f t="shared" si="82"/>
        <v>244.66666666666669</v>
      </c>
      <c r="J185" s="728"/>
      <c r="K185" s="728"/>
      <c r="L185" s="731">
        <f t="shared" si="83"/>
        <v>0</v>
      </c>
      <c r="M185" s="947">
        <f>SUM(L185:L223)</f>
        <v>481</v>
      </c>
      <c r="N185" s="617"/>
      <c r="O185" s="602">
        <f t="shared" si="81"/>
        <v>0</v>
      </c>
      <c r="P185" s="940">
        <f>SUM(O185:O223)</f>
        <v>671.62066666666669</v>
      </c>
      <c r="Q185" s="600">
        <f t="shared" si="104"/>
        <v>0</v>
      </c>
      <c r="R185" s="940">
        <f>SUM(Q185:Q223)</f>
        <v>-2.2873333333333292</v>
      </c>
      <c r="S185" s="596">
        <v>0</v>
      </c>
      <c r="T185" s="724">
        <f>SUM(S185:S223)</f>
        <v>119</v>
      </c>
      <c r="U185" s="728"/>
      <c r="V185" s="728"/>
      <c r="W185" s="731">
        <f t="shared" si="84"/>
        <v>0</v>
      </c>
      <c r="X185" s="947">
        <f>SUM(W185:W223)</f>
        <v>60</v>
      </c>
      <c r="Y185" s="616"/>
      <c r="Z185" s="602">
        <f t="shared" si="87"/>
        <v>0</v>
      </c>
      <c r="AA185" s="835">
        <f>SUM(Z185:Z223)</f>
        <v>119</v>
      </c>
      <c r="AB185" s="602">
        <f t="shared" si="88"/>
        <v>0</v>
      </c>
      <c r="AC185" s="940">
        <f>SUM(AB185:AB223)</f>
        <v>0</v>
      </c>
      <c r="AD185" s="955">
        <f>M185+X185</f>
        <v>541</v>
      </c>
      <c r="AE185" s="955">
        <f>R185+AC185</f>
        <v>-2.2873333333333292</v>
      </c>
      <c r="AF185" s="608">
        <v>0</v>
      </c>
      <c r="AG185" s="606">
        <v>262.66666666666674</v>
      </c>
      <c r="AH185" s="728"/>
      <c r="AI185" s="728"/>
      <c r="AJ185" s="729">
        <f t="shared" si="102"/>
        <v>0</v>
      </c>
      <c r="AK185" s="946">
        <f>SUM(AJ185:AJ223)</f>
        <v>0</v>
      </c>
      <c r="AL185" s="616"/>
      <c r="AM185" s="602">
        <f t="shared" si="89"/>
        <v>0</v>
      </c>
      <c r="AN185" s="835">
        <f>SUM(AM185:AM223)</f>
        <v>262.66666666666674</v>
      </c>
      <c r="AO185" s="835">
        <f t="shared" si="105"/>
        <v>0</v>
      </c>
      <c r="AP185" s="940">
        <f>SUM(AO185:AO223)</f>
        <v>0</v>
      </c>
      <c r="AQ185" s="722">
        <v>0</v>
      </c>
      <c r="AR185" s="728"/>
      <c r="AS185" s="728"/>
      <c r="AT185" s="729">
        <f t="shared" si="106"/>
        <v>0</v>
      </c>
      <c r="AU185" s="946">
        <f>SUM(AT185:AT223)</f>
        <v>5</v>
      </c>
      <c r="AV185" s="616"/>
      <c r="AW185" s="602">
        <f t="shared" si="90"/>
        <v>0</v>
      </c>
      <c r="AX185" s="940">
        <f>SUM(AW185:AW223)</f>
        <v>18</v>
      </c>
      <c r="AY185" s="602">
        <f t="shared" si="91"/>
        <v>0</v>
      </c>
      <c r="AZ185" s="940">
        <f>SUM(AY185:AY223)</f>
        <v>0</v>
      </c>
      <c r="BA185" s="961">
        <f>AK185+AU185</f>
        <v>5</v>
      </c>
      <c r="BB185" s="961">
        <f>AP185+AZ185</f>
        <v>0</v>
      </c>
      <c r="BC185" s="608">
        <f>SUM(BD185:BD223)</f>
        <v>940</v>
      </c>
      <c r="BD185" s="713">
        <v>0</v>
      </c>
      <c r="BE185" s="606">
        <v>0</v>
      </c>
      <c r="BF185" s="596">
        <f t="shared" si="93"/>
        <v>0</v>
      </c>
      <c r="BG185" s="728"/>
      <c r="BH185" s="728"/>
      <c r="BI185" s="729">
        <f t="shared" si="85"/>
        <v>0</v>
      </c>
      <c r="BJ185" s="729">
        <f>SUM(BI185:BI223)</f>
        <v>0</v>
      </c>
      <c r="BK185" s="616"/>
      <c r="BL185" s="603">
        <f t="shared" si="92"/>
        <v>0</v>
      </c>
      <c r="BM185" s="964">
        <f>SUM(BL185:BL223)</f>
        <v>945</v>
      </c>
      <c r="BN185" s="602">
        <f t="shared" si="107"/>
        <v>0</v>
      </c>
      <c r="BO185" s="940">
        <f>SUM(BN185:BN223)</f>
        <v>-5</v>
      </c>
      <c r="BP185" s="593">
        <f t="shared" si="108"/>
        <v>-7.2873333333333292</v>
      </c>
      <c r="BS185" s="744">
        <v>0</v>
      </c>
      <c r="BT185" s="744">
        <v>0</v>
      </c>
      <c r="BU185" s="741">
        <f t="shared" si="103"/>
        <v>0</v>
      </c>
      <c r="BV185" s="744">
        <v>0</v>
      </c>
      <c r="BW185" s="744">
        <f>SUM(BV185:BV223)</f>
        <v>0</v>
      </c>
      <c r="BX185" s="744"/>
      <c r="BY185" s="744"/>
      <c r="BZ185" s="741">
        <f t="shared" si="86"/>
        <v>0</v>
      </c>
      <c r="CA185" s="744"/>
      <c r="CB185" s="744">
        <f>SUM(CA185:CA223)</f>
        <v>0</v>
      </c>
      <c r="CC185" s="741">
        <f t="shared" si="109"/>
        <v>0</v>
      </c>
      <c r="CD185" s="754">
        <f>SUM(CC185:CC223)</f>
        <v>0</v>
      </c>
      <c r="CE185" s="748"/>
      <c r="CF185" s="748"/>
      <c r="CG185" s="748">
        <f t="shared" si="110"/>
        <v>0</v>
      </c>
      <c r="CH185" s="765"/>
      <c r="CI185" s="744">
        <f>SUM(CH185:CH223)</f>
        <v>0</v>
      </c>
      <c r="CJ185" s="593">
        <f t="shared" si="111"/>
        <v>0</v>
      </c>
    </row>
    <row r="186" spans="1:88" ht="21.6" customHeight="1" x14ac:dyDescent="0.25">
      <c r="A186" s="596"/>
      <c r="B186" s="596" t="s">
        <v>105</v>
      </c>
      <c r="C186" s="597" t="s">
        <v>602</v>
      </c>
      <c r="D186" s="166" t="s">
        <v>429</v>
      </c>
      <c r="E186" s="598">
        <v>112.33333333333333</v>
      </c>
      <c r="F186" s="596">
        <v>0</v>
      </c>
      <c r="G186" s="598">
        <v>0</v>
      </c>
      <c r="H186" s="596"/>
      <c r="I186" s="596">
        <f t="shared" si="82"/>
        <v>0</v>
      </c>
      <c r="J186" s="728">
        <v>79</v>
      </c>
      <c r="K186" s="728">
        <v>17</v>
      </c>
      <c r="L186" s="731">
        <f t="shared" si="83"/>
        <v>96</v>
      </c>
      <c r="M186" s="947"/>
      <c r="N186" s="617">
        <v>1685</v>
      </c>
      <c r="O186" s="602">
        <f t="shared" si="81"/>
        <v>112.33333333333333</v>
      </c>
      <c r="P186" s="940"/>
      <c r="Q186" s="600">
        <f t="shared" si="104"/>
        <v>0</v>
      </c>
      <c r="R186" s="940"/>
      <c r="S186" s="596">
        <v>0</v>
      </c>
      <c r="T186" s="724"/>
      <c r="U186" s="728"/>
      <c r="V186" s="728"/>
      <c r="W186" s="731">
        <f t="shared" si="84"/>
        <v>0</v>
      </c>
      <c r="X186" s="947"/>
      <c r="Y186" s="616"/>
      <c r="Z186" s="602">
        <f t="shared" si="87"/>
        <v>0</v>
      </c>
      <c r="AA186" s="835"/>
      <c r="AB186" s="602">
        <f t="shared" si="88"/>
        <v>0</v>
      </c>
      <c r="AC186" s="940"/>
      <c r="AD186" s="956"/>
      <c r="AE186" s="956"/>
      <c r="AF186" s="598">
        <v>44.333333333333336</v>
      </c>
      <c r="AG186" s="596"/>
      <c r="AH186" s="728"/>
      <c r="AI186" s="728"/>
      <c r="AJ186" s="729">
        <f t="shared" si="102"/>
        <v>0</v>
      </c>
      <c r="AK186" s="946"/>
      <c r="AL186" s="616">
        <v>665</v>
      </c>
      <c r="AM186" s="602">
        <f t="shared" si="89"/>
        <v>44.333333333333336</v>
      </c>
      <c r="AN186" s="835"/>
      <c r="AO186" s="835">
        <f t="shared" si="105"/>
        <v>0</v>
      </c>
      <c r="AP186" s="940"/>
      <c r="AQ186" s="722">
        <v>0</v>
      </c>
      <c r="AR186" s="728"/>
      <c r="AS186" s="728"/>
      <c r="AT186" s="729">
        <f t="shared" si="106"/>
        <v>0</v>
      </c>
      <c r="AU186" s="946"/>
      <c r="AV186" s="616"/>
      <c r="AW186" s="602">
        <f t="shared" si="90"/>
        <v>0</v>
      </c>
      <c r="AX186" s="940"/>
      <c r="AY186" s="602">
        <f t="shared" si="91"/>
        <v>0</v>
      </c>
      <c r="AZ186" s="940"/>
      <c r="BA186" s="962"/>
      <c r="BB186" s="962"/>
      <c r="BC186" s="598"/>
      <c r="BD186" s="665">
        <v>156</v>
      </c>
      <c r="BE186" s="596">
        <v>0</v>
      </c>
      <c r="BF186" s="596">
        <f t="shared" si="93"/>
        <v>156</v>
      </c>
      <c r="BG186" s="728"/>
      <c r="BH186" s="728"/>
      <c r="BI186" s="729">
        <f t="shared" si="85"/>
        <v>0</v>
      </c>
      <c r="BJ186" s="729"/>
      <c r="BK186" s="616">
        <v>7800</v>
      </c>
      <c r="BL186" s="603">
        <f t="shared" si="92"/>
        <v>156</v>
      </c>
      <c r="BM186" s="964"/>
      <c r="BN186" s="602">
        <f t="shared" si="107"/>
        <v>0</v>
      </c>
      <c r="BO186" s="940"/>
      <c r="BP186" s="593">
        <f t="shared" si="108"/>
        <v>0</v>
      </c>
      <c r="BS186" s="741">
        <v>0</v>
      </c>
      <c r="BT186" s="741">
        <v>0</v>
      </c>
      <c r="BU186" s="741">
        <f t="shared" si="103"/>
        <v>0</v>
      </c>
      <c r="BV186" s="741">
        <v>0</v>
      </c>
      <c r="BW186" s="741"/>
      <c r="BX186" s="741"/>
      <c r="BY186" s="741"/>
      <c r="BZ186" s="741">
        <f t="shared" si="86"/>
        <v>0</v>
      </c>
      <c r="CA186" s="741"/>
      <c r="CB186" s="741"/>
      <c r="CC186" s="741">
        <f t="shared" si="109"/>
        <v>0</v>
      </c>
      <c r="CD186" s="751"/>
      <c r="CE186" s="748"/>
      <c r="CF186" s="748"/>
      <c r="CG186" s="748">
        <f t="shared" si="110"/>
        <v>0</v>
      </c>
      <c r="CH186" s="759"/>
      <c r="CI186" s="742"/>
      <c r="CJ186" s="591">
        <f t="shared" si="111"/>
        <v>0</v>
      </c>
    </row>
    <row r="187" spans="1:88" ht="21.6" customHeight="1" x14ac:dyDescent="0.25">
      <c r="A187" s="596"/>
      <c r="B187" s="596" t="s">
        <v>105</v>
      </c>
      <c r="C187" s="597" t="s">
        <v>177</v>
      </c>
      <c r="D187" s="166" t="s">
        <v>431</v>
      </c>
      <c r="E187" s="598">
        <v>5</v>
      </c>
      <c r="F187" s="596">
        <v>0</v>
      </c>
      <c r="G187" s="598"/>
      <c r="H187" s="596"/>
      <c r="I187" s="596">
        <f t="shared" si="82"/>
        <v>0</v>
      </c>
      <c r="J187" s="728">
        <v>2</v>
      </c>
      <c r="K187" s="728">
        <v>3</v>
      </c>
      <c r="L187" s="731">
        <f t="shared" si="83"/>
        <v>5</v>
      </c>
      <c r="M187" s="947"/>
      <c r="N187" s="617">
        <v>75</v>
      </c>
      <c r="O187" s="602">
        <f t="shared" si="81"/>
        <v>5</v>
      </c>
      <c r="P187" s="940"/>
      <c r="Q187" s="600">
        <f t="shared" si="104"/>
        <v>0</v>
      </c>
      <c r="R187" s="940"/>
      <c r="S187" s="596">
        <v>0</v>
      </c>
      <c r="T187" s="724"/>
      <c r="U187" s="728"/>
      <c r="V187" s="728"/>
      <c r="W187" s="731">
        <f t="shared" si="84"/>
        <v>0</v>
      </c>
      <c r="X187" s="947"/>
      <c r="Y187" s="616"/>
      <c r="Z187" s="602">
        <f t="shared" si="87"/>
        <v>0</v>
      </c>
      <c r="AA187" s="835"/>
      <c r="AB187" s="602">
        <f t="shared" si="88"/>
        <v>0</v>
      </c>
      <c r="AC187" s="940"/>
      <c r="AD187" s="956"/>
      <c r="AE187" s="956"/>
      <c r="AF187" s="598"/>
      <c r="AG187" s="596"/>
      <c r="AH187" s="728"/>
      <c r="AI187" s="728"/>
      <c r="AJ187" s="729">
        <f t="shared" si="102"/>
        <v>0</v>
      </c>
      <c r="AK187" s="946"/>
      <c r="AL187" s="616"/>
      <c r="AM187" s="602">
        <f t="shared" si="89"/>
        <v>0</v>
      </c>
      <c r="AN187" s="835"/>
      <c r="AO187" s="835">
        <f t="shared" si="105"/>
        <v>0</v>
      </c>
      <c r="AP187" s="940"/>
      <c r="AQ187" s="722">
        <v>10</v>
      </c>
      <c r="AR187" s="728"/>
      <c r="AS187" s="728"/>
      <c r="AT187" s="729">
        <f t="shared" si="106"/>
        <v>0</v>
      </c>
      <c r="AU187" s="946"/>
      <c r="AV187" s="616">
        <v>150</v>
      </c>
      <c r="AW187" s="602">
        <f t="shared" si="90"/>
        <v>10</v>
      </c>
      <c r="AX187" s="940"/>
      <c r="AY187" s="602">
        <f t="shared" si="91"/>
        <v>0</v>
      </c>
      <c r="AZ187" s="940"/>
      <c r="BA187" s="962"/>
      <c r="BB187" s="962"/>
      <c r="BC187" s="598"/>
      <c r="BD187" s="665">
        <v>15</v>
      </c>
      <c r="BE187" s="596">
        <v>0</v>
      </c>
      <c r="BF187" s="596">
        <f t="shared" si="93"/>
        <v>15</v>
      </c>
      <c r="BG187" s="728"/>
      <c r="BH187" s="728"/>
      <c r="BI187" s="729">
        <f t="shared" si="85"/>
        <v>0</v>
      </c>
      <c r="BJ187" s="729"/>
      <c r="BK187" s="616">
        <v>750</v>
      </c>
      <c r="BL187" s="603">
        <f t="shared" si="92"/>
        <v>15</v>
      </c>
      <c r="BM187" s="964"/>
      <c r="BN187" s="602">
        <f t="shared" si="107"/>
        <v>0</v>
      </c>
      <c r="BO187" s="940"/>
      <c r="BP187" s="593">
        <f t="shared" si="108"/>
        <v>0</v>
      </c>
      <c r="BS187" s="741">
        <v>0</v>
      </c>
      <c r="BT187" s="741">
        <v>0</v>
      </c>
      <c r="BU187" s="741">
        <f t="shared" si="103"/>
        <v>0</v>
      </c>
      <c r="BV187" s="741">
        <v>0</v>
      </c>
      <c r="BW187" s="741"/>
      <c r="BX187" s="741"/>
      <c r="BY187" s="741"/>
      <c r="BZ187" s="741">
        <f t="shared" si="86"/>
        <v>0</v>
      </c>
      <c r="CA187" s="741"/>
      <c r="CB187" s="741"/>
      <c r="CC187" s="741">
        <f t="shared" si="109"/>
        <v>0</v>
      </c>
      <c r="CD187" s="751"/>
      <c r="CE187" s="748"/>
      <c r="CF187" s="748"/>
      <c r="CG187" s="748">
        <f t="shared" si="110"/>
        <v>0</v>
      </c>
      <c r="CH187" s="759"/>
      <c r="CI187" s="742"/>
      <c r="CJ187" s="591">
        <f t="shared" si="111"/>
        <v>0</v>
      </c>
    </row>
    <row r="188" spans="1:88" ht="21.6" customHeight="1" x14ac:dyDescent="0.25">
      <c r="A188" s="596"/>
      <c r="B188" s="596" t="s">
        <v>105</v>
      </c>
      <c r="C188" s="597" t="s">
        <v>547</v>
      </c>
      <c r="D188" s="166" t="s">
        <v>429</v>
      </c>
      <c r="E188" s="598">
        <v>91</v>
      </c>
      <c r="F188" s="596">
        <v>0</v>
      </c>
      <c r="G188" s="598">
        <v>91</v>
      </c>
      <c r="H188" s="596"/>
      <c r="I188" s="596">
        <f t="shared" si="82"/>
        <v>0</v>
      </c>
      <c r="J188" s="728">
        <v>25</v>
      </c>
      <c r="K188" s="728">
        <v>12</v>
      </c>
      <c r="L188" s="731">
        <f t="shared" si="83"/>
        <v>37</v>
      </c>
      <c r="M188" s="947"/>
      <c r="N188" s="617">
        <v>1365</v>
      </c>
      <c r="O188" s="602">
        <f t="shared" ref="O188:O221" si="112">N188/15</f>
        <v>91</v>
      </c>
      <c r="P188" s="940"/>
      <c r="Q188" s="600">
        <f t="shared" si="104"/>
        <v>0</v>
      </c>
      <c r="R188" s="940"/>
      <c r="S188" s="596">
        <v>0</v>
      </c>
      <c r="T188" s="724"/>
      <c r="U188" s="728"/>
      <c r="V188" s="728"/>
      <c r="W188" s="731">
        <f t="shared" si="84"/>
        <v>0</v>
      </c>
      <c r="X188" s="947"/>
      <c r="Y188" s="616"/>
      <c r="Z188" s="602">
        <f t="shared" si="87"/>
        <v>0</v>
      </c>
      <c r="AA188" s="835"/>
      <c r="AB188" s="602">
        <f t="shared" si="88"/>
        <v>0</v>
      </c>
      <c r="AC188" s="940"/>
      <c r="AD188" s="956"/>
      <c r="AE188" s="956"/>
      <c r="AF188" s="598">
        <v>16</v>
      </c>
      <c r="AG188" s="596"/>
      <c r="AH188" s="728"/>
      <c r="AI188" s="728"/>
      <c r="AJ188" s="729">
        <f t="shared" si="102"/>
        <v>0</v>
      </c>
      <c r="AK188" s="946"/>
      <c r="AL188" s="616">
        <v>240</v>
      </c>
      <c r="AM188" s="602">
        <f t="shared" si="89"/>
        <v>16</v>
      </c>
      <c r="AN188" s="835"/>
      <c r="AO188" s="835">
        <f t="shared" si="105"/>
        <v>0</v>
      </c>
      <c r="AP188" s="940"/>
      <c r="AQ188" s="722">
        <v>0</v>
      </c>
      <c r="AR188" s="728"/>
      <c r="AS188" s="728"/>
      <c r="AT188" s="729">
        <f t="shared" si="106"/>
        <v>0</v>
      </c>
      <c r="AU188" s="946"/>
      <c r="AV188" s="616"/>
      <c r="AW188" s="602">
        <f t="shared" si="90"/>
        <v>0</v>
      </c>
      <c r="AX188" s="940"/>
      <c r="AY188" s="602">
        <f t="shared" si="91"/>
        <v>0</v>
      </c>
      <c r="AZ188" s="940"/>
      <c r="BA188" s="962"/>
      <c r="BB188" s="962"/>
      <c r="BC188" s="598"/>
      <c r="BD188" s="665">
        <v>107</v>
      </c>
      <c r="BE188" s="596">
        <v>107</v>
      </c>
      <c r="BF188" s="596">
        <f t="shared" si="93"/>
        <v>0</v>
      </c>
      <c r="BG188" s="728"/>
      <c r="BH188" s="728"/>
      <c r="BI188" s="729">
        <f t="shared" si="85"/>
        <v>0</v>
      </c>
      <c r="BJ188" s="729"/>
      <c r="BK188" s="616">
        <v>5350</v>
      </c>
      <c r="BL188" s="603">
        <f t="shared" si="92"/>
        <v>107</v>
      </c>
      <c r="BM188" s="964"/>
      <c r="BN188" s="602">
        <f t="shared" si="107"/>
        <v>0</v>
      </c>
      <c r="BO188" s="940"/>
      <c r="BP188" s="593">
        <f t="shared" si="108"/>
        <v>0</v>
      </c>
      <c r="BS188" s="741">
        <v>0</v>
      </c>
      <c r="BT188" s="741">
        <v>0</v>
      </c>
      <c r="BU188" s="741">
        <f t="shared" si="103"/>
        <v>0</v>
      </c>
      <c r="BV188" s="741">
        <v>0</v>
      </c>
      <c r="BW188" s="741"/>
      <c r="BX188" s="741"/>
      <c r="BY188" s="741"/>
      <c r="BZ188" s="741">
        <f t="shared" si="86"/>
        <v>0</v>
      </c>
      <c r="CA188" s="741"/>
      <c r="CB188" s="741"/>
      <c r="CC188" s="741">
        <f t="shared" si="109"/>
        <v>0</v>
      </c>
      <c r="CD188" s="751"/>
      <c r="CE188" s="748"/>
      <c r="CF188" s="748"/>
      <c r="CG188" s="748">
        <f t="shared" si="110"/>
        <v>0</v>
      </c>
      <c r="CH188" s="759"/>
      <c r="CI188" s="742"/>
      <c r="CJ188" s="591">
        <f t="shared" si="111"/>
        <v>0</v>
      </c>
    </row>
    <row r="189" spans="1:88" ht="21.6" customHeight="1" x14ac:dyDescent="0.25">
      <c r="A189" s="596"/>
      <c r="B189" s="596" t="s">
        <v>105</v>
      </c>
      <c r="C189" s="597" t="s">
        <v>548</v>
      </c>
      <c r="D189" s="166" t="s">
        <v>429</v>
      </c>
      <c r="E189" s="598">
        <v>47.666666666666664</v>
      </c>
      <c r="F189" s="596">
        <v>0</v>
      </c>
      <c r="G189" s="598">
        <v>47.666666666666664</v>
      </c>
      <c r="H189" s="596"/>
      <c r="I189" s="596">
        <f t="shared" si="82"/>
        <v>0</v>
      </c>
      <c r="J189" s="728">
        <f>18+9</f>
        <v>27</v>
      </c>
      <c r="K189" s="728">
        <f>2+3</f>
        <v>5</v>
      </c>
      <c r="L189" s="731">
        <f t="shared" si="83"/>
        <v>32</v>
      </c>
      <c r="M189" s="947"/>
      <c r="N189" s="617">
        <v>715</v>
      </c>
      <c r="O189" s="602">
        <f t="shared" si="112"/>
        <v>47.666666666666664</v>
      </c>
      <c r="P189" s="940"/>
      <c r="Q189" s="600">
        <f t="shared" si="104"/>
        <v>0</v>
      </c>
      <c r="R189" s="940"/>
      <c r="S189" s="596">
        <v>0</v>
      </c>
      <c r="T189" s="724"/>
      <c r="U189" s="728"/>
      <c r="V189" s="728"/>
      <c r="W189" s="731">
        <f t="shared" si="84"/>
        <v>0</v>
      </c>
      <c r="X189" s="947"/>
      <c r="Y189" s="616"/>
      <c r="Z189" s="602">
        <f t="shared" si="87"/>
        <v>0</v>
      </c>
      <c r="AA189" s="835"/>
      <c r="AB189" s="602">
        <f t="shared" si="88"/>
        <v>0</v>
      </c>
      <c r="AC189" s="940"/>
      <c r="AD189" s="956"/>
      <c r="AE189" s="956"/>
      <c r="AF189" s="598">
        <v>0</v>
      </c>
      <c r="AG189" s="596"/>
      <c r="AH189" s="728"/>
      <c r="AI189" s="728"/>
      <c r="AJ189" s="729">
        <f t="shared" si="102"/>
        <v>0</v>
      </c>
      <c r="AK189" s="946"/>
      <c r="AL189" s="616"/>
      <c r="AM189" s="602">
        <f t="shared" si="89"/>
        <v>0</v>
      </c>
      <c r="AN189" s="835"/>
      <c r="AO189" s="835">
        <f t="shared" si="105"/>
        <v>0</v>
      </c>
      <c r="AP189" s="940"/>
      <c r="AQ189" s="722">
        <v>0</v>
      </c>
      <c r="AR189" s="728"/>
      <c r="AS189" s="728"/>
      <c r="AT189" s="729">
        <f t="shared" si="106"/>
        <v>0</v>
      </c>
      <c r="AU189" s="946"/>
      <c r="AV189" s="616"/>
      <c r="AW189" s="602">
        <f t="shared" si="90"/>
        <v>0</v>
      </c>
      <c r="AX189" s="940"/>
      <c r="AY189" s="602">
        <f t="shared" si="91"/>
        <v>0</v>
      </c>
      <c r="AZ189" s="940"/>
      <c r="BA189" s="962"/>
      <c r="BB189" s="962"/>
      <c r="BC189" s="598"/>
      <c r="BD189" s="665">
        <v>47</v>
      </c>
      <c r="BE189" s="596">
        <v>47</v>
      </c>
      <c r="BF189" s="596">
        <f t="shared" si="93"/>
        <v>0</v>
      </c>
      <c r="BG189" s="728"/>
      <c r="BH189" s="728"/>
      <c r="BI189" s="729">
        <f t="shared" si="85"/>
        <v>0</v>
      </c>
      <c r="BJ189" s="729"/>
      <c r="BK189" s="616">
        <v>2350</v>
      </c>
      <c r="BL189" s="603">
        <f t="shared" si="92"/>
        <v>47</v>
      </c>
      <c r="BM189" s="964"/>
      <c r="BN189" s="602">
        <f t="shared" si="107"/>
        <v>0</v>
      </c>
      <c r="BO189" s="940"/>
      <c r="BP189" s="593">
        <f t="shared" si="108"/>
        <v>0</v>
      </c>
      <c r="BS189" s="741">
        <v>0</v>
      </c>
      <c r="BT189" s="741">
        <v>0</v>
      </c>
      <c r="BU189" s="741">
        <f t="shared" si="103"/>
        <v>0</v>
      </c>
      <c r="BV189" s="741">
        <v>0</v>
      </c>
      <c r="BW189" s="741"/>
      <c r="BX189" s="741"/>
      <c r="BY189" s="741"/>
      <c r="BZ189" s="741">
        <f t="shared" si="86"/>
        <v>0</v>
      </c>
      <c r="CA189" s="741"/>
      <c r="CB189" s="741"/>
      <c r="CC189" s="741">
        <f t="shared" si="109"/>
        <v>0</v>
      </c>
      <c r="CD189" s="751"/>
      <c r="CE189" s="748"/>
      <c r="CF189" s="748"/>
      <c r="CG189" s="748">
        <f t="shared" si="110"/>
        <v>0</v>
      </c>
      <c r="CH189" s="759"/>
      <c r="CI189" s="742"/>
      <c r="CJ189" s="591">
        <f t="shared" si="111"/>
        <v>0</v>
      </c>
    </row>
    <row r="190" spans="1:88" ht="21.6" customHeight="1" x14ac:dyDescent="0.25">
      <c r="A190" s="596" t="s">
        <v>28</v>
      </c>
      <c r="B190" s="596" t="s">
        <v>105</v>
      </c>
      <c r="C190" s="597" t="s">
        <v>107</v>
      </c>
      <c r="D190" s="174"/>
      <c r="E190" s="598">
        <v>0</v>
      </c>
      <c r="F190" s="596">
        <v>0</v>
      </c>
      <c r="G190" s="598">
        <v>0</v>
      </c>
      <c r="H190" s="596"/>
      <c r="I190" s="596">
        <f t="shared" si="82"/>
        <v>0</v>
      </c>
      <c r="J190" s="728"/>
      <c r="K190" s="728"/>
      <c r="L190" s="731">
        <f t="shared" si="83"/>
        <v>0</v>
      </c>
      <c r="M190" s="947"/>
      <c r="N190" s="617"/>
      <c r="O190" s="602">
        <f t="shared" si="112"/>
        <v>0</v>
      </c>
      <c r="P190" s="940"/>
      <c r="Q190" s="600">
        <f t="shared" si="104"/>
        <v>0</v>
      </c>
      <c r="R190" s="940"/>
      <c r="S190" s="596">
        <v>0</v>
      </c>
      <c r="T190" s="724"/>
      <c r="U190" s="728"/>
      <c r="V190" s="728"/>
      <c r="W190" s="731">
        <f t="shared" si="84"/>
        <v>0</v>
      </c>
      <c r="X190" s="947"/>
      <c r="Y190" s="616"/>
      <c r="Z190" s="602">
        <f t="shared" si="87"/>
        <v>0</v>
      </c>
      <c r="AA190" s="835"/>
      <c r="AB190" s="602">
        <f t="shared" si="88"/>
        <v>0</v>
      </c>
      <c r="AC190" s="940"/>
      <c r="AD190" s="956"/>
      <c r="AE190" s="956"/>
      <c r="AF190" s="598">
        <v>0</v>
      </c>
      <c r="AG190" s="596"/>
      <c r="AH190" s="728"/>
      <c r="AI190" s="728"/>
      <c r="AJ190" s="729">
        <f t="shared" si="102"/>
        <v>0</v>
      </c>
      <c r="AK190" s="946"/>
      <c r="AL190" s="616"/>
      <c r="AM190" s="602">
        <f t="shared" si="89"/>
        <v>0</v>
      </c>
      <c r="AN190" s="835"/>
      <c r="AO190" s="835">
        <f t="shared" si="105"/>
        <v>0</v>
      </c>
      <c r="AP190" s="940"/>
      <c r="AQ190" s="722">
        <v>0</v>
      </c>
      <c r="AR190" s="728"/>
      <c r="AS190" s="728"/>
      <c r="AT190" s="729">
        <f t="shared" si="106"/>
        <v>0</v>
      </c>
      <c r="AU190" s="946"/>
      <c r="AV190" s="616"/>
      <c r="AW190" s="602">
        <f t="shared" si="90"/>
        <v>0</v>
      </c>
      <c r="AX190" s="940"/>
      <c r="AY190" s="602">
        <f t="shared" si="91"/>
        <v>0</v>
      </c>
      <c r="AZ190" s="940"/>
      <c r="BA190" s="962"/>
      <c r="BB190" s="962"/>
      <c r="BC190" s="598"/>
      <c r="BD190" s="665">
        <v>0</v>
      </c>
      <c r="BE190" s="596">
        <v>0</v>
      </c>
      <c r="BF190" s="596">
        <f t="shared" si="93"/>
        <v>0</v>
      </c>
      <c r="BG190" s="728"/>
      <c r="BH190" s="728"/>
      <c r="BI190" s="729">
        <f t="shared" si="85"/>
        <v>0</v>
      </c>
      <c r="BJ190" s="729"/>
      <c r="BK190" s="616"/>
      <c r="BL190" s="603">
        <f t="shared" si="92"/>
        <v>0</v>
      </c>
      <c r="BM190" s="964"/>
      <c r="BN190" s="602">
        <f t="shared" si="107"/>
        <v>0</v>
      </c>
      <c r="BO190" s="940"/>
      <c r="BP190" s="593">
        <f t="shared" si="108"/>
        <v>0</v>
      </c>
      <c r="BS190" s="741">
        <v>0</v>
      </c>
      <c r="BT190" s="741">
        <v>0</v>
      </c>
      <c r="BU190" s="741">
        <f t="shared" si="103"/>
        <v>0</v>
      </c>
      <c r="BV190" s="741">
        <v>0</v>
      </c>
      <c r="BW190" s="741"/>
      <c r="BX190" s="741"/>
      <c r="BY190" s="741"/>
      <c r="BZ190" s="741">
        <f t="shared" si="86"/>
        <v>0</v>
      </c>
      <c r="CA190" s="741"/>
      <c r="CB190" s="741"/>
      <c r="CC190" s="741">
        <f t="shared" si="109"/>
        <v>0</v>
      </c>
      <c r="CD190" s="751"/>
      <c r="CE190" s="748"/>
      <c r="CF190" s="748"/>
      <c r="CG190" s="748">
        <f t="shared" si="110"/>
        <v>0</v>
      </c>
      <c r="CH190" s="759"/>
      <c r="CI190" s="742"/>
      <c r="CJ190" s="591">
        <f t="shared" si="111"/>
        <v>0</v>
      </c>
    </row>
    <row r="191" spans="1:88" ht="21.6" customHeight="1" x14ac:dyDescent="0.25">
      <c r="A191" s="596" t="s">
        <v>28</v>
      </c>
      <c r="B191" s="596" t="s">
        <v>105</v>
      </c>
      <c r="C191" s="597" t="s">
        <v>108</v>
      </c>
      <c r="D191" s="166"/>
      <c r="E191" s="598">
        <v>0</v>
      </c>
      <c r="F191" s="596">
        <v>0</v>
      </c>
      <c r="G191" s="598">
        <v>0</v>
      </c>
      <c r="H191" s="596"/>
      <c r="I191" s="596">
        <f t="shared" si="82"/>
        <v>0</v>
      </c>
      <c r="J191" s="728"/>
      <c r="K191" s="728"/>
      <c r="L191" s="731">
        <f t="shared" si="83"/>
        <v>0</v>
      </c>
      <c r="M191" s="947"/>
      <c r="N191" s="617"/>
      <c r="O191" s="602">
        <f t="shared" si="112"/>
        <v>0</v>
      </c>
      <c r="P191" s="940"/>
      <c r="Q191" s="600">
        <f t="shared" si="104"/>
        <v>0</v>
      </c>
      <c r="R191" s="940"/>
      <c r="S191" s="596">
        <v>0</v>
      </c>
      <c r="T191" s="724"/>
      <c r="U191" s="728"/>
      <c r="V191" s="728"/>
      <c r="W191" s="731">
        <f t="shared" si="84"/>
        <v>0</v>
      </c>
      <c r="X191" s="947"/>
      <c r="Y191" s="616"/>
      <c r="Z191" s="602">
        <f t="shared" si="87"/>
        <v>0</v>
      </c>
      <c r="AA191" s="835"/>
      <c r="AB191" s="602">
        <f t="shared" si="88"/>
        <v>0</v>
      </c>
      <c r="AC191" s="940"/>
      <c r="AD191" s="956"/>
      <c r="AE191" s="956"/>
      <c r="AF191" s="598">
        <v>0</v>
      </c>
      <c r="AG191" s="596"/>
      <c r="AH191" s="728"/>
      <c r="AI191" s="728"/>
      <c r="AJ191" s="729">
        <f t="shared" si="102"/>
        <v>0</v>
      </c>
      <c r="AK191" s="946"/>
      <c r="AL191" s="616"/>
      <c r="AM191" s="602">
        <f t="shared" si="89"/>
        <v>0</v>
      </c>
      <c r="AN191" s="835"/>
      <c r="AO191" s="835">
        <f t="shared" si="105"/>
        <v>0</v>
      </c>
      <c r="AP191" s="940"/>
      <c r="AQ191" s="722">
        <v>0</v>
      </c>
      <c r="AR191" s="728"/>
      <c r="AS191" s="728"/>
      <c r="AT191" s="729">
        <f t="shared" si="106"/>
        <v>0</v>
      </c>
      <c r="AU191" s="946"/>
      <c r="AV191" s="616"/>
      <c r="AW191" s="602">
        <f t="shared" si="90"/>
        <v>0</v>
      </c>
      <c r="AX191" s="940"/>
      <c r="AY191" s="602">
        <f t="shared" si="91"/>
        <v>0</v>
      </c>
      <c r="AZ191" s="940"/>
      <c r="BA191" s="962"/>
      <c r="BB191" s="962"/>
      <c r="BC191" s="598"/>
      <c r="BD191" s="665">
        <v>0</v>
      </c>
      <c r="BE191" s="596">
        <v>0</v>
      </c>
      <c r="BF191" s="596">
        <f t="shared" si="93"/>
        <v>0</v>
      </c>
      <c r="BG191" s="728"/>
      <c r="BH191" s="728"/>
      <c r="BI191" s="729">
        <f t="shared" si="85"/>
        <v>0</v>
      </c>
      <c r="BJ191" s="729"/>
      <c r="BK191" s="616"/>
      <c r="BL191" s="603">
        <f t="shared" si="92"/>
        <v>0</v>
      </c>
      <c r="BM191" s="964"/>
      <c r="BN191" s="602">
        <f t="shared" si="107"/>
        <v>0</v>
      </c>
      <c r="BO191" s="940"/>
      <c r="BP191" s="593">
        <f t="shared" si="108"/>
        <v>0</v>
      </c>
      <c r="BS191" s="741">
        <v>0</v>
      </c>
      <c r="BT191" s="741">
        <v>0</v>
      </c>
      <c r="BU191" s="741">
        <f t="shared" si="103"/>
        <v>0</v>
      </c>
      <c r="BV191" s="741">
        <v>0</v>
      </c>
      <c r="BW191" s="741"/>
      <c r="BX191" s="741"/>
      <c r="BY191" s="741"/>
      <c r="BZ191" s="741">
        <f t="shared" si="86"/>
        <v>0</v>
      </c>
      <c r="CA191" s="741"/>
      <c r="CB191" s="741"/>
      <c r="CC191" s="741">
        <f t="shared" si="109"/>
        <v>0</v>
      </c>
      <c r="CD191" s="751"/>
      <c r="CE191" s="748"/>
      <c r="CF191" s="748"/>
      <c r="CG191" s="748">
        <f t="shared" si="110"/>
        <v>0</v>
      </c>
      <c r="CH191" s="759"/>
      <c r="CI191" s="742"/>
      <c r="CJ191" s="591">
        <f t="shared" si="111"/>
        <v>0</v>
      </c>
    </row>
    <row r="192" spans="1:88" ht="21.6" customHeight="1" x14ac:dyDescent="0.25">
      <c r="A192" s="596" t="s">
        <v>28</v>
      </c>
      <c r="B192" s="596" t="s">
        <v>105</v>
      </c>
      <c r="C192" s="597" t="s">
        <v>109</v>
      </c>
      <c r="D192" s="153" t="s">
        <v>431</v>
      </c>
      <c r="E192" s="598">
        <v>17</v>
      </c>
      <c r="F192" s="596">
        <v>0</v>
      </c>
      <c r="G192" s="598">
        <v>17</v>
      </c>
      <c r="H192" s="596"/>
      <c r="I192" s="596">
        <f t="shared" si="82"/>
        <v>0</v>
      </c>
      <c r="J192" s="728">
        <v>9</v>
      </c>
      <c r="K192" s="728">
        <v>4</v>
      </c>
      <c r="L192" s="731">
        <f t="shared" si="83"/>
        <v>13</v>
      </c>
      <c r="M192" s="947"/>
      <c r="N192" s="617">
        <v>255</v>
      </c>
      <c r="O192" s="602">
        <f t="shared" si="112"/>
        <v>17</v>
      </c>
      <c r="P192" s="940"/>
      <c r="Q192" s="600">
        <f t="shared" si="104"/>
        <v>0</v>
      </c>
      <c r="R192" s="940"/>
      <c r="S192" s="596">
        <v>0</v>
      </c>
      <c r="T192" s="724"/>
      <c r="U192" s="728"/>
      <c r="V192" s="728"/>
      <c r="W192" s="731">
        <f t="shared" si="84"/>
        <v>0</v>
      </c>
      <c r="X192" s="947"/>
      <c r="Y192" s="616"/>
      <c r="Z192" s="602">
        <f t="shared" si="87"/>
        <v>0</v>
      </c>
      <c r="AA192" s="835"/>
      <c r="AB192" s="602">
        <f t="shared" si="88"/>
        <v>0</v>
      </c>
      <c r="AC192" s="940"/>
      <c r="AD192" s="956"/>
      <c r="AE192" s="956"/>
      <c r="AF192" s="598">
        <v>8.3333333333333339</v>
      </c>
      <c r="AG192" s="596"/>
      <c r="AH192" s="728"/>
      <c r="AI192" s="728"/>
      <c r="AJ192" s="729">
        <f t="shared" si="102"/>
        <v>0</v>
      </c>
      <c r="AK192" s="946"/>
      <c r="AL192" s="616">
        <v>125</v>
      </c>
      <c r="AM192" s="602">
        <f t="shared" si="89"/>
        <v>8.3333333333333339</v>
      </c>
      <c r="AN192" s="835"/>
      <c r="AO192" s="835">
        <f t="shared" si="105"/>
        <v>0</v>
      </c>
      <c r="AP192" s="940"/>
      <c r="AQ192" s="722">
        <v>0</v>
      </c>
      <c r="AR192" s="728"/>
      <c r="AS192" s="728"/>
      <c r="AT192" s="729">
        <f t="shared" si="106"/>
        <v>0</v>
      </c>
      <c r="AU192" s="946"/>
      <c r="AV192" s="616"/>
      <c r="AW192" s="602">
        <f t="shared" si="90"/>
        <v>0</v>
      </c>
      <c r="AX192" s="940"/>
      <c r="AY192" s="602">
        <f t="shared" si="91"/>
        <v>0</v>
      </c>
      <c r="AZ192" s="940"/>
      <c r="BA192" s="962"/>
      <c r="BB192" s="962"/>
      <c r="BC192" s="598"/>
      <c r="BD192" s="665">
        <v>25</v>
      </c>
      <c r="BE192" s="596">
        <v>25</v>
      </c>
      <c r="BF192" s="596">
        <f t="shared" si="93"/>
        <v>0</v>
      </c>
      <c r="BG192" s="728"/>
      <c r="BH192" s="728"/>
      <c r="BI192" s="729">
        <f t="shared" si="85"/>
        <v>0</v>
      </c>
      <c r="BJ192" s="729"/>
      <c r="BK192" s="616">
        <v>1250</v>
      </c>
      <c r="BL192" s="603">
        <f t="shared" si="92"/>
        <v>25</v>
      </c>
      <c r="BM192" s="964"/>
      <c r="BN192" s="602">
        <f t="shared" si="107"/>
        <v>0</v>
      </c>
      <c r="BO192" s="940"/>
      <c r="BP192" s="593">
        <f t="shared" si="108"/>
        <v>0</v>
      </c>
      <c r="BS192" s="741">
        <v>0</v>
      </c>
      <c r="BT192" s="741">
        <v>0</v>
      </c>
      <c r="BU192" s="741">
        <f t="shared" si="103"/>
        <v>0</v>
      </c>
      <c r="BV192" s="741">
        <v>0</v>
      </c>
      <c r="BW192" s="741"/>
      <c r="BX192" s="741"/>
      <c r="BY192" s="741"/>
      <c r="BZ192" s="741">
        <f t="shared" si="86"/>
        <v>0</v>
      </c>
      <c r="CA192" s="741"/>
      <c r="CB192" s="741"/>
      <c r="CC192" s="741">
        <f t="shared" si="109"/>
        <v>0</v>
      </c>
      <c r="CD192" s="751"/>
      <c r="CE192" s="748"/>
      <c r="CF192" s="748"/>
      <c r="CG192" s="748">
        <f t="shared" si="110"/>
        <v>0</v>
      </c>
      <c r="CH192" s="759"/>
      <c r="CI192" s="742"/>
      <c r="CJ192" s="591">
        <f t="shared" si="111"/>
        <v>0</v>
      </c>
    </row>
    <row r="193" spans="1:88" ht="21.6" customHeight="1" x14ac:dyDescent="0.25">
      <c r="A193" s="596" t="s">
        <v>28</v>
      </c>
      <c r="B193" s="596" t="s">
        <v>105</v>
      </c>
      <c r="C193" s="597" t="s">
        <v>110</v>
      </c>
      <c r="D193" s="166"/>
      <c r="E193" s="598">
        <v>0</v>
      </c>
      <c r="F193" s="596">
        <v>0</v>
      </c>
      <c r="G193" s="598">
        <v>0</v>
      </c>
      <c r="H193" s="596"/>
      <c r="I193" s="596">
        <f t="shared" si="82"/>
        <v>0</v>
      </c>
      <c r="J193" s="728"/>
      <c r="K193" s="728"/>
      <c r="L193" s="731">
        <f t="shared" si="83"/>
        <v>0</v>
      </c>
      <c r="M193" s="947"/>
      <c r="N193" s="617"/>
      <c r="O193" s="602">
        <f t="shared" si="112"/>
        <v>0</v>
      </c>
      <c r="P193" s="940"/>
      <c r="Q193" s="600">
        <f t="shared" si="104"/>
        <v>0</v>
      </c>
      <c r="R193" s="940"/>
      <c r="S193" s="596">
        <v>0</v>
      </c>
      <c r="T193" s="724"/>
      <c r="U193" s="728"/>
      <c r="V193" s="728"/>
      <c r="W193" s="731">
        <f t="shared" si="84"/>
        <v>0</v>
      </c>
      <c r="X193" s="947"/>
      <c r="Y193" s="616"/>
      <c r="Z193" s="602">
        <f t="shared" si="87"/>
        <v>0</v>
      </c>
      <c r="AA193" s="835"/>
      <c r="AB193" s="602">
        <f t="shared" si="88"/>
        <v>0</v>
      </c>
      <c r="AC193" s="940"/>
      <c r="AD193" s="956"/>
      <c r="AE193" s="956"/>
      <c r="AF193" s="598">
        <v>0</v>
      </c>
      <c r="AG193" s="596"/>
      <c r="AH193" s="728"/>
      <c r="AI193" s="728"/>
      <c r="AJ193" s="729">
        <f t="shared" si="102"/>
        <v>0</v>
      </c>
      <c r="AK193" s="946"/>
      <c r="AL193" s="616"/>
      <c r="AM193" s="602">
        <f t="shared" si="89"/>
        <v>0</v>
      </c>
      <c r="AN193" s="835"/>
      <c r="AO193" s="835">
        <f t="shared" si="105"/>
        <v>0</v>
      </c>
      <c r="AP193" s="940"/>
      <c r="AQ193" s="722">
        <v>0</v>
      </c>
      <c r="AR193" s="728"/>
      <c r="AS193" s="728"/>
      <c r="AT193" s="729">
        <f t="shared" si="106"/>
        <v>0</v>
      </c>
      <c r="AU193" s="946"/>
      <c r="AV193" s="616"/>
      <c r="AW193" s="602">
        <f t="shared" si="90"/>
        <v>0</v>
      </c>
      <c r="AX193" s="940"/>
      <c r="AY193" s="602">
        <f t="shared" si="91"/>
        <v>0</v>
      </c>
      <c r="AZ193" s="940"/>
      <c r="BA193" s="962"/>
      <c r="BB193" s="962"/>
      <c r="BC193" s="598"/>
      <c r="BD193" s="665">
        <v>0</v>
      </c>
      <c r="BE193" s="596">
        <v>0</v>
      </c>
      <c r="BF193" s="596">
        <f t="shared" si="93"/>
        <v>0</v>
      </c>
      <c r="BG193" s="728"/>
      <c r="BH193" s="728"/>
      <c r="BI193" s="729">
        <f t="shared" si="85"/>
        <v>0</v>
      </c>
      <c r="BJ193" s="729"/>
      <c r="BK193" s="616"/>
      <c r="BL193" s="603">
        <f t="shared" si="92"/>
        <v>0</v>
      </c>
      <c r="BM193" s="964"/>
      <c r="BN193" s="602">
        <f t="shared" si="107"/>
        <v>0</v>
      </c>
      <c r="BO193" s="940"/>
      <c r="BP193" s="593">
        <f t="shared" si="108"/>
        <v>0</v>
      </c>
      <c r="BS193" s="741">
        <v>0</v>
      </c>
      <c r="BT193" s="741">
        <v>0</v>
      </c>
      <c r="BU193" s="741">
        <f t="shared" si="103"/>
        <v>0</v>
      </c>
      <c r="BV193" s="741">
        <v>0</v>
      </c>
      <c r="BW193" s="741"/>
      <c r="BX193" s="741"/>
      <c r="BY193" s="741"/>
      <c r="BZ193" s="741">
        <f t="shared" si="86"/>
        <v>0</v>
      </c>
      <c r="CA193" s="741"/>
      <c r="CB193" s="741"/>
      <c r="CC193" s="741">
        <f t="shared" si="109"/>
        <v>0</v>
      </c>
      <c r="CD193" s="751"/>
      <c r="CE193" s="748"/>
      <c r="CF193" s="748"/>
      <c r="CG193" s="748">
        <f t="shared" si="110"/>
        <v>0</v>
      </c>
      <c r="CH193" s="759"/>
      <c r="CI193" s="742"/>
      <c r="CJ193" s="591">
        <f t="shared" si="111"/>
        <v>0</v>
      </c>
    </row>
    <row r="194" spans="1:88" ht="21.6" customHeight="1" x14ac:dyDescent="0.25">
      <c r="A194" s="596" t="s">
        <v>28</v>
      </c>
      <c r="B194" s="596" t="s">
        <v>105</v>
      </c>
      <c r="C194" s="597" t="s">
        <v>764</v>
      </c>
      <c r="D194" s="166" t="s">
        <v>431</v>
      </c>
      <c r="E194" s="598">
        <v>20</v>
      </c>
      <c r="F194" s="596">
        <v>0</v>
      </c>
      <c r="G194" s="598">
        <v>0</v>
      </c>
      <c r="H194" s="596"/>
      <c r="I194" s="596">
        <f t="shared" si="82"/>
        <v>0</v>
      </c>
      <c r="J194" s="728">
        <v>18</v>
      </c>
      <c r="K194" s="728">
        <v>6</v>
      </c>
      <c r="L194" s="731">
        <f t="shared" si="83"/>
        <v>24</v>
      </c>
      <c r="M194" s="947"/>
      <c r="N194" s="617">
        <v>300</v>
      </c>
      <c r="O194" s="602">
        <f t="shared" si="112"/>
        <v>20</v>
      </c>
      <c r="P194" s="940"/>
      <c r="Q194" s="600">
        <f t="shared" si="104"/>
        <v>0</v>
      </c>
      <c r="R194" s="940"/>
      <c r="S194" s="596">
        <v>0</v>
      </c>
      <c r="T194" s="724"/>
      <c r="U194" s="728"/>
      <c r="V194" s="728"/>
      <c r="W194" s="731">
        <f t="shared" si="84"/>
        <v>0</v>
      </c>
      <c r="X194" s="947"/>
      <c r="Y194" s="616"/>
      <c r="Z194" s="602">
        <f t="shared" si="87"/>
        <v>0</v>
      </c>
      <c r="AA194" s="835"/>
      <c r="AB194" s="602">
        <f t="shared" si="88"/>
        <v>0</v>
      </c>
      <c r="AC194" s="940"/>
      <c r="AD194" s="956"/>
      <c r="AE194" s="956"/>
      <c r="AF194" s="598">
        <v>0</v>
      </c>
      <c r="AG194" s="596"/>
      <c r="AH194" s="728"/>
      <c r="AI194" s="728"/>
      <c r="AJ194" s="729">
        <f t="shared" si="102"/>
        <v>0</v>
      </c>
      <c r="AK194" s="946"/>
      <c r="AL194" s="616"/>
      <c r="AM194" s="602">
        <f t="shared" si="89"/>
        <v>0</v>
      </c>
      <c r="AN194" s="835"/>
      <c r="AO194" s="835">
        <f t="shared" si="105"/>
        <v>0</v>
      </c>
      <c r="AP194" s="940"/>
      <c r="AQ194" s="722">
        <v>0</v>
      </c>
      <c r="AR194" s="728"/>
      <c r="AS194" s="728"/>
      <c r="AT194" s="729">
        <f t="shared" si="106"/>
        <v>0</v>
      </c>
      <c r="AU194" s="946"/>
      <c r="AV194" s="616"/>
      <c r="AW194" s="602">
        <f t="shared" si="90"/>
        <v>0</v>
      </c>
      <c r="AX194" s="940"/>
      <c r="AY194" s="602">
        <f t="shared" si="91"/>
        <v>0</v>
      </c>
      <c r="AZ194" s="940"/>
      <c r="BA194" s="962"/>
      <c r="BB194" s="962"/>
      <c r="BC194" s="598"/>
      <c r="BD194" s="665">
        <v>20</v>
      </c>
      <c r="BE194" s="596">
        <v>0</v>
      </c>
      <c r="BF194" s="596">
        <f t="shared" si="93"/>
        <v>20</v>
      </c>
      <c r="BG194" s="728"/>
      <c r="BH194" s="728"/>
      <c r="BI194" s="729">
        <f t="shared" si="85"/>
        <v>0</v>
      </c>
      <c r="BJ194" s="729"/>
      <c r="BK194" s="616">
        <v>1000</v>
      </c>
      <c r="BL194" s="603">
        <f t="shared" si="92"/>
        <v>20</v>
      </c>
      <c r="BM194" s="964"/>
      <c r="BN194" s="602">
        <f t="shared" si="107"/>
        <v>0</v>
      </c>
      <c r="BO194" s="940"/>
      <c r="BP194" s="593">
        <f t="shared" si="108"/>
        <v>0</v>
      </c>
      <c r="BS194" s="741">
        <v>0</v>
      </c>
      <c r="BT194" s="741">
        <v>0</v>
      </c>
      <c r="BU194" s="741">
        <f t="shared" si="103"/>
        <v>0</v>
      </c>
      <c r="BV194" s="741">
        <v>0</v>
      </c>
      <c r="BW194" s="741"/>
      <c r="BX194" s="741"/>
      <c r="BY194" s="741"/>
      <c r="BZ194" s="741">
        <f t="shared" si="86"/>
        <v>0</v>
      </c>
      <c r="CA194" s="741"/>
      <c r="CB194" s="741"/>
      <c r="CC194" s="741">
        <f t="shared" si="109"/>
        <v>0</v>
      </c>
      <c r="CD194" s="751"/>
      <c r="CE194" s="748"/>
      <c r="CF194" s="748"/>
      <c r="CG194" s="748">
        <f t="shared" si="110"/>
        <v>0</v>
      </c>
      <c r="CH194" s="759"/>
      <c r="CI194" s="742"/>
      <c r="CJ194" s="591">
        <f t="shared" si="111"/>
        <v>0</v>
      </c>
    </row>
    <row r="195" spans="1:88" ht="21.6" customHeight="1" x14ac:dyDescent="0.25">
      <c r="A195" s="596" t="s">
        <v>28</v>
      </c>
      <c r="B195" s="596" t="s">
        <v>105</v>
      </c>
      <c r="C195" s="597" t="s">
        <v>112</v>
      </c>
      <c r="D195" s="166"/>
      <c r="E195" s="598">
        <v>0</v>
      </c>
      <c r="F195" s="596">
        <v>0</v>
      </c>
      <c r="G195" s="598">
        <v>0</v>
      </c>
      <c r="H195" s="596"/>
      <c r="I195" s="596">
        <f t="shared" si="82"/>
        <v>0</v>
      </c>
      <c r="J195" s="728"/>
      <c r="K195" s="728"/>
      <c r="L195" s="731">
        <f t="shared" si="83"/>
        <v>0</v>
      </c>
      <c r="M195" s="947"/>
      <c r="N195" s="617"/>
      <c r="O195" s="602">
        <f t="shared" si="112"/>
        <v>0</v>
      </c>
      <c r="P195" s="940"/>
      <c r="Q195" s="600">
        <f t="shared" si="104"/>
        <v>0</v>
      </c>
      <c r="R195" s="940"/>
      <c r="S195" s="596">
        <v>0</v>
      </c>
      <c r="T195" s="724"/>
      <c r="U195" s="728"/>
      <c r="V195" s="728"/>
      <c r="W195" s="731">
        <f t="shared" si="84"/>
        <v>0</v>
      </c>
      <c r="X195" s="947"/>
      <c r="Y195" s="616"/>
      <c r="Z195" s="602">
        <f t="shared" si="87"/>
        <v>0</v>
      </c>
      <c r="AA195" s="835"/>
      <c r="AB195" s="602">
        <f t="shared" si="88"/>
        <v>0</v>
      </c>
      <c r="AC195" s="940"/>
      <c r="AD195" s="956"/>
      <c r="AE195" s="956"/>
      <c r="AF195" s="598">
        <v>0</v>
      </c>
      <c r="AG195" s="596"/>
      <c r="AH195" s="728"/>
      <c r="AI195" s="728"/>
      <c r="AJ195" s="729">
        <f t="shared" si="102"/>
        <v>0</v>
      </c>
      <c r="AK195" s="946"/>
      <c r="AL195" s="616"/>
      <c r="AM195" s="602">
        <f t="shared" si="89"/>
        <v>0</v>
      </c>
      <c r="AN195" s="835"/>
      <c r="AO195" s="835">
        <f t="shared" si="105"/>
        <v>0</v>
      </c>
      <c r="AP195" s="940"/>
      <c r="AQ195" s="722">
        <v>0</v>
      </c>
      <c r="AR195" s="728"/>
      <c r="AS195" s="728"/>
      <c r="AT195" s="729">
        <f t="shared" si="106"/>
        <v>0</v>
      </c>
      <c r="AU195" s="946"/>
      <c r="AV195" s="616"/>
      <c r="AW195" s="602">
        <f t="shared" si="90"/>
        <v>0</v>
      </c>
      <c r="AX195" s="940"/>
      <c r="AY195" s="602">
        <f t="shared" si="91"/>
        <v>0</v>
      </c>
      <c r="AZ195" s="940"/>
      <c r="BA195" s="962"/>
      <c r="BB195" s="962"/>
      <c r="BC195" s="598"/>
      <c r="BD195" s="665">
        <v>0</v>
      </c>
      <c r="BE195" s="596">
        <v>0</v>
      </c>
      <c r="BF195" s="596">
        <f t="shared" si="93"/>
        <v>0</v>
      </c>
      <c r="BG195" s="728"/>
      <c r="BH195" s="728"/>
      <c r="BI195" s="729">
        <f t="shared" si="85"/>
        <v>0</v>
      </c>
      <c r="BJ195" s="729"/>
      <c r="BK195" s="616"/>
      <c r="BL195" s="603">
        <f t="shared" si="92"/>
        <v>0</v>
      </c>
      <c r="BM195" s="964"/>
      <c r="BN195" s="602">
        <f t="shared" si="107"/>
        <v>0</v>
      </c>
      <c r="BO195" s="940"/>
      <c r="BP195" s="593">
        <f t="shared" si="108"/>
        <v>0</v>
      </c>
      <c r="BS195" s="741">
        <v>0</v>
      </c>
      <c r="BT195" s="741">
        <v>0</v>
      </c>
      <c r="BU195" s="741">
        <f t="shared" si="103"/>
        <v>0</v>
      </c>
      <c r="BV195" s="741">
        <v>0</v>
      </c>
      <c r="BW195" s="741"/>
      <c r="BX195" s="741"/>
      <c r="BY195" s="741"/>
      <c r="BZ195" s="741">
        <f t="shared" si="86"/>
        <v>0</v>
      </c>
      <c r="CA195" s="741"/>
      <c r="CB195" s="741"/>
      <c r="CC195" s="741">
        <f t="shared" si="109"/>
        <v>0</v>
      </c>
      <c r="CD195" s="751"/>
      <c r="CE195" s="748"/>
      <c r="CF195" s="748"/>
      <c r="CG195" s="748">
        <f t="shared" si="110"/>
        <v>0</v>
      </c>
      <c r="CH195" s="759"/>
      <c r="CI195" s="742"/>
      <c r="CJ195" s="591">
        <f t="shared" si="111"/>
        <v>0</v>
      </c>
    </row>
    <row r="196" spans="1:88" ht="21.6" customHeight="1" x14ac:dyDescent="0.25">
      <c r="A196" s="596" t="s">
        <v>28</v>
      </c>
      <c r="B196" s="596" t="s">
        <v>105</v>
      </c>
      <c r="C196" s="597" t="s">
        <v>113</v>
      </c>
      <c r="D196" s="175"/>
      <c r="E196" s="598">
        <v>0</v>
      </c>
      <c r="F196" s="596">
        <v>0</v>
      </c>
      <c r="G196" s="598">
        <v>0</v>
      </c>
      <c r="H196" s="596"/>
      <c r="I196" s="596">
        <f t="shared" si="82"/>
        <v>0</v>
      </c>
      <c r="J196" s="728"/>
      <c r="K196" s="728"/>
      <c r="L196" s="731">
        <f t="shared" si="83"/>
        <v>0</v>
      </c>
      <c r="M196" s="947"/>
      <c r="N196" s="617"/>
      <c r="O196" s="602">
        <f t="shared" si="112"/>
        <v>0</v>
      </c>
      <c r="P196" s="940"/>
      <c r="Q196" s="600">
        <f t="shared" si="104"/>
        <v>0</v>
      </c>
      <c r="R196" s="940"/>
      <c r="S196" s="596">
        <v>0</v>
      </c>
      <c r="T196" s="724"/>
      <c r="U196" s="728"/>
      <c r="V196" s="728"/>
      <c r="W196" s="731">
        <f t="shared" si="84"/>
        <v>0</v>
      </c>
      <c r="X196" s="947"/>
      <c r="Y196" s="616"/>
      <c r="Z196" s="602">
        <f t="shared" si="87"/>
        <v>0</v>
      </c>
      <c r="AA196" s="835"/>
      <c r="AB196" s="602">
        <f t="shared" si="88"/>
        <v>0</v>
      </c>
      <c r="AC196" s="940"/>
      <c r="AD196" s="956"/>
      <c r="AE196" s="956"/>
      <c r="AF196" s="598">
        <v>0</v>
      </c>
      <c r="AG196" s="596"/>
      <c r="AH196" s="728"/>
      <c r="AI196" s="728"/>
      <c r="AJ196" s="729">
        <f t="shared" si="102"/>
        <v>0</v>
      </c>
      <c r="AK196" s="946"/>
      <c r="AL196" s="616"/>
      <c r="AM196" s="602">
        <f t="shared" si="89"/>
        <v>0</v>
      </c>
      <c r="AN196" s="835"/>
      <c r="AO196" s="835">
        <f t="shared" si="105"/>
        <v>0</v>
      </c>
      <c r="AP196" s="940"/>
      <c r="AQ196" s="722">
        <v>0</v>
      </c>
      <c r="AR196" s="728"/>
      <c r="AS196" s="728"/>
      <c r="AT196" s="729">
        <f t="shared" si="106"/>
        <v>0</v>
      </c>
      <c r="AU196" s="946"/>
      <c r="AV196" s="616"/>
      <c r="AW196" s="602">
        <f t="shared" si="90"/>
        <v>0</v>
      </c>
      <c r="AX196" s="940"/>
      <c r="AY196" s="602">
        <f t="shared" si="91"/>
        <v>0</v>
      </c>
      <c r="AZ196" s="940"/>
      <c r="BA196" s="962"/>
      <c r="BB196" s="962"/>
      <c r="BC196" s="598"/>
      <c r="BD196" s="665">
        <v>0</v>
      </c>
      <c r="BE196" s="596">
        <v>0</v>
      </c>
      <c r="BF196" s="596">
        <f t="shared" si="93"/>
        <v>0</v>
      </c>
      <c r="BG196" s="728"/>
      <c r="BH196" s="728"/>
      <c r="BI196" s="729">
        <f t="shared" si="85"/>
        <v>0</v>
      </c>
      <c r="BJ196" s="729"/>
      <c r="BK196" s="616"/>
      <c r="BL196" s="603">
        <f t="shared" si="92"/>
        <v>0</v>
      </c>
      <c r="BM196" s="964"/>
      <c r="BN196" s="602">
        <f t="shared" si="107"/>
        <v>0</v>
      </c>
      <c r="BO196" s="940"/>
      <c r="BP196" s="593">
        <f t="shared" si="108"/>
        <v>0</v>
      </c>
      <c r="BS196" s="741">
        <v>0</v>
      </c>
      <c r="BT196" s="741">
        <v>0</v>
      </c>
      <c r="BU196" s="741">
        <f t="shared" si="103"/>
        <v>0</v>
      </c>
      <c r="BV196" s="741">
        <v>0</v>
      </c>
      <c r="BW196" s="741"/>
      <c r="BX196" s="741"/>
      <c r="BY196" s="741"/>
      <c r="BZ196" s="741">
        <f t="shared" si="86"/>
        <v>0</v>
      </c>
      <c r="CA196" s="741"/>
      <c r="CB196" s="741"/>
      <c r="CC196" s="741">
        <f t="shared" si="109"/>
        <v>0</v>
      </c>
      <c r="CD196" s="751"/>
      <c r="CE196" s="748"/>
      <c r="CF196" s="748"/>
      <c r="CG196" s="748">
        <f t="shared" si="110"/>
        <v>0</v>
      </c>
      <c r="CH196" s="759"/>
      <c r="CI196" s="742"/>
      <c r="CJ196" s="591">
        <f t="shared" si="111"/>
        <v>0</v>
      </c>
    </row>
    <row r="197" spans="1:88" ht="21.6" customHeight="1" x14ac:dyDescent="0.25">
      <c r="A197" s="596" t="s">
        <v>28</v>
      </c>
      <c r="B197" s="596" t="s">
        <v>105</v>
      </c>
      <c r="C197" s="597" t="s">
        <v>114</v>
      </c>
      <c r="D197" s="166"/>
      <c r="E197" s="598">
        <v>0</v>
      </c>
      <c r="F197" s="596">
        <v>0</v>
      </c>
      <c r="G197" s="598">
        <v>0</v>
      </c>
      <c r="H197" s="596"/>
      <c r="I197" s="596">
        <f t="shared" si="82"/>
        <v>0</v>
      </c>
      <c r="J197" s="728"/>
      <c r="K197" s="728"/>
      <c r="L197" s="731">
        <f t="shared" si="83"/>
        <v>0</v>
      </c>
      <c r="M197" s="947"/>
      <c r="N197" s="617"/>
      <c r="O197" s="602">
        <f t="shared" si="112"/>
        <v>0</v>
      </c>
      <c r="P197" s="940"/>
      <c r="Q197" s="600">
        <f t="shared" si="104"/>
        <v>0</v>
      </c>
      <c r="R197" s="940"/>
      <c r="S197" s="596">
        <v>0</v>
      </c>
      <c r="T197" s="724"/>
      <c r="U197" s="728"/>
      <c r="V197" s="728"/>
      <c r="W197" s="731">
        <f t="shared" si="84"/>
        <v>0</v>
      </c>
      <c r="X197" s="947"/>
      <c r="Y197" s="616"/>
      <c r="Z197" s="602">
        <f t="shared" si="87"/>
        <v>0</v>
      </c>
      <c r="AA197" s="835"/>
      <c r="AB197" s="602">
        <f t="shared" si="88"/>
        <v>0</v>
      </c>
      <c r="AC197" s="940"/>
      <c r="AD197" s="956"/>
      <c r="AE197" s="956"/>
      <c r="AF197" s="598">
        <v>0</v>
      </c>
      <c r="AG197" s="596"/>
      <c r="AH197" s="728"/>
      <c r="AI197" s="728"/>
      <c r="AJ197" s="729">
        <f t="shared" si="102"/>
        <v>0</v>
      </c>
      <c r="AK197" s="946"/>
      <c r="AL197" s="616"/>
      <c r="AM197" s="602">
        <f t="shared" si="89"/>
        <v>0</v>
      </c>
      <c r="AN197" s="835"/>
      <c r="AO197" s="835">
        <f t="shared" si="105"/>
        <v>0</v>
      </c>
      <c r="AP197" s="940"/>
      <c r="AQ197" s="722">
        <v>0</v>
      </c>
      <c r="AR197" s="728"/>
      <c r="AS197" s="728"/>
      <c r="AT197" s="729">
        <f t="shared" si="106"/>
        <v>0</v>
      </c>
      <c r="AU197" s="946"/>
      <c r="AV197" s="616"/>
      <c r="AW197" s="602">
        <f t="shared" si="90"/>
        <v>0</v>
      </c>
      <c r="AX197" s="940"/>
      <c r="AY197" s="602">
        <f t="shared" si="91"/>
        <v>0</v>
      </c>
      <c r="AZ197" s="940"/>
      <c r="BA197" s="962"/>
      <c r="BB197" s="962"/>
      <c r="BC197" s="598"/>
      <c r="BD197" s="665">
        <v>0</v>
      </c>
      <c r="BE197" s="596">
        <v>0</v>
      </c>
      <c r="BF197" s="596">
        <f t="shared" si="93"/>
        <v>0</v>
      </c>
      <c r="BG197" s="728"/>
      <c r="BH197" s="728"/>
      <c r="BI197" s="729">
        <f t="shared" si="85"/>
        <v>0</v>
      </c>
      <c r="BJ197" s="729"/>
      <c r="BK197" s="616"/>
      <c r="BL197" s="603">
        <f t="shared" si="92"/>
        <v>0</v>
      </c>
      <c r="BM197" s="964"/>
      <c r="BN197" s="602">
        <f t="shared" si="107"/>
        <v>0</v>
      </c>
      <c r="BO197" s="940"/>
      <c r="BP197" s="593">
        <f t="shared" si="108"/>
        <v>0</v>
      </c>
      <c r="BS197" s="741">
        <v>0</v>
      </c>
      <c r="BT197" s="741">
        <v>0</v>
      </c>
      <c r="BU197" s="741">
        <f t="shared" si="103"/>
        <v>0</v>
      </c>
      <c r="BV197" s="741">
        <v>0</v>
      </c>
      <c r="BW197" s="741"/>
      <c r="BX197" s="741"/>
      <c r="BY197" s="741"/>
      <c r="BZ197" s="741">
        <f t="shared" si="86"/>
        <v>0</v>
      </c>
      <c r="CA197" s="741"/>
      <c r="CB197" s="741"/>
      <c r="CC197" s="741">
        <f t="shared" si="109"/>
        <v>0</v>
      </c>
      <c r="CD197" s="751"/>
      <c r="CE197" s="748"/>
      <c r="CF197" s="748"/>
      <c r="CG197" s="748">
        <f t="shared" si="110"/>
        <v>0</v>
      </c>
      <c r="CH197" s="759"/>
      <c r="CI197" s="742"/>
      <c r="CJ197" s="591">
        <f t="shared" si="111"/>
        <v>0</v>
      </c>
    </row>
    <row r="198" spans="1:88" ht="21.6" customHeight="1" x14ac:dyDescent="0.25">
      <c r="A198" s="596" t="s">
        <v>28</v>
      </c>
      <c r="B198" s="596" t="s">
        <v>105</v>
      </c>
      <c r="C198" s="597" t="s">
        <v>115</v>
      </c>
      <c r="D198" s="134" t="s">
        <v>431</v>
      </c>
      <c r="E198" s="598">
        <v>10</v>
      </c>
      <c r="F198" s="596">
        <v>0</v>
      </c>
      <c r="G198" s="598">
        <v>10</v>
      </c>
      <c r="H198" s="596"/>
      <c r="I198" s="596">
        <f t="shared" si="82"/>
        <v>0</v>
      </c>
      <c r="J198" s="728">
        <v>7</v>
      </c>
      <c r="K198" s="728">
        <v>3</v>
      </c>
      <c r="L198" s="731">
        <f t="shared" si="83"/>
        <v>10</v>
      </c>
      <c r="M198" s="947"/>
      <c r="N198" s="617">
        <v>150</v>
      </c>
      <c r="O198" s="602">
        <f t="shared" si="112"/>
        <v>10</v>
      </c>
      <c r="P198" s="940"/>
      <c r="Q198" s="600">
        <f t="shared" si="104"/>
        <v>0</v>
      </c>
      <c r="R198" s="940"/>
      <c r="S198" s="596">
        <v>0</v>
      </c>
      <c r="T198" s="724"/>
      <c r="U198" s="728"/>
      <c r="V198" s="728"/>
      <c r="W198" s="731">
        <f t="shared" si="84"/>
        <v>0</v>
      </c>
      <c r="X198" s="947"/>
      <c r="Y198" s="616"/>
      <c r="Z198" s="602">
        <f t="shared" si="87"/>
        <v>0</v>
      </c>
      <c r="AA198" s="835"/>
      <c r="AB198" s="602">
        <f t="shared" si="88"/>
        <v>0</v>
      </c>
      <c r="AC198" s="940"/>
      <c r="AD198" s="956"/>
      <c r="AE198" s="956"/>
      <c r="AF198" s="598">
        <v>11</v>
      </c>
      <c r="AG198" s="596"/>
      <c r="AH198" s="728"/>
      <c r="AI198" s="728"/>
      <c r="AJ198" s="729">
        <f t="shared" si="102"/>
        <v>0</v>
      </c>
      <c r="AK198" s="946"/>
      <c r="AL198" s="616">
        <v>165</v>
      </c>
      <c r="AM198" s="602">
        <f t="shared" si="89"/>
        <v>11</v>
      </c>
      <c r="AN198" s="835"/>
      <c r="AO198" s="835">
        <f t="shared" si="105"/>
        <v>0</v>
      </c>
      <c r="AP198" s="940"/>
      <c r="AQ198" s="722">
        <v>0</v>
      </c>
      <c r="AR198" s="728"/>
      <c r="AS198" s="728"/>
      <c r="AT198" s="729">
        <f t="shared" si="106"/>
        <v>0</v>
      </c>
      <c r="AU198" s="946"/>
      <c r="AV198" s="616"/>
      <c r="AW198" s="602">
        <f t="shared" si="90"/>
        <v>0</v>
      </c>
      <c r="AX198" s="940"/>
      <c r="AY198" s="602">
        <f t="shared" si="91"/>
        <v>0</v>
      </c>
      <c r="AZ198" s="940"/>
      <c r="BA198" s="962"/>
      <c r="BB198" s="962"/>
      <c r="BC198" s="598"/>
      <c r="BD198" s="665">
        <v>21</v>
      </c>
      <c r="BE198" s="596">
        <v>21</v>
      </c>
      <c r="BF198" s="596">
        <f t="shared" si="93"/>
        <v>0</v>
      </c>
      <c r="BG198" s="728"/>
      <c r="BH198" s="728"/>
      <c r="BI198" s="729">
        <f t="shared" si="85"/>
        <v>0</v>
      </c>
      <c r="BJ198" s="729"/>
      <c r="BK198" s="616">
        <v>1050</v>
      </c>
      <c r="BL198" s="603">
        <f t="shared" si="92"/>
        <v>21</v>
      </c>
      <c r="BM198" s="964"/>
      <c r="BN198" s="602">
        <f t="shared" si="107"/>
        <v>0</v>
      </c>
      <c r="BO198" s="940"/>
      <c r="BP198" s="593">
        <f t="shared" si="108"/>
        <v>0</v>
      </c>
      <c r="BS198" s="741">
        <v>0</v>
      </c>
      <c r="BT198" s="741">
        <v>0</v>
      </c>
      <c r="BU198" s="741">
        <f t="shared" si="103"/>
        <v>0</v>
      </c>
      <c r="BV198" s="741">
        <v>0</v>
      </c>
      <c r="BW198" s="741"/>
      <c r="BX198" s="741"/>
      <c r="BY198" s="741"/>
      <c r="BZ198" s="741">
        <f t="shared" si="86"/>
        <v>0</v>
      </c>
      <c r="CA198" s="741"/>
      <c r="CB198" s="741"/>
      <c r="CC198" s="741">
        <f t="shared" si="109"/>
        <v>0</v>
      </c>
      <c r="CD198" s="751"/>
      <c r="CE198" s="748"/>
      <c r="CF198" s="748"/>
      <c r="CG198" s="748">
        <f t="shared" si="110"/>
        <v>0</v>
      </c>
      <c r="CH198" s="759"/>
      <c r="CI198" s="742"/>
      <c r="CJ198" s="591">
        <f t="shared" si="111"/>
        <v>0</v>
      </c>
    </row>
    <row r="199" spans="1:88" ht="21.6" customHeight="1" x14ac:dyDescent="0.25">
      <c r="A199" s="596" t="s">
        <v>28</v>
      </c>
      <c r="B199" s="596" t="s">
        <v>105</v>
      </c>
      <c r="C199" s="597" t="s">
        <v>116</v>
      </c>
      <c r="D199" s="166"/>
      <c r="E199" s="598">
        <v>0</v>
      </c>
      <c r="F199" s="596">
        <v>0</v>
      </c>
      <c r="G199" s="598">
        <v>0</v>
      </c>
      <c r="H199" s="596"/>
      <c r="I199" s="596">
        <f t="shared" si="82"/>
        <v>0</v>
      </c>
      <c r="J199" s="728"/>
      <c r="K199" s="728"/>
      <c r="L199" s="731">
        <f t="shared" si="83"/>
        <v>0</v>
      </c>
      <c r="M199" s="947"/>
      <c r="N199" s="617"/>
      <c r="O199" s="602">
        <f t="shared" si="112"/>
        <v>0</v>
      </c>
      <c r="P199" s="940"/>
      <c r="Q199" s="600">
        <f t="shared" si="104"/>
        <v>0</v>
      </c>
      <c r="R199" s="940"/>
      <c r="S199" s="596">
        <v>0</v>
      </c>
      <c r="T199" s="724"/>
      <c r="U199" s="728"/>
      <c r="V199" s="728"/>
      <c r="W199" s="731">
        <f t="shared" si="84"/>
        <v>0</v>
      </c>
      <c r="X199" s="947"/>
      <c r="Y199" s="616"/>
      <c r="Z199" s="602">
        <f t="shared" si="87"/>
        <v>0</v>
      </c>
      <c r="AA199" s="835"/>
      <c r="AB199" s="602">
        <f t="shared" si="88"/>
        <v>0</v>
      </c>
      <c r="AC199" s="940"/>
      <c r="AD199" s="956"/>
      <c r="AE199" s="956"/>
      <c r="AF199" s="598">
        <v>0</v>
      </c>
      <c r="AG199" s="596"/>
      <c r="AH199" s="728"/>
      <c r="AI199" s="728"/>
      <c r="AJ199" s="729">
        <f t="shared" si="102"/>
        <v>0</v>
      </c>
      <c r="AK199" s="946"/>
      <c r="AL199" s="616"/>
      <c r="AM199" s="602">
        <f t="shared" si="89"/>
        <v>0</v>
      </c>
      <c r="AN199" s="835"/>
      <c r="AO199" s="835">
        <f t="shared" si="105"/>
        <v>0</v>
      </c>
      <c r="AP199" s="940"/>
      <c r="AQ199" s="722">
        <v>0</v>
      </c>
      <c r="AR199" s="728"/>
      <c r="AS199" s="728"/>
      <c r="AT199" s="729">
        <f t="shared" si="106"/>
        <v>0</v>
      </c>
      <c r="AU199" s="946"/>
      <c r="AV199" s="616"/>
      <c r="AW199" s="602">
        <f t="shared" si="90"/>
        <v>0</v>
      </c>
      <c r="AX199" s="940"/>
      <c r="AY199" s="602">
        <f t="shared" si="91"/>
        <v>0</v>
      </c>
      <c r="AZ199" s="940"/>
      <c r="BA199" s="962"/>
      <c r="BB199" s="962"/>
      <c r="BC199" s="598"/>
      <c r="BD199" s="665">
        <v>0</v>
      </c>
      <c r="BE199" s="596">
        <v>0</v>
      </c>
      <c r="BF199" s="596">
        <f t="shared" si="93"/>
        <v>0</v>
      </c>
      <c r="BG199" s="728"/>
      <c r="BH199" s="728"/>
      <c r="BI199" s="729">
        <f t="shared" si="85"/>
        <v>0</v>
      </c>
      <c r="BJ199" s="729"/>
      <c r="BK199" s="616"/>
      <c r="BL199" s="603">
        <f t="shared" si="92"/>
        <v>0</v>
      </c>
      <c r="BM199" s="964"/>
      <c r="BN199" s="602">
        <f t="shared" si="107"/>
        <v>0</v>
      </c>
      <c r="BO199" s="940"/>
      <c r="BP199" s="593">
        <f t="shared" si="108"/>
        <v>0</v>
      </c>
      <c r="BS199" s="741">
        <v>0</v>
      </c>
      <c r="BT199" s="741">
        <v>0</v>
      </c>
      <c r="BU199" s="741">
        <f t="shared" si="103"/>
        <v>0</v>
      </c>
      <c r="BV199" s="741">
        <v>0</v>
      </c>
      <c r="BW199" s="741"/>
      <c r="BX199" s="741"/>
      <c r="BY199" s="741"/>
      <c r="BZ199" s="741">
        <f t="shared" si="86"/>
        <v>0</v>
      </c>
      <c r="CA199" s="741"/>
      <c r="CB199" s="741"/>
      <c r="CC199" s="741">
        <f t="shared" si="109"/>
        <v>0</v>
      </c>
      <c r="CD199" s="751"/>
      <c r="CE199" s="748"/>
      <c r="CF199" s="748"/>
      <c r="CG199" s="748">
        <f t="shared" si="110"/>
        <v>0</v>
      </c>
      <c r="CH199" s="759"/>
      <c r="CI199" s="742"/>
      <c r="CJ199" s="591">
        <f t="shared" si="111"/>
        <v>0</v>
      </c>
    </row>
    <row r="200" spans="1:88" ht="43.5" customHeight="1" x14ac:dyDescent="0.25">
      <c r="A200" s="596" t="s">
        <v>28</v>
      </c>
      <c r="B200" s="596" t="s">
        <v>105</v>
      </c>
      <c r="C200" s="597" t="s">
        <v>420</v>
      </c>
      <c r="D200" s="153" t="s">
        <v>431</v>
      </c>
      <c r="E200" s="598">
        <v>19</v>
      </c>
      <c r="F200" s="596">
        <v>0</v>
      </c>
      <c r="G200" s="598">
        <v>19</v>
      </c>
      <c r="H200" s="596"/>
      <c r="I200" s="596">
        <f t="shared" si="82"/>
        <v>0</v>
      </c>
      <c r="J200" s="728">
        <v>1</v>
      </c>
      <c r="K200" s="728">
        <v>11</v>
      </c>
      <c r="L200" s="731">
        <f t="shared" si="83"/>
        <v>12</v>
      </c>
      <c r="M200" s="947"/>
      <c r="N200" s="617">
        <v>285</v>
      </c>
      <c r="O200" s="602">
        <f t="shared" si="112"/>
        <v>19</v>
      </c>
      <c r="P200" s="940"/>
      <c r="Q200" s="600">
        <f t="shared" si="104"/>
        <v>0</v>
      </c>
      <c r="R200" s="940"/>
      <c r="S200" s="596">
        <v>0</v>
      </c>
      <c r="T200" s="724"/>
      <c r="U200" s="728"/>
      <c r="V200" s="728"/>
      <c r="W200" s="731">
        <f t="shared" si="84"/>
        <v>0</v>
      </c>
      <c r="X200" s="947"/>
      <c r="Y200" s="616"/>
      <c r="Z200" s="602">
        <f t="shared" si="87"/>
        <v>0</v>
      </c>
      <c r="AA200" s="835"/>
      <c r="AB200" s="602">
        <f t="shared" si="88"/>
        <v>0</v>
      </c>
      <c r="AC200" s="940"/>
      <c r="AD200" s="956"/>
      <c r="AE200" s="956"/>
      <c r="AF200" s="598"/>
      <c r="AG200" s="596"/>
      <c r="AH200" s="728"/>
      <c r="AI200" s="728"/>
      <c r="AJ200" s="729">
        <f t="shared" si="102"/>
        <v>0</v>
      </c>
      <c r="AK200" s="946"/>
      <c r="AL200" s="616"/>
      <c r="AM200" s="602">
        <f t="shared" si="89"/>
        <v>0</v>
      </c>
      <c r="AN200" s="835"/>
      <c r="AO200" s="835">
        <f t="shared" si="105"/>
        <v>0</v>
      </c>
      <c r="AP200" s="940"/>
      <c r="AQ200" s="722">
        <v>0</v>
      </c>
      <c r="AR200" s="728"/>
      <c r="AS200" s="728"/>
      <c r="AT200" s="729">
        <f t="shared" si="106"/>
        <v>0</v>
      </c>
      <c r="AU200" s="946"/>
      <c r="AV200" s="616"/>
      <c r="AW200" s="602">
        <f t="shared" si="90"/>
        <v>0</v>
      </c>
      <c r="AX200" s="940"/>
      <c r="AY200" s="602">
        <f t="shared" si="91"/>
        <v>0</v>
      </c>
      <c r="AZ200" s="940"/>
      <c r="BA200" s="962"/>
      <c r="BB200" s="962"/>
      <c r="BC200" s="598"/>
      <c r="BD200" s="665">
        <v>19</v>
      </c>
      <c r="BE200" s="596">
        <v>19</v>
      </c>
      <c r="BF200" s="596">
        <f t="shared" si="93"/>
        <v>0</v>
      </c>
      <c r="BG200" s="728"/>
      <c r="BH200" s="728"/>
      <c r="BI200" s="729">
        <f t="shared" si="85"/>
        <v>0</v>
      </c>
      <c r="BJ200" s="729"/>
      <c r="BK200" s="616">
        <v>950</v>
      </c>
      <c r="BL200" s="603">
        <f t="shared" si="92"/>
        <v>19</v>
      </c>
      <c r="BM200" s="964"/>
      <c r="BN200" s="602">
        <f t="shared" si="107"/>
        <v>0</v>
      </c>
      <c r="BO200" s="940"/>
      <c r="BP200" s="593">
        <f t="shared" si="108"/>
        <v>0</v>
      </c>
      <c r="BS200" s="741">
        <v>0</v>
      </c>
      <c r="BT200" s="741">
        <v>0</v>
      </c>
      <c r="BU200" s="741">
        <f t="shared" si="103"/>
        <v>0</v>
      </c>
      <c r="BV200" s="741">
        <v>0</v>
      </c>
      <c r="BW200" s="741"/>
      <c r="BX200" s="741"/>
      <c r="BY200" s="741"/>
      <c r="BZ200" s="741">
        <f t="shared" si="86"/>
        <v>0</v>
      </c>
      <c r="CA200" s="741"/>
      <c r="CB200" s="741"/>
      <c r="CC200" s="741">
        <f t="shared" si="109"/>
        <v>0</v>
      </c>
      <c r="CD200" s="751"/>
      <c r="CE200" s="748"/>
      <c r="CF200" s="748"/>
      <c r="CG200" s="748">
        <f t="shared" si="110"/>
        <v>0</v>
      </c>
      <c r="CH200" s="759"/>
      <c r="CI200" s="742"/>
      <c r="CJ200" s="591">
        <f t="shared" si="111"/>
        <v>0</v>
      </c>
    </row>
    <row r="201" spans="1:88" ht="21.6" customHeight="1" x14ac:dyDescent="0.25">
      <c r="A201" s="596" t="s">
        <v>28</v>
      </c>
      <c r="B201" s="596" t="s">
        <v>105</v>
      </c>
      <c r="C201" s="597" t="s">
        <v>117</v>
      </c>
      <c r="D201" s="166"/>
      <c r="E201" s="598">
        <v>0</v>
      </c>
      <c r="F201" s="596">
        <v>0</v>
      </c>
      <c r="G201" s="598">
        <v>0</v>
      </c>
      <c r="H201" s="596"/>
      <c r="I201" s="596">
        <f t="shared" si="82"/>
        <v>0</v>
      </c>
      <c r="J201" s="728"/>
      <c r="K201" s="728"/>
      <c r="L201" s="731">
        <f t="shared" si="83"/>
        <v>0</v>
      </c>
      <c r="M201" s="947"/>
      <c r="N201" s="617"/>
      <c r="O201" s="602">
        <f t="shared" si="112"/>
        <v>0</v>
      </c>
      <c r="P201" s="940"/>
      <c r="Q201" s="600">
        <f t="shared" si="104"/>
        <v>0</v>
      </c>
      <c r="R201" s="940"/>
      <c r="S201" s="596">
        <v>0</v>
      </c>
      <c r="T201" s="724"/>
      <c r="U201" s="728"/>
      <c r="V201" s="728"/>
      <c r="W201" s="731">
        <f t="shared" si="84"/>
        <v>0</v>
      </c>
      <c r="X201" s="947"/>
      <c r="Y201" s="616"/>
      <c r="Z201" s="602">
        <f t="shared" si="87"/>
        <v>0</v>
      </c>
      <c r="AA201" s="835"/>
      <c r="AB201" s="602">
        <f t="shared" si="88"/>
        <v>0</v>
      </c>
      <c r="AC201" s="940"/>
      <c r="AD201" s="956"/>
      <c r="AE201" s="956"/>
      <c r="AF201" s="598">
        <v>0</v>
      </c>
      <c r="AG201" s="596"/>
      <c r="AH201" s="728"/>
      <c r="AI201" s="728"/>
      <c r="AJ201" s="729">
        <f t="shared" si="102"/>
        <v>0</v>
      </c>
      <c r="AK201" s="946"/>
      <c r="AL201" s="616"/>
      <c r="AM201" s="602">
        <f t="shared" si="89"/>
        <v>0</v>
      </c>
      <c r="AN201" s="835"/>
      <c r="AO201" s="835">
        <f t="shared" si="105"/>
        <v>0</v>
      </c>
      <c r="AP201" s="940"/>
      <c r="AQ201" s="722">
        <v>0</v>
      </c>
      <c r="AR201" s="728"/>
      <c r="AS201" s="728"/>
      <c r="AT201" s="729">
        <f t="shared" si="106"/>
        <v>0</v>
      </c>
      <c r="AU201" s="946"/>
      <c r="AV201" s="616"/>
      <c r="AW201" s="602">
        <f t="shared" si="90"/>
        <v>0</v>
      </c>
      <c r="AX201" s="940"/>
      <c r="AY201" s="602">
        <f t="shared" si="91"/>
        <v>0</v>
      </c>
      <c r="AZ201" s="940"/>
      <c r="BA201" s="962"/>
      <c r="BB201" s="962"/>
      <c r="BC201" s="598"/>
      <c r="BD201" s="665">
        <v>0</v>
      </c>
      <c r="BE201" s="596">
        <v>0</v>
      </c>
      <c r="BF201" s="596">
        <f t="shared" si="93"/>
        <v>0</v>
      </c>
      <c r="BG201" s="728"/>
      <c r="BH201" s="728"/>
      <c r="BI201" s="729">
        <f t="shared" si="85"/>
        <v>0</v>
      </c>
      <c r="BJ201" s="729"/>
      <c r="BK201" s="616"/>
      <c r="BL201" s="603">
        <f t="shared" si="92"/>
        <v>0</v>
      </c>
      <c r="BM201" s="964"/>
      <c r="BN201" s="602">
        <f t="shared" si="107"/>
        <v>0</v>
      </c>
      <c r="BO201" s="940"/>
      <c r="BP201" s="593">
        <f t="shared" si="108"/>
        <v>0</v>
      </c>
      <c r="BS201" s="741">
        <v>0</v>
      </c>
      <c r="BT201" s="741">
        <v>0</v>
      </c>
      <c r="BU201" s="741">
        <f t="shared" si="103"/>
        <v>0</v>
      </c>
      <c r="BV201" s="741">
        <v>0</v>
      </c>
      <c r="BW201" s="741"/>
      <c r="BX201" s="741"/>
      <c r="BY201" s="741"/>
      <c r="BZ201" s="741">
        <f t="shared" si="86"/>
        <v>0</v>
      </c>
      <c r="CA201" s="741"/>
      <c r="CB201" s="741"/>
      <c r="CC201" s="741">
        <f t="shared" si="109"/>
        <v>0</v>
      </c>
      <c r="CD201" s="751"/>
      <c r="CE201" s="748"/>
      <c r="CF201" s="748"/>
      <c r="CG201" s="748">
        <f t="shared" si="110"/>
        <v>0</v>
      </c>
      <c r="CH201" s="759"/>
      <c r="CI201" s="742"/>
      <c r="CJ201" s="591">
        <f t="shared" si="111"/>
        <v>0</v>
      </c>
    </row>
    <row r="202" spans="1:88" ht="44.25" customHeight="1" x14ac:dyDescent="0.25">
      <c r="A202" s="596" t="s">
        <v>28</v>
      </c>
      <c r="B202" s="596" t="s">
        <v>105</v>
      </c>
      <c r="C202" s="597" t="s">
        <v>118</v>
      </c>
      <c r="D202" s="182" t="s">
        <v>431</v>
      </c>
      <c r="E202" s="598">
        <v>15</v>
      </c>
      <c r="F202" s="596">
        <v>0</v>
      </c>
      <c r="G202" s="598">
        <v>15</v>
      </c>
      <c r="H202" s="596"/>
      <c r="I202" s="596">
        <f t="shared" si="82"/>
        <v>0</v>
      </c>
      <c r="J202" s="728">
        <v>6</v>
      </c>
      <c r="K202" s="728">
        <v>2</v>
      </c>
      <c r="L202" s="731">
        <f t="shared" si="83"/>
        <v>8</v>
      </c>
      <c r="M202" s="947"/>
      <c r="N202" s="617">
        <v>225</v>
      </c>
      <c r="O202" s="602">
        <f t="shared" si="112"/>
        <v>15</v>
      </c>
      <c r="P202" s="940"/>
      <c r="Q202" s="600">
        <f t="shared" si="104"/>
        <v>0</v>
      </c>
      <c r="R202" s="940"/>
      <c r="S202" s="596">
        <v>0</v>
      </c>
      <c r="T202" s="724"/>
      <c r="U202" s="728"/>
      <c r="V202" s="728"/>
      <c r="W202" s="731">
        <f t="shared" si="84"/>
        <v>0</v>
      </c>
      <c r="X202" s="947"/>
      <c r="Y202" s="616"/>
      <c r="Z202" s="602">
        <f t="shared" si="87"/>
        <v>0</v>
      </c>
      <c r="AA202" s="835"/>
      <c r="AB202" s="602">
        <f t="shared" si="88"/>
        <v>0</v>
      </c>
      <c r="AC202" s="940"/>
      <c r="AD202" s="956"/>
      <c r="AE202" s="956"/>
      <c r="AF202" s="598">
        <v>15</v>
      </c>
      <c r="AG202" s="596"/>
      <c r="AH202" s="728"/>
      <c r="AI202" s="728"/>
      <c r="AJ202" s="729">
        <f t="shared" si="102"/>
        <v>0</v>
      </c>
      <c r="AK202" s="946"/>
      <c r="AL202" s="616">
        <v>225</v>
      </c>
      <c r="AM202" s="602">
        <f t="shared" si="89"/>
        <v>15</v>
      </c>
      <c r="AN202" s="835"/>
      <c r="AO202" s="835">
        <f t="shared" si="105"/>
        <v>0</v>
      </c>
      <c r="AP202" s="940"/>
      <c r="AQ202" s="722">
        <v>0</v>
      </c>
      <c r="AR202" s="728"/>
      <c r="AS202" s="728"/>
      <c r="AT202" s="729">
        <f t="shared" si="106"/>
        <v>0</v>
      </c>
      <c r="AU202" s="946"/>
      <c r="AV202" s="616"/>
      <c r="AW202" s="602">
        <f t="shared" si="90"/>
        <v>0</v>
      </c>
      <c r="AX202" s="940"/>
      <c r="AY202" s="602">
        <f t="shared" si="91"/>
        <v>0</v>
      </c>
      <c r="AZ202" s="940"/>
      <c r="BA202" s="962"/>
      <c r="BB202" s="962"/>
      <c r="BC202" s="598"/>
      <c r="BD202" s="665">
        <v>29</v>
      </c>
      <c r="BE202" s="596">
        <v>29</v>
      </c>
      <c r="BF202" s="596">
        <f t="shared" si="93"/>
        <v>0</v>
      </c>
      <c r="BG202" s="728"/>
      <c r="BH202" s="728"/>
      <c r="BI202" s="729">
        <f t="shared" si="85"/>
        <v>0</v>
      </c>
      <c r="BJ202" s="729"/>
      <c r="BK202" s="616">
        <v>1450</v>
      </c>
      <c r="BL202" s="603">
        <f t="shared" si="92"/>
        <v>29</v>
      </c>
      <c r="BM202" s="964"/>
      <c r="BN202" s="602">
        <f t="shared" si="107"/>
        <v>0</v>
      </c>
      <c r="BO202" s="940"/>
      <c r="BP202" s="593">
        <f t="shared" si="108"/>
        <v>0</v>
      </c>
      <c r="BS202" s="741">
        <v>0</v>
      </c>
      <c r="BT202" s="741">
        <v>0</v>
      </c>
      <c r="BU202" s="741">
        <f t="shared" si="103"/>
        <v>0</v>
      </c>
      <c r="BV202" s="741">
        <v>0</v>
      </c>
      <c r="BW202" s="741"/>
      <c r="BX202" s="741"/>
      <c r="BY202" s="741"/>
      <c r="BZ202" s="741">
        <f t="shared" si="86"/>
        <v>0</v>
      </c>
      <c r="CA202" s="741"/>
      <c r="CB202" s="741"/>
      <c r="CC202" s="741">
        <f t="shared" si="109"/>
        <v>0</v>
      </c>
      <c r="CD202" s="751"/>
      <c r="CE202" s="748"/>
      <c r="CF202" s="748"/>
      <c r="CG202" s="748">
        <f t="shared" si="110"/>
        <v>0</v>
      </c>
      <c r="CH202" s="759"/>
      <c r="CI202" s="742"/>
      <c r="CJ202" s="591">
        <f t="shared" si="111"/>
        <v>0</v>
      </c>
    </row>
    <row r="203" spans="1:88" ht="21.6" customHeight="1" x14ac:dyDescent="0.25">
      <c r="A203" s="596" t="s">
        <v>28</v>
      </c>
      <c r="B203" s="596" t="s">
        <v>105</v>
      </c>
      <c r="C203" s="597" t="s">
        <v>621</v>
      </c>
      <c r="D203" s="182" t="s">
        <v>429</v>
      </c>
      <c r="E203" s="598">
        <v>60.333333333333336</v>
      </c>
      <c r="F203" s="596">
        <v>0</v>
      </c>
      <c r="G203" s="598"/>
      <c r="H203" s="596"/>
      <c r="I203" s="596">
        <f t="shared" si="82"/>
        <v>0</v>
      </c>
      <c r="J203" s="728">
        <f>27+12+5</f>
        <v>44</v>
      </c>
      <c r="K203" s="728">
        <f>6+0+6</f>
        <v>12</v>
      </c>
      <c r="L203" s="731">
        <f t="shared" si="83"/>
        <v>56</v>
      </c>
      <c r="M203" s="947"/>
      <c r="N203" s="617">
        <f>475.31+165+269</f>
        <v>909.31</v>
      </c>
      <c r="O203" s="602">
        <f t="shared" si="112"/>
        <v>60.620666666666665</v>
      </c>
      <c r="P203" s="940"/>
      <c r="Q203" s="600">
        <f t="shared" si="104"/>
        <v>-0.28733333333332922</v>
      </c>
      <c r="R203" s="940"/>
      <c r="S203" s="596">
        <v>0</v>
      </c>
      <c r="T203" s="724"/>
      <c r="U203" s="728"/>
      <c r="V203" s="728"/>
      <c r="W203" s="731">
        <f t="shared" si="84"/>
        <v>0</v>
      </c>
      <c r="X203" s="947"/>
      <c r="Y203" s="616"/>
      <c r="Z203" s="602">
        <f t="shared" si="87"/>
        <v>0</v>
      </c>
      <c r="AA203" s="835"/>
      <c r="AB203" s="602">
        <f t="shared" si="88"/>
        <v>0</v>
      </c>
      <c r="AC203" s="940"/>
      <c r="AD203" s="956"/>
      <c r="AE203" s="956"/>
      <c r="AF203" s="598"/>
      <c r="AG203" s="596"/>
      <c r="AH203" s="728"/>
      <c r="AI203" s="728"/>
      <c r="AJ203" s="729">
        <f t="shared" si="102"/>
        <v>0</v>
      </c>
      <c r="AK203" s="946"/>
      <c r="AL203" s="616"/>
      <c r="AM203" s="602">
        <f t="shared" si="89"/>
        <v>0</v>
      </c>
      <c r="AN203" s="835"/>
      <c r="AO203" s="835">
        <f t="shared" si="105"/>
        <v>0</v>
      </c>
      <c r="AP203" s="940"/>
      <c r="AQ203" s="722">
        <v>3</v>
      </c>
      <c r="AR203" s="728"/>
      <c r="AS203" s="728"/>
      <c r="AT203" s="729">
        <f t="shared" si="106"/>
        <v>0</v>
      </c>
      <c r="AU203" s="946"/>
      <c r="AV203" s="616">
        <v>45</v>
      </c>
      <c r="AW203" s="602">
        <f t="shared" si="90"/>
        <v>3</v>
      </c>
      <c r="AX203" s="940"/>
      <c r="AY203" s="602">
        <f t="shared" si="91"/>
        <v>0</v>
      </c>
      <c r="AZ203" s="940"/>
      <c r="BA203" s="962"/>
      <c r="BB203" s="962"/>
      <c r="BC203" s="598"/>
      <c r="BD203" s="665">
        <v>63</v>
      </c>
      <c r="BE203" s="596">
        <v>0</v>
      </c>
      <c r="BF203" s="596">
        <f t="shared" si="93"/>
        <v>63</v>
      </c>
      <c r="BG203" s="728"/>
      <c r="BH203" s="728"/>
      <c r="BI203" s="729">
        <f t="shared" si="85"/>
        <v>0</v>
      </c>
      <c r="BJ203" s="729"/>
      <c r="BK203" s="616">
        <v>3150</v>
      </c>
      <c r="BL203" s="603">
        <f t="shared" si="92"/>
        <v>63</v>
      </c>
      <c r="BM203" s="964"/>
      <c r="BN203" s="602">
        <f t="shared" si="107"/>
        <v>0</v>
      </c>
      <c r="BO203" s="940"/>
      <c r="BP203" s="593">
        <f t="shared" si="108"/>
        <v>0</v>
      </c>
      <c r="BS203" s="741">
        <v>0</v>
      </c>
      <c r="BT203" s="741">
        <v>0</v>
      </c>
      <c r="BU203" s="741">
        <f t="shared" si="103"/>
        <v>0</v>
      </c>
      <c r="BV203" s="741">
        <v>0</v>
      </c>
      <c r="BW203" s="741"/>
      <c r="BX203" s="741"/>
      <c r="BY203" s="741"/>
      <c r="BZ203" s="741">
        <f t="shared" si="86"/>
        <v>0</v>
      </c>
      <c r="CA203" s="741"/>
      <c r="CB203" s="741"/>
      <c r="CC203" s="741">
        <f t="shared" si="109"/>
        <v>0</v>
      </c>
      <c r="CD203" s="751"/>
      <c r="CE203" s="748"/>
      <c r="CF203" s="748"/>
      <c r="CG203" s="748">
        <f t="shared" si="110"/>
        <v>0</v>
      </c>
      <c r="CH203" s="759"/>
      <c r="CI203" s="742"/>
      <c r="CJ203" s="591">
        <f t="shared" si="111"/>
        <v>-0.28733333333332922</v>
      </c>
    </row>
    <row r="204" spans="1:88" ht="49.5" customHeight="1" x14ac:dyDescent="0.25">
      <c r="A204" s="596" t="s">
        <v>28</v>
      </c>
      <c r="B204" s="596" t="s">
        <v>105</v>
      </c>
      <c r="C204" s="597" t="s">
        <v>301</v>
      </c>
      <c r="D204" s="153" t="s">
        <v>431</v>
      </c>
      <c r="E204" s="598">
        <v>5</v>
      </c>
      <c r="F204" s="596">
        <v>0</v>
      </c>
      <c r="G204" s="598">
        <v>5</v>
      </c>
      <c r="H204" s="596"/>
      <c r="I204" s="596">
        <f t="shared" si="82"/>
        <v>0</v>
      </c>
      <c r="J204" s="728"/>
      <c r="K204" s="728">
        <v>4</v>
      </c>
      <c r="L204" s="731">
        <f t="shared" si="83"/>
        <v>4</v>
      </c>
      <c r="M204" s="947"/>
      <c r="N204" s="617">
        <v>75</v>
      </c>
      <c r="O204" s="602">
        <f t="shared" si="112"/>
        <v>5</v>
      </c>
      <c r="P204" s="940"/>
      <c r="Q204" s="600">
        <f t="shared" si="104"/>
        <v>0</v>
      </c>
      <c r="R204" s="940"/>
      <c r="S204" s="596">
        <v>0</v>
      </c>
      <c r="T204" s="724"/>
      <c r="U204" s="728"/>
      <c r="V204" s="728"/>
      <c r="W204" s="731">
        <f t="shared" si="84"/>
        <v>0</v>
      </c>
      <c r="X204" s="947"/>
      <c r="Y204" s="616"/>
      <c r="Z204" s="602">
        <f t="shared" si="87"/>
        <v>0</v>
      </c>
      <c r="AA204" s="835"/>
      <c r="AB204" s="602">
        <f t="shared" si="88"/>
        <v>0</v>
      </c>
      <c r="AC204" s="940"/>
      <c r="AD204" s="956"/>
      <c r="AE204" s="956"/>
      <c r="AF204" s="598">
        <v>5</v>
      </c>
      <c r="AG204" s="596"/>
      <c r="AH204" s="728"/>
      <c r="AI204" s="728"/>
      <c r="AJ204" s="729">
        <f t="shared" si="102"/>
        <v>0</v>
      </c>
      <c r="AK204" s="946"/>
      <c r="AL204" s="616">
        <v>75</v>
      </c>
      <c r="AM204" s="602">
        <f t="shared" si="89"/>
        <v>5</v>
      </c>
      <c r="AN204" s="835"/>
      <c r="AO204" s="835">
        <f t="shared" si="105"/>
        <v>0</v>
      </c>
      <c r="AP204" s="940"/>
      <c r="AQ204" s="722">
        <v>0</v>
      </c>
      <c r="AR204" s="728"/>
      <c r="AS204" s="728"/>
      <c r="AT204" s="729">
        <f t="shared" si="106"/>
        <v>0</v>
      </c>
      <c r="AU204" s="946"/>
      <c r="AV204" s="616"/>
      <c r="AW204" s="602">
        <f t="shared" si="90"/>
        <v>0</v>
      </c>
      <c r="AX204" s="940"/>
      <c r="AY204" s="602">
        <f t="shared" si="91"/>
        <v>0</v>
      </c>
      <c r="AZ204" s="940"/>
      <c r="BA204" s="962"/>
      <c r="BB204" s="962"/>
      <c r="BC204" s="598"/>
      <c r="BD204" s="665">
        <v>10</v>
      </c>
      <c r="BE204" s="596">
        <v>10</v>
      </c>
      <c r="BF204" s="596">
        <f t="shared" si="93"/>
        <v>0</v>
      </c>
      <c r="BG204" s="728"/>
      <c r="BH204" s="728"/>
      <c r="BI204" s="729">
        <f t="shared" si="85"/>
        <v>0</v>
      </c>
      <c r="BJ204" s="729"/>
      <c r="BK204" s="616">
        <v>500</v>
      </c>
      <c r="BL204" s="603">
        <f t="shared" si="92"/>
        <v>10</v>
      </c>
      <c r="BM204" s="964"/>
      <c r="BN204" s="602">
        <f t="shared" si="107"/>
        <v>0</v>
      </c>
      <c r="BO204" s="940"/>
      <c r="BP204" s="593">
        <f t="shared" si="108"/>
        <v>0</v>
      </c>
      <c r="BS204" s="741">
        <v>0</v>
      </c>
      <c r="BT204" s="741">
        <v>0</v>
      </c>
      <c r="BU204" s="741">
        <f t="shared" si="103"/>
        <v>0</v>
      </c>
      <c r="BV204" s="741">
        <v>0</v>
      </c>
      <c r="BW204" s="741"/>
      <c r="BX204" s="741"/>
      <c r="BY204" s="741"/>
      <c r="BZ204" s="741">
        <f t="shared" si="86"/>
        <v>0</v>
      </c>
      <c r="CA204" s="741"/>
      <c r="CB204" s="741"/>
      <c r="CC204" s="741">
        <f t="shared" si="109"/>
        <v>0</v>
      </c>
      <c r="CD204" s="751"/>
      <c r="CE204" s="748"/>
      <c r="CF204" s="748"/>
      <c r="CG204" s="748">
        <f t="shared" si="110"/>
        <v>0</v>
      </c>
      <c r="CH204" s="759"/>
      <c r="CI204" s="742"/>
      <c r="CJ204" s="591">
        <f t="shared" si="111"/>
        <v>0</v>
      </c>
    </row>
    <row r="205" spans="1:88" ht="21.6" customHeight="1" x14ac:dyDescent="0.25">
      <c r="A205" s="596" t="s">
        <v>28</v>
      </c>
      <c r="B205" s="596" t="s">
        <v>105</v>
      </c>
      <c r="C205" s="597" t="s">
        <v>549</v>
      </c>
      <c r="D205" s="166" t="s">
        <v>429</v>
      </c>
      <c r="E205" s="598">
        <v>70</v>
      </c>
      <c r="F205" s="596">
        <v>0</v>
      </c>
      <c r="G205" s="598">
        <v>38</v>
      </c>
      <c r="H205" s="596"/>
      <c r="I205" s="596">
        <f t="shared" si="82"/>
        <v>0</v>
      </c>
      <c r="J205" s="728">
        <f>23+16+4</f>
        <v>43</v>
      </c>
      <c r="K205" s="728">
        <f>9+3+3</f>
        <v>15</v>
      </c>
      <c r="L205" s="731">
        <f t="shared" si="83"/>
        <v>58</v>
      </c>
      <c r="M205" s="947"/>
      <c r="N205" s="617">
        <f>570+330+180</f>
        <v>1080</v>
      </c>
      <c r="O205" s="602">
        <f t="shared" si="112"/>
        <v>72</v>
      </c>
      <c r="P205" s="940"/>
      <c r="Q205" s="600">
        <f t="shared" si="104"/>
        <v>-2</v>
      </c>
      <c r="R205" s="940"/>
      <c r="S205" s="596">
        <v>0</v>
      </c>
      <c r="T205" s="724"/>
      <c r="U205" s="728"/>
      <c r="V205" s="728"/>
      <c r="W205" s="731">
        <f t="shared" si="84"/>
        <v>0</v>
      </c>
      <c r="X205" s="947"/>
      <c r="Y205" s="616"/>
      <c r="Z205" s="602">
        <f t="shared" si="87"/>
        <v>0</v>
      </c>
      <c r="AA205" s="835"/>
      <c r="AB205" s="602">
        <f t="shared" si="88"/>
        <v>0</v>
      </c>
      <c r="AC205" s="940"/>
      <c r="AD205" s="956"/>
      <c r="AE205" s="956"/>
      <c r="AF205" s="598">
        <v>32</v>
      </c>
      <c r="AG205" s="596"/>
      <c r="AH205" s="728"/>
      <c r="AI205" s="728"/>
      <c r="AJ205" s="729">
        <f t="shared" si="102"/>
        <v>0</v>
      </c>
      <c r="AK205" s="946"/>
      <c r="AL205" s="616">
        <v>480</v>
      </c>
      <c r="AM205" s="602">
        <f t="shared" si="89"/>
        <v>32</v>
      </c>
      <c r="AN205" s="835"/>
      <c r="AO205" s="835">
        <f t="shared" si="105"/>
        <v>0</v>
      </c>
      <c r="AP205" s="940"/>
      <c r="AQ205" s="722">
        <v>0</v>
      </c>
      <c r="AR205" s="728"/>
      <c r="AS205" s="728"/>
      <c r="AT205" s="729">
        <f t="shared" si="106"/>
        <v>0</v>
      </c>
      <c r="AU205" s="946"/>
      <c r="AV205" s="616"/>
      <c r="AW205" s="602">
        <f t="shared" si="90"/>
        <v>0</v>
      </c>
      <c r="AX205" s="940"/>
      <c r="AY205" s="602">
        <f t="shared" si="91"/>
        <v>0</v>
      </c>
      <c r="AZ205" s="940"/>
      <c r="BA205" s="962"/>
      <c r="BB205" s="962"/>
      <c r="BC205" s="598"/>
      <c r="BD205" s="665">
        <v>102</v>
      </c>
      <c r="BE205" s="596">
        <v>70</v>
      </c>
      <c r="BF205" s="596">
        <f t="shared" si="93"/>
        <v>32</v>
      </c>
      <c r="BG205" s="728"/>
      <c r="BH205" s="728"/>
      <c r="BI205" s="729">
        <f t="shared" si="85"/>
        <v>0</v>
      </c>
      <c r="BJ205" s="729"/>
      <c r="BK205" s="616">
        <v>5400</v>
      </c>
      <c r="BL205" s="603">
        <f t="shared" si="92"/>
        <v>108</v>
      </c>
      <c r="BM205" s="964"/>
      <c r="BN205" s="602">
        <f t="shared" si="107"/>
        <v>-6</v>
      </c>
      <c r="BO205" s="940"/>
      <c r="BP205" s="593">
        <f t="shared" si="108"/>
        <v>0</v>
      </c>
      <c r="BS205" s="741">
        <v>0</v>
      </c>
      <c r="BT205" s="741">
        <v>0</v>
      </c>
      <c r="BU205" s="741">
        <f t="shared" si="103"/>
        <v>0</v>
      </c>
      <c r="BV205" s="741">
        <v>0</v>
      </c>
      <c r="BW205" s="741"/>
      <c r="BX205" s="741"/>
      <c r="BY205" s="741"/>
      <c r="BZ205" s="741">
        <f t="shared" si="86"/>
        <v>0</v>
      </c>
      <c r="CA205" s="741"/>
      <c r="CB205" s="741"/>
      <c r="CC205" s="741">
        <f t="shared" si="109"/>
        <v>0</v>
      </c>
      <c r="CD205" s="751"/>
      <c r="CE205" s="748"/>
      <c r="CF205" s="748"/>
      <c r="CG205" s="748">
        <f t="shared" si="110"/>
        <v>0</v>
      </c>
      <c r="CH205" s="759"/>
      <c r="CI205" s="742"/>
      <c r="CJ205" s="591">
        <f t="shared" si="111"/>
        <v>-8</v>
      </c>
    </row>
    <row r="206" spans="1:88" ht="21.6" customHeight="1" x14ac:dyDescent="0.25">
      <c r="A206" s="596" t="s">
        <v>28</v>
      </c>
      <c r="B206" s="596" t="s">
        <v>105</v>
      </c>
      <c r="C206" s="597" t="s">
        <v>418</v>
      </c>
      <c r="D206" s="134" t="s">
        <v>429</v>
      </c>
      <c r="E206" s="598">
        <v>13</v>
      </c>
      <c r="F206" s="596">
        <v>0</v>
      </c>
      <c r="G206" s="598">
        <v>13</v>
      </c>
      <c r="H206" s="596"/>
      <c r="I206" s="596">
        <f t="shared" si="82"/>
        <v>0</v>
      </c>
      <c r="J206" s="728">
        <f>11</f>
        <v>11</v>
      </c>
      <c r="K206" s="728">
        <f>4</f>
        <v>4</v>
      </c>
      <c r="L206" s="731">
        <f t="shared" si="83"/>
        <v>15</v>
      </c>
      <c r="M206" s="947"/>
      <c r="N206" s="617">
        <v>195</v>
      </c>
      <c r="O206" s="602">
        <f t="shared" si="112"/>
        <v>13</v>
      </c>
      <c r="P206" s="940"/>
      <c r="Q206" s="600">
        <f t="shared" si="104"/>
        <v>0</v>
      </c>
      <c r="R206" s="940"/>
      <c r="S206" s="596">
        <v>0</v>
      </c>
      <c r="T206" s="724"/>
      <c r="U206" s="728"/>
      <c r="V206" s="728"/>
      <c r="W206" s="731">
        <f t="shared" si="84"/>
        <v>0</v>
      </c>
      <c r="X206" s="947"/>
      <c r="Y206" s="616"/>
      <c r="Z206" s="602">
        <f t="shared" si="87"/>
        <v>0</v>
      </c>
      <c r="AA206" s="835"/>
      <c r="AB206" s="602">
        <f t="shared" si="88"/>
        <v>0</v>
      </c>
      <c r="AC206" s="940"/>
      <c r="AD206" s="956"/>
      <c r="AE206" s="956"/>
      <c r="AF206" s="598">
        <v>14.333333333333334</v>
      </c>
      <c r="AG206" s="596"/>
      <c r="AH206" s="728"/>
      <c r="AI206" s="728"/>
      <c r="AJ206" s="729">
        <f t="shared" si="102"/>
        <v>0</v>
      </c>
      <c r="AK206" s="946"/>
      <c r="AL206" s="616">
        <v>215</v>
      </c>
      <c r="AM206" s="602">
        <f t="shared" si="89"/>
        <v>14.333333333333334</v>
      </c>
      <c r="AN206" s="835"/>
      <c r="AO206" s="835">
        <f t="shared" si="105"/>
        <v>0</v>
      </c>
      <c r="AP206" s="940"/>
      <c r="AQ206" s="722">
        <v>0</v>
      </c>
      <c r="AR206" s="728"/>
      <c r="AS206" s="728"/>
      <c r="AT206" s="729">
        <f t="shared" si="106"/>
        <v>0</v>
      </c>
      <c r="AU206" s="946"/>
      <c r="AV206" s="616"/>
      <c r="AW206" s="602">
        <f t="shared" si="90"/>
        <v>0</v>
      </c>
      <c r="AX206" s="940"/>
      <c r="AY206" s="602">
        <f t="shared" si="91"/>
        <v>0</v>
      </c>
      <c r="AZ206" s="940"/>
      <c r="BA206" s="962"/>
      <c r="BB206" s="962"/>
      <c r="BC206" s="598"/>
      <c r="BD206" s="665">
        <v>27</v>
      </c>
      <c r="BE206" s="596">
        <v>27</v>
      </c>
      <c r="BF206" s="596">
        <f t="shared" si="93"/>
        <v>0</v>
      </c>
      <c r="BG206" s="728"/>
      <c r="BH206" s="728"/>
      <c r="BI206" s="729">
        <f t="shared" si="85"/>
        <v>0</v>
      </c>
      <c r="BJ206" s="729"/>
      <c r="BK206" s="616">
        <v>1350</v>
      </c>
      <c r="BL206" s="603">
        <f t="shared" si="92"/>
        <v>27</v>
      </c>
      <c r="BM206" s="964"/>
      <c r="BN206" s="602">
        <f t="shared" si="107"/>
        <v>0</v>
      </c>
      <c r="BO206" s="940"/>
      <c r="BP206" s="593">
        <f t="shared" si="108"/>
        <v>0</v>
      </c>
      <c r="BS206" s="741">
        <v>0</v>
      </c>
      <c r="BT206" s="741">
        <v>0</v>
      </c>
      <c r="BU206" s="741">
        <f t="shared" si="103"/>
        <v>0</v>
      </c>
      <c r="BV206" s="741">
        <v>0</v>
      </c>
      <c r="BW206" s="741"/>
      <c r="BX206" s="741"/>
      <c r="BY206" s="741"/>
      <c r="BZ206" s="741">
        <f t="shared" si="86"/>
        <v>0</v>
      </c>
      <c r="CA206" s="741"/>
      <c r="CB206" s="741"/>
      <c r="CC206" s="741">
        <f t="shared" si="109"/>
        <v>0</v>
      </c>
      <c r="CD206" s="751"/>
      <c r="CE206" s="748"/>
      <c r="CF206" s="748"/>
      <c r="CG206" s="748">
        <f t="shared" si="110"/>
        <v>0</v>
      </c>
      <c r="CH206" s="759"/>
      <c r="CI206" s="742"/>
      <c r="CJ206" s="591">
        <f t="shared" si="111"/>
        <v>0</v>
      </c>
    </row>
    <row r="207" spans="1:88" ht="21.6" customHeight="1" x14ac:dyDescent="0.25">
      <c r="A207" s="596" t="s">
        <v>28</v>
      </c>
      <c r="B207" s="596" t="s">
        <v>105</v>
      </c>
      <c r="C207" s="597" t="s">
        <v>119</v>
      </c>
      <c r="D207" s="166"/>
      <c r="E207" s="598">
        <v>0</v>
      </c>
      <c r="F207" s="596">
        <v>0</v>
      </c>
      <c r="G207" s="598">
        <v>0</v>
      </c>
      <c r="H207" s="596"/>
      <c r="I207" s="596">
        <f t="shared" si="82"/>
        <v>0</v>
      </c>
      <c r="J207" s="728"/>
      <c r="K207" s="728"/>
      <c r="L207" s="731">
        <f t="shared" ref="L207:L271" si="113">J207+K207</f>
        <v>0</v>
      </c>
      <c r="M207" s="947"/>
      <c r="N207" s="617"/>
      <c r="O207" s="602">
        <f t="shared" si="112"/>
        <v>0</v>
      </c>
      <c r="P207" s="940"/>
      <c r="Q207" s="600">
        <f t="shared" si="104"/>
        <v>0</v>
      </c>
      <c r="R207" s="940"/>
      <c r="S207" s="596">
        <v>0</v>
      </c>
      <c r="T207" s="724"/>
      <c r="U207" s="728"/>
      <c r="V207" s="728"/>
      <c r="W207" s="731">
        <f t="shared" ref="W207:W271" si="114">U207+V207</f>
        <v>0</v>
      </c>
      <c r="X207" s="947"/>
      <c r="Y207" s="616"/>
      <c r="Z207" s="602">
        <f t="shared" si="87"/>
        <v>0</v>
      </c>
      <c r="AA207" s="835"/>
      <c r="AB207" s="602">
        <f t="shared" si="88"/>
        <v>0</v>
      </c>
      <c r="AC207" s="940"/>
      <c r="AD207" s="956"/>
      <c r="AE207" s="956"/>
      <c r="AF207" s="598">
        <v>0</v>
      </c>
      <c r="AG207" s="596"/>
      <c r="AH207" s="728"/>
      <c r="AI207" s="728"/>
      <c r="AJ207" s="729">
        <f t="shared" si="102"/>
        <v>0</v>
      </c>
      <c r="AK207" s="946"/>
      <c r="AL207" s="616"/>
      <c r="AM207" s="602">
        <f t="shared" si="89"/>
        <v>0</v>
      </c>
      <c r="AN207" s="835"/>
      <c r="AO207" s="835">
        <f t="shared" si="105"/>
        <v>0</v>
      </c>
      <c r="AP207" s="940"/>
      <c r="AQ207" s="722">
        <v>0</v>
      </c>
      <c r="AR207" s="728"/>
      <c r="AS207" s="728"/>
      <c r="AT207" s="729">
        <f t="shared" si="106"/>
        <v>0</v>
      </c>
      <c r="AU207" s="946"/>
      <c r="AV207" s="616"/>
      <c r="AW207" s="602">
        <f t="shared" si="90"/>
        <v>0</v>
      </c>
      <c r="AX207" s="940"/>
      <c r="AY207" s="602">
        <f t="shared" si="91"/>
        <v>0</v>
      </c>
      <c r="AZ207" s="940"/>
      <c r="BA207" s="962"/>
      <c r="BB207" s="962"/>
      <c r="BC207" s="598"/>
      <c r="BD207" s="665">
        <v>0</v>
      </c>
      <c r="BE207" s="596">
        <v>0</v>
      </c>
      <c r="BF207" s="596">
        <f t="shared" si="93"/>
        <v>0</v>
      </c>
      <c r="BG207" s="728"/>
      <c r="BH207" s="728"/>
      <c r="BI207" s="729">
        <f t="shared" ref="BI207:BI271" si="115">BG207+BH207</f>
        <v>0</v>
      </c>
      <c r="BJ207" s="729"/>
      <c r="BK207" s="616"/>
      <c r="BL207" s="603">
        <f t="shared" si="92"/>
        <v>0</v>
      </c>
      <c r="BM207" s="964"/>
      <c r="BN207" s="602">
        <f t="shared" si="107"/>
        <v>0</v>
      </c>
      <c r="BO207" s="940"/>
      <c r="BP207" s="593">
        <f t="shared" si="108"/>
        <v>0</v>
      </c>
      <c r="BS207" s="741">
        <v>0</v>
      </c>
      <c r="BT207" s="741">
        <v>0</v>
      </c>
      <c r="BU207" s="741">
        <f t="shared" si="103"/>
        <v>0</v>
      </c>
      <c r="BV207" s="741">
        <v>0</v>
      </c>
      <c r="BW207" s="741"/>
      <c r="BX207" s="741"/>
      <c r="BY207" s="741"/>
      <c r="BZ207" s="741">
        <f t="shared" ref="BZ207:BZ271" si="116">BX207+BY207</f>
        <v>0</v>
      </c>
      <c r="CA207" s="741"/>
      <c r="CB207" s="741"/>
      <c r="CC207" s="741">
        <f t="shared" si="109"/>
        <v>0</v>
      </c>
      <c r="CD207" s="751"/>
      <c r="CE207" s="748"/>
      <c r="CF207" s="748"/>
      <c r="CG207" s="748">
        <f t="shared" si="110"/>
        <v>0</v>
      </c>
      <c r="CH207" s="759"/>
      <c r="CI207" s="742"/>
      <c r="CJ207" s="591">
        <f t="shared" si="111"/>
        <v>0</v>
      </c>
    </row>
    <row r="208" spans="1:88" ht="21.6" customHeight="1" x14ac:dyDescent="0.25">
      <c r="A208" s="596" t="s">
        <v>28</v>
      </c>
      <c r="B208" s="596" t="s">
        <v>105</v>
      </c>
      <c r="C208" s="597" t="s">
        <v>550</v>
      </c>
      <c r="D208" s="182" t="s">
        <v>429</v>
      </c>
      <c r="E208" s="598">
        <v>31.333333333333332</v>
      </c>
      <c r="F208" s="596">
        <v>0</v>
      </c>
      <c r="G208" s="598">
        <v>31.333333333333332</v>
      </c>
      <c r="H208" s="596"/>
      <c r="I208" s="596">
        <f t="shared" si="82"/>
        <v>0</v>
      </c>
      <c r="J208" s="728">
        <f>9</f>
        <v>9</v>
      </c>
      <c r="K208" s="728">
        <f>11</f>
        <v>11</v>
      </c>
      <c r="L208" s="731">
        <f t="shared" si="113"/>
        <v>20</v>
      </c>
      <c r="M208" s="947"/>
      <c r="N208" s="617">
        <v>470</v>
      </c>
      <c r="O208" s="602">
        <f t="shared" si="112"/>
        <v>31.333333333333332</v>
      </c>
      <c r="P208" s="940"/>
      <c r="Q208" s="600">
        <f t="shared" si="104"/>
        <v>0</v>
      </c>
      <c r="R208" s="940"/>
      <c r="S208" s="596">
        <v>0</v>
      </c>
      <c r="T208" s="724"/>
      <c r="U208" s="728"/>
      <c r="V208" s="728"/>
      <c r="W208" s="731">
        <f t="shared" si="114"/>
        <v>0</v>
      </c>
      <c r="X208" s="947"/>
      <c r="Y208" s="616"/>
      <c r="Z208" s="602">
        <f t="shared" si="87"/>
        <v>0</v>
      </c>
      <c r="AA208" s="835"/>
      <c r="AB208" s="602">
        <f t="shared" si="88"/>
        <v>0</v>
      </c>
      <c r="AC208" s="940"/>
      <c r="AD208" s="956"/>
      <c r="AE208" s="956"/>
      <c r="AF208" s="598">
        <v>8.3333333333333339</v>
      </c>
      <c r="AG208" s="596"/>
      <c r="AH208" s="728"/>
      <c r="AI208" s="728"/>
      <c r="AJ208" s="729">
        <f t="shared" si="102"/>
        <v>0</v>
      </c>
      <c r="AK208" s="946"/>
      <c r="AL208" s="616">
        <v>125</v>
      </c>
      <c r="AM208" s="602">
        <f t="shared" si="89"/>
        <v>8.3333333333333339</v>
      </c>
      <c r="AN208" s="835"/>
      <c r="AO208" s="835">
        <f t="shared" si="105"/>
        <v>0</v>
      </c>
      <c r="AP208" s="940"/>
      <c r="AQ208" s="722">
        <v>0</v>
      </c>
      <c r="AR208" s="728"/>
      <c r="AS208" s="728"/>
      <c r="AT208" s="729">
        <f t="shared" si="106"/>
        <v>0</v>
      </c>
      <c r="AU208" s="946"/>
      <c r="AV208" s="616"/>
      <c r="AW208" s="602">
        <f t="shared" si="90"/>
        <v>0</v>
      </c>
      <c r="AX208" s="940"/>
      <c r="AY208" s="602">
        <f t="shared" si="91"/>
        <v>0</v>
      </c>
      <c r="AZ208" s="940"/>
      <c r="BA208" s="962"/>
      <c r="BB208" s="962"/>
      <c r="BC208" s="598"/>
      <c r="BD208" s="665">
        <v>39</v>
      </c>
      <c r="BE208" s="596">
        <v>39</v>
      </c>
      <c r="BF208" s="596">
        <f t="shared" si="93"/>
        <v>0</v>
      </c>
      <c r="BG208" s="728"/>
      <c r="BH208" s="728"/>
      <c r="BI208" s="729">
        <f t="shared" si="115"/>
        <v>0</v>
      </c>
      <c r="BJ208" s="729"/>
      <c r="BK208" s="616">
        <v>1950</v>
      </c>
      <c r="BL208" s="603">
        <f t="shared" si="92"/>
        <v>39</v>
      </c>
      <c r="BM208" s="964"/>
      <c r="BN208" s="602">
        <f t="shared" si="107"/>
        <v>0</v>
      </c>
      <c r="BO208" s="940"/>
      <c r="BP208" s="593">
        <f t="shared" si="108"/>
        <v>0</v>
      </c>
      <c r="BS208" s="741">
        <v>0</v>
      </c>
      <c r="BT208" s="741">
        <v>0</v>
      </c>
      <c r="BU208" s="741">
        <f t="shared" si="103"/>
        <v>0</v>
      </c>
      <c r="BV208" s="741">
        <v>0</v>
      </c>
      <c r="BW208" s="741"/>
      <c r="BX208" s="741"/>
      <c r="BY208" s="741"/>
      <c r="BZ208" s="741">
        <f t="shared" si="116"/>
        <v>0</v>
      </c>
      <c r="CA208" s="741"/>
      <c r="CB208" s="741"/>
      <c r="CC208" s="741">
        <f t="shared" si="109"/>
        <v>0</v>
      </c>
      <c r="CD208" s="751"/>
      <c r="CE208" s="748"/>
      <c r="CF208" s="748"/>
      <c r="CG208" s="748">
        <f t="shared" si="110"/>
        <v>0</v>
      </c>
      <c r="CH208" s="759"/>
      <c r="CI208" s="742"/>
      <c r="CJ208" s="591">
        <f t="shared" si="111"/>
        <v>0</v>
      </c>
    </row>
    <row r="209" spans="1:88" ht="21.6" customHeight="1" x14ac:dyDescent="0.25">
      <c r="A209" s="596" t="s">
        <v>28</v>
      </c>
      <c r="B209" s="596" t="s">
        <v>105</v>
      </c>
      <c r="C209" s="597" t="s">
        <v>120</v>
      </c>
      <c r="D209" s="153" t="s">
        <v>431</v>
      </c>
      <c r="E209" s="598">
        <v>21</v>
      </c>
      <c r="F209" s="596">
        <v>0</v>
      </c>
      <c r="G209" s="598">
        <v>21</v>
      </c>
      <c r="H209" s="596"/>
      <c r="I209" s="596">
        <f t="shared" ref="I209:I275" si="117">F209-H209</f>
        <v>0</v>
      </c>
      <c r="J209" s="728">
        <f>11</f>
        <v>11</v>
      </c>
      <c r="K209" s="728">
        <f>2</f>
        <v>2</v>
      </c>
      <c r="L209" s="731">
        <f t="shared" si="113"/>
        <v>13</v>
      </c>
      <c r="M209" s="947"/>
      <c r="N209" s="617">
        <v>315</v>
      </c>
      <c r="O209" s="602">
        <f t="shared" si="112"/>
        <v>21</v>
      </c>
      <c r="P209" s="940"/>
      <c r="Q209" s="600">
        <f t="shared" si="104"/>
        <v>0</v>
      </c>
      <c r="R209" s="940"/>
      <c r="S209" s="596">
        <v>0</v>
      </c>
      <c r="T209" s="724"/>
      <c r="U209" s="728"/>
      <c r="V209" s="728"/>
      <c r="W209" s="731">
        <f t="shared" si="114"/>
        <v>0</v>
      </c>
      <c r="X209" s="947"/>
      <c r="Y209" s="616"/>
      <c r="Z209" s="602">
        <f t="shared" si="87"/>
        <v>0</v>
      </c>
      <c r="AA209" s="835"/>
      <c r="AB209" s="602">
        <f t="shared" si="88"/>
        <v>0</v>
      </c>
      <c r="AC209" s="940"/>
      <c r="AD209" s="956"/>
      <c r="AE209" s="956"/>
      <c r="AF209" s="598">
        <v>0</v>
      </c>
      <c r="AG209" s="596"/>
      <c r="AH209" s="728"/>
      <c r="AI209" s="728"/>
      <c r="AJ209" s="729">
        <f t="shared" si="102"/>
        <v>0</v>
      </c>
      <c r="AK209" s="946"/>
      <c r="AL209" s="616"/>
      <c r="AM209" s="602">
        <f t="shared" si="89"/>
        <v>0</v>
      </c>
      <c r="AN209" s="835"/>
      <c r="AO209" s="835">
        <f t="shared" si="105"/>
        <v>0</v>
      </c>
      <c r="AP209" s="940"/>
      <c r="AQ209" s="722">
        <v>0</v>
      </c>
      <c r="AR209" s="728"/>
      <c r="AS209" s="728"/>
      <c r="AT209" s="729">
        <f t="shared" si="106"/>
        <v>0</v>
      </c>
      <c r="AU209" s="946"/>
      <c r="AV209" s="616"/>
      <c r="AW209" s="602">
        <f t="shared" si="90"/>
        <v>0</v>
      </c>
      <c r="AX209" s="940"/>
      <c r="AY209" s="602">
        <f t="shared" si="91"/>
        <v>0</v>
      </c>
      <c r="AZ209" s="940"/>
      <c r="BA209" s="962"/>
      <c r="BB209" s="962"/>
      <c r="BC209" s="598"/>
      <c r="BD209" s="665">
        <v>21</v>
      </c>
      <c r="BE209" s="596">
        <v>21</v>
      </c>
      <c r="BF209" s="596">
        <f t="shared" si="93"/>
        <v>0</v>
      </c>
      <c r="BG209" s="728"/>
      <c r="BH209" s="728"/>
      <c r="BI209" s="729">
        <f t="shared" si="115"/>
        <v>0</v>
      </c>
      <c r="BJ209" s="729"/>
      <c r="BK209" s="616">
        <v>1000</v>
      </c>
      <c r="BL209" s="603">
        <f t="shared" si="92"/>
        <v>20</v>
      </c>
      <c r="BM209" s="964"/>
      <c r="BN209" s="602">
        <f t="shared" si="107"/>
        <v>1</v>
      </c>
      <c r="BO209" s="940"/>
      <c r="BP209" s="593">
        <f t="shared" si="108"/>
        <v>0</v>
      </c>
      <c r="BS209" s="741">
        <v>0</v>
      </c>
      <c r="BT209" s="741">
        <v>0</v>
      </c>
      <c r="BU209" s="741">
        <f t="shared" si="103"/>
        <v>0</v>
      </c>
      <c r="BV209" s="741">
        <v>0</v>
      </c>
      <c r="BW209" s="741"/>
      <c r="BX209" s="741"/>
      <c r="BY209" s="741"/>
      <c r="BZ209" s="741">
        <f t="shared" si="116"/>
        <v>0</v>
      </c>
      <c r="CA209" s="741"/>
      <c r="CB209" s="741"/>
      <c r="CC209" s="741">
        <f t="shared" si="109"/>
        <v>0</v>
      </c>
      <c r="CD209" s="751"/>
      <c r="CE209" s="748"/>
      <c r="CF209" s="748"/>
      <c r="CG209" s="748">
        <f t="shared" si="110"/>
        <v>0</v>
      </c>
      <c r="CH209" s="759"/>
      <c r="CI209" s="742"/>
      <c r="CJ209" s="591">
        <f t="shared" si="111"/>
        <v>1</v>
      </c>
    </row>
    <row r="210" spans="1:88" ht="21.6" customHeight="1" x14ac:dyDescent="0.25">
      <c r="A210" s="596" t="s">
        <v>28</v>
      </c>
      <c r="B210" s="596" t="s">
        <v>105</v>
      </c>
      <c r="C210" s="597" t="s">
        <v>121</v>
      </c>
      <c r="D210" s="134"/>
      <c r="E210" s="598">
        <v>0</v>
      </c>
      <c r="F210" s="596">
        <v>0</v>
      </c>
      <c r="G210" s="598">
        <v>0</v>
      </c>
      <c r="H210" s="596"/>
      <c r="I210" s="596">
        <f t="shared" si="117"/>
        <v>0</v>
      </c>
      <c r="J210" s="728"/>
      <c r="K210" s="728"/>
      <c r="L210" s="731">
        <f t="shared" si="113"/>
        <v>0</v>
      </c>
      <c r="M210" s="947"/>
      <c r="N210" s="617"/>
      <c r="O210" s="602">
        <f t="shared" si="112"/>
        <v>0</v>
      </c>
      <c r="P210" s="940"/>
      <c r="Q210" s="600">
        <f t="shared" si="104"/>
        <v>0</v>
      </c>
      <c r="R210" s="940"/>
      <c r="S210" s="596">
        <v>0</v>
      </c>
      <c r="T210" s="724"/>
      <c r="U210" s="728"/>
      <c r="V210" s="728"/>
      <c r="W210" s="731">
        <f t="shared" si="114"/>
        <v>0</v>
      </c>
      <c r="X210" s="947"/>
      <c r="Y210" s="616"/>
      <c r="Z210" s="602">
        <f t="shared" ref="Z210:Z274" si="118">Y210/15</f>
        <v>0</v>
      </c>
      <c r="AA210" s="835"/>
      <c r="AB210" s="602">
        <f t="shared" ref="AB210:AB274" si="119">S210-Z210</f>
        <v>0</v>
      </c>
      <c r="AC210" s="940"/>
      <c r="AD210" s="956"/>
      <c r="AE210" s="956"/>
      <c r="AF210" s="598">
        <v>0</v>
      </c>
      <c r="AG210" s="596"/>
      <c r="AH210" s="728"/>
      <c r="AI210" s="728"/>
      <c r="AJ210" s="729">
        <f t="shared" si="102"/>
        <v>0</v>
      </c>
      <c r="AK210" s="946"/>
      <c r="AL210" s="616"/>
      <c r="AM210" s="602">
        <f t="shared" si="89"/>
        <v>0</v>
      </c>
      <c r="AN210" s="835"/>
      <c r="AO210" s="835">
        <f t="shared" si="105"/>
        <v>0</v>
      </c>
      <c r="AP210" s="940"/>
      <c r="AQ210" s="722">
        <v>0</v>
      </c>
      <c r="AR210" s="728"/>
      <c r="AS210" s="728"/>
      <c r="AT210" s="729">
        <f t="shared" si="106"/>
        <v>0</v>
      </c>
      <c r="AU210" s="946"/>
      <c r="AV210" s="616"/>
      <c r="AW210" s="602">
        <f t="shared" ref="AW210:AW274" si="120">AV210/15</f>
        <v>0</v>
      </c>
      <c r="AX210" s="940"/>
      <c r="AY210" s="602">
        <f t="shared" ref="AY210:AY274" si="121">AQ210-AW210</f>
        <v>0</v>
      </c>
      <c r="AZ210" s="940"/>
      <c r="BA210" s="962"/>
      <c r="BB210" s="962"/>
      <c r="BC210" s="598"/>
      <c r="BD210" s="665">
        <v>0</v>
      </c>
      <c r="BE210" s="596">
        <v>0</v>
      </c>
      <c r="BF210" s="596">
        <f t="shared" si="93"/>
        <v>0</v>
      </c>
      <c r="BG210" s="728"/>
      <c r="BH210" s="728"/>
      <c r="BI210" s="729">
        <f t="shared" si="115"/>
        <v>0</v>
      </c>
      <c r="BJ210" s="729"/>
      <c r="BK210" s="616"/>
      <c r="BL210" s="603">
        <f t="shared" si="92"/>
        <v>0</v>
      </c>
      <c r="BM210" s="964"/>
      <c r="BN210" s="602">
        <f t="shared" si="107"/>
        <v>0</v>
      </c>
      <c r="BO210" s="940"/>
      <c r="BP210" s="593">
        <f t="shared" si="108"/>
        <v>0</v>
      </c>
      <c r="BS210" s="741">
        <v>0</v>
      </c>
      <c r="BT210" s="741">
        <v>0</v>
      </c>
      <c r="BU210" s="741">
        <f t="shared" si="103"/>
        <v>0</v>
      </c>
      <c r="BV210" s="741">
        <v>0</v>
      </c>
      <c r="BW210" s="741"/>
      <c r="BX210" s="741"/>
      <c r="BY210" s="741"/>
      <c r="BZ210" s="741">
        <f t="shared" si="116"/>
        <v>0</v>
      </c>
      <c r="CA210" s="741"/>
      <c r="CB210" s="741"/>
      <c r="CC210" s="741">
        <f t="shared" si="109"/>
        <v>0</v>
      </c>
      <c r="CD210" s="751"/>
      <c r="CE210" s="748"/>
      <c r="CF210" s="748"/>
      <c r="CG210" s="748">
        <f t="shared" si="110"/>
        <v>0</v>
      </c>
      <c r="CH210" s="759"/>
      <c r="CI210" s="742"/>
      <c r="CJ210" s="591">
        <f t="shared" si="111"/>
        <v>0</v>
      </c>
    </row>
    <row r="211" spans="1:88" ht="21.6" customHeight="1" x14ac:dyDescent="0.25">
      <c r="A211" s="596" t="s">
        <v>28</v>
      </c>
      <c r="B211" s="596" t="s">
        <v>105</v>
      </c>
      <c r="C211" s="597" t="s">
        <v>302</v>
      </c>
      <c r="D211" s="134" t="s">
        <v>431</v>
      </c>
      <c r="E211" s="598">
        <v>17.666666666666668</v>
      </c>
      <c r="F211" s="596">
        <v>0</v>
      </c>
      <c r="G211" s="598">
        <v>17.666666666666668</v>
      </c>
      <c r="H211" s="596"/>
      <c r="I211" s="596">
        <f t="shared" si="117"/>
        <v>0</v>
      </c>
      <c r="J211" s="728">
        <f>9</f>
        <v>9</v>
      </c>
      <c r="K211" s="728">
        <f>6</f>
        <v>6</v>
      </c>
      <c r="L211" s="731">
        <f t="shared" si="113"/>
        <v>15</v>
      </c>
      <c r="M211" s="947"/>
      <c r="N211" s="617">
        <v>265</v>
      </c>
      <c r="O211" s="602">
        <f t="shared" si="112"/>
        <v>17.666666666666668</v>
      </c>
      <c r="P211" s="940"/>
      <c r="Q211" s="600">
        <f t="shared" si="104"/>
        <v>0</v>
      </c>
      <c r="R211" s="940"/>
      <c r="S211" s="596">
        <v>0</v>
      </c>
      <c r="T211" s="724"/>
      <c r="U211" s="728"/>
      <c r="V211" s="728"/>
      <c r="W211" s="731">
        <f t="shared" si="114"/>
        <v>0</v>
      </c>
      <c r="X211" s="947"/>
      <c r="Y211" s="616"/>
      <c r="Z211" s="602">
        <f t="shared" si="118"/>
        <v>0</v>
      </c>
      <c r="AA211" s="835"/>
      <c r="AB211" s="602">
        <f t="shared" si="119"/>
        <v>0</v>
      </c>
      <c r="AC211" s="940"/>
      <c r="AD211" s="956"/>
      <c r="AE211" s="956"/>
      <c r="AF211" s="598">
        <v>0</v>
      </c>
      <c r="AG211" s="596"/>
      <c r="AH211" s="728"/>
      <c r="AI211" s="728"/>
      <c r="AJ211" s="729">
        <f t="shared" si="102"/>
        <v>0</v>
      </c>
      <c r="AK211" s="946"/>
      <c r="AL211" s="616"/>
      <c r="AM211" s="602">
        <f t="shared" ref="AM211:AM277" si="122">AL211/15</f>
        <v>0</v>
      </c>
      <c r="AN211" s="835"/>
      <c r="AO211" s="835">
        <f t="shared" si="105"/>
        <v>0</v>
      </c>
      <c r="AP211" s="940"/>
      <c r="AQ211" s="722">
        <v>5</v>
      </c>
      <c r="AR211" s="728">
        <v>5</v>
      </c>
      <c r="AS211" s="728">
        <v>0</v>
      </c>
      <c r="AT211" s="729">
        <f t="shared" si="106"/>
        <v>5</v>
      </c>
      <c r="AU211" s="946"/>
      <c r="AV211" s="616">
        <v>75</v>
      </c>
      <c r="AW211" s="602">
        <f t="shared" si="120"/>
        <v>5</v>
      </c>
      <c r="AX211" s="940"/>
      <c r="AY211" s="602">
        <f t="shared" si="121"/>
        <v>0</v>
      </c>
      <c r="AZ211" s="940"/>
      <c r="BA211" s="962"/>
      <c r="BB211" s="962"/>
      <c r="BC211" s="598"/>
      <c r="BD211" s="665">
        <v>17</v>
      </c>
      <c r="BE211" s="596">
        <v>17</v>
      </c>
      <c r="BF211" s="596">
        <f t="shared" si="93"/>
        <v>0</v>
      </c>
      <c r="BG211" s="728"/>
      <c r="BH211" s="728"/>
      <c r="BI211" s="729">
        <f t="shared" si="115"/>
        <v>0</v>
      </c>
      <c r="BJ211" s="729"/>
      <c r="BK211" s="616">
        <v>850</v>
      </c>
      <c r="BL211" s="603">
        <f t="shared" ref="BL211:BL277" si="123">BK211/50</f>
        <v>17</v>
      </c>
      <c r="BM211" s="964"/>
      <c r="BN211" s="602">
        <f t="shared" si="107"/>
        <v>0</v>
      </c>
      <c r="BO211" s="940"/>
      <c r="BP211" s="593">
        <f t="shared" si="108"/>
        <v>0</v>
      </c>
      <c r="BS211" s="741">
        <v>0</v>
      </c>
      <c r="BT211" s="741">
        <v>0</v>
      </c>
      <c r="BU211" s="741">
        <f t="shared" si="103"/>
        <v>0</v>
      </c>
      <c r="BV211" s="741">
        <v>0</v>
      </c>
      <c r="BW211" s="741"/>
      <c r="BX211" s="741"/>
      <c r="BY211" s="741"/>
      <c r="BZ211" s="741">
        <f t="shared" si="116"/>
        <v>0</v>
      </c>
      <c r="CA211" s="741"/>
      <c r="CB211" s="741"/>
      <c r="CC211" s="741">
        <f t="shared" si="109"/>
        <v>0</v>
      </c>
      <c r="CD211" s="751"/>
      <c r="CE211" s="748"/>
      <c r="CF211" s="748"/>
      <c r="CG211" s="748">
        <f t="shared" si="110"/>
        <v>0</v>
      </c>
      <c r="CH211" s="759"/>
      <c r="CI211" s="742"/>
      <c r="CJ211" s="591">
        <f t="shared" si="111"/>
        <v>0</v>
      </c>
    </row>
    <row r="212" spans="1:88" ht="21.6" customHeight="1" x14ac:dyDescent="0.25">
      <c r="A212" s="596" t="s">
        <v>28</v>
      </c>
      <c r="B212" s="596" t="s">
        <v>105</v>
      </c>
      <c r="C212" s="597" t="s">
        <v>122</v>
      </c>
      <c r="D212" s="134" t="s">
        <v>431</v>
      </c>
      <c r="E212" s="598">
        <v>11</v>
      </c>
      <c r="F212" s="596">
        <v>0</v>
      </c>
      <c r="G212" s="598">
        <v>11</v>
      </c>
      <c r="H212" s="596"/>
      <c r="I212" s="596">
        <f t="shared" si="117"/>
        <v>0</v>
      </c>
      <c r="J212" s="728">
        <v>6</v>
      </c>
      <c r="K212" s="728">
        <v>4</v>
      </c>
      <c r="L212" s="731">
        <f t="shared" si="113"/>
        <v>10</v>
      </c>
      <c r="M212" s="947"/>
      <c r="N212" s="617">
        <v>165</v>
      </c>
      <c r="O212" s="602">
        <f t="shared" si="112"/>
        <v>11</v>
      </c>
      <c r="P212" s="940"/>
      <c r="Q212" s="600">
        <f t="shared" si="104"/>
        <v>0</v>
      </c>
      <c r="R212" s="940"/>
      <c r="S212" s="596">
        <v>0</v>
      </c>
      <c r="T212" s="724"/>
      <c r="U212" s="728"/>
      <c r="V212" s="728"/>
      <c r="W212" s="731">
        <f t="shared" si="114"/>
        <v>0</v>
      </c>
      <c r="X212" s="947"/>
      <c r="Y212" s="616"/>
      <c r="Z212" s="602">
        <f t="shared" si="118"/>
        <v>0</v>
      </c>
      <c r="AA212" s="835"/>
      <c r="AB212" s="602">
        <f t="shared" si="119"/>
        <v>0</v>
      </c>
      <c r="AC212" s="940"/>
      <c r="AD212" s="956"/>
      <c r="AE212" s="956"/>
      <c r="AF212" s="598">
        <v>10.333333333333334</v>
      </c>
      <c r="AG212" s="596"/>
      <c r="AH212" s="728"/>
      <c r="AI212" s="728"/>
      <c r="AJ212" s="729">
        <f t="shared" si="102"/>
        <v>0</v>
      </c>
      <c r="AK212" s="946"/>
      <c r="AL212" s="616">
        <v>155</v>
      </c>
      <c r="AM212" s="602">
        <f t="shared" si="122"/>
        <v>10.333333333333334</v>
      </c>
      <c r="AN212" s="835"/>
      <c r="AO212" s="835">
        <f t="shared" si="105"/>
        <v>0</v>
      </c>
      <c r="AP212" s="940"/>
      <c r="AQ212" s="722">
        <v>0</v>
      </c>
      <c r="AR212" s="728"/>
      <c r="AS212" s="728"/>
      <c r="AT212" s="729">
        <f t="shared" si="106"/>
        <v>0</v>
      </c>
      <c r="AU212" s="946"/>
      <c r="AV212" s="616"/>
      <c r="AW212" s="602">
        <f t="shared" si="120"/>
        <v>0</v>
      </c>
      <c r="AX212" s="940"/>
      <c r="AY212" s="602">
        <f t="shared" si="121"/>
        <v>0</v>
      </c>
      <c r="AZ212" s="940"/>
      <c r="BA212" s="962"/>
      <c r="BB212" s="962"/>
      <c r="BC212" s="598"/>
      <c r="BD212" s="665">
        <v>21</v>
      </c>
      <c r="BE212" s="596">
        <v>21</v>
      </c>
      <c r="BF212" s="596">
        <f t="shared" ref="BF212:BF278" si="124">BD212-BE212</f>
        <v>0</v>
      </c>
      <c r="BG212" s="728"/>
      <c r="BH212" s="728"/>
      <c r="BI212" s="729">
        <f t="shared" si="115"/>
        <v>0</v>
      </c>
      <c r="BJ212" s="729"/>
      <c r="BK212" s="616">
        <v>1050</v>
      </c>
      <c r="BL212" s="603">
        <f t="shared" si="123"/>
        <v>21</v>
      </c>
      <c r="BM212" s="964"/>
      <c r="BN212" s="602">
        <f t="shared" si="107"/>
        <v>0</v>
      </c>
      <c r="BO212" s="940"/>
      <c r="BP212" s="593">
        <f t="shared" si="108"/>
        <v>0</v>
      </c>
      <c r="BS212" s="741">
        <v>0</v>
      </c>
      <c r="BT212" s="741">
        <v>0</v>
      </c>
      <c r="BU212" s="741">
        <f t="shared" si="103"/>
        <v>0</v>
      </c>
      <c r="BV212" s="741">
        <v>0</v>
      </c>
      <c r="BW212" s="741"/>
      <c r="BX212" s="741"/>
      <c r="BY212" s="741"/>
      <c r="BZ212" s="741">
        <f t="shared" si="116"/>
        <v>0</v>
      </c>
      <c r="CA212" s="741"/>
      <c r="CB212" s="741"/>
      <c r="CC212" s="741">
        <f t="shared" si="109"/>
        <v>0</v>
      </c>
      <c r="CD212" s="751"/>
      <c r="CE212" s="748"/>
      <c r="CF212" s="748"/>
      <c r="CG212" s="748">
        <f t="shared" si="110"/>
        <v>0</v>
      </c>
      <c r="CH212" s="759"/>
      <c r="CI212" s="742"/>
      <c r="CJ212" s="591">
        <f t="shared" si="111"/>
        <v>0</v>
      </c>
    </row>
    <row r="213" spans="1:88" ht="21.6" customHeight="1" x14ac:dyDescent="0.25">
      <c r="A213" s="596" t="s">
        <v>28</v>
      </c>
      <c r="B213" s="596" t="s">
        <v>105</v>
      </c>
      <c r="C213" s="597" t="s">
        <v>123</v>
      </c>
      <c r="D213" s="166"/>
      <c r="E213" s="598">
        <v>0</v>
      </c>
      <c r="F213" s="596">
        <v>0</v>
      </c>
      <c r="G213" s="598">
        <v>0</v>
      </c>
      <c r="H213" s="596"/>
      <c r="I213" s="596">
        <f t="shared" si="117"/>
        <v>0</v>
      </c>
      <c r="J213" s="728"/>
      <c r="K213" s="728"/>
      <c r="L213" s="731">
        <f t="shared" si="113"/>
        <v>0</v>
      </c>
      <c r="M213" s="947"/>
      <c r="N213" s="617"/>
      <c r="O213" s="602">
        <f t="shared" si="112"/>
        <v>0</v>
      </c>
      <c r="P213" s="940"/>
      <c r="Q213" s="600">
        <f t="shared" si="104"/>
        <v>0</v>
      </c>
      <c r="R213" s="940"/>
      <c r="S213" s="596">
        <v>0</v>
      </c>
      <c r="T213" s="724"/>
      <c r="U213" s="728"/>
      <c r="V213" s="728"/>
      <c r="W213" s="731">
        <f t="shared" si="114"/>
        <v>0</v>
      </c>
      <c r="X213" s="947"/>
      <c r="Y213" s="616"/>
      <c r="Z213" s="602">
        <f t="shared" si="118"/>
        <v>0</v>
      </c>
      <c r="AA213" s="835"/>
      <c r="AB213" s="602">
        <f t="shared" si="119"/>
        <v>0</v>
      </c>
      <c r="AC213" s="940"/>
      <c r="AD213" s="956"/>
      <c r="AE213" s="956"/>
      <c r="AF213" s="598">
        <v>0</v>
      </c>
      <c r="AG213" s="596"/>
      <c r="AH213" s="728"/>
      <c r="AI213" s="728"/>
      <c r="AJ213" s="729">
        <f t="shared" si="102"/>
        <v>0</v>
      </c>
      <c r="AK213" s="946"/>
      <c r="AL213" s="616"/>
      <c r="AM213" s="602">
        <f t="shared" si="122"/>
        <v>0</v>
      </c>
      <c r="AN213" s="835"/>
      <c r="AO213" s="835">
        <f t="shared" si="105"/>
        <v>0</v>
      </c>
      <c r="AP213" s="940"/>
      <c r="AQ213" s="722">
        <v>0</v>
      </c>
      <c r="AR213" s="728"/>
      <c r="AS213" s="728"/>
      <c r="AT213" s="729">
        <f t="shared" si="106"/>
        <v>0</v>
      </c>
      <c r="AU213" s="946"/>
      <c r="AV213" s="616"/>
      <c r="AW213" s="602">
        <f t="shared" si="120"/>
        <v>0</v>
      </c>
      <c r="AX213" s="940"/>
      <c r="AY213" s="602">
        <f t="shared" si="121"/>
        <v>0</v>
      </c>
      <c r="AZ213" s="940"/>
      <c r="BA213" s="962"/>
      <c r="BB213" s="962"/>
      <c r="BC213" s="598"/>
      <c r="BD213" s="665">
        <v>0</v>
      </c>
      <c r="BE213" s="596">
        <v>0</v>
      </c>
      <c r="BF213" s="596">
        <f t="shared" si="124"/>
        <v>0</v>
      </c>
      <c r="BG213" s="728"/>
      <c r="BH213" s="728"/>
      <c r="BI213" s="729">
        <f t="shared" si="115"/>
        <v>0</v>
      </c>
      <c r="BJ213" s="729"/>
      <c r="BK213" s="616"/>
      <c r="BL213" s="603">
        <f t="shared" si="123"/>
        <v>0</v>
      </c>
      <c r="BM213" s="964"/>
      <c r="BN213" s="602">
        <f t="shared" si="107"/>
        <v>0</v>
      </c>
      <c r="BO213" s="940"/>
      <c r="BP213" s="593">
        <f t="shared" si="108"/>
        <v>0</v>
      </c>
      <c r="BS213" s="741">
        <v>0</v>
      </c>
      <c r="BT213" s="741">
        <v>0</v>
      </c>
      <c r="BU213" s="741">
        <f t="shared" si="103"/>
        <v>0</v>
      </c>
      <c r="BV213" s="741">
        <v>0</v>
      </c>
      <c r="BW213" s="741"/>
      <c r="BX213" s="741"/>
      <c r="BY213" s="741"/>
      <c r="BZ213" s="741">
        <f t="shared" si="116"/>
        <v>0</v>
      </c>
      <c r="CA213" s="741"/>
      <c r="CB213" s="741"/>
      <c r="CC213" s="741">
        <f t="shared" si="109"/>
        <v>0</v>
      </c>
      <c r="CD213" s="751"/>
      <c r="CE213" s="748"/>
      <c r="CF213" s="748"/>
      <c r="CG213" s="748">
        <f t="shared" si="110"/>
        <v>0</v>
      </c>
      <c r="CH213" s="759"/>
      <c r="CI213" s="742"/>
      <c r="CJ213" s="591">
        <f t="shared" si="111"/>
        <v>0</v>
      </c>
    </row>
    <row r="214" spans="1:88" ht="21.6" customHeight="1" x14ac:dyDescent="0.25">
      <c r="A214" s="596" t="s">
        <v>28</v>
      </c>
      <c r="B214" s="596" t="s">
        <v>105</v>
      </c>
      <c r="C214" s="597" t="s">
        <v>124</v>
      </c>
      <c r="D214" s="153" t="s">
        <v>431</v>
      </c>
      <c r="E214" s="598">
        <v>0</v>
      </c>
      <c r="F214" s="596">
        <v>0</v>
      </c>
      <c r="G214" s="598">
        <v>0</v>
      </c>
      <c r="H214" s="596"/>
      <c r="I214" s="596">
        <f t="shared" si="117"/>
        <v>0</v>
      </c>
      <c r="J214" s="728"/>
      <c r="K214" s="728"/>
      <c r="L214" s="731">
        <f t="shared" si="113"/>
        <v>0</v>
      </c>
      <c r="M214" s="947"/>
      <c r="N214" s="617"/>
      <c r="O214" s="602">
        <f t="shared" si="112"/>
        <v>0</v>
      </c>
      <c r="P214" s="940"/>
      <c r="Q214" s="600">
        <f t="shared" si="104"/>
        <v>0</v>
      </c>
      <c r="R214" s="940"/>
      <c r="S214" s="596">
        <v>0</v>
      </c>
      <c r="T214" s="724"/>
      <c r="U214" s="728"/>
      <c r="V214" s="728"/>
      <c r="W214" s="731">
        <f t="shared" si="114"/>
        <v>0</v>
      </c>
      <c r="X214" s="947"/>
      <c r="Y214" s="616"/>
      <c r="Z214" s="602">
        <f t="shared" si="118"/>
        <v>0</v>
      </c>
      <c r="AA214" s="835"/>
      <c r="AB214" s="602">
        <f t="shared" si="119"/>
        <v>0</v>
      </c>
      <c r="AC214" s="940"/>
      <c r="AD214" s="956"/>
      <c r="AE214" s="956"/>
      <c r="AF214" s="598">
        <v>10</v>
      </c>
      <c r="AG214" s="596"/>
      <c r="AH214" s="728"/>
      <c r="AI214" s="728"/>
      <c r="AJ214" s="729">
        <f t="shared" si="102"/>
        <v>0</v>
      </c>
      <c r="AK214" s="946"/>
      <c r="AL214" s="616">
        <v>150</v>
      </c>
      <c r="AM214" s="602">
        <f t="shared" si="122"/>
        <v>10</v>
      </c>
      <c r="AN214" s="835"/>
      <c r="AO214" s="835">
        <f t="shared" si="105"/>
        <v>0</v>
      </c>
      <c r="AP214" s="940"/>
      <c r="AQ214" s="722">
        <v>0</v>
      </c>
      <c r="AR214" s="728"/>
      <c r="AS214" s="728"/>
      <c r="AT214" s="729">
        <f t="shared" si="106"/>
        <v>0</v>
      </c>
      <c r="AU214" s="946"/>
      <c r="AV214" s="616"/>
      <c r="AW214" s="602">
        <f t="shared" si="120"/>
        <v>0</v>
      </c>
      <c r="AX214" s="940"/>
      <c r="AY214" s="602">
        <f t="shared" si="121"/>
        <v>0</v>
      </c>
      <c r="AZ214" s="940"/>
      <c r="BA214" s="962"/>
      <c r="BB214" s="962"/>
      <c r="BC214" s="598"/>
      <c r="BD214" s="665">
        <v>10</v>
      </c>
      <c r="BE214" s="596">
        <v>10</v>
      </c>
      <c r="BF214" s="596">
        <f t="shared" si="124"/>
        <v>0</v>
      </c>
      <c r="BG214" s="728"/>
      <c r="BH214" s="728"/>
      <c r="BI214" s="729">
        <f t="shared" si="115"/>
        <v>0</v>
      </c>
      <c r="BJ214" s="729"/>
      <c r="BK214" s="616">
        <v>500</v>
      </c>
      <c r="BL214" s="603">
        <f t="shared" si="123"/>
        <v>10</v>
      </c>
      <c r="BM214" s="964"/>
      <c r="BN214" s="602">
        <f t="shared" si="107"/>
        <v>0</v>
      </c>
      <c r="BO214" s="940"/>
      <c r="BP214" s="593">
        <f t="shared" ref="BP214:BP224" si="125">BO214+AZ214+AP214+AC214+R214</f>
        <v>0</v>
      </c>
      <c r="BS214" s="741">
        <v>0</v>
      </c>
      <c r="BT214" s="741">
        <v>0</v>
      </c>
      <c r="BU214" s="741">
        <f t="shared" si="103"/>
        <v>0</v>
      </c>
      <c r="BV214" s="741">
        <v>0</v>
      </c>
      <c r="BW214" s="741"/>
      <c r="BX214" s="741"/>
      <c r="BY214" s="741"/>
      <c r="BZ214" s="741">
        <f t="shared" si="116"/>
        <v>0</v>
      </c>
      <c r="CA214" s="741"/>
      <c r="CB214" s="741"/>
      <c r="CC214" s="741">
        <f t="shared" ref="CC214:CC224" si="126">BV214+CA214</f>
        <v>0</v>
      </c>
      <c r="CD214" s="751"/>
      <c r="CE214" s="748"/>
      <c r="CF214" s="748"/>
      <c r="CG214" s="748">
        <f t="shared" si="110"/>
        <v>0</v>
      </c>
      <c r="CH214" s="759"/>
      <c r="CI214" s="742"/>
      <c r="CJ214" s="591">
        <f t="shared" ref="CJ214:CJ224" si="127">BN214+AY214+AO214+AB214+Q214</f>
        <v>0</v>
      </c>
    </row>
    <row r="215" spans="1:88" ht="21.6" customHeight="1" x14ac:dyDescent="0.25">
      <c r="A215" s="596" t="s">
        <v>28</v>
      </c>
      <c r="B215" s="596" t="s">
        <v>105</v>
      </c>
      <c r="C215" s="597" t="s">
        <v>125</v>
      </c>
      <c r="D215" s="166"/>
      <c r="E215" s="598">
        <v>0</v>
      </c>
      <c r="F215" s="596">
        <v>0</v>
      </c>
      <c r="G215" s="598">
        <v>0</v>
      </c>
      <c r="H215" s="596"/>
      <c r="I215" s="596">
        <f t="shared" si="117"/>
        <v>0</v>
      </c>
      <c r="J215" s="728"/>
      <c r="K215" s="728"/>
      <c r="L215" s="731">
        <f t="shared" si="113"/>
        <v>0</v>
      </c>
      <c r="M215" s="947"/>
      <c r="N215" s="617"/>
      <c r="O215" s="602">
        <f t="shared" si="112"/>
        <v>0</v>
      </c>
      <c r="P215" s="940"/>
      <c r="Q215" s="600">
        <f t="shared" si="104"/>
        <v>0</v>
      </c>
      <c r="R215" s="940"/>
      <c r="S215" s="596">
        <v>0</v>
      </c>
      <c r="T215" s="724"/>
      <c r="U215" s="728"/>
      <c r="V215" s="728"/>
      <c r="W215" s="731">
        <f t="shared" si="114"/>
        <v>0</v>
      </c>
      <c r="X215" s="947"/>
      <c r="Y215" s="616"/>
      <c r="Z215" s="602">
        <f t="shared" si="118"/>
        <v>0</v>
      </c>
      <c r="AA215" s="835"/>
      <c r="AB215" s="602">
        <f t="shared" si="119"/>
        <v>0</v>
      </c>
      <c r="AC215" s="940"/>
      <c r="AD215" s="956"/>
      <c r="AE215" s="956"/>
      <c r="AF215" s="598">
        <v>0</v>
      </c>
      <c r="AG215" s="596"/>
      <c r="AH215" s="728"/>
      <c r="AI215" s="728"/>
      <c r="AJ215" s="729">
        <f t="shared" si="102"/>
        <v>0</v>
      </c>
      <c r="AK215" s="946"/>
      <c r="AL215" s="616"/>
      <c r="AM215" s="602">
        <f t="shared" si="122"/>
        <v>0</v>
      </c>
      <c r="AN215" s="835"/>
      <c r="AO215" s="835">
        <f t="shared" si="105"/>
        <v>0</v>
      </c>
      <c r="AP215" s="940"/>
      <c r="AQ215" s="722">
        <v>0</v>
      </c>
      <c r="AR215" s="728"/>
      <c r="AS215" s="728"/>
      <c r="AT215" s="729">
        <f t="shared" si="106"/>
        <v>0</v>
      </c>
      <c r="AU215" s="946"/>
      <c r="AV215" s="616"/>
      <c r="AW215" s="602">
        <f t="shared" si="120"/>
        <v>0</v>
      </c>
      <c r="AX215" s="940"/>
      <c r="AY215" s="602">
        <f t="shared" si="121"/>
        <v>0</v>
      </c>
      <c r="AZ215" s="940"/>
      <c r="BA215" s="962"/>
      <c r="BB215" s="962"/>
      <c r="BC215" s="598"/>
      <c r="BD215" s="665">
        <v>0</v>
      </c>
      <c r="BE215" s="596">
        <v>0</v>
      </c>
      <c r="BF215" s="596">
        <f t="shared" si="124"/>
        <v>0</v>
      </c>
      <c r="BG215" s="728"/>
      <c r="BH215" s="728"/>
      <c r="BI215" s="729">
        <f t="shared" si="115"/>
        <v>0</v>
      </c>
      <c r="BJ215" s="729"/>
      <c r="BK215" s="616"/>
      <c r="BL215" s="603">
        <f t="shared" si="123"/>
        <v>0</v>
      </c>
      <c r="BM215" s="964"/>
      <c r="BN215" s="602">
        <f t="shared" si="107"/>
        <v>0</v>
      </c>
      <c r="BO215" s="940"/>
      <c r="BP215" s="593">
        <f t="shared" si="125"/>
        <v>0</v>
      </c>
      <c r="BS215" s="741">
        <v>0</v>
      </c>
      <c r="BT215" s="741">
        <v>0</v>
      </c>
      <c r="BU215" s="741">
        <f t="shared" si="103"/>
        <v>0</v>
      </c>
      <c r="BV215" s="741">
        <v>0</v>
      </c>
      <c r="BW215" s="741"/>
      <c r="BX215" s="741"/>
      <c r="BY215" s="741"/>
      <c r="BZ215" s="741">
        <f t="shared" si="116"/>
        <v>0</v>
      </c>
      <c r="CA215" s="741"/>
      <c r="CB215" s="741"/>
      <c r="CC215" s="741">
        <f t="shared" si="126"/>
        <v>0</v>
      </c>
      <c r="CD215" s="751"/>
      <c r="CE215" s="748"/>
      <c r="CF215" s="748"/>
      <c r="CG215" s="748">
        <f t="shared" si="110"/>
        <v>0</v>
      </c>
      <c r="CH215" s="759"/>
      <c r="CI215" s="742"/>
      <c r="CJ215" s="591">
        <f t="shared" si="127"/>
        <v>0</v>
      </c>
    </row>
    <row r="216" spans="1:88" ht="21.6" customHeight="1" x14ac:dyDescent="0.25">
      <c r="A216" s="596" t="s">
        <v>28</v>
      </c>
      <c r="B216" s="596" t="s">
        <v>105</v>
      </c>
      <c r="C216" s="597" t="s">
        <v>126</v>
      </c>
      <c r="D216" s="166"/>
      <c r="E216" s="598">
        <v>0</v>
      </c>
      <c r="F216" s="596">
        <v>0</v>
      </c>
      <c r="G216" s="598">
        <v>0</v>
      </c>
      <c r="H216" s="596"/>
      <c r="I216" s="596">
        <f t="shared" si="117"/>
        <v>0</v>
      </c>
      <c r="J216" s="728"/>
      <c r="K216" s="728"/>
      <c r="L216" s="731">
        <f t="shared" si="113"/>
        <v>0</v>
      </c>
      <c r="M216" s="947"/>
      <c r="N216" s="617"/>
      <c r="O216" s="602">
        <f t="shared" si="112"/>
        <v>0</v>
      </c>
      <c r="P216" s="940"/>
      <c r="Q216" s="600">
        <f t="shared" si="104"/>
        <v>0</v>
      </c>
      <c r="R216" s="940"/>
      <c r="S216" s="596">
        <v>0</v>
      </c>
      <c r="T216" s="724"/>
      <c r="U216" s="728"/>
      <c r="V216" s="728"/>
      <c r="W216" s="731">
        <f t="shared" si="114"/>
        <v>0</v>
      </c>
      <c r="X216" s="947"/>
      <c r="Y216" s="616"/>
      <c r="Z216" s="602">
        <f t="shared" si="118"/>
        <v>0</v>
      </c>
      <c r="AA216" s="835"/>
      <c r="AB216" s="602">
        <f t="shared" si="119"/>
        <v>0</v>
      </c>
      <c r="AC216" s="940"/>
      <c r="AD216" s="956"/>
      <c r="AE216" s="956"/>
      <c r="AF216" s="598">
        <v>0</v>
      </c>
      <c r="AG216" s="596"/>
      <c r="AH216" s="728"/>
      <c r="AI216" s="728"/>
      <c r="AJ216" s="729">
        <f t="shared" si="102"/>
        <v>0</v>
      </c>
      <c r="AK216" s="946"/>
      <c r="AL216" s="616"/>
      <c r="AM216" s="602">
        <f t="shared" si="122"/>
        <v>0</v>
      </c>
      <c r="AN216" s="835"/>
      <c r="AO216" s="835">
        <f t="shared" si="105"/>
        <v>0</v>
      </c>
      <c r="AP216" s="940"/>
      <c r="AQ216" s="722">
        <v>0</v>
      </c>
      <c r="AR216" s="728"/>
      <c r="AS216" s="728"/>
      <c r="AT216" s="729">
        <f t="shared" si="106"/>
        <v>0</v>
      </c>
      <c r="AU216" s="946"/>
      <c r="AV216" s="616"/>
      <c r="AW216" s="602">
        <f t="shared" si="120"/>
        <v>0</v>
      </c>
      <c r="AX216" s="940"/>
      <c r="AY216" s="602">
        <f t="shared" si="121"/>
        <v>0</v>
      </c>
      <c r="AZ216" s="940"/>
      <c r="BA216" s="962"/>
      <c r="BB216" s="962"/>
      <c r="BC216" s="598"/>
      <c r="BD216" s="665">
        <v>0</v>
      </c>
      <c r="BE216" s="596">
        <v>0</v>
      </c>
      <c r="BF216" s="596">
        <f t="shared" si="124"/>
        <v>0</v>
      </c>
      <c r="BG216" s="728"/>
      <c r="BH216" s="728"/>
      <c r="BI216" s="729">
        <f t="shared" si="115"/>
        <v>0</v>
      </c>
      <c r="BJ216" s="729"/>
      <c r="BK216" s="616"/>
      <c r="BL216" s="603">
        <f t="shared" si="123"/>
        <v>0</v>
      </c>
      <c r="BM216" s="964"/>
      <c r="BN216" s="602">
        <f t="shared" si="107"/>
        <v>0</v>
      </c>
      <c r="BO216" s="940"/>
      <c r="BP216" s="593">
        <f t="shared" si="125"/>
        <v>0</v>
      </c>
      <c r="BS216" s="741">
        <v>0</v>
      </c>
      <c r="BT216" s="741">
        <v>0</v>
      </c>
      <c r="BU216" s="741">
        <f t="shared" si="103"/>
        <v>0</v>
      </c>
      <c r="BV216" s="741">
        <v>0</v>
      </c>
      <c r="BW216" s="741"/>
      <c r="BX216" s="741"/>
      <c r="BY216" s="741"/>
      <c r="BZ216" s="741">
        <f t="shared" si="116"/>
        <v>0</v>
      </c>
      <c r="CA216" s="741"/>
      <c r="CB216" s="741"/>
      <c r="CC216" s="741">
        <f t="shared" si="126"/>
        <v>0</v>
      </c>
      <c r="CD216" s="751"/>
      <c r="CE216" s="748"/>
      <c r="CF216" s="748"/>
      <c r="CG216" s="748">
        <f t="shared" si="110"/>
        <v>0</v>
      </c>
      <c r="CH216" s="759"/>
      <c r="CI216" s="742"/>
      <c r="CJ216" s="591">
        <f t="shared" si="127"/>
        <v>0</v>
      </c>
    </row>
    <row r="217" spans="1:88" ht="21.6" customHeight="1" x14ac:dyDescent="0.25">
      <c r="A217" s="596" t="s">
        <v>28</v>
      </c>
      <c r="B217" s="596" t="s">
        <v>105</v>
      </c>
      <c r="C217" s="597" t="s">
        <v>551</v>
      </c>
      <c r="D217" s="166" t="s">
        <v>429</v>
      </c>
      <c r="E217" s="598">
        <v>78</v>
      </c>
      <c r="F217" s="596">
        <v>0</v>
      </c>
      <c r="G217" s="598">
        <v>78</v>
      </c>
      <c r="H217" s="596"/>
      <c r="I217" s="596">
        <f t="shared" si="117"/>
        <v>0</v>
      </c>
      <c r="J217" s="728">
        <f>19</f>
        <v>19</v>
      </c>
      <c r="K217" s="728">
        <f>16</f>
        <v>16</v>
      </c>
      <c r="L217" s="731">
        <f t="shared" si="113"/>
        <v>35</v>
      </c>
      <c r="M217" s="947"/>
      <c r="N217" s="617">
        <v>1170</v>
      </c>
      <c r="O217" s="602">
        <f t="shared" si="112"/>
        <v>78</v>
      </c>
      <c r="P217" s="940"/>
      <c r="Q217" s="600">
        <f t="shared" si="104"/>
        <v>0</v>
      </c>
      <c r="R217" s="940"/>
      <c r="S217" s="596">
        <v>0</v>
      </c>
      <c r="T217" s="724"/>
      <c r="U217" s="728"/>
      <c r="V217" s="728"/>
      <c r="W217" s="731">
        <f t="shared" si="114"/>
        <v>0</v>
      </c>
      <c r="X217" s="947"/>
      <c r="Y217" s="616"/>
      <c r="Z217" s="602">
        <f t="shared" si="118"/>
        <v>0</v>
      </c>
      <c r="AA217" s="835"/>
      <c r="AB217" s="602">
        <f t="shared" si="119"/>
        <v>0</v>
      </c>
      <c r="AC217" s="940"/>
      <c r="AD217" s="956"/>
      <c r="AE217" s="956"/>
      <c r="AF217" s="598">
        <v>36</v>
      </c>
      <c r="AG217" s="596"/>
      <c r="AH217" s="728"/>
      <c r="AI217" s="728"/>
      <c r="AJ217" s="729">
        <f t="shared" si="102"/>
        <v>0</v>
      </c>
      <c r="AK217" s="946"/>
      <c r="AL217" s="616">
        <v>540</v>
      </c>
      <c r="AM217" s="602">
        <f t="shared" si="122"/>
        <v>36</v>
      </c>
      <c r="AN217" s="835"/>
      <c r="AO217" s="835">
        <f t="shared" si="105"/>
        <v>0</v>
      </c>
      <c r="AP217" s="940"/>
      <c r="AQ217" s="722">
        <v>0</v>
      </c>
      <c r="AR217" s="728"/>
      <c r="AS217" s="728"/>
      <c r="AT217" s="729">
        <f t="shared" si="106"/>
        <v>0</v>
      </c>
      <c r="AU217" s="946"/>
      <c r="AV217" s="616"/>
      <c r="AW217" s="602">
        <f t="shared" si="120"/>
        <v>0</v>
      </c>
      <c r="AX217" s="940"/>
      <c r="AY217" s="602">
        <f t="shared" si="121"/>
        <v>0</v>
      </c>
      <c r="AZ217" s="940"/>
      <c r="BA217" s="962"/>
      <c r="BB217" s="962"/>
      <c r="BC217" s="598"/>
      <c r="BD217" s="665">
        <v>114</v>
      </c>
      <c r="BE217" s="596">
        <v>114</v>
      </c>
      <c r="BF217" s="596">
        <f t="shared" si="124"/>
        <v>0</v>
      </c>
      <c r="BG217" s="728"/>
      <c r="BH217" s="728"/>
      <c r="BI217" s="729">
        <f t="shared" si="115"/>
        <v>0</v>
      </c>
      <c r="BJ217" s="729"/>
      <c r="BK217" s="616">
        <v>5700</v>
      </c>
      <c r="BL217" s="603">
        <f t="shared" si="123"/>
        <v>114</v>
      </c>
      <c r="BM217" s="964"/>
      <c r="BN217" s="602">
        <f t="shared" si="107"/>
        <v>0</v>
      </c>
      <c r="BO217" s="940"/>
      <c r="BP217" s="593">
        <f t="shared" si="125"/>
        <v>0</v>
      </c>
      <c r="BS217" s="741">
        <v>0</v>
      </c>
      <c r="BT217" s="741">
        <v>0</v>
      </c>
      <c r="BU217" s="741">
        <f t="shared" si="103"/>
        <v>0</v>
      </c>
      <c r="BV217" s="741">
        <v>0</v>
      </c>
      <c r="BW217" s="741"/>
      <c r="BX217" s="741"/>
      <c r="BY217" s="741"/>
      <c r="BZ217" s="741">
        <f t="shared" si="116"/>
        <v>0</v>
      </c>
      <c r="CA217" s="741"/>
      <c r="CB217" s="741"/>
      <c r="CC217" s="741">
        <f t="shared" si="126"/>
        <v>0</v>
      </c>
      <c r="CD217" s="751"/>
      <c r="CE217" s="748"/>
      <c r="CF217" s="748"/>
      <c r="CG217" s="748">
        <f t="shared" si="110"/>
        <v>0</v>
      </c>
      <c r="CH217" s="759"/>
      <c r="CI217" s="742"/>
      <c r="CJ217" s="591">
        <f t="shared" si="127"/>
        <v>0</v>
      </c>
    </row>
    <row r="218" spans="1:88" ht="21.6" customHeight="1" x14ac:dyDescent="0.25">
      <c r="A218" s="596" t="s">
        <v>28</v>
      </c>
      <c r="B218" s="596" t="s">
        <v>105</v>
      </c>
      <c r="C218" s="597" t="s">
        <v>127</v>
      </c>
      <c r="D218" s="166"/>
      <c r="E218" s="598">
        <v>0</v>
      </c>
      <c r="F218" s="596">
        <v>0</v>
      </c>
      <c r="G218" s="598">
        <v>0</v>
      </c>
      <c r="H218" s="596"/>
      <c r="I218" s="596">
        <f t="shared" si="117"/>
        <v>0</v>
      </c>
      <c r="J218" s="728"/>
      <c r="K218" s="728"/>
      <c r="L218" s="731">
        <f t="shared" si="113"/>
        <v>0</v>
      </c>
      <c r="M218" s="947"/>
      <c r="N218" s="617"/>
      <c r="O218" s="602">
        <f t="shared" si="112"/>
        <v>0</v>
      </c>
      <c r="P218" s="940"/>
      <c r="Q218" s="600">
        <f t="shared" si="104"/>
        <v>0</v>
      </c>
      <c r="R218" s="940"/>
      <c r="S218" s="596">
        <v>0</v>
      </c>
      <c r="T218" s="724"/>
      <c r="U218" s="728"/>
      <c r="V218" s="728"/>
      <c r="W218" s="731">
        <f t="shared" si="114"/>
        <v>0</v>
      </c>
      <c r="X218" s="947"/>
      <c r="Y218" s="616"/>
      <c r="Z218" s="602">
        <f t="shared" si="118"/>
        <v>0</v>
      </c>
      <c r="AA218" s="835"/>
      <c r="AB218" s="602">
        <f t="shared" si="119"/>
        <v>0</v>
      </c>
      <c r="AC218" s="940"/>
      <c r="AD218" s="956"/>
      <c r="AE218" s="956"/>
      <c r="AF218" s="598">
        <v>0</v>
      </c>
      <c r="AG218" s="596"/>
      <c r="AH218" s="728"/>
      <c r="AI218" s="728"/>
      <c r="AJ218" s="729">
        <f t="shared" si="102"/>
        <v>0</v>
      </c>
      <c r="AK218" s="946"/>
      <c r="AL218" s="616"/>
      <c r="AM218" s="602">
        <f t="shared" si="122"/>
        <v>0</v>
      </c>
      <c r="AN218" s="835"/>
      <c r="AO218" s="835">
        <f t="shared" si="105"/>
        <v>0</v>
      </c>
      <c r="AP218" s="940"/>
      <c r="AQ218" s="722">
        <v>0</v>
      </c>
      <c r="AR218" s="728"/>
      <c r="AS218" s="728"/>
      <c r="AT218" s="729">
        <f t="shared" si="106"/>
        <v>0</v>
      </c>
      <c r="AU218" s="946"/>
      <c r="AV218" s="616"/>
      <c r="AW218" s="602">
        <f t="shared" si="120"/>
        <v>0</v>
      </c>
      <c r="AX218" s="940"/>
      <c r="AY218" s="602">
        <f t="shared" si="121"/>
        <v>0</v>
      </c>
      <c r="AZ218" s="940"/>
      <c r="BA218" s="962"/>
      <c r="BB218" s="962"/>
      <c r="BC218" s="598"/>
      <c r="BD218" s="665">
        <v>0</v>
      </c>
      <c r="BE218" s="596">
        <v>0</v>
      </c>
      <c r="BF218" s="596">
        <f t="shared" si="124"/>
        <v>0</v>
      </c>
      <c r="BG218" s="728"/>
      <c r="BH218" s="728"/>
      <c r="BI218" s="729">
        <f t="shared" si="115"/>
        <v>0</v>
      </c>
      <c r="BJ218" s="729"/>
      <c r="BK218" s="616"/>
      <c r="BL218" s="603">
        <f t="shared" si="123"/>
        <v>0</v>
      </c>
      <c r="BM218" s="964"/>
      <c r="BN218" s="602">
        <f t="shared" si="107"/>
        <v>0</v>
      </c>
      <c r="BO218" s="940"/>
      <c r="BP218" s="593">
        <f t="shared" si="125"/>
        <v>0</v>
      </c>
      <c r="BS218" s="741">
        <v>0</v>
      </c>
      <c r="BT218" s="741">
        <v>0</v>
      </c>
      <c r="BU218" s="741">
        <f t="shared" si="103"/>
        <v>0</v>
      </c>
      <c r="BV218" s="741">
        <v>0</v>
      </c>
      <c r="BW218" s="741"/>
      <c r="BX218" s="741"/>
      <c r="BY218" s="741"/>
      <c r="BZ218" s="741">
        <f t="shared" si="116"/>
        <v>0</v>
      </c>
      <c r="CA218" s="741"/>
      <c r="CB218" s="741"/>
      <c r="CC218" s="741">
        <f t="shared" si="126"/>
        <v>0</v>
      </c>
      <c r="CD218" s="751"/>
      <c r="CE218" s="748"/>
      <c r="CF218" s="748"/>
      <c r="CG218" s="748">
        <f t="shared" si="110"/>
        <v>0</v>
      </c>
      <c r="CH218" s="759"/>
      <c r="CI218" s="742"/>
      <c r="CJ218" s="591">
        <f t="shared" si="127"/>
        <v>0</v>
      </c>
    </row>
    <row r="219" spans="1:88" ht="21.6" customHeight="1" x14ac:dyDescent="0.25">
      <c r="A219" s="596" t="s">
        <v>28</v>
      </c>
      <c r="B219" s="596" t="s">
        <v>105</v>
      </c>
      <c r="C219" s="597" t="s">
        <v>365</v>
      </c>
      <c r="D219" s="166" t="s">
        <v>429</v>
      </c>
      <c r="E219" s="598">
        <v>0</v>
      </c>
      <c r="F219" s="596">
        <v>0</v>
      </c>
      <c r="G219" s="598"/>
      <c r="H219" s="596"/>
      <c r="I219" s="596">
        <f t="shared" si="117"/>
        <v>0</v>
      </c>
      <c r="J219" s="728"/>
      <c r="K219" s="728"/>
      <c r="L219" s="731">
        <f t="shared" si="113"/>
        <v>0</v>
      </c>
      <c r="M219" s="947"/>
      <c r="N219" s="617"/>
      <c r="O219" s="602">
        <f t="shared" si="112"/>
        <v>0</v>
      </c>
      <c r="P219" s="940"/>
      <c r="Q219" s="600">
        <f t="shared" si="104"/>
        <v>0</v>
      </c>
      <c r="R219" s="940"/>
      <c r="S219" s="596">
        <v>119</v>
      </c>
      <c r="T219" s="724"/>
      <c r="U219" s="728">
        <v>45</v>
      </c>
      <c r="V219" s="728">
        <v>15</v>
      </c>
      <c r="W219" s="731">
        <f t="shared" si="114"/>
        <v>60</v>
      </c>
      <c r="X219" s="947"/>
      <c r="Y219" s="616">
        <v>1785</v>
      </c>
      <c r="Z219" s="602">
        <f t="shared" si="118"/>
        <v>119</v>
      </c>
      <c r="AA219" s="835"/>
      <c r="AB219" s="602">
        <f t="shared" si="119"/>
        <v>0</v>
      </c>
      <c r="AC219" s="940"/>
      <c r="AD219" s="956"/>
      <c r="AE219" s="956"/>
      <c r="AF219" s="598">
        <v>40</v>
      </c>
      <c r="AG219" s="596"/>
      <c r="AH219" s="728"/>
      <c r="AI219" s="728"/>
      <c r="AJ219" s="729">
        <f t="shared" si="102"/>
        <v>0</v>
      </c>
      <c r="AK219" s="946"/>
      <c r="AL219" s="616">
        <v>600</v>
      </c>
      <c r="AM219" s="602">
        <f t="shared" si="122"/>
        <v>40</v>
      </c>
      <c r="AN219" s="835"/>
      <c r="AO219" s="835">
        <f t="shared" si="105"/>
        <v>0</v>
      </c>
      <c r="AP219" s="940"/>
      <c r="AQ219" s="722">
        <v>0</v>
      </c>
      <c r="AR219" s="728"/>
      <c r="AS219" s="728"/>
      <c r="AT219" s="729">
        <f t="shared" si="106"/>
        <v>0</v>
      </c>
      <c r="AU219" s="946"/>
      <c r="AV219" s="616"/>
      <c r="AW219" s="602">
        <f t="shared" si="120"/>
        <v>0</v>
      </c>
      <c r="AX219" s="940"/>
      <c r="AY219" s="602">
        <f t="shared" si="121"/>
        <v>0</v>
      </c>
      <c r="AZ219" s="940"/>
      <c r="BA219" s="962"/>
      <c r="BB219" s="962"/>
      <c r="BC219" s="598"/>
      <c r="BD219" s="665">
        <v>40</v>
      </c>
      <c r="BE219" s="596">
        <v>40</v>
      </c>
      <c r="BF219" s="596">
        <f t="shared" si="124"/>
        <v>0</v>
      </c>
      <c r="BG219" s="728"/>
      <c r="BH219" s="728"/>
      <c r="BI219" s="729">
        <f t="shared" si="115"/>
        <v>0</v>
      </c>
      <c r="BJ219" s="729"/>
      <c r="BK219" s="616">
        <v>2000</v>
      </c>
      <c r="BL219" s="603">
        <f t="shared" si="123"/>
        <v>40</v>
      </c>
      <c r="BM219" s="964"/>
      <c r="BN219" s="602">
        <f t="shared" si="107"/>
        <v>0</v>
      </c>
      <c r="BO219" s="940"/>
      <c r="BP219" s="593">
        <f t="shared" si="125"/>
        <v>0</v>
      </c>
      <c r="BS219" s="741"/>
      <c r="BT219" s="741"/>
      <c r="BU219" s="741">
        <f t="shared" si="103"/>
        <v>0</v>
      </c>
      <c r="BV219" s="741"/>
      <c r="BW219" s="741"/>
      <c r="BX219" s="741"/>
      <c r="BY219" s="741"/>
      <c r="BZ219" s="741">
        <f t="shared" si="116"/>
        <v>0</v>
      </c>
      <c r="CA219" s="741"/>
      <c r="CB219" s="741"/>
      <c r="CC219" s="741">
        <f t="shared" si="126"/>
        <v>0</v>
      </c>
      <c r="CD219" s="751"/>
      <c r="CE219" s="748"/>
      <c r="CF219" s="748"/>
      <c r="CG219" s="748">
        <f t="shared" si="110"/>
        <v>0</v>
      </c>
      <c r="CH219" s="759"/>
      <c r="CI219" s="742"/>
      <c r="CJ219" s="591">
        <f t="shared" si="127"/>
        <v>0</v>
      </c>
    </row>
    <row r="220" spans="1:88" ht="21.6" customHeight="1" x14ac:dyDescent="0.25">
      <c r="A220" s="596" t="s">
        <v>28</v>
      </c>
      <c r="B220" s="596" t="s">
        <v>105</v>
      </c>
      <c r="C220" s="597" t="s">
        <v>128</v>
      </c>
      <c r="D220" s="182" t="s">
        <v>431</v>
      </c>
      <c r="E220" s="598">
        <v>15</v>
      </c>
      <c r="F220" s="596">
        <v>0</v>
      </c>
      <c r="G220" s="598">
        <v>0</v>
      </c>
      <c r="H220" s="596"/>
      <c r="I220" s="596">
        <f t="shared" si="117"/>
        <v>0</v>
      </c>
      <c r="J220" s="728">
        <v>3</v>
      </c>
      <c r="K220" s="728">
        <v>6</v>
      </c>
      <c r="L220" s="731">
        <f t="shared" si="113"/>
        <v>9</v>
      </c>
      <c r="M220" s="947"/>
      <c r="N220" s="617">
        <v>225</v>
      </c>
      <c r="O220" s="602">
        <f t="shared" si="112"/>
        <v>15</v>
      </c>
      <c r="P220" s="940"/>
      <c r="Q220" s="600">
        <f t="shared" si="104"/>
        <v>0</v>
      </c>
      <c r="R220" s="940"/>
      <c r="S220" s="596">
        <v>0</v>
      </c>
      <c r="T220" s="724"/>
      <c r="U220" s="728"/>
      <c r="V220" s="728"/>
      <c r="W220" s="731">
        <f t="shared" si="114"/>
        <v>0</v>
      </c>
      <c r="X220" s="947"/>
      <c r="Y220" s="616"/>
      <c r="Z220" s="602">
        <f t="shared" si="118"/>
        <v>0</v>
      </c>
      <c r="AA220" s="835"/>
      <c r="AB220" s="602">
        <f t="shared" si="119"/>
        <v>0</v>
      </c>
      <c r="AC220" s="940"/>
      <c r="AD220" s="956"/>
      <c r="AE220" s="956"/>
      <c r="AF220" s="598">
        <v>0</v>
      </c>
      <c r="AG220" s="596"/>
      <c r="AH220" s="728"/>
      <c r="AI220" s="728"/>
      <c r="AJ220" s="729">
        <f t="shared" si="102"/>
        <v>0</v>
      </c>
      <c r="AK220" s="946"/>
      <c r="AL220" s="616"/>
      <c r="AM220" s="602">
        <f t="shared" si="122"/>
        <v>0</v>
      </c>
      <c r="AN220" s="835"/>
      <c r="AO220" s="835">
        <f t="shared" si="105"/>
        <v>0</v>
      </c>
      <c r="AP220" s="940"/>
      <c r="AQ220" s="722">
        <v>0</v>
      </c>
      <c r="AR220" s="728"/>
      <c r="AS220" s="728"/>
      <c r="AT220" s="729">
        <f t="shared" si="106"/>
        <v>0</v>
      </c>
      <c r="AU220" s="946"/>
      <c r="AV220" s="616"/>
      <c r="AW220" s="602">
        <f t="shared" si="120"/>
        <v>0</v>
      </c>
      <c r="AX220" s="940"/>
      <c r="AY220" s="602">
        <f t="shared" si="121"/>
        <v>0</v>
      </c>
      <c r="AZ220" s="940"/>
      <c r="BA220" s="962"/>
      <c r="BB220" s="962"/>
      <c r="BC220" s="598"/>
      <c r="BD220" s="665">
        <v>15</v>
      </c>
      <c r="BE220" s="596">
        <v>0</v>
      </c>
      <c r="BF220" s="596">
        <f t="shared" si="124"/>
        <v>15</v>
      </c>
      <c r="BG220" s="728"/>
      <c r="BH220" s="728"/>
      <c r="BI220" s="729">
        <f t="shared" si="115"/>
        <v>0</v>
      </c>
      <c r="BJ220" s="729"/>
      <c r="BK220" s="616">
        <v>750</v>
      </c>
      <c r="BL220" s="603">
        <f t="shared" si="123"/>
        <v>15</v>
      </c>
      <c r="BM220" s="964"/>
      <c r="BN220" s="602">
        <f t="shared" si="107"/>
        <v>0</v>
      </c>
      <c r="BO220" s="940"/>
      <c r="BP220" s="593">
        <f t="shared" si="125"/>
        <v>0</v>
      </c>
      <c r="BS220" s="741">
        <v>0</v>
      </c>
      <c r="BT220" s="741">
        <v>0</v>
      </c>
      <c r="BU220" s="741">
        <f t="shared" si="103"/>
        <v>0</v>
      </c>
      <c r="BV220" s="741">
        <v>0</v>
      </c>
      <c r="BW220" s="741"/>
      <c r="BX220" s="741"/>
      <c r="BY220" s="741"/>
      <c r="BZ220" s="741">
        <f t="shared" si="116"/>
        <v>0</v>
      </c>
      <c r="CA220" s="741"/>
      <c r="CB220" s="741"/>
      <c r="CC220" s="741">
        <f t="shared" si="126"/>
        <v>0</v>
      </c>
      <c r="CD220" s="751"/>
      <c r="CE220" s="748"/>
      <c r="CF220" s="748"/>
      <c r="CG220" s="748">
        <f t="shared" si="110"/>
        <v>0</v>
      </c>
      <c r="CH220" s="759"/>
      <c r="CI220" s="742"/>
      <c r="CJ220" s="591">
        <f t="shared" si="127"/>
        <v>0</v>
      </c>
    </row>
    <row r="221" spans="1:88" ht="21.6" customHeight="1" x14ac:dyDescent="0.25">
      <c r="A221" s="596" t="s">
        <v>28</v>
      </c>
      <c r="B221" s="596" t="s">
        <v>105</v>
      </c>
      <c r="C221" s="597" t="s">
        <v>129</v>
      </c>
      <c r="D221" s="166"/>
      <c r="E221" s="598">
        <v>0</v>
      </c>
      <c r="F221" s="596">
        <v>0</v>
      </c>
      <c r="G221" s="598">
        <v>0</v>
      </c>
      <c r="H221" s="596"/>
      <c r="I221" s="596">
        <f t="shared" si="117"/>
        <v>0</v>
      </c>
      <c r="J221" s="728"/>
      <c r="K221" s="728"/>
      <c r="L221" s="731">
        <f t="shared" si="113"/>
        <v>0</v>
      </c>
      <c r="M221" s="947"/>
      <c r="N221" s="617"/>
      <c r="O221" s="602">
        <f t="shared" si="112"/>
        <v>0</v>
      </c>
      <c r="P221" s="940"/>
      <c r="Q221" s="600">
        <f t="shared" si="104"/>
        <v>0</v>
      </c>
      <c r="R221" s="940"/>
      <c r="S221" s="596">
        <v>0</v>
      </c>
      <c r="T221" s="724"/>
      <c r="U221" s="728"/>
      <c r="V221" s="728"/>
      <c r="W221" s="731">
        <f t="shared" si="114"/>
        <v>0</v>
      </c>
      <c r="X221" s="947"/>
      <c r="Y221" s="616"/>
      <c r="Z221" s="602">
        <f t="shared" si="118"/>
        <v>0</v>
      </c>
      <c r="AA221" s="835"/>
      <c r="AB221" s="602">
        <f t="shared" si="119"/>
        <v>0</v>
      </c>
      <c r="AC221" s="940"/>
      <c r="AD221" s="956"/>
      <c r="AE221" s="956"/>
      <c r="AF221" s="598">
        <v>0</v>
      </c>
      <c r="AG221" s="596"/>
      <c r="AH221" s="728"/>
      <c r="AI221" s="728"/>
      <c r="AJ221" s="729">
        <f t="shared" si="102"/>
        <v>0</v>
      </c>
      <c r="AK221" s="946"/>
      <c r="AL221" s="616"/>
      <c r="AM221" s="602">
        <f t="shared" si="122"/>
        <v>0</v>
      </c>
      <c r="AN221" s="835"/>
      <c r="AO221" s="835">
        <f t="shared" si="105"/>
        <v>0</v>
      </c>
      <c r="AP221" s="940"/>
      <c r="AQ221" s="722">
        <v>0</v>
      </c>
      <c r="AR221" s="728"/>
      <c r="AS221" s="728"/>
      <c r="AT221" s="729">
        <f t="shared" si="106"/>
        <v>0</v>
      </c>
      <c r="AU221" s="946"/>
      <c r="AV221" s="616"/>
      <c r="AW221" s="602">
        <f t="shared" si="120"/>
        <v>0</v>
      </c>
      <c r="AX221" s="940"/>
      <c r="AY221" s="602">
        <f t="shared" si="121"/>
        <v>0</v>
      </c>
      <c r="AZ221" s="940"/>
      <c r="BA221" s="962"/>
      <c r="BB221" s="962"/>
      <c r="BC221" s="598"/>
      <c r="BD221" s="665">
        <v>0</v>
      </c>
      <c r="BE221" s="596">
        <v>0</v>
      </c>
      <c r="BF221" s="596">
        <f t="shared" si="124"/>
        <v>0</v>
      </c>
      <c r="BG221" s="728"/>
      <c r="BH221" s="728"/>
      <c r="BI221" s="729">
        <f t="shared" si="115"/>
        <v>0</v>
      </c>
      <c r="BJ221" s="729"/>
      <c r="BK221" s="616"/>
      <c r="BL221" s="603">
        <f t="shared" si="123"/>
        <v>0</v>
      </c>
      <c r="BM221" s="964"/>
      <c r="BN221" s="602">
        <f t="shared" si="107"/>
        <v>0</v>
      </c>
      <c r="BO221" s="940"/>
      <c r="BP221" s="593">
        <f t="shared" si="125"/>
        <v>0</v>
      </c>
      <c r="BS221" s="741">
        <v>0</v>
      </c>
      <c r="BT221" s="741">
        <v>0</v>
      </c>
      <c r="BU221" s="741">
        <f t="shared" si="103"/>
        <v>0</v>
      </c>
      <c r="BV221" s="741">
        <v>0</v>
      </c>
      <c r="BW221" s="741"/>
      <c r="BX221" s="741"/>
      <c r="BY221" s="741"/>
      <c r="BZ221" s="741">
        <f t="shared" si="116"/>
        <v>0</v>
      </c>
      <c r="CA221" s="741"/>
      <c r="CB221" s="741"/>
      <c r="CC221" s="741">
        <f t="shared" si="126"/>
        <v>0</v>
      </c>
      <c r="CD221" s="751"/>
      <c r="CE221" s="748"/>
      <c r="CF221" s="748"/>
      <c r="CG221" s="748">
        <f t="shared" si="110"/>
        <v>0</v>
      </c>
      <c r="CH221" s="759"/>
      <c r="CI221" s="742"/>
      <c r="CJ221" s="591">
        <f t="shared" si="127"/>
        <v>0</v>
      </c>
    </row>
    <row r="222" spans="1:88" ht="21.6" customHeight="1" x14ac:dyDescent="0.25">
      <c r="A222" s="596" t="s">
        <v>28</v>
      </c>
      <c r="B222" s="596" t="s">
        <v>105</v>
      </c>
      <c r="C222" s="597" t="s">
        <v>300</v>
      </c>
      <c r="D222" s="134" t="s">
        <v>431</v>
      </c>
      <c r="E222" s="598">
        <v>10</v>
      </c>
      <c r="F222" s="596">
        <v>0</v>
      </c>
      <c r="G222" s="598">
        <v>10</v>
      </c>
      <c r="H222" s="596"/>
      <c r="I222" s="596">
        <f t="shared" si="117"/>
        <v>0</v>
      </c>
      <c r="J222" s="728">
        <v>6</v>
      </c>
      <c r="K222" s="728">
        <v>3</v>
      </c>
      <c r="L222" s="731">
        <f t="shared" si="113"/>
        <v>9</v>
      </c>
      <c r="M222" s="947"/>
      <c r="N222" s="617">
        <v>150</v>
      </c>
      <c r="O222" s="602">
        <f>N222/15</f>
        <v>10</v>
      </c>
      <c r="P222" s="940"/>
      <c r="Q222" s="600">
        <f t="shared" si="104"/>
        <v>0</v>
      </c>
      <c r="R222" s="940"/>
      <c r="S222" s="596">
        <v>0</v>
      </c>
      <c r="T222" s="724"/>
      <c r="U222" s="728"/>
      <c r="V222" s="728"/>
      <c r="W222" s="731">
        <f t="shared" si="114"/>
        <v>0</v>
      </c>
      <c r="X222" s="947"/>
      <c r="Y222" s="616"/>
      <c r="Z222" s="602">
        <f t="shared" si="118"/>
        <v>0</v>
      </c>
      <c r="AA222" s="835"/>
      <c r="AB222" s="602">
        <f t="shared" si="119"/>
        <v>0</v>
      </c>
      <c r="AC222" s="940"/>
      <c r="AD222" s="956"/>
      <c r="AE222" s="956"/>
      <c r="AF222" s="598">
        <v>0</v>
      </c>
      <c r="AG222" s="596"/>
      <c r="AH222" s="728"/>
      <c r="AI222" s="728"/>
      <c r="AJ222" s="729">
        <f t="shared" si="102"/>
        <v>0</v>
      </c>
      <c r="AK222" s="946"/>
      <c r="AL222" s="616"/>
      <c r="AM222" s="602">
        <f t="shared" si="122"/>
        <v>0</v>
      </c>
      <c r="AN222" s="835"/>
      <c r="AO222" s="835">
        <f t="shared" si="105"/>
        <v>0</v>
      </c>
      <c r="AP222" s="940"/>
      <c r="AQ222" s="722">
        <v>0</v>
      </c>
      <c r="AR222" s="728"/>
      <c r="AS222" s="728"/>
      <c r="AT222" s="729">
        <f t="shared" si="106"/>
        <v>0</v>
      </c>
      <c r="AU222" s="946"/>
      <c r="AV222" s="616"/>
      <c r="AW222" s="602">
        <f t="shared" si="120"/>
        <v>0</v>
      </c>
      <c r="AX222" s="940"/>
      <c r="AY222" s="602">
        <f t="shared" si="121"/>
        <v>0</v>
      </c>
      <c r="AZ222" s="940"/>
      <c r="BA222" s="962"/>
      <c r="BB222" s="962"/>
      <c r="BC222" s="598"/>
      <c r="BD222" s="665">
        <v>10</v>
      </c>
      <c r="BE222" s="596">
        <v>10</v>
      </c>
      <c r="BF222" s="596">
        <f t="shared" si="124"/>
        <v>0</v>
      </c>
      <c r="BG222" s="728"/>
      <c r="BH222" s="728"/>
      <c r="BI222" s="729">
        <f t="shared" si="115"/>
        <v>0</v>
      </c>
      <c r="BJ222" s="729"/>
      <c r="BK222" s="616">
        <v>500</v>
      </c>
      <c r="BL222" s="603">
        <f t="shared" si="123"/>
        <v>10</v>
      </c>
      <c r="BM222" s="964"/>
      <c r="BN222" s="602">
        <f t="shared" si="107"/>
        <v>0</v>
      </c>
      <c r="BO222" s="940"/>
      <c r="BP222" s="593">
        <f t="shared" si="125"/>
        <v>0</v>
      </c>
      <c r="BS222" s="741">
        <v>0</v>
      </c>
      <c r="BT222" s="741">
        <v>0</v>
      </c>
      <c r="BU222" s="741">
        <f t="shared" si="103"/>
        <v>0</v>
      </c>
      <c r="BV222" s="741">
        <v>0</v>
      </c>
      <c r="BW222" s="741"/>
      <c r="BX222" s="741"/>
      <c r="BY222" s="741"/>
      <c r="BZ222" s="741">
        <f t="shared" si="116"/>
        <v>0</v>
      </c>
      <c r="CA222" s="741"/>
      <c r="CB222" s="741"/>
      <c r="CC222" s="741">
        <f t="shared" si="126"/>
        <v>0</v>
      </c>
      <c r="CD222" s="751"/>
      <c r="CE222" s="748"/>
      <c r="CF222" s="748"/>
      <c r="CG222" s="748">
        <f t="shared" si="110"/>
        <v>0</v>
      </c>
      <c r="CH222" s="759"/>
      <c r="CI222" s="742"/>
      <c r="CJ222" s="591">
        <f t="shared" si="127"/>
        <v>0</v>
      </c>
    </row>
    <row r="223" spans="1:88" ht="21.6" customHeight="1" x14ac:dyDescent="0.25">
      <c r="A223" s="596" t="s">
        <v>28</v>
      </c>
      <c r="B223" s="596" t="s">
        <v>105</v>
      </c>
      <c r="C223" s="597" t="s">
        <v>299</v>
      </c>
      <c r="D223" s="134" t="s">
        <v>431</v>
      </c>
      <c r="E223" s="598">
        <v>0</v>
      </c>
      <c r="F223" s="596">
        <v>0</v>
      </c>
      <c r="G223" s="598">
        <v>0</v>
      </c>
      <c r="H223" s="596"/>
      <c r="I223" s="596">
        <f t="shared" si="117"/>
        <v>0</v>
      </c>
      <c r="J223" s="728"/>
      <c r="K223" s="728"/>
      <c r="L223" s="731">
        <f t="shared" si="113"/>
        <v>0</v>
      </c>
      <c r="M223" s="947"/>
      <c r="N223" s="617"/>
      <c r="O223" s="602">
        <f>N223/15</f>
        <v>0</v>
      </c>
      <c r="P223" s="940"/>
      <c r="Q223" s="600">
        <f t="shared" si="104"/>
        <v>0</v>
      </c>
      <c r="R223" s="940"/>
      <c r="S223" s="596">
        <v>0</v>
      </c>
      <c r="T223" s="724"/>
      <c r="U223" s="728"/>
      <c r="V223" s="728"/>
      <c r="W223" s="731">
        <f t="shared" si="114"/>
        <v>0</v>
      </c>
      <c r="X223" s="947"/>
      <c r="Y223" s="616"/>
      <c r="Z223" s="602">
        <f t="shared" si="118"/>
        <v>0</v>
      </c>
      <c r="AA223" s="835"/>
      <c r="AB223" s="602">
        <f t="shared" si="119"/>
        <v>0</v>
      </c>
      <c r="AC223" s="940"/>
      <c r="AD223" s="956"/>
      <c r="AE223" s="956"/>
      <c r="AF223" s="598">
        <v>12</v>
      </c>
      <c r="AG223" s="596"/>
      <c r="AH223" s="728"/>
      <c r="AI223" s="728"/>
      <c r="AJ223" s="729">
        <f t="shared" si="102"/>
        <v>0</v>
      </c>
      <c r="AK223" s="946"/>
      <c r="AL223" s="616">
        <v>180</v>
      </c>
      <c r="AM223" s="602">
        <f t="shared" si="122"/>
        <v>12</v>
      </c>
      <c r="AN223" s="835"/>
      <c r="AO223" s="835">
        <f t="shared" si="105"/>
        <v>0</v>
      </c>
      <c r="AP223" s="940"/>
      <c r="AQ223" s="722">
        <v>0</v>
      </c>
      <c r="AR223" s="728"/>
      <c r="AS223" s="728"/>
      <c r="AT223" s="729">
        <f t="shared" si="106"/>
        <v>0</v>
      </c>
      <c r="AU223" s="946"/>
      <c r="AV223" s="616"/>
      <c r="AW223" s="602">
        <f t="shared" si="120"/>
        <v>0</v>
      </c>
      <c r="AX223" s="940"/>
      <c r="AY223" s="602">
        <f t="shared" si="121"/>
        <v>0</v>
      </c>
      <c r="AZ223" s="940"/>
      <c r="BA223" s="962"/>
      <c r="BB223" s="962"/>
      <c r="BC223" s="598"/>
      <c r="BD223" s="665">
        <v>12</v>
      </c>
      <c r="BE223" s="596">
        <v>12</v>
      </c>
      <c r="BF223" s="596">
        <f t="shared" si="124"/>
        <v>0</v>
      </c>
      <c r="BG223" s="728"/>
      <c r="BH223" s="728"/>
      <c r="BI223" s="729">
        <f t="shared" si="115"/>
        <v>0</v>
      </c>
      <c r="BJ223" s="729"/>
      <c r="BK223" s="616">
        <v>600</v>
      </c>
      <c r="BL223" s="603">
        <f t="shared" si="123"/>
        <v>12</v>
      </c>
      <c r="BM223" s="964"/>
      <c r="BN223" s="602">
        <f t="shared" si="107"/>
        <v>0</v>
      </c>
      <c r="BO223" s="940"/>
      <c r="BP223" s="593">
        <f t="shared" si="125"/>
        <v>0</v>
      </c>
      <c r="BS223" s="741">
        <v>0</v>
      </c>
      <c r="BT223" s="741">
        <v>0</v>
      </c>
      <c r="BU223" s="741">
        <f t="shared" si="103"/>
        <v>0</v>
      </c>
      <c r="BV223" s="741">
        <v>0</v>
      </c>
      <c r="BW223" s="741"/>
      <c r="BX223" s="741"/>
      <c r="BY223" s="741"/>
      <c r="BZ223" s="741">
        <f t="shared" si="116"/>
        <v>0</v>
      </c>
      <c r="CA223" s="741"/>
      <c r="CB223" s="741"/>
      <c r="CC223" s="741">
        <f t="shared" si="126"/>
        <v>0</v>
      </c>
      <c r="CD223" s="751"/>
      <c r="CE223" s="748"/>
      <c r="CF223" s="748"/>
      <c r="CG223" s="748">
        <f t="shared" si="110"/>
        <v>0</v>
      </c>
      <c r="CH223" s="759"/>
      <c r="CI223" s="742"/>
      <c r="CJ223" s="591">
        <f t="shared" si="127"/>
        <v>0</v>
      </c>
    </row>
    <row r="224" spans="1:88" ht="21.6" customHeight="1" x14ac:dyDescent="0.25">
      <c r="A224" s="596"/>
      <c r="B224" s="596"/>
      <c r="C224" s="597"/>
      <c r="D224" s="143"/>
      <c r="E224" s="598">
        <v>0</v>
      </c>
      <c r="F224" s="596">
        <v>0</v>
      </c>
      <c r="G224" s="598"/>
      <c r="H224" s="596"/>
      <c r="I224" s="596">
        <f t="shared" si="117"/>
        <v>0</v>
      </c>
      <c r="J224" s="728"/>
      <c r="K224" s="728"/>
      <c r="L224" s="731">
        <f t="shared" si="113"/>
        <v>0</v>
      </c>
      <c r="M224" s="947"/>
      <c r="N224" s="617"/>
      <c r="O224" s="835"/>
      <c r="P224" s="940"/>
      <c r="Q224" s="600">
        <f t="shared" si="104"/>
        <v>0</v>
      </c>
      <c r="R224" s="940"/>
      <c r="S224" s="596">
        <v>0</v>
      </c>
      <c r="T224" s="724"/>
      <c r="U224" s="728"/>
      <c r="V224" s="728"/>
      <c r="W224" s="731">
        <f t="shared" si="114"/>
        <v>0</v>
      </c>
      <c r="X224" s="947"/>
      <c r="Y224" s="616"/>
      <c r="Z224" s="602">
        <f t="shared" si="118"/>
        <v>0</v>
      </c>
      <c r="AA224" s="835"/>
      <c r="AB224" s="602">
        <f t="shared" si="119"/>
        <v>0</v>
      </c>
      <c r="AC224" s="940"/>
      <c r="AD224" s="956"/>
      <c r="AE224" s="956"/>
      <c r="AF224" s="598"/>
      <c r="AG224" s="596"/>
      <c r="AH224" s="728"/>
      <c r="AI224" s="728"/>
      <c r="AJ224" s="729">
        <f t="shared" si="102"/>
        <v>0</v>
      </c>
      <c r="AK224" s="946"/>
      <c r="AL224" s="616"/>
      <c r="AM224" s="602">
        <f t="shared" si="122"/>
        <v>0</v>
      </c>
      <c r="AN224" s="835"/>
      <c r="AO224" s="835">
        <f t="shared" si="105"/>
        <v>0</v>
      </c>
      <c r="AP224" s="940"/>
      <c r="AQ224" s="722"/>
      <c r="AR224" s="728"/>
      <c r="AS224" s="728"/>
      <c r="AT224" s="729">
        <f t="shared" si="106"/>
        <v>0</v>
      </c>
      <c r="AU224" s="946"/>
      <c r="AV224" s="616"/>
      <c r="AW224" s="602">
        <f t="shared" si="120"/>
        <v>0</v>
      </c>
      <c r="AX224" s="940"/>
      <c r="AY224" s="602">
        <f t="shared" si="121"/>
        <v>0</v>
      </c>
      <c r="AZ224" s="940"/>
      <c r="BA224" s="962"/>
      <c r="BB224" s="962"/>
      <c r="BC224" s="611"/>
      <c r="BD224" s="712"/>
      <c r="BE224" s="596"/>
      <c r="BF224" s="596">
        <f t="shared" si="124"/>
        <v>0</v>
      </c>
      <c r="BG224" s="728"/>
      <c r="BH224" s="728"/>
      <c r="BI224" s="729">
        <f t="shared" si="115"/>
        <v>0</v>
      </c>
      <c r="BJ224" s="729"/>
      <c r="BK224" s="616"/>
      <c r="BL224" s="603">
        <f t="shared" si="123"/>
        <v>0</v>
      </c>
      <c r="BM224" s="964"/>
      <c r="BN224" s="602">
        <f t="shared" si="107"/>
        <v>0</v>
      </c>
      <c r="BO224" s="940"/>
      <c r="BP224" s="593">
        <f t="shared" si="125"/>
        <v>0</v>
      </c>
      <c r="BS224" s="741">
        <v>0</v>
      </c>
      <c r="BT224" s="741">
        <v>0</v>
      </c>
      <c r="BU224" s="741">
        <f t="shared" si="103"/>
        <v>0</v>
      </c>
      <c r="BV224" s="741">
        <v>0</v>
      </c>
      <c r="BW224" s="741"/>
      <c r="BX224" s="741"/>
      <c r="BY224" s="741"/>
      <c r="BZ224" s="741">
        <f t="shared" si="116"/>
        <v>0</v>
      </c>
      <c r="CA224" s="741"/>
      <c r="CB224" s="741"/>
      <c r="CC224" s="741">
        <f t="shared" si="126"/>
        <v>0</v>
      </c>
      <c r="CD224" s="751"/>
      <c r="CE224" s="748"/>
      <c r="CF224" s="748"/>
      <c r="CG224" s="748">
        <f t="shared" si="110"/>
        <v>0</v>
      </c>
      <c r="CH224" s="759"/>
      <c r="CI224" s="742"/>
      <c r="CJ224" s="591">
        <f t="shared" si="127"/>
        <v>0</v>
      </c>
    </row>
    <row r="225" spans="1:88" s="592" customFormat="1" ht="21.6" customHeight="1" x14ac:dyDescent="0.25">
      <c r="A225" s="662" t="s">
        <v>130</v>
      </c>
      <c r="B225" s="662" t="s">
        <v>130</v>
      </c>
      <c r="C225" s="605"/>
      <c r="D225" s="189"/>
      <c r="E225" s="662">
        <f t="shared" ref="E225:AJ225" si="128">SUM(E227:E512)</f>
        <v>3448.6700000000019</v>
      </c>
      <c r="F225" s="662">
        <f t="shared" si="128"/>
        <v>3448.6666666666665</v>
      </c>
      <c r="G225" s="662">
        <f t="shared" si="128"/>
        <v>2573.0000000000009</v>
      </c>
      <c r="H225" s="662">
        <f t="shared" si="128"/>
        <v>2573</v>
      </c>
      <c r="I225" s="662">
        <f t="shared" si="128"/>
        <v>875.66666666666652</v>
      </c>
      <c r="J225" s="728">
        <f t="shared" si="128"/>
        <v>3106</v>
      </c>
      <c r="K225" s="728">
        <f t="shared" si="128"/>
        <v>906</v>
      </c>
      <c r="L225" s="729">
        <f t="shared" si="128"/>
        <v>4012</v>
      </c>
      <c r="M225" s="946">
        <f t="shared" ref="M225" si="129">SUM(M227:M512)</f>
        <v>4012</v>
      </c>
      <c r="N225" s="616">
        <f t="shared" si="128"/>
        <v>51781.5</v>
      </c>
      <c r="O225" s="835">
        <f t="shared" si="128"/>
        <v>3452.1000000000017</v>
      </c>
      <c r="P225" s="940">
        <f t="shared" si="128"/>
        <v>3452.1000000000004</v>
      </c>
      <c r="Q225" s="835">
        <f t="shared" si="128"/>
        <v>-2.0966666666670148</v>
      </c>
      <c r="R225" s="940">
        <f t="shared" si="128"/>
        <v>-2.0966666666670148</v>
      </c>
      <c r="S225" s="727">
        <f t="shared" si="128"/>
        <v>122</v>
      </c>
      <c r="T225" s="727">
        <f t="shared" si="128"/>
        <v>122</v>
      </c>
      <c r="U225" s="616">
        <f t="shared" si="128"/>
        <v>132</v>
      </c>
      <c r="V225" s="616">
        <f t="shared" si="128"/>
        <v>40</v>
      </c>
      <c r="W225" s="835">
        <f t="shared" si="128"/>
        <v>172</v>
      </c>
      <c r="X225" s="940">
        <f t="shared" ref="X225" si="130">SUM(X227:X512)</f>
        <v>172</v>
      </c>
      <c r="Y225" s="616">
        <f t="shared" si="128"/>
        <v>1830</v>
      </c>
      <c r="Z225" s="835">
        <f t="shared" si="128"/>
        <v>122</v>
      </c>
      <c r="AA225" s="835">
        <f t="shared" si="128"/>
        <v>122</v>
      </c>
      <c r="AB225" s="835">
        <f t="shared" si="128"/>
        <v>-2.2204460492503131E-16</v>
      </c>
      <c r="AC225" s="940">
        <f>SUM(AC227:AC512)</f>
        <v>-2.2204460492503131E-16</v>
      </c>
      <c r="AD225" s="956">
        <f>SUM(AD227:AD512)</f>
        <v>4184</v>
      </c>
      <c r="AE225" s="956">
        <f>SUM(AE227:AE512)</f>
        <v>-2.0966666666670148</v>
      </c>
      <c r="AF225" s="727">
        <f t="shared" si="128"/>
        <v>2271.3333333333326</v>
      </c>
      <c r="AG225" s="727">
        <f t="shared" si="128"/>
        <v>2271.3333333333339</v>
      </c>
      <c r="AH225" s="616">
        <f t="shared" si="128"/>
        <v>1856</v>
      </c>
      <c r="AI225" s="616">
        <f t="shared" si="128"/>
        <v>735</v>
      </c>
      <c r="AJ225" s="835">
        <f t="shared" si="128"/>
        <v>2591</v>
      </c>
      <c r="AK225" s="940">
        <f>SUM(AK227:AK512)</f>
        <v>2591</v>
      </c>
      <c r="AL225" s="616">
        <f t="shared" ref="AL225:BP225" si="131">SUM(AL227:AL512)</f>
        <v>34090.5</v>
      </c>
      <c r="AM225" s="835">
        <f t="shared" si="131"/>
        <v>2272.6999999999989</v>
      </c>
      <c r="AN225" s="835">
        <f t="shared" si="131"/>
        <v>2272.7000000000003</v>
      </c>
      <c r="AO225" s="835">
        <f t="shared" si="131"/>
        <v>-1.3666666666667027</v>
      </c>
      <c r="AP225" s="940">
        <f t="shared" si="131"/>
        <v>-1.3666666666667027</v>
      </c>
      <c r="AQ225" s="940">
        <f t="shared" si="131"/>
        <v>593.99999999999989</v>
      </c>
      <c r="AR225" s="616">
        <f t="shared" si="131"/>
        <v>481</v>
      </c>
      <c r="AS225" s="616">
        <f t="shared" si="131"/>
        <v>213</v>
      </c>
      <c r="AT225" s="989">
        <f t="shared" si="131"/>
        <v>694</v>
      </c>
      <c r="AU225" s="940">
        <f>SUM(AU227:AU512)</f>
        <v>694</v>
      </c>
      <c r="AV225" s="616">
        <f t="shared" si="131"/>
        <v>9801.25</v>
      </c>
      <c r="AW225" s="987">
        <f t="shared" si="131"/>
        <v>653.41666666666663</v>
      </c>
      <c r="AX225" s="940">
        <f t="shared" si="131"/>
        <v>653.41666666666663</v>
      </c>
      <c r="AY225" s="989">
        <f t="shared" si="131"/>
        <v>-10.666666666666664</v>
      </c>
      <c r="AZ225" s="940">
        <f>SUM(AZ227:AZ512)</f>
        <v>-10.666666666666663</v>
      </c>
      <c r="BA225" s="940">
        <f t="shared" si="131"/>
        <v>3285</v>
      </c>
      <c r="BB225" s="940">
        <f t="shared" si="131"/>
        <v>-12.033333333333363</v>
      </c>
      <c r="BC225" s="727">
        <f t="shared" si="131"/>
        <v>5964</v>
      </c>
      <c r="BD225" s="727">
        <f t="shared" si="131"/>
        <v>5964</v>
      </c>
      <c r="BE225" s="727">
        <f t="shared" si="131"/>
        <v>3492</v>
      </c>
      <c r="BF225" s="727">
        <f t="shared" si="131"/>
        <v>2466</v>
      </c>
      <c r="BG225" s="616">
        <f t="shared" si="131"/>
        <v>4645</v>
      </c>
      <c r="BH225" s="616">
        <f t="shared" si="131"/>
        <v>1583</v>
      </c>
      <c r="BI225" s="964">
        <f t="shared" si="131"/>
        <v>6228</v>
      </c>
      <c r="BJ225" s="964">
        <f t="shared" ref="BJ225" si="132">SUM(BJ227:BJ512)</f>
        <v>6228</v>
      </c>
      <c r="BK225" s="616">
        <f t="shared" si="131"/>
        <v>301203.01</v>
      </c>
      <c r="BL225" s="964">
        <f t="shared" si="131"/>
        <v>6024.060199999999</v>
      </c>
      <c r="BM225" s="964">
        <f t="shared" si="131"/>
        <v>6024.0601999999999</v>
      </c>
      <c r="BN225" s="964">
        <f t="shared" si="131"/>
        <v>-51.060200000000002</v>
      </c>
      <c r="BO225" s="940">
        <f t="shared" si="131"/>
        <v>-51.060200000000009</v>
      </c>
      <c r="BP225" s="606">
        <f t="shared" si="131"/>
        <v>-65.190200000000374</v>
      </c>
      <c r="BS225" s="743">
        <f t="shared" ref="BS225:CJ225" si="133">SUM(BS227:BS512)</f>
        <v>584</v>
      </c>
      <c r="BT225" s="743">
        <f t="shared" si="133"/>
        <v>117</v>
      </c>
      <c r="BU225" s="743">
        <f t="shared" si="133"/>
        <v>701</v>
      </c>
      <c r="BV225" s="743">
        <f t="shared" si="133"/>
        <v>365.66666666666663</v>
      </c>
      <c r="BW225" s="743">
        <f t="shared" si="133"/>
        <v>365.66666666666669</v>
      </c>
      <c r="BX225" s="743">
        <f t="shared" si="133"/>
        <v>553</v>
      </c>
      <c r="BY225" s="743">
        <f t="shared" si="133"/>
        <v>150</v>
      </c>
      <c r="BZ225" s="743">
        <f t="shared" si="133"/>
        <v>703</v>
      </c>
      <c r="CA225" s="743">
        <f t="shared" si="133"/>
        <v>659.99999999999977</v>
      </c>
      <c r="CB225" s="743">
        <f t="shared" si="133"/>
        <v>660</v>
      </c>
      <c r="CC225" s="743">
        <f t="shared" si="133"/>
        <v>1025.6666666666665</v>
      </c>
      <c r="CD225" s="755">
        <f t="shared" si="133"/>
        <v>1025.6666666666667</v>
      </c>
      <c r="CE225" s="743">
        <f t="shared" si="133"/>
        <v>1174</v>
      </c>
      <c r="CF225" s="743">
        <f t="shared" si="133"/>
        <v>234</v>
      </c>
      <c r="CG225" s="743">
        <f t="shared" si="133"/>
        <v>1408</v>
      </c>
      <c r="CH225" s="743">
        <f t="shared" si="133"/>
        <v>746</v>
      </c>
      <c r="CI225" s="743">
        <f t="shared" si="133"/>
        <v>746</v>
      </c>
      <c r="CJ225" s="743">
        <f t="shared" si="133"/>
        <v>-65.190200000000374</v>
      </c>
    </row>
    <row r="226" spans="1:88" ht="21.6" customHeight="1" x14ac:dyDescent="0.25">
      <c r="A226" s="596"/>
      <c r="B226" s="596"/>
      <c r="C226" s="597"/>
      <c r="D226" s="194"/>
      <c r="E226" s="598">
        <v>0</v>
      </c>
      <c r="F226" s="596">
        <v>0</v>
      </c>
      <c r="G226" s="598"/>
      <c r="H226" s="596"/>
      <c r="I226" s="596">
        <f t="shared" si="117"/>
        <v>0</v>
      </c>
      <c r="J226" s="728"/>
      <c r="K226" s="728"/>
      <c r="L226" s="731">
        <f t="shared" si="113"/>
        <v>0</v>
      </c>
      <c r="M226" s="947"/>
      <c r="N226" s="617"/>
      <c r="O226" s="835"/>
      <c r="P226" s="940"/>
      <c r="Q226" s="600">
        <f t="shared" ref="Q226:Q247" si="134">E226-O226</f>
        <v>0</v>
      </c>
      <c r="R226" s="940"/>
      <c r="S226" s="596">
        <v>0</v>
      </c>
      <c r="T226" s="724"/>
      <c r="U226" s="728"/>
      <c r="V226" s="728"/>
      <c r="W226" s="731">
        <f t="shared" si="114"/>
        <v>0</v>
      </c>
      <c r="X226" s="947"/>
      <c r="Y226" s="616"/>
      <c r="Z226" s="602">
        <f t="shared" si="118"/>
        <v>0</v>
      </c>
      <c r="AA226" s="835"/>
      <c r="AB226" s="602">
        <f t="shared" si="119"/>
        <v>0</v>
      </c>
      <c r="AC226" s="940"/>
      <c r="AD226" s="956"/>
      <c r="AE226" s="956"/>
      <c r="AF226" s="598"/>
      <c r="AG226" s="596"/>
      <c r="AH226" s="728"/>
      <c r="AI226" s="728"/>
      <c r="AJ226" s="729">
        <f t="shared" ref="AJ226:AJ258" si="135">AH226+AI226</f>
        <v>0</v>
      </c>
      <c r="AK226" s="946"/>
      <c r="AL226" s="616"/>
      <c r="AM226" s="602">
        <f t="shared" si="122"/>
        <v>0</v>
      </c>
      <c r="AN226" s="835"/>
      <c r="AO226" s="835">
        <f t="shared" ref="AO226:AO247" si="136">AF226-AM226</f>
        <v>0</v>
      </c>
      <c r="AP226" s="940"/>
      <c r="AQ226" s="722">
        <v>0</v>
      </c>
      <c r="AR226" s="728"/>
      <c r="AS226" s="728"/>
      <c r="AT226" s="729">
        <f t="shared" ref="AT226:AT290" si="137">AR226+AS226</f>
        <v>0</v>
      </c>
      <c r="AU226" s="946"/>
      <c r="AV226" s="616"/>
      <c r="AW226" s="602">
        <f t="shared" si="120"/>
        <v>0</v>
      </c>
      <c r="AX226" s="940"/>
      <c r="AY226" s="602">
        <f t="shared" si="121"/>
        <v>0</v>
      </c>
      <c r="AZ226" s="940"/>
      <c r="BA226" s="962"/>
      <c r="BB226" s="962"/>
      <c r="BC226" s="598"/>
      <c r="BD226" s="665"/>
      <c r="BE226" s="596"/>
      <c r="BF226" s="596">
        <f t="shared" si="124"/>
        <v>0</v>
      </c>
      <c r="BG226" s="728"/>
      <c r="BH226" s="728"/>
      <c r="BI226" s="729">
        <f t="shared" si="115"/>
        <v>0</v>
      </c>
      <c r="BJ226" s="729"/>
      <c r="BK226" s="616"/>
      <c r="BL226" s="603">
        <f t="shared" si="123"/>
        <v>0</v>
      </c>
      <c r="BM226" s="964"/>
      <c r="BN226" s="602">
        <f t="shared" ref="BN226:BN247" si="138">BD226-BL226</f>
        <v>0</v>
      </c>
      <c r="BO226" s="940"/>
      <c r="BP226" s="593">
        <f t="shared" ref="BP226:BP258" si="139">BO226+AZ226+AP226+AC226+R226</f>
        <v>0</v>
      </c>
      <c r="BS226" s="741">
        <v>0</v>
      </c>
      <c r="BT226" s="741">
        <v>0</v>
      </c>
      <c r="BU226" s="741">
        <f t="shared" ref="BU226:BU290" si="140">BS226+BT226</f>
        <v>0</v>
      </c>
      <c r="BV226" s="741">
        <v>0</v>
      </c>
      <c r="BW226" s="741"/>
      <c r="BX226" s="741">
        <v>0</v>
      </c>
      <c r="BY226" s="741">
        <v>0</v>
      </c>
      <c r="BZ226" s="741">
        <f t="shared" si="116"/>
        <v>0</v>
      </c>
      <c r="CA226" s="741">
        <v>0</v>
      </c>
      <c r="CB226" s="741"/>
      <c r="CC226" s="741">
        <f t="shared" ref="CC226:CC290" si="141">BV226+CA226</f>
        <v>0</v>
      </c>
      <c r="CD226" s="751"/>
      <c r="CE226" s="748"/>
      <c r="CF226" s="748"/>
      <c r="CG226" s="748">
        <f t="shared" ref="CG226:CG290" si="142">CE226+CF226</f>
        <v>0</v>
      </c>
      <c r="CH226" s="759"/>
      <c r="CI226" s="742"/>
      <c r="CJ226" s="591">
        <f t="shared" ref="CJ226:CJ258" si="143">BN226+AY226+AO226+AB226+Q226</f>
        <v>0</v>
      </c>
    </row>
    <row r="227" spans="1:88" s="594" customFormat="1" ht="21.6" customHeight="1" x14ac:dyDescent="0.25">
      <c r="A227" s="612" t="s">
        <v>130</v>
      </c>
      <c r="B227" s="612" t="s">
        <v>131</v>
      </c>
      <c r="C227" s="613" t="s">
        <v>132</v>
      </c>
      <c r="D227" s="167"/>
      <c r="E227" s="614">
        <v>0</v>
      </c>
      <c r="F227" s="612">
        <v>321.66666666666663</v>
      </c>
      <c r="G227" s="614">
        <v>0</v>
      </c>
      <c r="H227" s="612">
        <v>318.66666666666663</v>
      </c>
      <c r="I227" s="612">
        <f t="shared" si="117"/>
        <v>3</v>
      </c>
      <c r="J227" s="728"/>
      <c r="K227" s="728"/>
      <c r="L227" s="731">
        <f t="shared" si="113"/>
        <v>0</v>
      </c>
      <c r="M227" s="947">
        <f>SUM(L227:L246)</f>
        <v>310</v>
      </c>
      <c r="N227" s="617"/>
      <c r="O227" s="602">
        <f>N227/15</f>
        <v>0</v>
      </c>
      <c r="P227" s="940">
        <f>SUM(O227:O246)</f>
        <v>321.66666666666663</v>
      </c>
      <c r="Q227" s="600">
        <f t="shared" si="134"/>
        <v>0</v>
      </c>
      <c r="R227" s="940">
        <f>SUM(Q227:Q246)</f>
        <v>0</v>
      </c>
      <c r="S227" s="596">
        <v>0</v>
      </c>
      <c r="T227" s="724">
        <f>SUM(S227:S246)</f>
        <v>0</v>
      </c>
      <c r="U227" s="728"/>
      <c r="V227" s="728"/>
      <c r="W227" s="731">
        <f t="shared" si="114"/>
        <v>0</v>
      </c>
      <c r="X227" s="947">
        <f>SUM(W227:W246)</f>
        <v>0</v>
      </c>
      <c r="Y227" s="616"/>
      <c r="Z227" s="602">
        <f t="shared" si="118"/>
        <v>0</v>
      </c>
      <c r="AA227" s="835">
        <f>SUM(Z227:Z246)</f>
        <v>0</v>
      </c>
      <c r="AB227" s="602">
        <f t="shared" si="119"/>
        <v>0</v>
      </c>
      <c r="AC227" s="940">
        <f>SUM(AB227:AB246)</f>
        <v>0</v>
      </c>
      <c r="AD227" s="955">
        <f>M227+X227</f>
        <v>310</v>
      </c>
      <c r="AE227" s="955">
        <f>R227+AC227</f>
        <v>0</v>
      </c>
      <c r="AF227" s="614">
        <v>0</v>
      </c>
      <c r="AG227" s="612">
        <v>146.33333333333334</v>
      </c>
      <c r="AH227" s="728"/>
      <c r="AI227" s="728"/>
      <c r="AJ227" s="729">
        <f t="shared" si="135"/>
        <v>0</v>
      </c>
      <c r="AK227" s="946">
        <f>SUM(AJ227:AJ246)</f>
        <v>1</v>
      </c>
      <c r="AL227" s="616"/>
      <c r="AM227" s="602">
        <f t="shared" si="122"/>
        <v>0</v>
      </c>
      <c r="AN227" s="835">
        <f>SUM(AM227:AM246)</f>
        <v>146.33333333333331</v>
      </c>
      <c r="AO227" s="835">
        <f t="shared" si="136"/>
        <v>0</v>
      </c>
      <c r="AP227" s="940">
        <f>SUM(AO227:AO246)</f>
        <v>0</v>
      </c>
      <c r="AQ227" s="722">
        <v>0</v>
      </c>
      <c r="AR227" s="728"/>
      <c r="AS227" s="728"/>
      <c r="AT227" s="729">
        <f t="shared" si="137"/>
        <v>0</v>
      </c>
      <c r="AU227" s="946">
        <f>SUM(AT227:AT246)</f>
        <v>0</v>
      </c>
      <c r="AV227" s="616"/>
      <c r="AW227" s="602">
        <f t="shared" si="120"/>
        <v>0</v>
      </c>
      <c r="AX227" s="940">
        <f>SUM(AW227:AW246)</f>
        <v>0</v>
      </c>
      <c r="AY227" s="602">
        <f t="shared" si="121"/>
        <v>0</v>
      </c>
      <c r="AZ227" s="940">
        <f>SUM(AY227:AY246)</f>
        <v>0</v>
      </c>
      <c r="BA227" s="961">
        <f>AK227+AU227</f>
        <v>1</v>
      </c>
      <c r="BB227" s="961">
        <f>AP227+AZ227</f>
        <v>0</v>
      </c>
      <c r="BC227" s="615">
        <f>SUM(BD227:BD246)</f>
        <v>468</v>
      </c>
      <c r="BD227" s="714">
        <v>0</v>
      </c>
      <c r="BE227" s="612">
        <v>0</v>
      </c>
      <c r="BF227" s="596">
        <f t="shared" si="124"/>
        <v>0</v>
      </c>
      <c r="BG227" s="728"/>
      <c r="BH227" s="728"/>
      <c r="BI227" s="729">
        <f t="shared" si="115"/>
        <v>0</v>
      </c>
      <c r="BJ227" s="729">
        <f>SUM(BI227:BI246)</f>
        <v>236</v>
      </c>
      <c r="BK227" s="616"/>
      <c r="BL227" s="603">
        <f t="shared" si="123"/>
        <v>0</v>
      </c>
      <c r="BM227" s="964">
        <f>SUM(BL227:BL246)</f>
        <v>468</v>
      </c>
      <c r="BN227" s="602">
        <f t="shared" si="138"/>
        <v>0</v>
      </c>
      <c r="BO227" s="940">
        <f>SUM(BN227:BN246)</f>
        <v>0</v>
      </c>
      <c r="BP227" s="593">
        <f t="shared" si="139"/>
        <v>0</v>
      </c>
      <c r="BS227" s="745">
        <v>0</v>
      </c>
      <c r="BT227" s="745">
        <v>0</v>
      </c>
      <c r="BU227" s="741">
        <f t="shared" si="140"/>
        <v>0</v>
      </c>
      <c r="BV227" s="745">
        <v>0</v>
      </c>
      <c r="BW227" s="745">
        <f>SUM(BV227:BV246)</f>
        <v>0</v>
      </c>
      <c r="BX227" s="745">
        <v>0</v>
      </c>
      <c r="BY227" s="745">
        <v>0</v>
      </c>
      <c r="BZ227" s="741">
        <f t="shared" si="116"/>
        <v>0</v>
      </c>
      <c r="CA227" s="745">
        <v>0</v>
      </c>
      <c r="CB227" s="745">
        <f>SUM(CA227:CA246)</f>
        <v>144.66666666666666</v>
      </c>
      <c r="CC227" s="741">
        <f t="shared" si="141"/>
        <v>0</v>
      </c>
      <c r="CD227" s="756">
        <f>SUM(CC227:CC246)</f>
        <v>144.66666666666666</v>
      </c>
      <c r="CE227" s="748"/>
      <c r="CF227" s="748"/>
      <c r="CG227" s="748">
        <f t="shared" si="142"/>
        <v>0</v>
      </c>
      <c r="CH227" s="766"/>
      <c r="CI227" s="745">
        <f>SUM(CH227:CH246)</f>
        <v>0</v>
      </c>
      <c r="CJ227" s="594">
        <f t="shared" si="143"/>
        <v>0</v>
      </c>
    </row>
    <row r="228" spans="1:88" ht="21.6" customHeight="1" x14ac:dyDescent="0.25">
      <c r="A228" s="596"/>
      <c r="B228" s="596" t="s">
        <v>131</v>
      </c>
      <c r="C228" s="597" t="s">
        <v>285</v>
      </c>
      <c r="D228" s="167" t="s">
        <v>429</v>
      </c>
      <c r="E228" s="598">
        <v>18.666666666666668</v>
      </c>
      <c r="F228" s="596">
        <v>0</v>
      </c>
      <c r="G228" s="598">
        <v>18.666666666666668</v>
      </c>
      <c r="H228" s="596"/>
      <c r="I228" s="596">
        <f t="shared" si="117"/>
        <v>0</v>
      </c>
      <c r="J228" s="728">
        <f>15+9</f>
        <v>24</v>
      </c>
      <c r="K228" s="728">
        <f>7+1</f>
        <v>8</v>
      </c>
      <c r="L228" s="731">
        <f t="shared" si="113"/>
        <v>32</v>
      </c>
      <c r="M228" s="947"/>
      <c r="N228" s="617">
        <v>280</v>
      </c>
      <c r="O228" s="602">
        <f t="shared" ref="O228:O294" si="144">N228/15</f>
        <v>18.666666666666668</v>
      </c>
      <c r="P228" s="940"/>
      <c r="Q228" s="600">
        <f t="shared" si="134"/>
        <v>0</v>
      </c>
      <c r="R228" s="940"/>
      <c r="S228" s="596">
        <v>0</v>
      </c>
      <c r="T228" s="724"/>
      <c r="U228" s="728"/>
      <c r="V228" s="728"/>
      <c r="W228" s="731">
        <f t="shared" si="114"/>
        <v>0</v>
      </c>
      <c r="X228" s="947"/>
      <c r="Y228" s="616"/>
      <c r="Z228" s="602">
        <f t="shared" si="118"/>
        <v>0</v>
      </c>
      <c r="AA228" s="835"/>
      <c r="AB228" s="602">
        <f t="shared" si="119"/>
        <v>0</v>
      </c>
      <c r="AC228" s="940"/>
      <c r="AD228" s="956"/>
      <c r="AE228" s="956"/>
      <c r="AF228" s="598">
        <v>8.3333333333333339</v>
      </c>
      <c r="AG228" s="596"/>
      <c r="AH228" s="728"/>
      <c r="AI228" s="728"/>
      <c r="AJ228" s="729">
        <f t="shared" si="135"/>
        <v>0</v>
      </c>
      <c r="AK228" s="946"/>
      <c r="AL228" s="616">
        <v>125</v>
      </c>
      <c r="AM228" s="602">
        <f t="shared" si="122"/>
        <v>8.3333333333333339</v>
      </c>
      <c r="AN228" s="835"/>
      <c r="AO228" s="835">
        <f t="shared" si="136"/>
        <v>0</v>
      </c>
      <c r="AP228" s="940"/>
      <c r="AQ228" s="722">
        <v>0</v>
      </c>
      <c r="AR228" s="728"/>
      <c r="AS228" s="728"/>
      <c r="AT228" s="729">
        <f t="shared" si="137"/>
        <v>0</v>
      </c>
      <c r="AU228" s="946"/>
      <c r="AV228" s="616"/>
      <c r="AW228" s="602">
        <f t="shared" si="120"/>
        <v>0</v>
      </c>
      <c r="AX228" s="940"/>
      <c r="AY228" s="602">
        <f t="shared" si="121"/>
        <v>0</v>
      </c>
      <c r="AZ228" s="940"/>
      <c r="BA228" s="962"/>
      <c r="BB228" s="962"/>
      <c r="BC228" s="611"/>
      <c r="BD228" s="712">
        <v>27</v>
      </c>
      <c r="BE228" s="596">
        <v>0</v>
      </c>
      <c r="BF228" s="596">
        <f t="shared" si="124"/>
        <v>27</v>
      </c>
      <c r="BG228" s="728"/>
      <c r="BH228" s="728"/>
      <c r="BI228" s="729">
        <f t="shared" si="115"/>
        <v>0</v>
      </c>
      <c r="BJ228" s="729"/>
      <c r="BK228" s="616">
        <v>1350</v>
      </c>
      <c r="BL228" s="603">
        <f t="shared" si="123"/>
        <v>27</v>
      </c>
      <c r="BM228" s="964"/>
      <c r="BN228" s="602">
        <f t="shared" si="138"/>
        <v>0</v>
      </c>
      <c r="BO228" s="940"/>
      <c r="BP228" s="593">
        <f t="shared" si="139"/>
        <v>0</v>
      </c>
      <c r="BS228" s="741">
        <v>0</v>
      </c>
      <c r="BT228" s="741">
        <v>0</v>
      </c>
      <c r="BU228" s="741">
        <f t="shared" si="140"/>
        <v>0</v>
      </c>
      <c r="BV228" s="741">
        <v>0</v>
      </c>
      <c r="BW228" s="741"/>
      <c r="BX228" s="741">
        <v>0</v>
      </c>
      <c r="BY228" s="741">
        <v>0</v>
      </c>
      <c r="BZ228" s="741">
        <f t="shared" si="116"/>
        <v>0</v>
      </c>
      <c r="CA228" s="741">
        <v>8.3333333333333339</v>
      </c>
      <c r="CB228" s="741"/>
      <c r="CC228" s="741">
        <f t="shared" si="141"/>
        <v>8.3333333333333339</v>
      </c>
      <c r="CD228" s="751"/>
      <c r="CE228" s="748"/>
      <c r="CF228" s="748"/>
      <c r="CG228" s="748">
        <f t="shared" si="142"/>
        <v>0</v>
      </c>
      <c r="CH228" s="759"/>
      <c r="CI228" s="742"/>
      <c r="CJ228" s="591">
        <f t="shared" si="143"/>
        <v>0</v>
      </c>
    </row>
    <row r="229" spans="1:88" ht="21.6" customHeight="1" x14ac:dyDescent="0.25">
      <c r="A229" s="1145"/>
      <c r="B229" s="1145" t="s">
        <v>131</v>
      </c>
      <c r="C229" s="597" t="s">
        <v>876</v>
      </c>
      <c r="D229" s="167"/>
      <c r="E229" s="598"/>
      <c r="F229" s="1145"/>
      <c r="G229" s="598"/>
      <c r="H229" s="1145"/>
      <c r="I229" s="1145"/>
      <c r="J229" s="728"/>
      <c r="K229" s="728"/>
      <c r="L229" s="731"/>
      <c r="M229" s="947"/>
      <c r="N229" s="617"/>
      <c r="O229" s="602"/>
      <c r="P229" s="940"/>
      <c r="Q229" s="600"/>
      <c r="R229" s="940"/>
      <c r="S229" s="1145"/>
      <c r="T229" s="1145"/>
      <c r="U229" s="728"/>
      <c r="V229" s="728"/>
      <c r="W229" s="731"/>
      <c r="X229" s="947"/>
      <c r="Y229" s="616"/>
      <c r="Z229" s="602"/>
      <c r="AA229" s="1144"/>
      <c r="AB229" s="602"/>
      <c r="AC229" s="940"/>
      <c r="AD229" s="956"/>
      <c r="AE229" s="956"/>
      <c r="AF229" s="598"/>
      <c r="AG229" s="1145"/>
      <c r="AH229" s="728"/>
      <c r="AI229" s="728"/>
      <c r="AJ229" s="729"/>
      <c r="AK229" s="946"/>
      <c r="AL229" s="616"/>
      <c r="AM229" s="602"/>
      <c r="AN229" s="1144"/>
      <c r="AO229" s="1144"/>
      <c r="AP229" s="940"/>
      <c r="AQ229" s="722"/>
      <c r="AR229" s="728"/>
      <c r="AS229" s="728"/>
      <c r="AT229" s="729"/>
      <c r="AU229" s="946"/>
      <c r="AV229" s="616"/>
      <c r="AW229" s="602">
        <f t="shared" si="120"/>
        <v>0</v>
      </c>
      <c r="AX229" s="940"/>
      <c r="AY229" s="602">
        <f t="shared" si="121"/>
        <v>0</v>
      </c>
      <c r="AZ229" s="940"/>
      <c r="BA229" s="962"/>
      <c r="BB229" s="962"/>
      <c r="BC229" s="611"/>
      <c r="BD229" s="712">
        <v>15</v>
      </c>
      <c r="BE229" s="1145">
        <v>0</v>
      </c>
      <c r="BF229" s="1145">
        <f t="shared" si="124"/>
        <v>15</v>
      </c>
      <c r="BG229" s="728">
        <f>2+18</f>
        <v>20</v>
      </c>
      <c r="BH229" s="728">
        <f>4+4</f>
        <v>8</v>
      </c>
      <c r="BI229" s="729">
        <f t="shared" si="115"/>
        <v>28</v>
      </c>
      <c r="BJ229" s="729"/>
      <c r="BK229" s="616">
        <f>175+575</f>
        <v>750</v>
      </c>
      <c r="BL229" s="603">
        <f t="shared" si="123"/>
        <v>15</v>
      </c>
      <c r="BM229" s="1144"/>
      <c r="BN229" s="602">
        <f t="shared" si="138"/>
        <v>0</v>
      </c>
      <c r="BO229" s="940"/>
      <c r="BS229" s="1143"/>
      <c r="BT229" s="1143"/>
      <c r="BU229" s="1143"/>
      <c r="BV229" s="1143"/>
      <c r="BW229" s="1143"/>
      <c r="BX229" s="1143"/>
      <c r="BY229" s="1143"/>
      <c r="BZ229" s="1143"/>
      <c r="CA229" s="1143"/>
      <c r="CB229" s="1143"/>
      <c r="CC229" s="1143"/>
      <c r="CD229" s="751"/>
      <c r="CE229" s="849"/>
      <c r="CF229" s="849"/>
      <c r="CG229" s="849"/>
      <c r="CH229" s="759"/>
      <c r="CI229" s="1143"/>
    </row>
    <row r="230" spans="1:88" ht="21.6" customHeight="1" x14ac:dyDescent="0.25">
      <c r="A230" s="596"/>
      <c r="B230" s="596" t="s">
        <v>131</v>
      </c>
      <c r="C230" s="597" t="s">
        <v>286</v>
      </c>
      <c r="D230" s="167" t="s">
        <v>429</v>
      </c>
      <c r="E230" s="598">
        <v>5</v>
      </c>
      <c r="F230" s="596">
        <v>0</v>
      </c>
      <c r="G230" s="598">
        <v>5</v>
      </c>
      <c r="H230" s="596"/>
      <c r="I230" s="596">
        <f t="shared" si="117"/>
        <v>0</v>
      </c>
      <c r="J230" s="728">
        <f>11</f>
        <v>11</v>
      </c>
      <c r="K230" s="728">
        <f>0</f>
        <v>0</v>
      </c>
      <c r="L230" s="731">
        <f t="shared" si="113"/>
        <v>11</v>
      </c>
      <c r="M230" s="947"/>
      <c r="N230" s="617">
        <v>75</v>
      </c>
      <c r="O230" s="602">
        <f t="shared" si="144"/>
        <v>5</v>
      </c>
      <c r="P230" s="940"/>
      <c r="Q230" s="600">
        <f t="shared" si="134"/>
        <v>0</v>
      </c>
      <c r="R230" s="940"/>
      <c r="S230" s="596">
        <v>0</v>
      </c>
      <c r="T230" s="724"/>
      <c r="U230" s="728"/>
      <c r="V230" s="728"/>
      <c r="W230" s="731">
        <f t="shared" si="114"/>
        <v>0</v>
      </c>
      <c r="X230" s="947"/>
      <c r="Y230" s="616"/>
      <c r="Z230" s="602">
        <f t="shared" si="118"/>
        <v>0</v>
      </c>
      <c r="AA230" s="835"/>
      <c r="AB230" s="602">
        <f t="shared" si="119"/>
        <v>0</v>
      </c>
      <c r="AC230" s="940"/>
      <c r="AD230" s="956"/>
      <c r="AE230" s="956"/>
      <c r="AF230" s="598">
        <v>0</v>
      </c>
      <c r="AG230" s="596"/>
      <c r="AH230" s="728"/>
      <c r="AI230" s="728"/>
      <c r="AJ230" s="729">
        <f t="shared" si="135"/>
        <v>0</v>
      </c>
      <c r="AK230" s="946"/>
      <c r="AL230" s="616"/>
      <c r="AM230" s="602">
        <f t="shared" si="122"/>
        <v>0</v>
      </c>
      <c r="AN230" s="835"/>
      <c r="AO230" s="835">
        <f t="shared" si="136"/>
        <v>0</v>
      </c>
      <c r="AP230" s="940"/>
      <c r="AQ230" s="722">
        <v>0</v>
      </c>
      <c r="AR230" s="728"/>
      <c r="AS230" s="728"/>
      <c r="AT230" s="729">
        <f t="shared" si="137"/>
        <v>0</v>
      </c>
      <c r="AU230" s="946"/>
      <c r="AV230" s="616"/>
      <c r="AW230" s="602">
        <f t="shared" si="120"/>
        <v>0</v>
      </c>
      <c r="AX230" s="940"/>
      <c r="AY230" s="602">
        <f t="shared" si="121"/>
        <v>0</v>
      </c>
      <c r="AZ230" s="940"/>
      <c r="BA230" s="962"/>
      <c r="BB230" s="962"/>
      <c r="BC230" s="611"/>
      <c r="BD230" s="712">
        <v>5</v>
      </c>
      <c r="BE230" s="596">
        <v>0</v>
      </c>
      <c r="BF230" s="596">
        <f t="shared" si="124"/>
        <v>5</v>
      </c>
      <c r="BG230" s="728"/>
      <c r="BH230" s="728"/>
      <c r="BI230" s="729">
        <f t="shared" si="115"/>
        <v>0</v>
      </c>
      <c r="BJ230" s="729"/>
      <c r="BK230" s="616">
        <v>250</v>
      </c>
      <c r="BL230" s="603">
        <f t="shared" si="123"/>
        <v>5</v>
      </c>
      <c r="BM230" s="964"/>
      <c r="BN230" s="602">
        <f t="shared" si="138"/>
        <v>0</v>
      </c>
      <c r="BO230" s="940"/>
      <c r="BP230" s="593">
        <f t="shared" si="139"/>
        <v>0</v>
      </c>
      <c r="BS230" s="741">
        <v>0</v>
      </c>
      <c r="BT230" s="741">
        <v>0</v>
      </c>
      <c r="BU230" s="741">
        <f t="shared" si="140"/>
        <v>0</v>
      </c>
      <c r="BV230" s="741">
        <v>0</v>
      </c>
      <c r="BW230" s="741"/>
      <c r="BX230" s="741">
        <v>0</v>
      </c>
      <c r="BY230" s="741">
        <v>0</v>
      </c>
      <c r="BZ230" s="741">
        <f t="shared" si="116"/>
        <v>0</v>
      </c>
      <c r="CA230" s="741">
        <v>0</v>
      </c>
      <c r="CB230" s="741"/>
      <c r="CC230" s="741">
        <f t="shared" si="141"/>
        <v>0</v>
      </c>
      <c r="CD230" s="751"/>
      <c r="CE230" s="748"/>
      <c r="CF230" s="748"/>
      <c r="CG230" s="748">
        <f t="shared" si="142"/>
        <v>0</v>
      </c>
      <c r="CH230" s="759"/>
      <c r="CI230" s="742"/>
      <c r="CJ230" s="591">
        <f t="shared" si="143"/>
        <v>0</v>
      </c>
    </row>
    <row r="231" spans="1:88" ht="21.6" customHeight="1" x14ac:dyDescent="0.25">
      <c r="A231" s="596"/>
      <c r="B231" s="596" t="s">
        <v>131</v>
      </c>
      <c r="C231" s="597" t="s">
        <v>288</v>
      </c>
      <c r="D231" s="167" t="s">
        <v>429</v>
      </c>
      <c r="E231" s="598">
        <v>11</v>
      </c>
      <c r="F231" s="596">
        <v>0</v>
      </c>
      <c r="G231" s="598">
        <v>11</v>
      </c>
      <c r="H231" s="596"/>
      <c r="I231" s="596">
        <f t="shared" si="117"/>
        <v>0</v>
      </c>
      <c r="J231" s="728">
        <f>15</f>
        <v>15</v>
      </c>
      <c r="K231" s="728">
        <f>0</f>
        <v>0</v>
      </c>
      <c r="L231" s="731">
        <f t="shared" si="113"/>
        <v>15</v>
      </c>
      <c r="M231" s="947"/>
      <c r="N231" s="617">
        <v>165</v>
      </c>
      <c r="O231" s="602">
        <f t="shared" si="144"/>
        <v>11</v>
      </c>
      <c r="P231" s="940"/>
      <c r="Q231" s="600">
        <f t="shared" si="134"/>
        <v>0</v>
      </c>
      <c r="R231" s="940"/>
      <c r="S231" s="596">
        <v>0</v>
      </c>
      <c r="T231" s="724"/>
      <c r="U231" s="728"/>
      <c r="V231" s="728"/>
      <c r="W231" s="731">
        <f t="shared" si="114"/>
        <v>0</v>
      </c>
      <c r="X231" s="947"/>
      <c r="Y231" s="616"/>
      <c r="Z231" s="602">
        <f t="shared" si="118"/>
        <v>0</v>
      </c>
      <c r="AA231" s="835"/>
      <c r="AB231" s="602">
        <f t="shared" si="119"/>
        <v>0</v>
      </c>
      <c r="AC231" s="940"/>
      <c r="AD231" s="956"/>
      <c r="AE231" s="956"/>
      <c r="AF231" s="598">
        <v>3</v>
      </c>
      <c r="AG231" s="596"/>
      <c r="AH231" s="728"/>
      <c r="AI231" s="728"/>
      <c r="AJ231" s="729">
        <f t="shared" si="135"/>
        <v>0</v>
      </c>
      <c r="AK231" s="946"/>
      <c r="AL231" s="616">
        <v>45</v>
      </c>
      <c r="AM231" s="602">
        <f t="shared" si="122"/>
        <v>3</v>
      </c>
      <c r="AN231" s="835"/>
      <c r="AO231" s="835">
        <f t="shared" si="136"/>
        <v>0</v>
      </c>
      <c r="AP231" s="940"/>
      <c r="AQ231" s="722">
        <v>0</v>
      </c>
      <c r="AR231" s="728"/>
      <c r="AS231" s="728"/>
      <c r="AT231" s="729">
        <f t="shared" si="137"/>
        <v>0</v>
      </c>
      <c r="AU231" s="946"/>
      <c r="AV231" s="616"/>
      <c r="AW231" s="602">
        <f t="shared" si="120"/>
        <v>0</v>
      </c>
      <c r="AX231" s="940"/>
      <c r="AY231" s="602">
        <f t="shared" si="121"/>
        <v>0</v>
      </c>
      <c r="AZ231" s="940"/>
      <c r="BA231" s="962"/>
      <c r="BB231" s="962"/>
      <c r="BC231" s="611"/>
      <c r="BD231" s="712">
        <v>12</v>
      </c>
      <c r="BE231" s="596">
        <v>0</v>
      </c>
      <c r="BF231" s="596">
        <f t="shared" si="124"/>
        <v>12</v>
      </c>
      <c r="BG231" s="728">
        <v>1</v>
      </c>
      <c r="BH231" s="728"/>
      <c r="BI231" s="729">
        <f t="shared" si="115"/>
        <v>1</v>
      </c>
      <c r="BJ231" s="729"/>
      <c r="BK231" s="616">
        <f>600</f>
        <v>600</v>
      </c>
      <c r="BL231" s="603">
        <f t="shared" si="123"/>
        <v>12</v>
      </c>
      <c r="BM231" s="964"/>
      <c r="BN231" s="602">
        <f t="shared" si="138"/>
        <v>0</v>
      </c>
      <c r="BO231" s="940"/>
      <c r="BP231" s="593">
        <f t="shared" si="139"/>
        <v>0</v>
      </c>
      <c r="BS231" s="741">
        <v>0</v>
      </c>
      <c r="BT231" s="741">
        <v>0</v>
      </c>
      <c r="BU231" s="741">
        <f t="shared" si="140"/>
        <v>0</v>
      </c>
      <c r="BV231" s="741">
        <v>0</v>
      </c>
      <c r="BW231" s="741"/>
      <c r="BX231" s="741">
        <v>0</v>
      </c>
      <c r="BY231" s="741">
        <v>0</v>
      </c>
      <c r="BZ231" s="741">
        <f t="shared" si="116"/>
        <v>0</v>
      </c>
      <c r="CA231" s="741">
        <v>3</v>
      </c>
      <c r="CB231" s="741"/>
      <c r="CC231" s="741">
        <f t="shared" si="141"/>
        <v>3</v>
      </c>
      <c r="CD231" s="751"/>
      <c r="CE231" s="748"/>
      <c r="CF231" s="748"/>
      <c r="CG231" s="748">
        <f t="shared" si="142"/>
        <v>0</v>
      </c>
      <c r="CH231" s="759"/>
      <c r="CI231" s="742"/>
      <c r="CJ231" s="591">
        <f t="shared" si="143"/>
        <v>0</v>
      </c>
    </row>
    <row r="232" spans="1:88" ht="21.6" customHeight="1" x14ac:dyDescent="0.25">
      <c r="A232" s="596"/>
      <c r="B232" s="596" t="s">
        <v>131</v>
      </c>
      <c r="C232" s="597" t="s">
        <v>289</v>
      </c>
      <c r="D232" s="182" t="s">
        <v>431</v>
      </c>
      <c r="E232" s="598">
        <v>9</v>
      </c>
      <c r="F232" s="596">
        <v>0</v>
      </c>
      <c r="G232" s="598">
        <v>9</v>
      </c>
      <c r="H232" s="596"/>
      <c r="I232" s="596">
        <f t="shared" si="117"/>
        <v>0</v>
      </c>
      <c r="J232" s="728">
        <f>12</f>
        <v>12</v>
      </c>
      <c r="K232" s="728">
        <f>8</f>
        <v>8</v>
      </c>
      <c r="L232" s="731">
        <f t="shared" si="113"/>
        <v>20</v>
      </c>
      <c r="M232" s="947"/>
      <c r="N232" s="617">
        <v>135</v>
      </c>
      <c r="O232" s="602">
        <f t="shared" si="144"/>
        <v>9</v>
      </c>
      <c r="P232" s="940"/>
      <c r="Q232" s="600">
        <f t="shared" si="134"/>
        <v>0</v>
      </c>
      <c r="R232" s="940"/>
      <c r="S232" s="596">
        <v>0</v>
      </c>
      <c r="T232" s="724"/>
      <c r="U232" s="728"/>
      <c r="V232" s="728"/>
      <c r="W232" s="731">
        <f t="shared" si="114"/>
        <v>0</v>
      </c>
      <c r="X232" s="947"/>
      <c r="Y232" s="616"/>
      <c r="Z232" s="602">
        <f t="shared" si="118"/>
        <v>0</v>
      </c>
      <c r="AA232" s="835"/>
      <c r="AB232" s="602">
        <f t="shared" si="119"/>
        <v>0</v>
      </c>
      <c r="AC232" s="940"/>
      <c r="AD232" s="956"/>
      <c r="AE232" s="956"/>
      <c r="AF232" s="598">
        <v>0</v>
      </c>
      <c r="AG232" s="596"/>
      <c r="AH232" s="728"/>
      <c r="AI232" s="728"/>
      <c r="AJ232" s="729">
        <f t="shared" si="135"/>
        <v>0</v>
      </c>
      <c r="AK232" s="946"/>
      <c r="AL232" s="616"/>
      <c r="AM232" s="602">
        <f t="shared" si="122"/>
        <v>0</v>
      </c>
      <c r="AN232" s="835"/>
      <c r="AO232" s="835">
        <f t="shared" si="136"/>
        <v>0</v>
      </c>
      <c r="AP232" s="940"/>
      <c r="AQ232" s="722">
        <v>0</v>
      </c>
      <c r="AR232" s="728"/>
      <c r="AS232" s="728"/>
      <c r="AT232" s="729">
        <f t="shared" si="137"/>
        <v>0</v>
      </c>
      <c r="AU232" s="946"/>
      <c r="AV232" s="616"/>
      <c r="AW232" s="602">
        <f t="shared" si="120"/>
        <v>0</v>
      </c>
      <c r="AX232" s="940"/>
      <c r="AY232" s="602">
        <f t="shared" si="121"/>
        <v>0</v>
      </c>
      <c r="AZ232" s="940"/>
      <c r="BA232" s="962"/>
      <c r="BB232" s="962"/>
      <c r="BC232" s="611"/>
      <c r="BD232" s="712">
        <v>9</v>
      </c>
      <c r="BE232" s="596">
        <v>0</v>
      </c>
      <c r="BF232" s="596">
        <f t="shared" si="124"/>
        <v>9</v>
      </c>
      <c r="BG232" s="728"/>
      <c r="BH232" s="728"/>
      <c r="BI232" s="729">
        <f t="shared" si="115"/>
        <v>0</v>
      </c>
      <c r="BJ232" s="729"/>
      <c r="BK232" s="616">
        <v>450</v>
      </c>
      <c r="BL232" s="603">
        <f t="shared" si="123"/>
        <v>9</v>
      </c>
      <c r="BM232" s="964"/>
      <c r="BN232" s="602">
        <f t="shared" si="138"/>
        <v>0</v>
      </c>
      <c r="BO232" s="940"/>
      <c r="BP232" s="593">
        <f t="shared" si="139"/>
        <v>0</v>
      </c>
      <c r="BS232" s="741">
        <v>0</v>
      </c>
      <c r="BT232" s="741">
        <v>0</v>
      </c>
      <c r="BU232" s="741">
        <f t="shared" si="140"/>
        <v>0</v>
      </c>
      <c r="BV232" s="741">
        <v>0</v>
      </c>
      <c r="BW232" s="741"/>
      <c r="BX232" s="741">
        <v>0</v>
      </c>
      <c r="BY232" s="741">
        <v>0</v>
      </c>
      <c r="BZ232" s="741">
        <f t="shared" si="116"/>
        <v>0</v>
      </c>
      <c r="CA232" s="741">
        <v>0</v>
      </c>
      <c r="CB232" s="741"/>
      <c r="CC232" s="741">
        <f t="shared" si="141"/>
        <v>0</v>
      </c>
      <c r="CD232" s="751"/>
      <c r="CE232" s="748"/>
      <c r="CF232" s="748"/>
      <c r="CG232" s="748">
        <f t="shared" si="142"/>
        <v>0</v>
      </c>
      <c r="CH232" s="759"/>
      <c r="CI232" s="742"/>
      <c r="CJ232" s="591">
        <f t="shared" si="143"/>
        <v>0</v>
      </c>
    </row>
    <row r="233" spans="1:88" ht="21.6" customHeight="1" x14ac:dyDescent="0.25">
      <c r="A233" s="596"/>
      <c r="B233" s="596" t="s">
        <v>131</v>
      </c>
      <c r="C233" s="597" t="s">
        <v>295</v>
      </c>
      <c r="D233" s="182" t="s">
        <v>431</v>
      </c>
      <c r="E233" s="598">
        <v>3</v>
      </c>
      <c r="F233" s="596">
        <v>0</v>
      </c>
      <c r="G233" s="598">
        <v>3</v>
      </c>
      <c r="H233" s="596"/>
      <c r="I233" s="596">
        <f t="shared" si="117"/>
        <v>0</v>
      </c>
      <c r="J233" s="728"/>
      <c r="K233" s="728"/>
      <c r="L233" s="731">
        <f t="shared" si="113"/>
        <v>0</v>
      </c>
      <c r="M233" s="947"/>
      <c r="N233" s="617">
        <v>45</v>
      </c>
      <c r="O233" s="602">
        <f t="shared" si="144"/>
        <v>3</v>
      </c>
      <c r="P233" s="940"/>
      <c r="Q233" s="600">
        <f t="shared" si="134"/>
        <v>0</v>
      </c>
      <c r="R233" s="940"/>
      <c r="S233" s="596">
        <v>0</v>
      </c>
      <c r="T233" s="724"/>
      <c r="U233" s="728"/>
      <c r="V233" s="728"/>
      <c r="W233" s="731">
        <f t="shared" si="114"/>
        <v>0</v>
      </c>
      <c r="X233" s="947"/>
      <c r="Y233" s="616"/>
      <c r="Z233" s="602">
        <f t="shared" si="118"/>
        <v>0</v>
      </c>
      <c r="AA233" s="835"/>
      <c r="AB233" s="602">
        <f t="shared" si="119"/>
        <v>0</v>
      </c>
      <c r="AC233" s="940"/>
      <c r="AD233" s="956"/>
      <c r="AE233" s="956"/>
      <c r="AF233" s="598">
        <v>0</v>
      </c>
      <c r="AG233" s="596"/>
      <c r="AH233" s="728"/>
      <c r="AI233" s="728"/>
      <c r="AJ233" s="729">
        <f t="shared" si="135"/>
        <v>0</v>
      </c>
      <c r="AK233" s="946"/>
      <c r="AL233" s="616"/>
      <c r="AM233" s="602">
        <f t="shared" si="122"/>
        <v>0</v>
      </c>
      <c r="AN233" s="835"/>
      <c r="AO233" s="835">
        <f t="shared" si="136"/>
        <v>0</v>
      </c>
      <c r="AP233" s="940"/>
      <c r="AQ233" s="722">
        <v>0</v>
      </c>
      <c r="AR233" s="728"/>
      <c r="AS233" s="728"/>
      <c r="AT233" s="729">
        <f t="shared" si="137"/>
        <v>0</v>
      </c>
      <c r="AU233" s="946"/>
      <c r="AV233" s="616"/>
      <c r="AW233" s="602">
        <f t="shared" si="120"/>
        <v>0</v>
      </c>
      <c r="AX233" s="940"/>
      <c r="AY233" s="602">
        <f t="shared" si="121"/>
        <v>0</v>
      </c>
      <c r="AZ233" s="940"/>
      <c r="BA233" s="962"/>
      <c r="BB233" s="962"/>
      <c r="BC233" s="611"/>
      <c r="BD233" s="712">
        <v>0</v>
      </c>
      <c r="BE233" s="596">
        <v>0</v>
      </c>
      <c r="BF233" s="596">
        <f t="shared" si="124"/>
        <v>0</v>
      </c>
      <c r="BG233" s="728"/>
      <c r="BH233" s="728"/>
      <c r="BI233" s="729">
        <f t="shared" si="115"/>
        <v>0</v>
      </c>
      <c r="BJ233" s="729"/>
      <c r="BK233" s="616"/>
      <c r="BL233" s="603">
        <f t="shared" si="123"/>
        <v>0</v>
      </c>
      <c r="BM233" s="964"/>
      <c r="BN233" s="602">
        <f t="shared" si="138"/>
        <v>0</v>
      </c>
      <c r="BO233" s="940"/>
      <c r="BP233" s="593">
        <f t="shared" si="139"/>
        <v>0</v>
      </c>
      <c r="BS233" s="741">
        <v>0</v>
      </c>
      <c r="BT233" s="741">
        <v>0</v>
      </c>
      <c r="BU233" s="741">
        <f t="shared" si="140"/>
        <v>0</v>
      </c>
      <c r="BV233" s="741">
        <v>0</v>
      </c>
      <c r="BW233" s="741"/>
      <c r="BX233" s="741">
        <v>0</v>
      </c>
      <c r="BY233" s="741">
        <v>0</v>
      </c>
      <c r="BZ233" s="741">
        <f t="shared" si="116"/>
        <v>0</v>
      </c>
      <c r="CA233" s="741">
        <v>0</v>
      </c>
      <c r="CB233" s="741"/>
      <c r="CC233" s="741">
        <f t="shared" si="141"/>
        <v>0</v>
      </c>
      <c r="CD233" s="751"/>
      <c r="CE233" s="748"/>
      <c r="CF233" s="748"/>
      <c r="CG233" s="748">
        <f t="shared" si="142"/>
        <v>0</v>
      </c>
      <c r="CH233" s="759"/>
      <c r="CI233" s="742"/>
      <c r="CJ233" s="591">
        <f t="shared" si="143"/>
        <v>0</v>
      </c>
    </row>
    <row r="234" spans="1:88" ht="21.6" customHeight="1" x14ac:dyDescent="0.25">
      <c r="A234" s="596"/>
      <c r="B234" s="596" t="s">
        <v>131</v>
      </c>
      <c r="C234" s="597" t="s">
        <v>54</v>
      </c>
      <c r="D234" s="167" t="s">
        <v>429</v>
      </c>
      <c r="E234" s="598">
        <v>24.666666666666668</v>
      </c>
      <c r="F234" s="596">
        <v>0</v>
      </c>
      <c r="G234" s="598">
        <v>24.666666666666668</v>
      </c>
      <c r="H234" s="596"/>
      <c r="I234" s="596">
        <f t="shared" si="117"/>
        <v>0</v>
      </c>
      <c r="J234" s="728">
        <f>18+4+3</f>
        <v>25</v>
      </c>
      <c r="K234" s="728">
        <f>4+0+1</f>
        <v>5</v>
      </c>
      <c r="L234" s="731">
        <f t="shared" si="113"/>
        <v>30</v>
      </c>
      <c r="M234" s="947"/>
      <c r="N234" s="617">
        <v>370</v>
      </c>
      <c r="O234" s="602">
        <f t="shared" si="144"/>
        <v>24.666666666666668</v>
      </c>
      <c r="P234" s="940"/>
      <c r="Q234" s="600">
        <f t="shared" si="134"/>
        <v>0</v>
      </c>
      <c r="R234" s="940"/>
      <c r="S234" s="596">
        <v>0</v>
      </c>
      <c r="T234" s="724"/>
      <c r="U234" s="728"/>
      <c r="V234" s="728"/>
      <c r="W234" s="731">
        <f t="shared" si="114"/>
        <v>0</v>
      </c>
      <c r="X234" s="947"/>
      <c r="Y234" s="616"/>
      <c r="Z234" s="602">
        <f t="shared" si="118"/>
        <v>0</v>
      </c>
      <c r="AA234" s="835"/>
      <c r="AB234" s="602">
        <f t="shared" si="119"/>
        <v>0</v>
      </c>
      <c r="AC234" s="940"/>
      <c r="AD234" s="956"/>
      <c r="AE234" s="956"/>
      <c r="AF234" s="598">
        <v>2.3333333333333335</v>
      </c>
      <c r="AG234" s="596"/>
      <c r="AH234" s="728"/>
      <c r="AI234" s="728"/>
      <c r="AJ234" s="729">
        <f t="shared" si="135"/>
        <v>0</v>
      </c>
      <c r="AK234" s="946"/>
      <c r="AL234" s="616">
        <v>35</v>
      </c>
      <c r="AM234" s="602">
        <f t="shared" si="122"/>
        <v>2.3333333333333335</v>
      </c>
      <c r="AN234" s="835"/>
      <c r="AO234" s="835">
        <f t="shared" si="136"/>
        <v>0</v>
      </c>
      <c r="AP234" s="940"/>
      <c r="AQ234" s="722">
        <v>0</v>
      </c>
      <c r="AR234" s="728"/>
      <c r="AS234" s="728"/>
      <c r="AT234" s="729">
        <f t="shared" si="137"/>
        <v>0</v>
      </c>
      <c r="AU234" s="946"/>
      <c r="AV234" s="616"/>
      <c r="AW234" s="602">
        <f t="shared" si="120"/>
        <v>0</v>
      </c>
      <c r="AX234" s="940"/>
      <c r="AY234" s="602">
        <f t="shared" si="121"/>
        <v>0</v>
      </c>
      <c r="AZ234" s="940"/>
      <c r="BA234" s="962"/>
      <c r="BB234" s="962"/>
      <c r="BC234" s="611"/>
      <c r="BD234" s="712">
        <v>27</v>
      </c>
      <c r="BE234" s="596">
        <v>0</v>
      </c>
      <c r="BF234" s="596">
        <f t="shared" si="124"/>
        <v>27</v>
      </c>
      <c r="BG234" s="728"/>
      <c r="BH234" s="728"/>
      <c r="BI234" s="729">
        <f t="shared" si="115"/>
        <v>0</v>
      </c>
      <c r="BJ234" s="729"/>
      <c r="BK234" s="616">
        <v>1350</v>
      </c>
      <c r="BL234" s="603">
        <f t="shared" si="123"/>
        <v>27</v>
      </c>
      <c r="BM234" s="964"/>
      <c r="BN234" s="602">
        <f t="shared" si="138"/>
        <v>0</v>
      </c>
      <c r="BO234" s="940"/>
      <c r="BP234" s="593">
        <f t="shared" si="139"/>
        <v>0</v>
      </c>
      <c r="BS234" s="741">
        <v>0</v>
      </c>
      <c r="BT234" s="741">
        <v>0</v>
      </c>
      <c r="BU234" s="741">
        <f t="shared" si="140"/>
        <v>0</v>
      </c>
      <c r="BV234" s="741">
        <v>0</v>
      </c>
      <c r="BW234" s="741"/>
      <c r="BX234" s="741">
        <v>0</v>
      </c>
      <c r="BY234" s="741">
        <v>0</v>
      </c>
      <c r="BZ234" s="741">
        <f t="shared" si="116"/>
        <v>0</v>
      </c>
      <c r="CA234" s="741">
        <v>2.3333333333333335</v>
      </c>
      <c r="CB234" s="741"/>
      <c r="CC234" s="741">
        <f t="shared" si="141"/>
        <v>2.3333333333333335</v>
      </c>
      <c r="CD234" s="751"/>
      <c r="CE234" s="748"/>
      <c r="CF234" s="748"/>
      <c r="CG234" s="748">
        <f t="shared" si="142"/>
        <v>0</v>
      </c>
      <c r="CH234" s="759"/>
      <c r="CI234" s="742"/>
      <c r="CJ234" s="591">
        <f t="shared" si="143"/>
        <v>0</v>
      </c>
    </row>
    <row r="235" spans="1:88" ht="21.6" customHeight="1" x14ac:dyDescent="0.25">
      <c r="A235" s="596"/>
      <c r="B235" s="596" t="s">
        <v>131</v>
      </c>
      <c r="C235" s="597" t="s">
        <v>290</v>
      </c>
      <c r="D235" s="167" t="s">
        <v>429</v>
      </c>
      <c r="E235" s="598">
        <v>2</v>
      </c>
      <c r="F235" s="596">
        <v>0</v>
      </c>
      <c r="G235" s="598">
        <v>2</v>
      </c>
      <c r="H235" s="596"/>
      <c r="I235" s="596">
        <f t="shared" si="117"/>
        <v>0</v>
      </c>
      <c r="J235" s="728">
        <f>5</f>
        <v>5</v>
      </c>
      <c r="K235" s="728">
        <f>0</f>
        <v>0</v>
      </c>
      <c r="L235" s="731">
        <f t="shared" si="113"/>
        <v>5</v>
      </c>
      <c r="M235" s="947"/>
      <c r="N235" s="617">
        <v>30</v>
      </c>
      <c r="O235" s="602">
        <f t="shared" si="144"/>
        <v>2</v>
      </c>
      <c r="P235" s="940"/>
      <c r="Q235" s="600">
        <f t="shared" si="134"/>
        <v>0</v>
      </c>
      <c r="R235" s="940"/>
      <c r="S235" s="596">
        <v>0</v>
      </c>
      <c r="T235" s="724"/>
      <c r="U235" s="728"/>
      <c r="V235" s="728"/>
      <c r="W235" s="731">
        <f t="shared" si="114"/>
        <v>0</v>
      </c>
      <c r="X235" s="947"/>
      <c r="Y235" s="616"/>
      <c r="Z235" s="602">
        <f t="shared" si="118"/>
        <v>0</v>
      </c>
      <c r="AA235" s="835"/>
      <c r="AB235" s="602">
        <f t="shared" si="119"/>
        <v>0</v>
      </c>
      <c r="AC235" s="940"/>
      <c r="AD235" s="956"/>
      <c r="AE235" s="956"/>
      <c r="AF235" s="598">
        <v>0</v>
      </c>
      <c r="AG235" s="596"/>
      <c r="AH235" s="728"/>
      <c r="AI235" s="728"/>
      <c r="AJ235" s="729">
        <f t="shared" si="135"/>
        <v>0</v>
      </c>
      <c r="AK235" s="946"/>
      <c r="AL235" s="616"/>
      <c r="AM235" s="602">
        <f t="shared" si="122"/>
        <v>0</v>
      </c>
      <c r="AN235" s="835"/>
      <c r="AO235" s="835">
        <f t="shared" si="136"/>
        <v>0</v>
      </c>
      <c r="AP235" s="940"/>
      <c r="AQ235" s="722">
        <v>0</v>
      </c>
      <c r="AR235" s="728"/>
      <c r="AS235" s="728"/>
      <c r="AT235" s="729">
        <f t="shared" si="137"/>
        <v>0</v>
      </c>
      <c r="AU235" s="946"/>
      <c r="AV235" s="616"/>
      <c r="AW235" s="602">
        <f t="shared" si="120"/>
        <v>0</v>
      </c>
      <c r="AX235" s="940"/>
      <c r="AY235" s="602">
        <f t="shared" si="121"/>
        <v>0</v>
      </c>
      <c r="AZ235" s="940"/>
      <c r="BA235" s="962"/>
      <c r="BB235" s="962"/>
      <c r="BC235" s="611"/>
      <c r="BD235" s="712">
        <v>2</v>
      </c>
      <c r="BE235" s="596">
        <v>0</v>
      </c>
      <c r="BF235" s="596">
        <f t="shared" si="124"/>
        <v>2</v>
      </c>
      <c r="BG235" s="728"/>
      <c r="BH235" s="728"/>
      <c r="BI235" s="729">
        <f t="shared" si="115"/>
        <v>0</v>
      </c>
      <c r="BJ235" s="729"/>
      <c r="BK235" s="616">
        <v>100</v>
      </c>
      <c r="BL235" s="603">
        <f t="shared" si="123"/>
        <v>2</v>
      </c>
      <c r="BM235" s="964"/>
      <c r="BN235" s="602">
        <f t="shared" si="138"/>
        <v>0</v>
      </c>
      <c r="BO235" s="940"/>
      <c r="BP235" s="593">
        <f t="shared" si="139"/>
        <v>0</v>
      </c>
      <c r="BS235" s="741">
        <v>0</v>
      </c>
      <c r="BT235" s="741">
        <v>0</v>
      </c>
      <c r="BU235" s="741">
        <f t="shared" si="140"/>
        <v>0</v>
      </c>
      <c r="BV235" s="741">
        <v>0</v>
      </c>
      <c r="BW235" s="741"/>
      <c r="BX235" s="741">
        <v>0</v>
      </c>
      <c r="BY235" s="741">
        <v>0</v>
      </c>
      <c r="BZ235" s="741">
        <f t="shared" si="116"/>
        <v>0</v>
      </c>
      <c r="CA235" s="741">
        <v>0</v>
      </c>
      <c r="CB235" s="741"/>
      <c r="CC235" s="741">
        <f t="shared" si="141"/>
        <v>0</v>
      </c>
      <c r="CD235" s="751"/>
      <c r="CE235" s="748"/>
      <c r="CF235" s="748"/>
      <c r="CG235" s="748">
        <f t="shared" si="142"/>
        <v>0</v>
      </c>
      <c r="CH235" s="759"/>
      <c r="CI235" s="742"/>
      <c r="CJ235" s="591">
        <f t="shared" si="143"/>
        <v>0</v>
      </c>
    </row>
    <row r="236" spans="1:88" ht="21.6" customHeight="1" x14ac:dyDescent="0.25">
      <c r="A236" s="596" t="s">
        <v>130</v>
      </c>
      <c r="B236" s="596" t="s">
        <v>131</v>
      </c>
      <c r="C236" s="597" t="s">
        <v>133</v>
      </c>
      <c r="D236" s="167" t="s">
        <v>429</v>
      </c>
      <c r="E236" s="598">
        <v>3.3333333333333335</v>
      </c>
      <c r="F236" s="596">
        <v>0</v>
      </c>
      <c r="G236" s="598">
        <v>3.3333333333333335</v>
      </c>
      <c r="H236" s="596"/>
      <c r="I236" s="596">
        <f t="shared" si="117"/>
        <v>0</v>
      </c>
      <c r="J236" s="728">
        <f>7</f>
        <v>7</v>
      </c>
      <c r="K236" s="728">
        <f>1</f>
        <v>1</v>
      </c>
      <c r="L236" s="731">
        <f t="shared" si="113"/>
        <v>8</v>
      </c>
      <c r="M236" s="947"/>
      <c r="N236" s="617">
        <v>50</v>
      </c>
      <c r="O236" s="602">
        <f t="shared" si="144"/>
        <v>3.3333333333333335</v>
      </c>
      <c r="P236" s="940"/>
      <c r="Q236" s="600">
        <f t="shared" si="134"/>
        <v>0</v>
      </c>
      <c r="R236" s="940"/>
      <c r="S236" s="596">
        <v>0</v>
      </c>
      <c r="T236" s="724"/>
      <c r="U236" s="728"/>
      <c r="V236" s="728"/>
      <c r="W236" s="731">
        <f t="shared" si="114"/>
        <v>0</v>
      </c>
      <c r="X236" s="947"/>
      <c r="Y236" s="616"/>
      <c r="Z236" s="602">
        <f t="shared" si="118"/>
        <v>0</v>
      </c>
      <c r="AA236" s="835"/>
      <c r="AB236" s="602">
        <f t="shared" si="119"/>
        <v>0</v>
      </c>
      <c r="AC236" s="940"/>
      <c r="AD236" s="956"/>
      <c r="AE236" s="956"/>
      <c r="AF236" s="598">
        <v>5.333333333333333</v>
      </c>
      <c r="AG236" s="596"/>
      <c r="AH236" s="728">
        <v>1</v>
      </c>
      <c r="AI236" s="728"/>
      <c r="AJ236" s="729">
        <f t="shared" si="135"/>
        <v>1</v>
      </c>
      <c r="AK236" s="946"/>
      <c r="AL236" s="616">
        <f>55+25</f>
        <v>80</v>
      </c>
      <c r="AM236" s="602">
        <f t="shared" si="122"/>
        <v>5.333333333333333</v>
      </c>
      <c r="AN236" s="835"/>
      <c r="AO236" s="835">
        <f t="shared" si="136"/>
        <v>0</v>
      </c>
      <c r="AP236" s="940"/>
      <c r="AQ236" s="722">
        <v>0</v>
      </c>
      <c r="AR236" s="728"/>
      <c r="AS236" s="728"/>
      <c r="AT236" s="729">
        <f t="shared" si="137"/>
        <v>0</v>
      </c>
      <c r="AU236" s="946"/>
      <c r="AV236" s="616"/>
      <c r="AW236" s="602">
        <f t="shared" si="120"/>
        <v>0</v>
      </c>
      <c r="AX236" s="940"/>
      <c r="AY236" s="602">
        <f t="shared" si="121"/>
        <v>0</v>
      </c>
      <c r="AZ236" s="940"/>
      <c r="BA236" s="962"/>
      <c r="BB236" s="962"/>
      <c r="BC236" s="611"/>
      <c r="BD236" s="712">
        <v>8</v>
      </c>
      <c r="BE236" s="596">
        <v>0</v>
      </c>
      <c r="BF236" s="596">
        <f t="shared" si="124"/>
        <v>8</v>
      </c>
      <c r="BG236" s="728">
        <v>1</v>
      </c>
      <c r="BH236" s="728"/>
      <c r="BI236" s="729">
        <f t="shared" si="115"/>
        <v>1</v>
      </c>
      <c r="BJ236" s="729"/>
      <c r="BK236" s="616">
        <f>300+100</f>
        <v>400</v>
      </c>
      <c r="BL236" s="603">
        <f t="shared" si="123"/>
        <v>8</v>
      </c>
      <c r="BM236" s="964"/>
      <c r="BN236" s="602">
        <f t="shared" si="138"/>
        <v>0</v>
      </c>
      <c r="BO236" s="940"/>
      <c r="BP236" s="593">
        <f t="shared" si="139"/>
        <v>0</v>
      </c>
      <c r="BS236" s="741">
        <v>0</v>
      </c>
      <c r="BT236" s="741">
        <v>0</v>
      </c>
      <c r="BU236" s="741">
        <f t="shared" si="140"/>
        <v>0</v>
      </c>
      <c r="BV236" s="741">
        <v>0</v>
      </c>
      <c r="BW236" s="741"/>
      <c r="BX236" s="741">
        <v>0</v>
      </c>
      <c r="BY236" s="741">
        <v>0</v>
      </c>
      <c r="BZ236" s="741">
        <f t="shared" si="116"/>
        <v>0</v>
      </c>
      <c r="CA236" s="741">
        <v>3.6666666666666665</v>
      </c>
      <c r="CB236" s="741"/>
      <c r="CC236" s="741">
        <f t="shared" si="141"/>
        <v>3.6666666666666665</v>
      </c>
      <c r="CD236" s="751"/>
      <c r="CE236" s="748"/>
      <c r="CF236" s="748"/>
      <c r="CG236" s="748">
        <f t="shared" si="142"/>
        <v>0</v>
      </c>
      <c r="CH236" s="759"/>
      <c r="CI236" s="742"/>
      <c r="CJ236" s="591">
        <f t="shared" si="143"/>
        <v>0</v>
      </c>
    </row>
    <row r="237" spans="1:88" ht="21.6" customHeight="1" x14ac:dyDescent="0.25">
      <c r="A237" s="596"/>
      <c r="B237" s="596" t="s">
        <v>131</v>
      </c>
      <c r="C237" s="597" t="s">
        <v>291</v>
      </c>
      <c r="D237" s="167" t="s">
        <v>429</v>
      </c>
      <c r="E237" s="598">
        <v>12</v>
      </c>
      <c r="F237" s="596">
        <v>0</v>
      </c>
      <c r="G237" s="598">
        <v>12</v>
      </c>
      <c r="H237" s="596"/>
      <c r="I237" s="596">
        <f t="shared" si="117"/>
        <v>0</v>
      </c>
      <c r="J237" s="728">
        <f>10</f>
        <v>10</v>
      </c>
      <c r="K237" s="728">
        <f>3</f>
        <v>3</v>
      </c>
      <c r="L237" s="731">
        <f t="shared" si="113"/>
        <v>13</v>
      </c>
      <c r="M237" s="947"/>
      <c r="N237" s="617">
        <v>180</v>
      </c>
      <c r="O237" s="602">
        <f t="shared" si="144"/>
        <v>12</v>
      </c>
      <c r="P237" s="940"/>
      <c r="Q237" s="600">
        <f t="shared" si="134"/>
        <v>0</v>
      </c>
      <c r="R237" s="940"/>
      <c r="S237" s="596">
        <v>0</v>
      </c>
      <c r="T237" s="724"/>
      <c r="U237" s="728"/>
      <c r="V237" s="728"/>
      <c r="W237" s="731">
        <f t="shared" si="114"/>
        <v>0</v>
      </c>
      <c r="X237" s="947"/>
      <c r="Y237" s="616"/>
      <c r="Z237" s="602">
        <f t="shared" si="118"/>
        <v>0</v>
      </c>
      <c r="AA237" s="835"/>
      <c r="AB237" s="602">
        <f t="shared" si="119"/>
        <v>0</v>
      </c>
      <c r="AC237" s="940"/>
      <c r="AD237" s="956"/>
      <c r="AE237" s="956"/>
      <c r="AF237" s="598">
        <v>0</v>
      </c>
      <c r="AG237" s="596"/>
      <c r="AH237" s="728"/>
      <c r="AI237" s="728"/>
      <c r="AJ237" s="729">
        <f t="shared" si="135"/>
        <v>0</v>
      </c>
      <c r="AK237" s="946"/>
      <c r="AL237" s="616"/>
      <c r="AM237" s="602">
        <f t="shared" si="122"/>
        <v>0</v>
      </c>
      <c r="AN237" s="835"/>
      <c r="AO237" s="835">
        <f t="shared" si="136"/>
        <v>0</v>
      </c>
      <c r="AP237" s="940"/>
      <c r="AQ237" s="722">
        <v>0</v>
      </c>
      <c r="AR237" s="728"/>
      <c r="AS237" s="728"/>
      <c r="AT237" s="729">
        <f t="shared" si="137"/>
        <v>0</v>
      </c>
      <c r="AU237" s="946"/>
      <c r="AV237" s="616"/>
      <c r="AW237" s="602">
        <f t="shared" si="120"/>
        <v>0</v>
      </c>
      <c r="AX237" s="940"/>
      <c r="AY237" s="602">
        <f t="shared" si="121"/>
        <v>0</v>
      </c>
      <c r="AZ237" s="940"/>
      <c r="BA237" s="962"/>
      <c r="BB237" s="962"/>
      <c r="BC237" s="611"/>
      <c r="BD237" s="712">
        <v>12</v>
      </c>
      <c r="BE237" s="596">
        <v>0</v>
      </c>
      <c r="BF237" s="596">
        <f t="shared" si="124"/>
        <v>12</v>
      </c>
      <c r="BG237" s="728"/>
      <c r="BH237" s="728"/>
      <c r="BI237" s="729">
        <f t="shared" si="115"/>
        <v>0</v>
      </c>
      <c r="BJ237" s="729"/>
      <c r="BK237" s="616">
        <v>600</v>
      </c>
      <c r="BL237" s="603">
        <f t="shared" si="123"/>
        <v>12</v>
      </c>
      <c r="BM237" s="964"/>
      <c r="BN237" s="602">
        <f t="shared" si="138"/>
        <v>0</v>
      </c>
      <c r="BO237" s="940"/>
      <c r="BP237" s="593">
        <f t="shared" si="139"/>
        <v>0</v>
      </c>
      <c r="BS237" s="741">
        <v>0</v>
      </c>
      <c r="BT237" s="741">
        <v>0</v>
      </c>
      <c r="BU237" s="741">
        <f t="shared" si="140"/>
        <v>0</v>
      </c>
      <c r="BV237" s="741">
        <v>0</v>
      </c>
      <c r="BW237" s="741"/>
      <c r="BX237" s="741">
        <v>0</v>
      </c>
      <c r="BY237" s="741">
        <v>0</v>
      </c>
      <c r="BZ237" s="741">
        <f t="shared" si="116"/>
        <v>0</v>
      </c>
      <c r="CA237" s="741">
        <v>0</v>
      </c>
      <c r="CB237" s="741"/>
      <c r="CC237" s="741">
        <f t="shared" si="141"/>
        <v>0</v>
      </c>
      <c r="CD237" s="751"/>
      <c r="CE237" s="748"/>
      <c r="CF237" s="748"/>
      <c r="CG237" s="748">
        <f t="shared" si="142"/>
        <v>0</v>
      </c>
      <c r="CH237" s="759"/>
      <c r="CI237" s="742"/>
      <c r="CJ237" s="591">
        <f t="shared" si="143"/>
        <v>0</v>
      </c>
    </row>
    <row r="238" spans="1:88" ht="21.6" customHeight="1" x14ac:dyDescent="0.25">
      <c r="A238" s="596"/>
      <c r="B238" s="596" t="s">
        <v>131</v>
      </c>
      <c r="C238" s="597" t="s">
        <v>287</v>
      </c>
      <c r="D238" s="167"/>
      <c r="E238" s="598">
        <v>0</v>
      </c>
      <c r="F238" s="596">
        <v>0</v>
      </c>
      <c r="G238" s="598">
        <v>0</v>
      </c>
      <c r="H238" s="596"/>
      <c r="I238" s="596">
        <f t="shared" si="117"/>
        <v>0</v>
      </c>
      <c r="J238" s="732"/>
      <c r="K238" s="732"/>
      <c r="L238" s="731">
        <f t="shared" si="113"/>
        <v>0</v>
      </c>
      <c r="M238" s="947"/>
      <c r="N238" s="617">
        <v>0</v>
      </c>
      <c r="O238" s="602">
        <f t="shared" si="144"/>
        <v>0</v>
      </c>
      <c r="P238" s="940"/>
      <c r="Q238" s="600">
        <f t="shared" si="134"/>
        <v>0</v>
      </c>
      <c r="R238" s="940"/>
      <c r="S238" s="596">
        <v>0</v>
      </c>
      <c r="T238" s="724"/>
      <c r="U238" s="728"/>
      <c r="V238" s="728"/>
      <c r="W238" s="731">
        <f t="shared" si="114"/>
        <v>0</v>
      </c>
      <c r="X238" s="947"/>
      <c r="Y238" s="616"/>
      <c r="Z238" s="602">
        <f t="shared" si="118"/>
        <v>0</v>
      </c>
      <c r="AA238" s="835"/>
      <c r="AB238" s="602">
        <f t="shared" si="119"/>
        <v>0</v>
      </c>
      <c r="AC238" s="940"/>
      <c r="AD238" s="956"/>
      <c r="AE238" s="956"/>
      <c r="AF238" s="598">
        <v>0</v>
      </c>
      <c r="AG238" s="596"/>
      <c r="AH238" s="728"/>
      <c r="AI238" s="728"/>
      <c r="AJ238" s="729">
        <f t="shared" si="135"/>
        <v>0</v>
      </c>
      <c r="AK238" s="946"/>
      <c r="AL238" s="616"/>
      <c r="AM238" s="602">
        <f t="shared" si="122"/>
        <v>0</v>
      </c>
      <c r="AN238" s="835"/>
      <c r="AO238" s="835">
        <f t="shared" si="136"/>
        <v>0</v>
      </c>
      <c r="AP238" s="940"/>
      <c r="AQ238" s="722">
        <v>0</v>
      </c>
      <c r="AR238" s="728"/>
      <c r="AS238" s="728"/>
      <c r="AT238" s="729">
        <f t="shared" si="137"/>
        <v>0</v>
      </c>
      <c r="AU238" s="946"/>
      <c r="AV238" s="616"/>
      <c r="AW238" s="602">
        <f t="shared" si="120"/>
        <v>0</v>
      </c>
      <c r="AX238" s="940"/>
      <c r="AY238" s="602">
        <f t="shared" si="121"/>
        <v>0</v>
      </c>
      <c r="AZ238" s="940"/>
      <c r="BA238" s="962"/>
      <c r="BB238" s="962"/>
      <c r="BC238" s="611"/>
      <c r="BD238" s="712">
        <v>25</v>
      </c>
      <c r="BE238" s="596">
        <v>0</v>
      </c>
      <c r="BF238" s="596">
        <f t="shared" si="124"/>
        <v>25</v>
      </c>
      <c r="BG238" s="728">
        <v>9</v>
      </c>
      <c r="BH238" s="728">
        <v>7</v>
      </c>
      <c r="BI238" s="729">
        <f t="shared" si="115"/>
        <v>16</v>
      </c>
      <c r="BJ238" s="729"/>
      <c r="BK238" s="616">
        <v>1250</v>
      </c>
      <c r="BL238" s="603">
        <f t="shared" si="123"/>
        <v>25</v>
      </c>
      <c r="BM238" s="964"/>
      <c r="BN238" s="602">
        <f t="shared" si="138"/>
        <v>0</v>
      </c>
      <c r="BO238" s="940"/>
      <c r="BP238" s="593">
        <f t="shared" si="139"/>
        <v>0</v>
      </c>
      <c r="BS238" s="741">
        <v>0</v>
      </c>
      <c r="BT238" s="741">
        <v>0</v>
      </c>
      <c r="BU238" s="741">
        <f t="shared" si="140"/>
        <v>0</v>
      </c>
      <c r="BV238" s="741">
        <v>0</v>
      </c>
      <c r="BW238" s="741"/>
      <c r="BX238" s="741">
        <v>0</v>
      </c>
      <c r="BY238" s="741">
        <v>0</v>
      </c>
      <c r="BZ238" s="741">
        <f t="shared" si="116"/>
        <v>0</v>
      </c>
      <c r="CA238" s="741">
        <v>0</v>
      </c>
      <c r="CB238" s="741"/>
      <c r="CC238" s="741">
        <f t="shared" si="141"/>
        <v>0</v>
      </c>
      <c r="CD238" s="751"/>
      <c r="CE238" s="748"/>
      <c r="CF238" s="748"/>
      <c r="CG238" s="748">
        <f t="shared" si="142"/>
        <v>0</v>
      </c>
      <c r="CH238" s="759"/>
      <c r="CI238" s="742"/>
      <c r="CJ238" s="591">
        <f t="shared" si="143"/>
        <v>0</v>
      </c>
    </row>
    <row r="239" spans="1:88" ht="30" customHeight="1" x14ac:dyDescent="0.25">
      <c r="A239" s="596"/>
      <c r="B239" s="596" t="s">
        <v>131</v>
      </c>
      <c r="C239" s="597" t="s">
        <v>484</v>
      </c>
      <c r="D239" s="167" t="s">
        <v>429</v>
      </c>
      <c r="E239" s="598">
        <v>11</v>
      </c>
      <c r="F239" s="596">
        <v>0</v>
      </c>
      <c r="G239" s="598">
        <v>11</v>
      </c>
      <c r="H239" s="596"/>
      <c r="I239" s="596">
        <f t="shared" si="117"/>
        <v>0</v>
      </c>
      <c r="J239" s="728">
        <f>8+3</f>
        <v>11</v>
      </c>
      <c r="K239" s="728">
        <f>4+1</f>
        <v>5</v>
      </c>
      <c r="L239" s="731">
        <f t="shared" si="113"/>
        <v>16</v>
      </c>
      <c r="M239" s="947"/>
      <c r="N239" s="617">
        <v>165</v>
      </c>
      <c r="O239" s="602">
        <f t="shared" si="144"/>
        <v>11</v>
      </c>
      <c r="P239" s="940"/>
      <c r="Q239" s="600">
        <f t="shared" si="134"/>
        <v>0</v>
      </c>
      <c r="R239" s="940"/>
      <c r="S239" s="596">
        <v>0</v>
      </c>
      <c r="T239" s="724"/>
      <c r="U239" s="728"/>
      <c r="V239" s="728"/>
      <c r="W239" s="731">
        <f t="shared" si="114"/>
        <v>0</v>
      </c>
      <c r="X239" s="947"/>
      <c r="Y239" s="616"/>
      <c r="Z239" s="602">
        <f t="shared" si="118"/>
        <v>0</v>
      </c>
      <c r="AA239" s="835"/>
      <c r="AB239" s="602">
        <f t="shared" si="119"/>
        <v>0</v>
      </c>
      <c r="AC239" s="940"/>
      <c r="AD239" s="956"/>
      <c r="AE239" s="956"/>
      <c r="AF239" s="598"/>
      <c r="AG239" s="596"/>
      <c r="AH239" s="728"/>
      <c r="AI239" s="728"/>
      <c r="AJ239" s="729">
        <f t="shared" si="135"/>
        <v>0</v>
      </c>
      <c r="AK239" s="946"/>
      <c r="AL239" s="616"/>
      <c r="AM239" s="602">
        <f t="shared" si="122"/>
        <v>0</v>
      </c>
      <c r="AN239" s="835"/>
      <c r="AO239" s="835">
        <f t="shared" si="136"/>
        <v>0</v>
      </c>
      <c r="AP239" s="940"/>
      <c r="AQ239" s="722">
        <v>0</v>
      </c>
      <c r="AR239" s="728"/>
      <c r="AS239" s="728"/>
      <c r="AT239" s="729">
        <f t="shared" si="137"/>
        <v>0</v>
      </c>
      <c r="AU239" s="946"/>
      <c r="AV239" s="616"/>
      <c r="AW239" s="602">
        <f t="shared" si="120"/>
        <v>0</v>
      </c>
      <c r="AX239" s="940"/>
      <c r="AY239" s="602">
        <f t="shared" si="121"/>
        <v>0</v>
      </c>
      <c r="AZ239" s="940"/>
      <c r="BA239" s="962"/>
      <c r="BB239" s="962"/>
      <c r="BC239" s="611"/>
      <c r="BD239" s="712">
        <v>11</v>
      </c>
      <c r="BE239" s="596">
        <v>0</v>
      </c>
      <c r="BF239" s="596">
        <f t="shared" si="124"/>
        <v>11</v>
      </c>
      <c r="BG239" s="728">
        <v>10</v>
      </c>
      <c r="BH239" s="728">
        <v>5</v>
      </c>
      <c r="BI239" s="729">
        <f t="shared" si="115"/>
        <v>15</v>
      </c>
      <c r="BJ239" s="729"/>
      <c r="BK239" s="616">
        <f>11*50</f>
        <v>550</v>
      </c>
      <c r="BL239" s="603">
        <f t="shared" si="123"/>
        <v>11</v>
      </c>
      <c r="BM239" s="964"/>
      <c r="BN239" s="602">
        <f t="shared" si="138"/>
        <v>0</v>
      </c>
      <c r="BO239" s="940"/>
      <c r="BP239" s="593">
        <f t="shared" si="139"/>
        <v>0</v>
      </c>
      <c r="BS239" s="741">
        <v>0</v>
      </c>
      <c r="BT239" s="741">
        <v>0</v>
      </c>
      <c r="BU239" s="741">
        <f t="shared" si="140"/>
        <v>0</v>
      </c>
      <c r="BV239" s="741">
        <v>0</v>
      </c>
      <c r="BW239" s="741"/>
      <c r="BX239" s="741">
        <v>0</v>
      </c>
      <c r="BY239" s="741">
        <v>0</v>
      </c>
      <c r="BZ239" s="741">
        <f t="shared" si="116"/>
        <v>0</v>
      </c>
      <c r="CA239" s="741">
        <v>0</v>
      </c>
      <c r="CB239" s="741"/>
      <c r="CC239" s="741">
        <f t="shared" si="141"/>
        <v>0</v>
      </c>
      <c r="CD239" s="751"/>
      <c r="CE239" s="748"/>
      <c r="CF239" s="748"/>
      <c r="CG239" s="748">
        <f t="shared" si="142"/>
        <v>0</v>
      </c>
      <c r="CH239" s="759"/>
      <c r="CI239" s="742"/>
      <c r="CJ239" s="591">
        <f t="shared" si="143"/>
        <v>0</v>
      </c>
    </row>
    <row r="240" spans="1:88" ht="52.5" customHeight="1" x14ac:dyDescent="0.25">
      <c r="A240" s="596"/>
      <c r="B240" s="596" t="s">
        <v>131</v>
      </c>
      <c r="C240" s="597" t="s">
        <v>294</v>
      </c>
      <c r="D240" s="182" t="s">
        <v>431</v>
      </c>
      <c r="E240" s="598">
        <v>3</v>
      </c>
      <c r="F240" s="596">
        <v>0</v>
      </c>
      <c r="G240" s="598">
        <v>3</v>
      </c>
      <c r="H240" s="596"/>
      <c r="I240" s="596">
        <f t="shared" si="117"/>
        <v>0</v>
      </c>
      <c r="J240" s="728">
        <f>4+2</f>
        <v>6</v>
      </c>
      <c r="K240" s="728">
        <f>2+0</f>
        <v>2</v>
      </c>
      <c r="L240" s="731">
        <f t="shared" si="113"/>
        <v>8</v>
      </c>
      <c r="M240" s="947"/>
      <c r="N240" s="617">
        <v>45</v>
      </c>
      <c r="O240" s="602">
        <f t="shared" si="144"/>
        <v>3</v>
      </c>
      <c r="P240" s="940"/>
      <c r="Q240" s="600">
        <f t="shared" si="134"/>
        <v>0</v>
      </c>
      <c r="R240" s="940"/>
      <c r="S240" s="596">
        <v>0</v>
      </c>
      <c r="T240" s="724"/>
      <c r="U240" s="728"/>
      <c r="V240" s="728"/>
      <c r="W240" s="731">
        <f t="shared" si="114"/>
        <v>0</v>
      </c>
      <c r="X240" s="947"/>
      <c r="Y240" s="616"/>
      <c r="Z240" s="602">
        <f t="shared" si="118"/>
        <v>0</v>
      </c>
      <c r="AA240" s="835"/>
      <c r="AB240" s="602">
        <f t="shared" si="119"/>
        <v>0</v>
      </c>
      <c r="AC240" s="940"/>
      <c r="AD240" s="956"/>
      <c r="AE240" s="956"/>
      <c r="AF240" s="598">
        <v>13</v>
      </c>
      <c r="AG240" s="596"/>
      <c r="AH240" s="728"/>
      <c r="AI240" s="728"/>
      <c r="AJ240" s="729">
        <f t="shared" si="135"/>
        <v>0</v>
      </c>
      <c r="AK240" s="946"/>
      <c r="AL240" s="616">
        <v>195</v>
      </c>
      <c r="AM240" s="602">
        <f t="shared" si="122"/>
        <v>13</v>
      </c>
      <c r="AN240" s="835"/>
      <c r="AO240" s="835">
        <f t="shared" si="136"/>
        <v>0</v>
      </c>
      <c r="AP240" s="940"/>
      <c r="AQ240" s="722">
        <v>0</v>
      </c>
      <c r="AR240" s="728"/>
      <c r="AS240" s="728"/>
      <c r="AT240" s="729">
        <f t="shared" si="137"/>
        <v>0</v>
      </c>
      <c r="AU240" s="946"/>
      <c r="AV240" s="616"/>
      <c r="AW240" s="602">
        <f t="shared" si="120"/>
        <v>0</v>
      </c>
      <c r="AX240" s="940"/>
      <c r="AY240" s="602">
        <f t="shared" si="121"/>
        <v>0</v>
      </c>
      <c r="AZ240" s="940"/>
      <c r="BA240" s="962"/>
      <c r="BB240" s="962"/>
      <c r="BC240" s="611"/>
      <c r="BD240" s="712">
        <v>16</v>
      </c>
      <c r="BE240" s="596">
        <v>0</v>
      </c>
      <c r="BF240" s="596">
        <f t="shared" si="124"/>
        <v>16</v>
      </c>
      <c r="BG240" s="728">
        <f>14+5</f>
        <v>19</v>
      </c>
      <c r="BH240" s="728">
        <f>8</f>
        <v>8</v>
      </c>
      <c r="BI240" s="729">
        <f t="shared" si="115"/>
        <v>27</v>
      </c>
      <c r="BJ240" s="729"/>
      <c r="BK240" s="616">
        <f>16*50</f>
        <v>800</v>
      </c>
      <c r="BL240" s="603">
        <f t="shared" si="123"/>
        <v>16</v>
      </c>
      <c r="BM240" s="964"/>
      <c r="BN240" s="602">
        <f t="shared" si="138"/>
        <v>0</v>
      </c>
      <c r="BO240" s="940"/>
      <c r="BP240" s="593">
        <f t="shared" si="139"/>
        <v>0</v>
      </c>
      <c r="BS240" s="741">
        <v>0</v>
      </c>
      <c r="BT240" s="741">
        <v>0</v>
      </c>
      <c r="BU240" s="741">
        <f t="shared" si="140"/>
        <v>0</v>
      </c>
      <c r="BV240" s="741">
        <v>0</v>
      </c>
      <c r="BW240" s="741"/>
      <c r="BX240" s="741">
        <v>0</v>
      </c>
      <c r="BY240" s="741">
        <v>0</v>
      </c>
      <c r="BZ240" s="741">
        <f t="shared" si="116"/>
        <v>0</v>
      </c>
      <c r="CA240" s="741">
        <v>13</v>
      </c>
      <c r="CB240" s="741"/>
      <c r="CC240" s="741">
        <f t="shared" si="141"/>
        <v>13</v>
      </c>
      <c r="CD240" s="751"/>
      <c r="CE240" s="748"/>
      <c r="CF240" s="748"/>
      <c r="CG240" s="748">
        <f t="shared" si="142"/>
        <v>0</v>
      </c>
      <c r="CH240" s="759"/>
      <c r="CI240" s="742"/>
      <c r="CJ240" s="591">
        <f t="shared" si="143"/>
        <v>0</v>
      </c>
    </row>
    <row r="241" spans="1:88" ht="47.25" customHeight="1" x14ac:dyDescent="0.25">
      <c r="A241" s="596"/>
      <c r="B241" s="596" t="s">
        <v>131</v>
      </c>
      <c r="C241" s="597" t="s">
        <v>486</v>
      </c>
      <c r="D241" s="182" t="s">
        <v>431</v>
      </c>
      <c r="E241" s="598">
        <v>0</v>
      </c>
      <c r="F241" s="596">
        <v>0</v>
      </c>
      <c r="G241" s="598">
        <v>0</v>
      </c>
      <c r="H241" s="596"/>
      <c r="I241" s="596">
        <f t="shared" si="117"/>
        <v>0</v>
      </c>
      <c r="J241" s="728"/>
      <c r="K241" s="728"/>
      <c r="L241" s="731">
        <f t="shared" si="113"/>
        <v>0</v>
      </c>
      <c r="M241" s="947"/>
      <c r="N241" s="617"/>
      <c r="O241" s="602">
        <f t="shared" si="144"/>
        <v>0</v>
      </c>
      <c r="P241" s="940"/>
      <c r="Q241" s="600">
        <f t="shared" si="134"/>
        <v>0</v>
      </c>
      <c r="R241" s="940"/>
      <c r="S241" s="596">
        <v>0</v>
      </c>
      <c r="T241" s="724"/>
      <c r="U241" s="728"/>
      <c r="V241" s="728"/>
      <c r="W241" s="731">
        <f t="shared" si="114"/>
        <v>0</v>
      </c>
      <c r="X241" s="947"/>
      <c r="Y241" s="616"/>
      <c r="Z241" s="602">
        <f t="shared" si="118"/>
        <v>0</v>
      </c>
      <c r="AA241" s="835"/>
      <c r="AB241" s="602">
        <f t="shared" si="119"/>
        <v>0</v>
      </c>
      <c r="AC241" s="940"/>
      <c r="AD241" s="956"/>
      <c r="AE241" s="956"/>
      <c r="AF241" s="598">
        <v>39.666666666666664</v>
      </c>
      <c r="AG241" s="596"/>
      <c r="AH241" s="728"/>
      <c r="AI241" s="728"/>
      <c r="AJ241" s="729">
        <f t="shared" si="135"/>
        <v>0</v>
      </c>
      <c r="AK241" s="946"/>
      <c r="AL241" s="616">
        <v>595</v>
      </c>
      <c r="AM241" s="602">
        <f t="shared" si="122"/>
        <v>39.666666666666664</v>
      </c>
      <c r="AN241" s="835"/>
      <c r="AO241" s="835">
        <f t="shared" si="136"/>
        <v>0</v>
      </c>
      <c r="AP241" s="940"/>
      <c r="AQ241" s="722">
        <v>0</v>
      </c>
      <c r="AR241" s="728"/>
      <c r="AS241" s="728"/>
      <c r="AT241" s="729">
        <f t="shared" si="137"/>
        <v>0</v>
      </c>
      <c r="AU241" s="946"/>
      <c r="AV241" s="616"/>
      <c r="AW241" s="602">
        <f t="shared" si="120"/>
        <v>0</v>
      </c>
      <c r="AX241" s="940"/>
      <c r="AY241" s="602">
        <f t="shared" si="121"/>
        <v>0</v>
      </c>
      <c r="AZ241" s="940"/>
      <c r="BA241" s="962"/>
      <c r="BB241" s="962"/>
      <c r="BC241" s="611"/>
      <c r="BD241" s="712">
        <v>40</v>
      </c>
      <c r="BE241" s="596">
        <v>0</v>
      </c>
      <c r="BF241" s="596">
        <f t="shared" si="124"/>
        <v>40</v>
      </c>
      <c r="BG241" s="728">
        <v>1</v>
      </c>
      <c r="BH241" s="728">
        <v>0</v>
      </c>
      <c r="BI241" s="729">
        <f t="shared" si="115"/>
        <v>1</v>
      </c>
      <c r="BJ241" s="729"/>
      <c r="BK241" s="616">
        <f>1900+100</f>
        <v>2000</v>
      </c>
      <c r="BL241" s="603">
        <f t="shared" si="123"/>
        <v>40</v>
      </c>
      <c r="BM241" s="964"/>
      <c r="BN241" s="602">
        <f t="shared" si="138"/>
        <v>0</v>
      </c>
      <c r="BO241" s="940"/>
      <c r="BP241" s="593">
        <f t="shared" si="139"/>
        <v>0</v>
      </c>
      <c r="BS241" s="741">
        <v>0</v>
      </c>
      <c r="BT241" s="741">
        <v>0</v>
      </c>
      <c r="BU241" s="741">
        <f t="shared" si="140"/>
        <v>0</v>
      </c>
      <c r="BV241" s="741">
        <v>0</v>
      </c>
      <c r="BW241" s="741"/>
      <c r="BX241" s="741">
        <v>0</v>
      </c>
      <c r="BY241" s="741">
        <v>0</v>
      </c>
      <c r="BZ241" s="741">
        <f t="shared" si="116"/>
        <v>0</v>
      </c>
      <c r="CA241" s="741">
        <v>39.666666666666664</v>
      </c>
      <c r="CB241" s="741"/>
      <c r="CC241" s="741">
        <f t="shared" si="141"/>
        <v>39.666666666666664</v>
      </c>
      <c r="CD241" s="751"/>
      <c r="CE241" s="748"/>
      <c r="CF241" s="748"/>
      <c r="CG241" s="748">
        <f t="shared" si="142"/>
        <v>0</v>
      </c>
      <c r="CH241" s="759"/>
      <c r="CI241" s="742"/>
      <c r="CJ241" s="591">
        <f t="shared" si="143"/>
        <v>0</v>
      </c>
    </row>
    <row r="242" spans="1:88" ht="33.75" customHeight="1" x14ac:dyDescent="0.25">
      <c r="A242" s="596"/>
      <c r="B242" s="596" t="s">
        <v>131</v>
      </c>
      <c r="C242" s="597" t="s">
        <v>488</v>
      </c>
      <c r="D242" s="182" t="s">
        <v>431</v>
      </c>
      <c r="E242" s="598">
        <v>0</v>
      </c>
      <c r="F242" s="596">
        <v>0</v>
      </c>
      <c r="G242" s="598">
        <v>0</v>
      </c>
      <c r="H242" s="596"/>
      <c r="I242" s="596">
        <f t="shared" si="117"/>
        <v>0</v>
      </c>
      <c r="J242" s="728"/>
      <c r="K242" s="728"/>
      <c r="L242" s="731">
        <f t="shared" si="113"/>
        <v>0</v>
      </c>
      <c r="M242" s="947"/>
      <c r="N242" s="617"/>
      <c r="O242" s="602">
        <f t="shared" si="144"/>
        <v>0</v>
      </c>
      <c r="P242" s="940"/>
      <c r="Q242" s="600">
        <f t="shared" si="134"/>
        <v>0</v>
      </c>
      <c r="R242" s="940"/>
      <c r="S242" s="596">
        <v>0</v>
      </c>
      <c r="T242" s="724"/>
      <c r="U242" s="728"/>
      <c r="V242" s="728"/>
      <c r="W242" s="731">
        <f t="shared" si="114"/>
        <v>0</v>
      </c>
      <c r="X242" s="947"/>
      <c r="Y242" s="616"/>
      <c r="Z242" s="602">
        <f t="shared" si="118"/>
        <v>0</v>
      </c>
      <c r="AA242" s="835"/>
      <c r="AB242" s="602">
        <f t="shared" si="119"/>
        <v>0</v>
      </c>
      <c r="AC242" s="940"/>
      <c r="AD242" s="956"/>
      <c r="AE242" s="956"/>
      <c r="AF242" s="598">
        <v>10</v>
      </c>
      <c r="AG242" s="596"/>
      <c r="AH242" s="728"/>
      <c r="AI242" s="728"/>
      <c r="AJ242" s="729">
        <f t="shared" si="135"/>
        <v>0</v>
      </c>
      <c r="AK242" s="946"/>
      <c r="AL242" s="616">
        <v>150</v>
      </c>
      <c r="AM242" s="602">
        <f t="shared" si="122"/>
        <v>10</v>
      </c>
      <c r="AN242" s="835"/>
      <c r="AO242" s="835">
        <f t="shared" si="136"/>
        <v>0</v>
      </c>
      <c r="AP242" s="940"/>
      <c r="AQ242" s="722">
        <v>0</v>
      </c>
      <c r="AR242" s="728"/>
      <c r="AS242" s="728"/>
      <c r="AT242" s="729">
        <f t="shared" si="137"/>
        <v>0</v>
      </c>
      <c r="AU242" s="946"/>
      <c r="AV242" s="616"/>
      <c r="AW242" s="602">
        <f t="shared" si="120"/>
        <v>0</v>
      </c>
      <c r="AX242" s="940"/>
      <c r="AY242" s="602">
        <f t="shared" si="121"/>
        <v>0</v>
      </c>
      <c r="AZ242" s="940"/>
      <c r="BA242" s="962"/>
      <c r="BB242" s="962"/>
      <c r="BC242" s="611"/>
      <c r="BD242" s="712">
        <v>10</v>
      </c>
      <c r="BE242" s="596">
        <v>0</v>
      </c>
      <c r="BF242" s="596">
        <f t="shared" si="124"/>
        <v>10</v>
      </c>
      <c r="BG242" s="728">
        <v>6</v>
      </c>
      <c r="BH242" s="728">
        <v>4</v>
      </c>
      <c r="BI242" s="729">
        <f t="shared" si="115"/>
        <v>10</v>
      </c>
      <c r="BJ242" s="729"/>
      <c r="BK242" s="616">
        <f>500</f>
        <v>500</v>
      </c>
      <c r="BL242" s="603">
        <f t="shared" si="123"/>
        <v>10</v>
      </c>
      <c r="BM242" s="964"/>
      <c r="BN242" s="602">
        <f t="shared" si="138"/>
        <v>0</v>
      </c>
      <c r="BO242" s="940"/>
      <c r="BP242" s="593">
        <f t="shared" si="139"/>
        <v>0</v>
      </c>
      <c r="BS242" s="741">
        <v>0</v>
      </c>
      <c r="BT242" s="741">
        <v>0</v>
      </c>
      <c r="BU242" s="741">
        <f t="shared" si="140"/>
        <v>0</v>
      </c>
      <c r="BV242" s="741">
        <v>0</v>
      </c>
      <c r="BW242" s="741"/>
      <c r="BX242" s="741">
        <v>0</v>
      </c>
      <c r="BY242" s="741">
        <v>0</v>
      </c>
      <c r="BZ242" s="741">
        <f t="shared" si="116"/>
        <v>0</v>
      </c>
      <c r="CA242" s="741">
        <v>10</v>
      </c>
      <c r="CB242" s="741"/>
      <c r="CC242" s="741">
        <f t="shared" si="141"/>
        <v>10</v>
      </c>
      <c r="CD242" s="751"/>
      <c r="CE242" s="748"/>
      <c r="CF242" s="748"/>
      <c r="CG242" s="748">
        <f t="shared" si="142"/>
        <v>0</v>
      </c>
      <c r="CH242" s="759"/>
      <c r="CI242" s="742"/>
      <c r="CJ242" s="591">
        <f t="shared" si="143"/>
        <v>0</v>
      </c>
    </row>
    <row r="243" spans="1:88" ht="21.6" customHeight="1" x14ac:dyDescent="0.25">
      <c r="A243" s="596"/>
      <c r="B243" s="596" t="s">
        <v>131</v>
      </c>
      <c r="C243" s="597" t="s">
        <v>293</v>
      </c>
      <c r="D243" s="167" t="s">
        <v>429</v>
      </c>
      <c r="E243" s="598">
        <v>213.66666666666666</v>
      </c>
      <c r="F243" s="596">
        <v>0</v>
      </c>
      <c r="G243" s="598">
        <v>213.66666666666666</v>
      </c>
      <c r="H243" s="596"/>
      <c r="I243" s="596">
        <f t="shared" si="117"/>
        <v>0</v>
      </c>
      <c r="J243" s="728">
        <f>21+12+22+18+21+19+19</f>
        <v>132</v>
      </c>
      <c r="K243" s="728">
        <f>0+3+0+4+1+3+3</f>
        <v>14</v>
      </c>
      <c r="L243" s="731">
        <f t="shared" si="113"/>
        <v>146</v>
      </c>
      <c r="M243" s="947"/>
      <c r="N243" s="617">
        <v>3205</v>
      </c>
      <c r="O243" s="602">
        <f t="shared" si="144"/>
        <v>213.66666666666666</v>
      </c>
      <c r="P243" s="940"/>
      <c r="Q243" s="600">
        <f t="shared" si="134"/>
        <v>0</v>
      </c>
      <c r="R243" s="940"/>
      <c r="S243" s="596">
        <v>0</v>
      </c>
      <c r="T243" s="724"/>
      <c r="U243" s="728"/>
      <c r="V243" s="728"/>
      <c r="W243" s="731">
        <f t="shared" si="114"/>
        <v>0</v>
      </c>
      <c r="X243" s="947"/>
      <c r="Y243" s="616"/>
      <c r="Z243" s="602">
        <f t="shared" si="118"/>
        <v>0</v>
      </c>
      <c r="AA243" s="835"/>
      <c r="AB243" s="602">
        <f t="shared" si="119"/>
        <v>0</v>
      </c>
      <c r="AC243" s="940"/>
      <c r="AD243" s="956"/>
      <c r="AE243" s="956"/>
      <c r="AF243" s="598">
        <v>60</v>
      </c>
      <c r="AG243" s="596"/>
      <c r="AH243" s="728"/>
      <c r="AI243" s="728"/>
      <c r="AJ243" s="729">
        <f t="shared" si="135"/>
        <v>0</v>
      </c>
      <c r="AK243" s="946"/>
      <c r="AL243" s="616">
        <v>900</v>
      </c>
      <c r="AM243" s="602">
        <f t="shared" si="122"/>
        <v>60</v>
      </c>
      <c r="AN243" s="835"/>
      <c r="AO243" s="835">
        <f t="shared" si="136"/>
        <v>0</v>
      </c>
      <c r="AP243" s="940"/>
      <c r="AQ243" s="722">
        <v>0</v>
      </c>
      <c r="AR243" s="728"/>
      <c r="AS243" s="728"/>
      <c r="AT243" s="729">
        <f t="shared" si="137"/>
        <v>0</v>
      </c>
      <c r="AU243" s="946"/>
      <c r="AV243" s="616"/>
      <c r="AW243" s="602">
        <f t="shared" si="120"/>
        <v>0</v>
      </c>
      <c r="AX243" s="940"/>
      <c r="AY243" s="602">
        <f t="shared" si="121"/>
        <v>0</v>
      </c>
      <c r="AZ243" s="940"/>
      <c r="BA243" s="962"/>
      <c r="BB243" s="962"/>
      <c r="BC243" s="611"/>
      <c r="BD243" s="712">
        <v>239</v>
      </c>
      <c r="BE243" s="596">
        <v>0</v>
      </c>
      <c r="BF243" s="596">
        <f t="shared" si="124"/>
        <v>239</v>
      </c>
      <c r="BG243" s="728">
        <f>13+19+20+15+16+14+3+8</f>
        <v>108</v>
      </c>
      <c r="BH243" s="728">
        <f>2+2+2+5+4+2</f>
        <v>17</v>
      </c>
      <c r="BI243" s="729">
        <f t="shared" si="115"/>
        <v>125</v>
      </c>
      <c r="BJ243" s="729"/>
      <c r="BK243" s="616">
        <f>3850+650+1400+1400+1150+1200+1350+450+500</f>
        <v>11950</v>
      </c>
      <c r="BL243" s="603">
        <f t="shared" si="123"/>
        <v>239</v>
      </c>
      <c r="BM243" s="964"/>
      <c r="BN243" s="602">
        <f t="shared" si="138"/>
        <v>0</v>
      </c>
      <c r="BO243" s="940"/>
      <c r="BP243" s="593">
        <f t="shared" si="139"/>
        <v>0</v>
      </c>
      <c r="BS243" s="741">
        <v>0</v>
      </c>
      <c r="BT243" s="741">
        <v>0</v>
      </c>
      <c r="BU243" s="741">
        <f t="shared" si="140"/>
        <v>0</v>
      </c>
      <c r="BV243" s="741">
        <v>0</v>
      </c>
      <c r="BW243" s="741"/>
      <c r="BX243" s="741">
        <v>0</v>
      </c>
      <c r="BY243" s="741">
        <v>0</v>
      </c>
      <c r="BZ243" s="741">
        <f t="shared" si="116"/>
        <v>0</v>
      </c>
      <c r="CA243" s="741">
        <v>60</v>
      </c>
      <c r="CB243" s="741"/>
      <c r="CC243" s="741">
        <f t="shared" si="141"/>
        <v>60</v>
      </c>
      <c r="CD243" s="751"/>
      <c r="CE243" s="748"/>
      <c r="CF243" s="748"/>
      <c r="CG243" s="748">
        <f t="shared" si="142"/>
        <v>0</v>
      </c>
      <c r="CH243" s="759"/>
      <c r="CI243" s="742"/>
      <c r="CJ243" s="591">
        <f t="shared" si="143"/>
        <v>0</v>
      </c>
    </row>
    <row r="244" spans="1:88" ht="21.6" customHeight="1" x14ac:dyDescent="0.25">
      <c r="A244" s="596" t="s">
        <v>130</v>
      </c>
      <c r="B244" s="596" t="s">
        <v>131</v>
      </c>
      <c r="C244" s="597" t="s">
        <v>134</v>
      </c>
      <c r="D244" s="167"/>
      <c r="E244" s="598">
        <v>0</v>
      </c>
      <c r="F244" s="596">
        <v>0</v>
      </c>
      <c r="G244" s="598">
        <v>0</v>
      </c>
      <c r="H244" s="596"/>
      <c r="I244" s="596">
        <f t="shared" si="117"/>
        <v>0</v>
      </c>
      <c r="J244" s="728"/>
      <c r="K244" s="728"/>
      <c r="L244" s="731">
        <f t="shared" si="113"/>
        <v>0</v>
      </c>
      <c r="M244" s="947"/>
      <c r="N244" s="617">
        <v>0</v>
      </c>
      <c r="O244" s="602">
        <f t="shared" si="144"/>
        <v>0</v>
      </c>
      <c r="P244" s="940"/>
      <c r="Q244" s="600">
        <f t="shared" si="134"/>
        <v>0</v>
      </c>
      <c r="R244" s="940"/>
      <c r="S244" s="596">
        <v>0</v>
      </c>
      <c r="T244" s="724"/>
      <c r="U244" s="728"/>
      <c r="V244" s="728"/>
      <c r="W244" s="731">
        <f t="shared" si="114"/>
        <v>0</v>
      </c>
      <c r="X244" s="947"/>
      <c r="Y244" s="616"/>
      <c r="Z244" s="602">
        <f t="shared" si="118"/>
        <v>0</v>
      </c>
      <c r="AA244" s="835"/>
      <c r="AB244" s="602">
        <f t="shared" si="119"/>
        <v>0</v>
      </c>
      <c r="AC244" s="940"/>
      <c r="AD244" s="956"/>
      <c r="AE244" s="956"/>
      <c r="AF244" s="598">
        <v>0</v>
      </c>
      <c r="AG244" s="596"/>
      <c r="AH244" s="728"/>
      <c r="AI244" s="728"/>
      <c r="AJ244" s="729">
        <f t="shared" si="135"/>
        <v>0</v>
      </c>
      <c r="AK244" s="946"/>
      <c r="AL244" s="616"/>
      <c r="AM244" s="602">
        <f t="shared" si="122"/>
        <v>0</v>
      </c>
      <c r="AN244" s="835"/>
      <c r="AO244" s="835">
        <f t="shared" si="136"/>
        <v>0</v>
      </c>
      <c r="AP244" s="940"/>
      <c r="AQ244" s="722">
        <v>0</v>
      </c>
      <c r="AR244" s="728"/>
      <c r="AS244" s="728"/>
      <c r="AT244" s="729">
        <f t="shared" si="137"/>
        <v>0</v>
      </c>
      <c r="AU244" s="946"/>
      <c r="AV244" s="616"/>
      <c r="AW244" s="602">
        <f t="shared" si="120"/>
        <v>0</v>
      </c>
      <c r="AX244" s="940"/>
      <c r="AY244" s="602">
        <f t="shared" si="121"/>
        <v>0</v>
      </c>
      <c r="AZ244" s="940"/>
      <c r="BA244" s="962"/>
      <c r="BB244" s="962"/>
      <c r="BC244" s="611"/>
      <c r="BD244" s="712">
        <v>0</v>
      </c>
      <c r="BE244" s="596">
        <v>0</v>
      </c>
      <c r="BF244" s="596">
        <f t="shared" si="124"/>
        <v>0</v>
      </c>
      <c r="BG244" s="728"/>
      <c r="BH244" s="728"/>
      <c r="BI244" s="729">
        <f t="shared" si="115"/>
        <v>0</v>
      </c>
      <c r="BJ244" s="729"/>
      <c r="BK244" s="616"/>
      <c r="BL244" s="603">
        <f t="shared" si="123"/>
        <v>0</v>
      </c>
      <c r="BM244" s="964"/>
      <c r="BN244" s="602">
        <f t="shared" si="138"/>
        <v>0</v>
      </c>
      <c r="BO244" s="940"/>
      <c r="BP244" s="593">
        <f t="shared" si="139"/>
        <v>0</v>
      </c>
      <c r="BS244" s="741">
        <v>0</v>
      </c>
      <c r="BT244" s="741">
        <v>0</v>
      </c>
      <c r="BU244" s="741">
        <f t="shared" si="140"/>
        <v>0</v>
      </c>
      <c r="BV244" s="741">
        <v>0</v>
      </c>
      <c r="BW244" s="741"/>
      <c r="BX244" s="741">
        <v>0</v>
      </c>
      <c r="BY244" s="741">
        <v>0</v>
      </c>
      <c r="BZ244" s="741">
        <f t="shared" si="116"/>
        <v>0</v>
      </c>
      <c r="CA244" s="741">
        <v>0</v>
      </c>
      <c r="CB244" s="741"/>
      <c r="CC244" s="741">
        <f t="shared" si="141"/>
        <v>0</v>
      </c>
      <c r="CD244" s="751"/>
      <c r="CE244" s="748"/>
      <c r="CF244" s="748"/>
      <c r="CG244" s="748">
        <f t="shared" si="142"/>
        <v>0</v>
      </c>
      <c r="CH244" s="759"/>
      <c r="CI244" s="742"/>
      <c r="CJ244" s="591">
        <f t="shared" si="143"/>
        <v>0</v>
      </c>
    </row>
    <row r="245" spans="1:88" ht="21.6" customHeight="1" x14ac:dyDescent="0.25">
      <c r="A245" s="596"/>
      <c r="B245" s="596" t="s">
        <v>131</v>
      </c>
      <c r="C245" s="597" t="s">
        <v>292</v>
      </c>
      <c r="D245" s="167" t="s">
        <v>429</v>
      </c>
      <c r="E245" s="598">
        <v>2.3333333333333335</v>
      </c>
      <c r="F245" s="596">
        <v>0</v>
      </c>
      <c r="G245" s="598">
        <v>2.3333333333333335</v>
      </c>
      <c r="H245" s="596"/>
      <c r="I245" s="596">
        <f t="shared" si="117"/>
        <v>0</v>
      </c>
      <c r="J245" s="728">
        <f>5</f>
        <v>5</v>
      </c>
      <c r="K245" s="728">
        <f>1</f>
        <v>1</v>
      </c>
      <c r="L245" s="731">
        <f t="shared" si="113"/>
        <v>6</v>
      </c>
      <c r="M245" s="947"/>
      <c r="N245" s="617">
        <v>35</v>
      </c>
      <c r="O245" s="602">
        <f t="shared" si="144"/>
        <v>2.3333333333333335</v>
      </c>
      <c r="P245" s="940"/>
      <c r="Q245" s="600">
        <f t="shared" si="134"/>
        <v>0</v>
      </c>
      <c r="R245" s="940"/>
      <c r="S245" s="596">
        <v>0</v>
      </c>
      <c r="T245" s="724"/>
      <c r="U245" s="728"/>
      <c r="V245" s="728"/>
      <c r="W245" s="731">
        <f t="shared" si="114"/>
        <v>0</v>
      </c>
      <c r="X245" s="947"/>
      <c r="Y245" s="616"/>
      <c r="Z245" s="602">
        <f t="shared" si="118"/>
        <v>0</v>
      </c>
      <c r="AA245" s="835"/>
      <c r="AB245" s="602">
        <f t="shared" si="119"/>
        <v>0</v>
      </c>
      <c r="AC245" s="940"/>
      <c r="AD245" s="956"/>
      <c r="AE245" s="956"/>
      <c r="AF245" s="598">
        <v>4.666666666666667</v>
      </c>
      <c r="AG245" s="596"/>
      <c r="AH245" s="728"/>
      <c r="AI245" s="728"/>
      <c r="AJ245" s="729">
        <f t="shared" si="135"/>
        <v>0</v>
      </c>
      <c r="AK245" s="946"/>
      <c r="AL245" s="616">
        <v>70</v>
      </c>
      <c r="AM245" s="602">
        <f t="shared" si="122"/>
        <v>4.666666666666667</v>
      </c>
      <c r="AN245" s="835"/>
      <c r="AO245" s="835">
        <f t="shared" si="136"/>
        <v>0</v>
      </c>
      <c r="AP245" s="940"/>
      <c r="AQ245" s="722">
        <v>0</v>
      </c>
      <c r="AR245" s="728"/>
      <c r="AS245" s="728"/>
      <c r="AT245" s="729">
        <f t="shared" si="137"/>
        <v>0</v>
      </c>
      <c r="AU245" s="946"/>
      <c r="AV245" s="616"/>
      <c r="AW245" s="602">
        <f t="shared" si="120"/>
        <v>0</v>
      </c>
      <c r="AX245" s="940"/>
      <c r="AY245" s="602">
        <f t="shared" si="121"/>
        <v>0</v>
      </c>
      <c r="AZ245" s="940"/>
      <c r="BA245" s="962"/>
      <c r="BB245" s="962"/>
      <c r="BC245" s="611"/>
      <c r="BD245" s="712">
        <v>7</v>
      </c>
      <c r="BE245" s="596">
        <v>0</v>
      </c>
      <c r="BF245" s="596">
        <f t="shared" si="124"/>
        <v>7</v>
      </c>
      <c r="BG245" s="728">
        <f>11</f>
        <v>11</v>
      </c>
      <c r="BH245" s="728">
        <f>1</f>
        <v>1</v>
      </c>
      <c r="BI245" s="729">
        <f t="shared" si="115"/>
        <v>12</v>
      </c>
      <c r="BJ245" s="729"/>
      <c r="BK245" s="616">
        <f>7*50</f>
        <v>350</v>
      </c>
      <c r="BL245" s="603">
        <f t="shared" si="123"/>
        <v>7</v>
      </c>
      <c r="BM245" s="964"/>
      <c r="BN245" s="602">
        <f t="shared" si="138"/>
        <v>0</v>
      </c>
      <c r="BO245" s="940"/>
      <c r="BP245" s="593">
        <f t="shared" si="139"/>
        <v>0</v>
      </c>
      <c r="BS245" s="741">
        <v>0</v>
      </c>
      <c r="BT245" s="741">
        <v>0</v>
      </c>
      <c r="BU245" s="741">
        <f t="shared" si="140"/>
        <v>0</v>
      </c>
      <c r="BV245" s="741">
        <v>0</v>
      </c>
      <c r="BW245" s="741"/>
      <c r="BX245" s="741">
        <v>0</v>
      </c>
      <c r="BY245" s="741">
        <v>0</v>
      </c>
      <c r="BZ245" s="741">
        <f t="shared" si="116"/>
        <v>0</v>
      </c>
      <c r="CA245" s="741">
        <v>4.666666666666667</v>
      </c>
      <c r="CB245" s="741"/>
      <c r="CC245" s="741">
        <f t="shared" si="141"/>
        <v>4.666666666666667</v>
      </c>
      <c r="CD245" s="751"/>
      <c r="CE245" s="748"/>
      <c r="CF245" s="748"/>
      <c r="CG245" s="748">
        <f t="shared" si="142"/>
        <v>0</v>
      </c>
      <c r="CH245" s="759"/>
      <c r="CI245" s="742"/>
      <c r="CJ245" s="591">
        <f t="shared" si="143"/>
        <v>0</v>
      </c>
    </row>
    <row r="246" spans="1:88" ht="21.6" customHeight="1" x14ac:dyDescent="0.25">
      <c r="A246" s="596"/>
      <c r="B246" s="596" t="s">
        <v>131</v>
      </c>
      <c r="C246" s="597" t="s">
        <v>604</v>
      </c>
      <c r="D246" s="167" t="s">
        <v>429</v>
      </c>
      <c r="E246" s="598">
        <v>3</v>
      </c>
      <c r="F246" s="596">
        <v>0</v>
      </c>
      <c r="G246" s="598">
        <v>0</v>
      </c>
      <c r="H246" s="596"/>
      <c r="I246" s="596">
        <f t="shared" si="117"/>
        <v>0</v>
      </c>
      <c r="J246" s="728"/>
      <c r="K246" s="728"/>
      <c r="L246" s="731">
        <f t="shared" si="113"/>
        <v>0</v>
      </c>
      <c r="M246" s="947"/>
      <c r="N246" s="617">
        <v>45</v>
      </c>
      <c r="O246" s="602">
        <f t="shared" si="144"/>
        <v>3</v>
      </c>
      <c r="P246" s="940"/>
      <c r="Q246" s="600">
        <f t="shared" si="134"/>
        <v>0</v>
      </c>
      <c r="R246" s="940"/>
      <c r="S246" s="596">
        <v>0</v>
      </c>
      <c r="T246" s="724"/>
      <c r="U246" s="728"/>
      <c r="V246" s="728"/>
      <c r="W246" s="731">
        <f t="shared" si="114"/>
        <v>0</v>
      </c>
      <c r="X246" s="947"/>
      <c r="Y246" s="616"/>
      <c r="Z246" s="602">
        <f t="shared" si="118"/>
        <v>0</v>
      </c>
      <c r="AA246" s="835"/>
      <c r="AB246" s="602">
        <f t="shared" si="119"/>
        <v>0</v>
      </c>
      <c r="AC246" s="940"/>
      <c r="AD246" s="956"/>
      <c r="AE246" s="956"/>
      <c r="AF246" s="598">
        <v>0</v>
      </c>
      <c r="AG246" s="596"/>
      <c r="AH246" s="728"/>
      <c r="AI246" s="728"/>
      <c r="AJ246" s="729">
        <f t="shared" si="135"/>
        <v>0</v>
      </c>
      <c r="AK246" s="946"/>
      <c r="AL246" s="616"/>
      <c r="AM246" s="602">
        <f t="shared" si="122"/>
        <v>0</v>
      </c>
      <c r="AN246" s="835"/>
      <c r="AO246" s="835">
        <f t="shared" si="136"/>
        <v>0</v>
      </c>
      <c r="AP246" s="940"/>
      <c r="AQ246" s="722">
        <v>0</v>
      </c>
      <c r="AR246" s="728"/>
      <c r="AS246" s="728"/>
      <c r="AT246" s="729">
        <f t="shared" si="137"/>
        <v>0</v>
      </c>
      <c r="AU246" s="946"/>
      <c r="AV246" s="616"/>
      <c r="AW246" s="602">
        <f t="shared" si="120"/>
        <v>0</v>
      </c>
      <c r="AX246" s="940"/>
      <c r="AY246" s="602">
        <f t="shared" si="121"/>
        <v>0</v>
      </c>
      <c r="AZ246" s="940"/>
      <c r="BA246" s="962"/>
      <c r="BB246" s="962"/>
      <c r="BC246" s="611"/>
      <c r="BD246" s="712">
        <v>3</v>
      </c>
      <c r="BE246" s="596">
        <v>0</v>
      </c>
      <c r="BF246" s="596">
        <f t="shared" si="124"/>
        <v>3</v>
      </c>
      <c r="BG246" s="728"/>
      <c r="BH246" s="728"/>
      <c r="BI246" s="729">
        <f t="shared" si="115"/>
        <v>0</v>
      </c>
      <c r="BJ246" s="729"/>
      <c r="BK246" s="616">
        <v>150</v>
      </c>
      <c r="BL246" s="603">
        <f t="shared" si="123"/>
        <v>3</v>
      </c>
      <c r="BM246" s="964"/>
      <c r="BN246" s="602">
        <f t="shared" si="138"/>
        <v>0</v>
      </c>
      <c r="BO246" s="940"/>
      <c r="BP246" s="593">
        <f t="shared" si="139"/>
        <v>0</v>
      </c>
      <c r="BS246" s="741">
        <v>0</v>
      </c>
      <c r="BT246" s="741">
        <v>0</v>
      </c>
      <c r="BU246" s="741">
        <f t="shared" si="140"/>
        <v>0</v>
      </c>
      <c r="BV246" s="741">
        <v>0</v>
      </c>
      <c r="BW246" s="741"/>
      <c r="BX246" s="741">
        <v>0</v>
      </c>
      <c r="BY246" s="741">
        <v>0</v>
      </c>
      <c r="BZ246" s="741">
        <f t="shared" si="116"/>
        <v>0</v>
      </c>
      <c r="CA246" s="741">
        <v>0</v>
      </c>
      <c r="CB246" s="741"/>
      <c r="CC246" s="741">
        <f t="shared" si="141"/>
        <v>0</v>
      </c>
      <c r="CD246" s="751"/>
      <c r="CE246" s="748"/>
      <c r="CF246" s="748"/>
      <c r="CG246" s="748">
        <f t="shared" si="142"/>
        <v>0</v>
      </c>
      <c r="CH246" s="759"/>
      <c r="CI246" s="742"/>
      <c r="CJ246" s="591">
        <f t="shared" si="143"/>
        <v>0</v>
      </c>
    </row>
    <row r="247" spans="1:88" ht="21.6" customHeight="1" x14ac:dyDescent="0.25">
      <c r="A247" s="596"/>
      <c r="B247" s="596"/>
      <c r="C247" s="597"/>
      <c r="D247" s="371"/>
      <c r="E247" s="598">
        <v>0</v>
      </c>
      <c r="F247" s="596">
        <v>0</v>
      </c>
      <c r="G247" s="598"/>
      <c r="H247" s="596"/>
      <c r="I247" s="596">
        <f t="shared" si="117"/>
        <v>0</v>
      </c>
      <c r="J247" s="728"/>
      <c r="K247" s="728"/>
      <c r="L247" s="731">
        <f t="shared" si="113"/>
        <v>0</v>
      </c>
      <c r="M247" s="947"/>
      <c r="N247" s="617"/>
      <c r="O247" s="602">
        <f t="shared" si="144"/>
        <v>0</v>
      </c>
      <c r="P247" s="940"/>
      <c r="Q247" s="600">
        <f t="shared" si="134"/>
        <v>0</v>
      </c>
      <c r="R247" s="940"/>
      <c r="S247" s="596">
        <v>0</v>
      </c>
      <c r="T247" s="724"/>
      <c r="U247" s="728"/>
      <c r="V247" s="728"/>
      <c r="W247" s="731">
        <f t="shared" si="114"/>
        <v>0</v>
      </c>
      <c r="X247" s="947"/>
      <c r="Y247" s="616"/>
      <c r="Z247" s="602">
        <f t="shared" si="118"/>
        <v>0</v>
      </c>
      <c r="AA247" s="835"/>
      <c r="AB247" s="602">
        <f t="shared" si="119"/>
        <v>0</v>
      </c>
      <c r="AC247" s="940"/>
      <c r="AD247" s="956"/>
      <c r="AE247" s="956"/>
      <c r="AF247" s="598"/>
      <c r="AG247" s="596"/>
      <c r="AH247" s="728"/>
      <c r="AI247" s="728"/>
      <c r="AJ247" s="729">
        <f t="shared" si="135"/>
        <v>0</v>
      </c>
      <c r="AK247" s="946"/>
      <c r="AL247" s="616"/>
      <c r="AM247" s="602">
        <f t="shared" si="122"/>
        <v>0</v>
      </c>
      <c r="AN247" s="835"/>
      <c r="AO247" s="835">
        <f t="shared" si="136"/>
        <v>0</v>
      </c>
      <c r="AP247" s="940"/>
      <c r="AQ247" s="722">
        <v>0</v>
      </c>
      <c r="AR247" s="728"/>
      <c r="AS247" s="728"/>
      <c r="AT247" s="729">
        <f t="shared" si="137"/>
        <v>0</v>
      </c>
      <c r="AU247" s="946"/>
      <c r="AV247" s="616"/>
      <c r="AW247" s="602">
        <f t="shared" si="120"/>
        <v>0</v>
      </c>
      <c r="AX247" s="940"/>
      <c r="AY247" s="602">
        <f t="shared" si="121"/>
        <v>0</v>
      </c>
      <c r="AZ247" s="940"/>
      <c r="BA247" s="962"/>
      <c r="BB247" s="962"/>
      <c r="BC247" s="611"/>
      <c r="BD247" s="712"/>
      <c r="BE247" s="596"/>
      <c r="BF247" s="596">
        <f t="shared" si="124"/>
        <v>0</v>
      </c>
      <c r="BG247" s="728"/>
      <c r="BH247" s="728"/>
      <c r="BI247" s="729">
        <f t="shared" si="115"/>
        <v>0</v>
      </c>
      <c r="BJ247" s="729"/>
      <c r="BK247" s="616"/>
      <c r="BL247" s="603">
        <f t="shared" si="123"/>
        <v>0</v>
      </c>
      <c r="BM247" s="964"/>
      <c r="BN247" s="602">
        <f t="shared" si="138"/>
        <v>0</v>
      </c>
      <c r="BO247" s="940"/>
      <c r="BP247" s="593">
        <f t="shared" si="139"/>
        <v>0</v>
      </c>
      <c r="BS247" s="741">
        <v>0</v>
      </c>
      <c r="BT247" s="741">
        <v>0</v>
      </c>
      <c r="BU247" s="741">
        <f t="shared" si="140"/>
        <v>0</v>
      </c>
      <c r="BV247" s="741">
        <v>0</v>
      </c>
      <c r="BW247" s="741"/>
      <c r="BX247" s="741">
        <v>0</v>
      </c>
      <c r="BY247" s="741">
        <v>0</v>
      </c>
      <c r="BZ247" s="741">
        <f t="shared" si="116"/>
        <v>0</v>
      </c>
      <c r="CA247" s="741">
        <v>0</v>
      </c>
      <c r="CB247" s="741"/>
      <c r="CC247" s="741">
        <f t="shared" si="141"/>
        <v>0</v>
      </c>
      <c r="CD247" s="751"/>
      <c r="CE247" s="748"/>
      <c r="CF247" s="748"/>
      <c r="CG247" s="748">
        <f t="shared" si="142"/>
        <v>0</v>
      </c>
      <c r="CH247" s="759"/>
      <c r="CI247" s="742"/>
      <c r="CJ247" s="591">
        <f t="shared" si="143"/>
        <v>0</v>
      </c>
    </row>
    <row r="248" spans="1:88" s="679" customFormat="1" ht="21.6" customHeight="1" x14ac:dyDescent="0.25">
      <c r="A248" s="675"/>
      <c r="B248" s="675" t="s">
        <v>370</v>
      </c>
      <c r="C248" s="676"/>
      <c r="D248" s="182" t="s">
        <v>431</v>
      </c>
      <c r="E248" s="677"/>
      <c r="F248" s="675"/>
      <c r="G248" s="677"/>
      <c r="H248" s="675"/>
      <c r="I248" s="675"/>
      <c r="J248" s="728"/>
      <c r="K248" s="728"/>
      <c r="L248" s="731">
        <f t="shared" si="113"/>
        <v>0</v>
      </c>
      <c r="M248" s="947">
        <f>L248</f>
        <v>0</v>
      </c>
      <c r="N248" s="617"/>
      <c r="O248" s="602"/>
      <c r="P248" s="940"/>
      <c r="Q248" s="600"/>
      <c r="R248" s="940">
        <f>Q248</f>
        <v>0</v>
      </c>
      <c r="S248" s="675">
        <v>0</v>
      </c>
      <c r="T248" s="675"/>
      <c r="U248" s="728"/>
      <c r="V248" s="728"/>
      <c r="W248" s="731">
        <f t="shared" si="114"/>
        <v>0</v>
      </c>
      <c r="X248" s="947">
        <f>W248</f>
        <v>0</v>
      </c>
      <c r="Y248" s="616"/>
      <c r="Z248" s="602">
        <f t="shared" si="118"/>
        <v>0</v>
      </c>
      <c r="AA248" s="835"/>
      <c r="AB248" s="602">
        <f t="shared" si="119"/>
        <v>0</v>
      </c>
      <c r="AC248" s="940">
        <f>AB248</f>
        <v>0</v>
      </c>
      <c r="AD248" s="955">
        <f>M248+X248</f>
        <v>0</v>
      </c>
      <c r="AE248" s="955">
        <f>R248+AC248</f>
        <v>0</v>
      </c>
      <c r="AF248" s="677"/>
      <c r="AG248" s="675"/>
      <c r="AH248" s="728"/>
      <c r="AI248" s="728"/>
      <c r="AJ248" s="729">
        <f t="shared" si="135"/>
        <v>0</v>
      </c>
      <c r="AK248" s="946">
        <f>AJ248</f>
        <v>0</v>
      </c>
      <c r="AL248" s="616"/>
      <c r="AM248" s="602"/>
      <c r="AN248" s="835"/>
      <c r="AO248" s="835"/>
      <c r="AP248" s="940">
        <f>AO248</f>
        <v>0</v>
      </c>
      <c r="AQ248" s="941">
        <v>15</v>
      </c>
      <c r="AR248" s="728">
        <f>9+14</f>
        <v>23</v>
      </c>
      <c r="AS248" s="728">
        <f>5+2</f>
        <v>7</v>
      </c>
      <c r="AT248" s="729">
        <f t="shared" si="137"/>
        <v>30</v>
      </c>
      <c r="AU248" s="946">
        <f>AT248</f>
        <v>30</v>
      </c>
      <c r="AV248" s="616">
        <f>120+105</f>
        <v>225</v>
      </c>
      <c r="AW248" s="602">
        <f t="shared" si="120"/>
        <v>15</v>
      </c>
      <c r="AX248" s="940">
        <f>SUM(AW248:AW248)</f>
        <v>15</v>
      </c>
      <c r="AY248" s="602">
        <f t="shared" si="121"/>
        <v>0</v>
      </c>
      <c r="AZ248" s="940">
        <f>AY248</f>
        <v>0</v>
      </c>
      <c r="BA248" s="961">
        <f>AK248+AU248</f>
        <v>30</v>
      </c>
      <c r="BB248" s="961">
        <f>AP248+AZ248</f>
        <v>0</v>
      </c>
      <c r="BC248" s="678"/>
      <c r="BD248" s="715"/>
      <c r="BE248" s="675"/>
      <c r="BF248" s="675"/>
      <c r="BG248" s="728"/>
      <c r="BH248" s="728"/>
      <c r="BI248" s="729">
        <f t="shared" si="115"/>
        <v>0</v>
      </c>
      <c r="BJ248" s="729">
        <f>BI248</f>
        <v>0</v>
      </c>
      <c r="BK248" s="616"/>
      <c r="BL248" s="603"/>
      <c r="BM248" s="964"/>
      <c r="BN248" s="602"/>
      <c r="BO248" s="940">
        <f>BN248</f>
        <v>0</v>
      </c>
      <c r="BP248" s="593">
        <f t="shared" si="139"/>
        <v>0</v>
      </c>
      <c r="BS248" s="746">
        <v>0</v>
      </c>
      <c r="BT248" s="746">
        <v>0</v>
      </c>
      <c r="BU248" s="741">
        <f t="shared" si="140"/>
        <v>0</v>
      </c>
      <c r="BV248" s="746">
        <v>0</v>
      </c>
      <c r="BW248" s="746">
        <f>BV248</f>
        <v>0</v>
      </c>
      <c r="BX248" s="746">
        <v>0</v>
      </c>
      <c r="BY248" s="746">
        <v>0</v>
      </c>
      <c r="BZ248" s="741">
        <f t="shared" si="116"/>
        <v>0</v>
      </c>
      <c r="CA248" s="746">
        <v>0</v>
      </c>
      <c r="CB248" s="746">
        <f>CA248</f>
        <v>0</v>
      </c>
      <c r="CC248" s="741">
        <f t="shared" si="141"/>
        <v>0</v>
      </c>
      <c r="CD248" s="757">
        <f>CC248</f>
        <v>0</v>
      </c>
      <c r="CE248" s="748"/>
      <c r="CF248" s="748"/>
      <c r="CG248" s="748">
        <f t="shared" si="142"/>
        <v>0</v>
      </c>
      <c r="CH248" s="767"/>
      <c r="CI248" s="746">
        <f>CH248</f>
        <v>0</v>
      </c>
      <c r="CJ248" s="679">
        <f t="shared" si="143"/>
        <v>0</v>
      </c>
    </row>
    <row r="249" spans="1:88" ht="21.6" customHeight="1" x14ac:dyDescent="0.25">
      <c r="A249" s="596"/>
      <c r="B249" s="596"/>
      <c r="C249" s="597"/>
      <c r="D249" s="371"/>
      <c r="E249" s="598"/>
      <c r="F249" s="596"/>
      <c r="G249" s="598"/>
      <c r="H249" s="596"/>
      <c r="I249" s="596"/>
      <c r="J249" s="728"/>
      <c r="K249" s="728"/>
      <c r="L249" s="731">
        <f t="shared" si="113"/>
        <v>0</v>
      </c>
      <c r="M249" s="947"/>
      <c r="N249" s="617"/>
      <c r="O249" s="602"/>
      <c r="P249" s="940"/>
      <c r="Q249" s="600"/>
      <c r="R249" s="940"/>
      <c r="S249" s="596">
        <v>0</v>
      </c>
      <c r="T249" s="724"/>
      <c r="U249" s="728"/>
      <c r="V249" s="728"/>
      <c r="W249" s="731">
        <f t="shared" si="114"/>
        <v>0</v>
      </c>
      <c r="X249" s="947"/>
      <c r="Y249" s="616"/>
      <c r="Z249" s="602">
        <f t="shared" si="118"/>
        <v>0</v>
      </c>
      <c r="AA249" s="835"/>
      <c r="AB249" s="602">
        <f t="shared" si="119"/>
        <v>0</v>
      </c>
      <c r="AC249" s="940"/>
      <c r="AD249" s="956"/>
      <c r="AE249" s="956"/>
      <c r="AF249" s="598"/>
      <c r="AG249" s="596"/>
      <c r="AH249" s="728"/>
      <c r="AI249" s="728"/>
      <c r="AJ249" s="729">
        <f t="shared" si="135"/>
        <v>0</v>
      </c>
      <c r="AK249" s="946"/>
      <c r="AL249" s="616"/>
      <c r="AM249" s="602"/>
      <c r="AN249" s="835"/>
      <c r="AO249" s="835"/>
      <c r="AP249" s="940"/>
      <c r="AQ249" s="722">
        <v>0</v>
      </c>
      <c r="AR249" s="728"/>
      <c r="AS249" s="728"/>
      <c r="AT249" s="729">
        <f t="shared" si="137"/>
        <v>0</v>
      </c>
      <c r="AU249" s="946"/>
      <c r="AV249" s="616"/>
      <c r="AW249" s="602">
        <f t="shared" si="120"/>
        <v>0</v>
      </c>
      <c r="AX249" s="940"/>
      <c r="AY249" s="602">
        <f t="shared" si="121"/>
        <v>0</v>
      </c>
      <c r="AZ249" s="940"/>
      <c r="BA249" s="962"/>
      <c r="BB249" s="962"/>
      <c r="BC249" s="611"/>
      <c r="BD249" s="712"/>
      <c r="BE249" s="596"/>
      <c r="BF249" s="596"/>
      <c r="BG249" s="728"/>
      <c r="BH249" s="728"/>
      <c r="BI249" s="729">
        <f t="shared" si="115"/>
        <v>0</v>
      </c>
      <c r="BJ249" s="729"/>
      <c r="BK249" s="616"/>
      <c r="BL249" s="603"/>
      <c r="BM249" s="964"/>
      <c r="BN249" s="602"/>
      <c r="BO249" s="940"/>
      <c r="BP249" s="593">
        <f t="shared" si="139"/>
        <v>0</v>
      </c>
      <c r="BS249" s="741">
        <v>0</v>
      </c>
      <c r="BT249" s="741">
        <v>0</v>
      </c>
      <c r="BU249" s="741">
        <f t="shared" si="140"/>
        <v>0</v>
      </c>
      <c r="BV249" s="741">
        <v>0</v>
      </c>
      <c r="BW249" s="741"/>
      <c r="BX249" s="741">
        <v>0</v>
      </c>
      <c r="BY249" s="741">
        <v>0</v>
      </c>
      <c r="BZ249" s="741">
        <f t="shared" si="116"/>
        <v>0</v>
      </c>
      <c r="CA249" s="741">
        <v>0</v>
      </c>
      <c r="CB249" s="741"/>
      <c r="CC249" s="741">
        <f t="shared" si="141"/>
        <v>0</v>
      </c>
      <c r="CD249" s="751"/>
      <c r="CE249" s="748"/>
      <c r="CF249" s="748"/>
      <c r="CG249" s="748">
        <f t="shared" si="142"/>
        <v>0</v>
      </c>
      <c r="CH249" s="759"/>
      <c r="CI249" s="742"/>
      <c r="CJ249" s="591">
        <f t="shared" si="143"/>
        <v>0</v>
      </c>
    </row>
    <row r="250" spans="1:88" s="594" customFormat="1" ht="21.6" customHeight="1" x14ac:dyDescent="0.25">
      <c r="A250" s="612" t="s">
        <v>130</v>
      </c>
      <c r="B250" s="612" t="s">
        <v>135</v>
      </c>
      <c r="C250" s="613" t="s">
        <v>608</v>
      </c>
      <c r="D250" s="182" t="s">
        <v>431</v>
      </c>
      <c r="E250" s="614">
        <v>0</v>
      </c>
      <c r="F250" s="612">
        <v>60</v>
      </c>
      <c r="G250" s="614">
        <v>0</v>
      </c>
      <c r="H250" s="612">
        <v>58.666666666666664</v>
      </c>
      <c r="I250" s="612">
        <f t="shared" si="117"/>
        <v>1.3333333333333357</v>
      </c>
      <c r="J250" s="728"/>
      <c r="K250" s="728"/>
      <c r="L250" s="731">
        <f t="shared" si="113"/>
        <v>0</v>
      </c>
      <c r="M250" s="947">
        <f>SUM(L250:L258)</f>
        <v>100</v>
      </c>
      <c r="N250" s="617"/>
      <c r="O250" s="602">
        <f t="shared" si="144"/>
        <v>0</v>
      </c>
      <c r="P250" s="940">
        <f>SUM(O250:O258)</f>
        <v>59.999999999999993</v>
      </c>
      <c r="Q250" s="600">
        <f t="shared" ref="Q250:Q281" si="145">E250-O250</f>
        <v>0</v>
      </c>
      <c r="R250" s="940">
        <f>SUM(Q250:Q258)</f>
        <v>3.3333333333329662E-3</v>
      </c>
      <c r="S250" s="596">
        <v>0</v>
      </c>
      <c r="T250" s="724">
        <f>SUM(S250:S258)</f>
        <v>0</v>
      </c>
      <c r="U250" s="728"/>
      <c r="V250" s="728"/>
      <c r="W250" s="731">
        <f t="shared" si="114"/>
        <v>0</v>
      </c>
      <c r="X250" s="947">
        <f>SUM(W250:W258)</f>
        <v>0</v>
      </c>
      <c r="Y250" s="616"/>
      <c r="Z250" s="602">
        <f t="shared" si="118"/>
        <v>0</v>
      </c>
      <c r="AA250" s="835">
        <f>SUM(Z250:Z258)</f>
        <v>0</v>
      </c>
      <c r="AB250" s="602">
        <f t="shared" si="119"/>
        <v>0</v>
      </c>
      <c r="AC250" s="940">
        <f>SUM(AB250:AB258)</f>
        <v>0</v>
      </c>
      <c r="AD250" s="955">
        <f>M250+X250</f>
        <v>100</v>
      </c>
      <c r="AE250" s="955">
        <f>R250+AC250</f>
        <v>3.3333333333329662E-3</v>
      </c>
      <c r="AF250" s="614">
        <v>11.333333333333334</v>
      </c>
      <c r="AG250" s="612">
        <v>184.33333333333334</v>
      </c>
      <c r="AH250" s="728">
        <v>12</v>
      </c>
      <c r="AI250" s="728">
        <v>2</v>
      </c>
      <c r="AJ250" s="729">
        <f t="shared" si="135"/>
        <v>14</v>
      </c>
      <c r="AK250" s="946">
        <f>SUM(AJ250:AJ258)</f>
        <v>345</v>
      </c>
      <c r="AL250" s="616">
        <v>170</v>
      </c>
      <c r="AM250" s="602">
        <f t="shared" si="122"/>
        <v>11.333333333333334</v>
      </c>
      <c r="AN250" s="835">
        <f>SUM(AM250:AM258)</f>
        <v>183.66666666666666</v>
      </c>
      <c r="AO250" s="835">
        <f t="shared" ref="AO250:AO281" si="146">AF250-AM250</f>
        <v>0</v>
      </c>
      <c r="AP250" s="940">
        <f>SUM(AO250:AO258)</f>
        <v>0.6666666666666643</v>
      </c>
      <c r="AQ250" s="722">
        <v>0</v>
      </c>
      <c r="AR250" s="728"/>
      <c r="AS250" s="728"/>
      <c r="AT250" s="729">
        <f t="shared" si="137"/>
        <v>0</v>
      </c>
      <c r="AU250" s="946">
        <f>SUM(AT250:AT258)</f>
        <v>28</v>
      </c>
      <c r="AV250" s="616"/>
      <c r="AW250" s="602">
        <f t="shared" si="120"/>
        <v>0</v>
      </c>
      <c r="AX250" s="940">
        <f>SUM(AW250:AW258)</f>
        <v>11.333333333333334</v>
      </c>
      <c r="AY250" s="602">
        <f t="shared" si="121"/>
        <v>0</v>
      </c>
      <c r="AZ250" s="940">
        <f>SUM(AY250:AY258)</f>
        <v>-1.3333333333333339</v>
      </c>
      <c r="BA250" s="961">
        <f>AK250+AU250</f>
        <v>373</v>
      </c>
      <c r="BB250" s="961">
        <f>AP250+AZ250</f>
        <v>-0.66666666666666963</v>
      </c>
      <c r="BC250" s="615">
        <f>SUM(BD250:BD258)</f>
        <v>242</v>
      </c>
      <c r="BD250" s="714">
        <v>11</v>
      </c>
      <c r="BE250" s="612">
        <v>11</v>
      </c>
      <c r="BF250" s="596">
        <f t="shared" si="124"/>
        <v>0</v>
      </c>
      <c r="BG250" s="728">
        <v>12</v>
      </c>
      <c r="BH250" s="728">
        <v>2</v>
      </c>
      <c r="BI250" s="729">
        <f t="shared" si="115"/>
        <v>14</v>
      </c>
      <c r="BJ250" s="729">
        <f>SUM(BI250:BI258)</f>
        <v>449</v>
      </c>
      <c r="BK250" s="616">
        <v>550</v>
      </c>
      <c r="BL250" s="603">
        <f t="shared" si="123"/>
        <v>11</v>
      </c>
      <c r="BM250" s="964">
        <f>SUM(BL250:BL258)</f>
        <v>242</v>
      </c>
      <c r="BN250" s="602">
        <f t="shared" ref="BN250:BN279" si="147">BD250-BL250</f>
        <v>0</v>
      </c>
      <c r="BO250" s="940">
        <f>SUM(BN250:BN258)</f>
        <v>0</v>
      </c>
      <c r="BP250" s="593">
        <f t="shared" si="139"/>
        <v>-0.66333333333333666</v>
      </c>
      <c r="BS250" s="745">
        <v>0</v>
      </c>
      <c r="BT250" s="745">
        <v>0</v>
      </c>
      <c r="BU250" s="741">
        <f t="shared" si="140"/>
        <v>0</v>
      </c>
      <c r="BV250" s="745">
        <v>0</v>
      </c>
      <c r="BW250" s="745">
        <f>SUM(BV250:BV258)</f>
        <v>0</v>
      </c>
      <c r="BX250" s="745">
        <v>0</v>
      </c>
      <c r="BY250" s="745">
        <v>0</v>
      </c>
      <c r="BZ250" s="741">
        <f t="shared" si="116"/>
        <v>0</v>
      </c>
      <c r="CA250" s="745">
        <v>0</v>
      </c>
      <c r="CB250" s="745">
        <f>SUM(CA250:CA258)</f>
        <v>0</v>
      </c>
      <c r="CC250" s="741">
        <f t="shared" si="141"/>
        <v>0</v>
      </c>
      <c r="CD250" s="756">
        <f>SUM(CC250:CC258)</f>
        <v>0</v>
      </c>
      <c r="CE250" s="748"/>
      <c r="CF250" s="748"/>
      <c r="CG250" s="748">
        <f t="shared" si="142"/>
        <v>0</v>
      </c>
      <c r="CH250" s="766"/>
      <c r="CI250" s="745">
        <f>SUM(CH250:CH258)</f>
        <v>0</v>
      </c>
      <c r="CJ250" s="594">
        <f t="shared" si="143"/>
        <v>0</v>
      </c>
    </row>
    <row r="251" spans="1:88" ht="21.6" customHeight="1" x14ac:dyDescent="0.25">
      <c r="A251" s="596" t="s">
        <v>130</v>
      </c>
      <c r="B251" s="596" t="s">
        <v>135</v>
      </c>
      <c r="C251" s="597" t="s">
        <v>136</v>
      </c>
      <c r="D251" s="182" t="s">
        <v>431</v>
      </c>
      <c r="E251" s="598">
        <v>10.666666666666666</v>
      </c>
      <c r="F251" s="596">
        <v>0</v>
      </c>
      <c r="G251" s="598">
        <v>10.666666666666666</v>
      </c>
      <c r="H251" s="596"/>
      <c r="I251" s="596">
        <f t="shared" si="117"/>
        <v>0</v>
      </c>
      <c r="J251" s="728">
        <f>13</f>
        <v>13</v>
      </c>
      <c r="K251" s="728">
        <f>1</f>
        <v>1</v>
      </c>
      <c r="L251" s="731">
        <f t="shared" si="113"/>
        <v>14</v>
      </c>
      <c r="M251" s="947"/>
      <c r="N251" s="617">
        <v>160</v>
      </c>
      <c r="O251" s="602">
        <f t="shared" si="144"/>
        <v>10.666666666666666</v>
      </c>
      <c r="P251" s="940"/>
      <c r="Q251" s="600">
        <f t="shared" si="145"/>
        <v>0</v>
      </c>
      <c r="R251" s="940"/>
      <c r="S251" s="596">
        <v>0</v>
      </c>
      <c r="T251" s="724"/>
      <c r="U251" s="728"/>
      <c r="V251" s="728"/>
      <c r="W251" s="731">
        <f t="shared" si="114"/>
        <v>0</v>
      </c>
      <c r="X251" s="947"/>
      <c r="Y251" s="616"/>
      <c r="Z251" s="602">
        <f t="shared" si="118"/>
        <v>0</v>
      </c>
      <c r="AA251" s="835"/>
      <c r="AB251" s="602">
        <f t="shared" si="119"/>
        <v>0</v>
      </c>
      <c r="AC251" s="940"/>
      <c r="AD251" s="956"/>
      <c r="AE251" s="956"/>
      <c r="AF251" s="598">
        <v>25.333333333333332</v>
      </c>
      <c r="AG251" s="596"/>
      <c r="AH251" s="728">
        <f>12+23+21</f>
        <v>56</v>
      </c>
      <c r="AI251" s="728">
        <v>5</v>
      </c>
      <c r="AJ251" s="729">
        <f t="shared" si="135"/>
        <v>61</v>
      </c>
      <c r="AK251" s="946"/>
      <c r="AL251" s="616">
        <f>165+110+105</f>
        <v>380</v>
      </c>
      <c r="AM251" s="602">
        <f t="shared" si="122"/>
        <v>25.333333333333332</v>
      </c>
      <c r="AN251" s="835"/>
      <c r="AO251" s="835">
        <f t="shared" si="146"/>
        <v>0</v>
      </c>
      <c r="AP251" s="940"/>
      <c r="AQ251" s="722">
        <v>0</v>
      </c>
      <c r="AR251" s="728"/>
      <c r="AS251" s="728"/>
      <c r="AT251" s="729">
        <f t="shared" si="137"/>
        <v>0</v>
      </c>
      <c r="AU251" s="946"/>
      <c r="AV251" s="616"/>
      <c r="AW251" s="602">
        <f t="shared" si="120"/>
        <v>0</v>
      </c>
      <c r="AX251" s="940"/>
      <c r="AY251" s="602">
        <f t="shared" si="121"/>
        <v>0</v>
      </c>
      <c r="AZ251" s="940"/>
      <c r="BA251" s="962"/>
      <c r="BB251" s="962"/>
      <c r="BC251" s="611"/>
      <c r="BD251" s="712">
        <v>36</v>
      </c>
      <c r="BE251" s="596">
        <v>10</v>
      </c>
      <c r="BF251" s="596">
        <f>BD251-BE251</f>
        <v>26</v>
      </c>
      <c r="BG251" s="728">
        <v>69</v>
      </c>
      <c r="BH251" s="728">
        <v>6</v>
      </c>
      <c r="BI251" s="729">
        <f t="shared" si="115"/>
        <v>75</v>
      </c>
      <c r="BJ251" s="729"/>
      <c r="BK251" s="616">
        <v>1800</v>
      </c>
      <c r="BL251" s="603">
        <f t="shared" si="123"/>
        <v>36</v>
      </c>
      <c r="BM251" s="964"/>
      <c r="BN251" s="602">
        <f t="shared" si="147"/>
        <v>0</v>
      </c>
      <c r="BO251" s="940"/>
      <c r="BP251" s="593">
        <f t="shared" si="139"/>
        <v>0</v>
      </c>
      <c r="BS251" s="741">
        <v>0</v>
      </c>
      <c r="BT251" s="741">
        <v>0</v>
      </c>
      <c r="BU251" s="741">
        <f t="shared" si="140"/>
        <v>0</v>
      </c>
      <c r="BV251" s="741">
        <v>0</v>
      </c>
      <c r="BW251" s="741"/>
      <c r="BX251" s="741">
        <v>0</v>
      </c>
      <c r="BY251" s="741">
        <v>0</v>
      </c>
      <c r="BZ251" s="741">
        <f t="shared" si="116"/>
        <v>0</v>
      </c>
      <c r="CA251" s="741">
        <v>0</v>
      </c>
      <c r="CB251" s="741"/>
      <c r="CC251" s="741">
        <f t="shared" si="141"/>
        <v>0</v>
      </c>
      <c r="CD251" s="751"/>
      <c r="CE251" s="748"/>
      <c r="CF251" s="748"/>
      <c r="CG251" s="748">
        <f t="shared" si="142"/>
        <v>0</v>
      </c>
      <c r="CH251" s="759"/>
      <c r="CI251" s="742"/>
      <c r="CJ251" s="591">
        <f t="shared" si="143"/>
        <v>0</v>
      </c>
    </row>
    <row r="252" spans="1:88" ht="21.6" customHeight="1" x14ac:dyDescent="0.25">
      <c r="A252" s="596" t="s">
        <v>130</v>
      </c>
      <c r="B252" s="596" t="s">
        <v>135</v>
      </c>
      <c r="C252" s="597" t="s">
        <v>137</v>
      </c>
      <c r="D252" s="182" t="s">
        <v>437</v>
      </c>
      <c r="E252" s="598">
        <v>16</v>
      </c>
      <c r="F252" s="596">
        <v>0</v>
      </c>
      <c r="G252" s="598">
        <v>16</v>
      </c>
      <c r="H252" s="596"/>
      <c r="I252" s="596">
        <f t="shared" si="117"/>
        <v>0</v>
      </c>
      <c r="J252" s="728">
        <f>17+5</f>
        <v>22</v>
      </c>
      <c r="K252" s="728">
        <f>1+0</f>
        <v>1</v>
      </c>
      <c r="L252" s="731">
        <f t="shared" si="113"/>
        <v>23</v>
      </c>
      <c r="M252" s="947"/>
      <c r="N252" s="617">
        <v>240</v>
      </c>
      <c r="O252" s="602">
        <f t="shared" si="144"/>
        <v>16</v>
      </c>
      <c r="P252" s="940"/>
      <c r="Q252" s="600">
        <f t="shared" si="145"/>
        <v>0</v>
      </c>
      <c r="R252" s="940"/>
      <c r="S252" s="596">
        <v>0</v>
      </c>
      <c r="T252" s="724"/>
      <c r="U252" s="728"/>
      <c r="V252" s="728"/>
      <c r="W252" s="731">
        <f t="shared" si="114"/>
        <v>0</v>
      </c>
      <c r="X252" s="947"/>
      <c r="Y252" s="616"/>
      <c r="Z252" s="602">
        <f t="shared" si="118"/>
        <v>0</v>
      </c>
      <c r="AA252" s="835"/>
      <c r="AB252" s="602">
        <f t="shared" si="119"/>
        <v>0</v>
      </c>
      <c r="AC252" s="940"/>
      <c r="AD252" s="956"/>
      <c r="AE252" s="956"/>
      <c r="AF252" s="598">
        <v>60.666666666666664</v>
      </c>
      <c r="AG252" s="596"/>
      <c r="AH252" s="728">
        <f>17+11+17+14+26</f>
        <v>85</v>
      </c>
      <c r="AI252" s="728">
        <f>6+3+4+2+3</f>
        <v>18</v>
      </c>
      <c r="AJ252" s="729">
        <f t="shared" si="135"/>
        <v>103</v>
      </c>
      <c r="AK252" s="946"/>
      <c r="AL252" s="616">
        <f>225+155+115+145+270</f>
        <v>910</v>
      </c>
      <c r="AM252" s="602">
        <f t="shared" si="122"/>
        <v>60.666666666666664</v>
      </c>
      <c r="AN252" s="835"/>
      <c r="AO252" s="835">
        <f t="shared" si="146"/>
        <v>0</v>
      </c>
      <c r="AP252" s="940"/>
      <c r="AQ252" s="722">
        <v>10</v>
      </c>
      <c r="AR252" s="728">
        <f>7+13</f>
        <v>20</v>
      </c>
      <c r="AS252" s="728">
        <f>3+5</f>
        <v>8</v>
      </c>
      <c r="AT252" s="729">
        <f t="shared" si="137"/>
        <v>28</v>
      </c>
      <c r="AU252" s="946"/>
      <c r="AV252" s="616">
        <f>65+105</f>
        <v>170</v>
      </c>
      <c r="AW252" s="602">
        <f t="shared" si="120"/>
        <v>11.333333333333334</v>
      </c>
      <c r="AX252" s="940"/>
      <c r="AY252" s="602">
        <f t="shared" si="121"/>
        <v>-1.3333333333333339</v>
      </c>
      <c r="AZ252" s="940"/>
      <c r="BA252" s="962"/>
      <c r="BB252" s="962"/>
      <c r="BC252" s="611"/>
      <c r="BD252" s="712">
        <v>84</v>
      </c>
      <c r="BE252" s="596">
        <v>36</v>
      </c>
      <c r="BF252" s="596">
        <f t="shared" si="124"/>
        <v>48</v>
      </c>
      <c r="BG252" s="728">
        <f>106+8</f>
        <v>114</v>
      </c>
      <c r="BH252" s="728">
        <f>19+2</f>
        <v>21</v>
      </c>
      <c r="BI252" s="729">
        <f t="shared" si="115"/>
        <v>135</v>
      </c>
      <c r="BJ252" s="729"/>
      <c r="BK252" s="616">
        <f>4000+200</f>
        <v>4200</v>
      </c>
      <c r="BL252" s="603">
        <f t="shared" si="123"/>
        <v>84</v>
      </c>
      <c r="BM252" s="964"/>
      <c r="BN252" s="602">
        <f t="shared" si="147"/>
        <v>0</v>
      </c>
      <c r="BO252" s="940"/>
      <c r="BP252" s="593">
        <f t="shared" si="139"/>
        <v>0</v>
      </c>
      <c r="BS252" s="741">
        <v>0</v>
      </c>
      <c r="BT252" s="741">
        <v>0</v>
      </c>
      <c r="BU252" s="741">
        <f t="shared" si="140"/>
        <v>0</v>
      </c>
      <c r="BV252" s="741">
        <v>0</v>
      </c>
      <c r="BW252" s="741"/>
      <c r="BX252" s="741">
        <v>0</v>
      </c>
      <c r="BY252" s="741">
        <v>0</v>
      </c>
      <c r="BZ252" s="741">
        <f t="shared" si="116"/>
        <v>0</v>
      </c>
      <c r="CA252" s="741">
        <v>0</v>
      </c>
      <c r="CB252" s="741"/>
      <c r="CC252" s="741">
        <f t="shared" si="141"/>
        <v>0</v>
      </c>
      <c r="CD252" s="751"/>
      <c r="CE252" s="748"/>
      <c r="CF252" s="748"/>
      <c r="CG252" s="748">
        <f t="shared" si="142"/>
        <v>0</v>
      </c>
      <c r="CH252" s="759"/>
      <c r="CI252" s="742"/>
      <c r="CJ252" s="591">
        <f t="shared" si="143"/>
        <v>-1.3333333333333339</v>
      </c>
    </row>
    <row r="253" spans="1:88" ht="21.6" customHeight="1" x14ac:dyDescent="0.25">
      <c r="A253" s="596" t="s">
        <v>130</v>
      </c>
      <c r="B253" s="596" t="s">
        <v>135</v>
      </c>
      <c r="C253" s="597" t="s">
        <v>138</v>
      </c>
      <c r="D253" s="182" t="s">
        <v>431</v>
      </c>
      <c r="E253" s="598">
        <v>6.666666666666667</v>
      </c>
      <c r="F253" s="596">
        <v>0</v>
      </c>
      <c r="G253" s="598">
        <v>6.666666666666667</v>
      </c>
      <c r="H253" s="596"/>
      <c r="I253" s="596">
        <f t="shared" si="117"/>
        <v>0</v>
      </c>
      <c r="J253" s="728">
        <f>14</f>
        <v>14</v>
      </c>
      <c r="K253" s="728">
        <f>2</f>
        <v>2</v>
      </c>
      <c r="L253" s="731">
        <f t="shared" si="113"/>
        <v>16</v>
      </c>
      <c r="M253" s="947"/>
      <c r="N253" s="617">
        <v>100</v>
      </c>
      <c r="O253" s="602">
        <f t="shared" si="144"/>
        <v>6.666666666666667</v>
      </c>
      <c r="P253" s="940"/>
      <c r="Q253" s="600">
        <f t="shared" si="145"/>
        <v>0</v>
      </c>
      <c r="R253" s="940"/>
      <c r="S253" s="596">
        <v>0</v>
      </c>
      <c r="T253" s="724"/>
      <c r="U253" s="728"/>
      <c r="V253" s="728"/>
      <c r="W253" s="731">
        <f t="shared" si="114"/>
        <v>0</v>
      </c>
      <c r="X253" s="947"/>
      <c r="Y253" s="616"/>
      <c r="Z253" s="602">
        <f t="shared" si="118"/>
        <v>0</v>
      </c>
      <c r="AA253" s="835"/>
      <c r="AB253" s="602">
        <f t="shared" si="119"/>
        <v>0</v>
      </c>
      <c r="AC253" s="940"/>
      <c r="AD253" s="956"/>
      <c r="AE253" s="956"/>
      <c r="AF253" s="598">
        <v>9.6666666666666661</v>
      </c>
      <c r="AG253" s="596"/>
      <c r="AH253" s="728">
        <v>12</v>
      </c>
      <c r="AI253" s="728">
        <v>2</v>
      </c>
      <c r="AJ253" s="729">
        <f t="shared" si="135"/>
        <v>14</v>
      </c>
      <c r="AK253" s="946"/>
      <c r="AL253" s="616">
        <v>145</v>
      </c>
      <c r="AM253" s="602">
        <f t="shared" si="122"/>
        <v>9.6666666666666661</v>
      </c>
      <c r="AN253" s="835"/>
      <c r="AO253" s="835">
        <f t="shared" si="146"/>
        <v>0</v>
      </c>
      <c r="AP253" s="940"/>
      <c r="AQ253" s="722">
        <v>0</v>
      </c>
      <c r="AR253" s="728"/>
      <c r="AS253" s="728"/>
      <c r="AT253" s="729">
        <f t="shared" si="137"/>
        <v>0</v>
      </c>
      <c r="AU253" s="946"/>
      <c r="AV253" s="616"/>
      <c r="AW253" s="602">
        <f t="shared" si="120"/>
        <v>0</v>
      </c>
      <c r="AX253" s="940"/>
      <c r="AY253" s="602">
        <f t="shared" si="121"/>
        <v>0</v>
      </c>
      <c r="AZ253" s="940"/>
      <c r="BA253" s="962"/>
      <c r="BB253" s="962"/>
      <c r="BC253" s="611"/>
      <c r="BD253" s="712">
        <v>2</v>
      </c>
      <c r="BE253" s="596">
        <v>16</v>
      </c>
      <c r="BF253" s="596">
        <f t="shared" si="124"/>
        <v>-14</v>
      </c>
      <c r="BG253" s="728">
        <v>26</v>
      </c>
      <c r="BH253" s="728">
        <v>4</v>
      </c>
      <c r="BI253" s="729">
        <f t="shared" si="115"/>
        <v>30</v>
      </c>
      <c r="BJ253" s="729"/>
      <c r="BK253" s="616">
        <v>100</v>
      </c>
      <c r="BL253" s="603">
        <f t="shared" si="123"/>
        <v>2</v>
      </c>
      <c r="BM253" s="964"/>
      <c r="BN253" s="602">
        <f t="shared" si="147"/>
        <v>0</v>
      </c>
      <c r="BO253" s="940"/>
      <c r="BP253" s="593">
        <f t="shared" si="139"/>
        <v>0</v>
      </c>
      <c r="BS253" s="741">
        <v>0</v>
      </c>
      <c r="BT253" s="741">
        <v>0</v>
      </c>
      <c r="BU253" s="741">
        <f t="shared" si="140"/>
        <v>0</v>
      </c>
      <c r="BV253" s="741">
        <v>0</v>
      </c>
      <c r="BW253" s="741"/>
      <c r="BX253" s="741">
        <v>0</v>
      </c>
      <c r="BY253" s="741">
        <v>0</v>
      </c>
      <c r="BZ253" s="741">
        <f t="shared" si="116"/>
        <v>0</v>
      </c>
      <c r="CA253" s="741">
        <v>0</v>
      </c>
      <c r="CB253" s="741"/>
      <c r="CC253" s="741">
        <f t="shared" si="141"/>
        <v>0</v>
      </c>
      <c r="CD253" s="751"/>
      <c r="CE253" s="748"/>
      <c r="CF253" s="748"/>
      <c r="CG253" s="748">
        <f t="shared" si="142"/>
        <v>0</v>
      </c>
      <c r="CH253" s="759"/>
      <c r="CI253" s="742"/>
      <c r="CJ253" s="591">
        <f t="shared" si="143"/>
        <v>0</v>
      </c>
    </row>
    <row r="254" spans="1:88" ht="21.6" customHeight="1" x14ac:dyDescent="0.25">
      <c r="A254" s="596" t="s">
        <v>130</v>
      </c>
      <c r="B254" s="596" t="s">
        <v>135</v>
      </c>
      <c r="C254" s="597" t="s">
        <v>139</v>
      </c>
      <c r="D254" s="182" t="s">
        <v>431</v>
      </c>
      <c r="E254" s="598">
        <v>4.67</v>
      </c>
      <c r="F254" s="596">
        <v>0</v>
      </c>
      <c r="G254" s="598">
        <v>3.3333333333333335</v>
      </c>
      <c r="H254" s="596"/>
      <c r="I254" s="596">
        <f t="shared" si="117"/>
        <v>0</v>
      </c>
      <c r="J254" s="728">
        <f>6+3</f>
        <v>9</v>
      </c>
      <c r="K254" s="728">
        <f>0</f>
        <v>0</v>
      </c>
      <c r="L254" s="731">
        <f t="shared" si="113"/>
        <v>9</v>
      </c>
      <c r="M254" s="947"/>
      <c r="N254" s="617">
        <f>50+20</f>
        <v>70</v>
      </c>
      <c r="O254" s="602">
        <f t="shared" si="144"/>
        <v>4.666666666666667</v>
      </c>
      <c r="P254" s="940"/>
      <c r="Q254" s="600">
        <f t="shared" si="145"/>
        <v>3.3333333333329662E-3</v>
      </c>
      <c r="R254" s="940"/>
      <c r="S254" s="596">
        <v>0</v>
      </c>
      <c r="T254" s="724"/>
      <c r="U254" s="728"/>
      <c r="V254" s="728"/>
      <c r="W254" s="731">
        <f t="shared" si="114"/>
        <v>0</v>
      </c>
      <c r="X254" s="947"/>
      <c r="Y254" s="616"/>
      <c r="Z254" s="602">
        <f t="shared" si="118"/>
        <v>0</v>
      </c>
      <c r="AA254" s="835"/>
      <c r="AB254" s="602">
        <f t="shared" si="119"/>
        <v>0</v>
      </c>
      <c r="AC254" s="940"/>
      <c r="AD254" s="956"/>
      <c r="AE254" s="956"/>
      <c r="AF254" s="598">
        <v>16.666666666666668</v>
      </c>
      <c r="AG254" s="596"/>
      <c r="AH254" s="728">
        <f>14+6</f>
        <v>20</v>
      </c>
      <c r="AI254" s="728">
        <f>5+2</f>
        <v>7</v>
      </c>
      <c r="AJ254" s="729">
        <f t="shared" si="135"/>
        <v>27</v>
      </c>
      <c r="AK254" s="946"/>
      <c r="AL254" s="616">
        <f>180+70</f>
        <v>250</v>
      </c>
      <c r="AM254" s="602">
        <f t="shared" si="122"/>
        <v>16.666666666666668</v>
      </c>
      <c r="AN254" s="835"/>
      <c r="AO254" s="835">
        <f t="shared" si="146"/>
        <v>0</v>
      </c>
      <c r="AP254" s="940"/>
      <c r="AQ254" s="722">
        <v>0</v>
      </c>
      <c r="AR254" s="728"/>
      <c r="AS254" s="728"/>
      <c r="AT254" s="729">
        <f t="shared" si="137"/>
        <v>0</v>
      </c>
      <c r="AU254" s="946"/>
      <c r="AV254" s="616"/>
      <c r="AW254" s="602">
        <f t="shared" si="120"/>
        <v>0</v>
      </c>
      <c r="AX254" s="940"/>
      <c r="AY254" s="602">
        <f t="shared" si="121"/>
        <v>0</v>
      </c>
      <c r="AZ254" s="940"/>
      <c r="BA254" s="962"/>
      <c r="BB254" s="962"/>
      <c r="BC254" s="611"/>
      <c r="BD254" s="712">
        <v>20</v>
      </c>
      <c r="BE254" s="596">
        <v>17</v>
      </c>
      <c r="BF254" s="596">
        <f t="shared" si="124"/>
        <v>3</v>
      </c>
      <c r="BG254" s="728">
        <v>27</v>
      </c>
      <c r="BH254" s="728">
        <v>6</v>
      </c>
      <c r="BI254" s="729">
        <f t="shared" si="115"/>
        <v>33</v>
      </c>
      <c r="BJ254" s="729"/>
      <c r="BK254" s="616">
        <v>1000</v>
      </c>
      <c r="BL254" s="603">
        <f t="shared" si="123"/>
        <v>20</v>
      </c>
      <c r="BM254" s="964"/>
      <c r="BN254" s="602">
        <f t="shared" si="147"/>
        <v>0</v>
      </c>
      <c r="BO254" s="940"/>
      <c r="BP254" s="593">
        <f t="shared" si="139"/>
        <v>0</v>
      </c>
      <c r="BS254" s="741">
        <v>0</v>
      </c>
      <c r="BT254" s="741">
        <v>0</v>
      </c>
      <c r="BU254" s="741">
        <f t="shared" si="140"/>
        <v>0</v>
      </c>
      <c r="BV254" s="741">
        <v>0</v>
      </c>
      <c r="BW254" s="741"/>
      <c r="BX254" s="741">
        <v>0</v>
      </c>
      <c r="BY254" s="741">
        <v>0</v>
      </c>
      <c r="BZ254" s="741">
        <f t="shared" si="116"/>
        <v>0</v>
      </c>
      <c r="CA254" s="741">
        <v>0</v>
      </c>
      <c r="CB254" s="741"/>
      <c r="CC254" s="741">
        <f t="shared" si="141"/>
        <v>0</v>
      </c>
      <c r="CD254" s="751"/>
      <c r="CE254" s="748"/>
      <c r="CF254" s="748"/>
      <c r="CG254" s="748">
        <f t="shared" si="142"/>
        <v>0</v>
      </c>
      <c r="CH254" s="759"/>
      <c r="CI254" s="742"/>
      <c r="CJ254" s="591">
        <f t="shared" si="143"/>
        <v>3.3333333333329662E-3</v>
      </c>
    </row>
    <row r="255" spans="1:88" ht="21.6" customHeight="1" x14ac:dyDescent="0.25">
      <c r="A255" s="596" t="s">
        <v>130</v>
      </c>
      <c r="B255" s="596" t="s">
        <v>135</v>
      </c>
      <c r="C255" s="597" t="s">
        <v>140</v>
      </c>
      <c r="D255" s="182" t="s">
        <v>431</v>
      </c>
      <c r="E255" s="598">
        <v>7.333333333333333</v>
      </c>
      <c r="F255" s="596">
        <v>0</v>
      </c>
      <c r="G255" s="598">
        <v>7.333333333333333</v>
      </c>
      <c r="H255" s="596"/>
      <c r="I255" s="596">
        <f t="shared" si="117"/>
        <v>0</v>
      </c>
      <c r="J255" s="728">
        <f>9</f>
        <v>9</v>
      </c>
      <c r="K255" s="728">
        <f>2</f>
        <v>2</v>
      </c>
      <c r="L255" s="731">
        <f t="shared" si="113"/>
        <v>11</v>
      </c>
      <c r="M255" s="947"/>
      <c r="N255" s="617">
        <v>110</v>
      </c>
      <c r="O255" s="602">
        <f t="shared" si="144"/>
        <v>7.333333333333333</v>
      </c>
      <c r="P255" s="940"/>
      <c r="Q255" s="600">
        <f t="shared" si="145"/>
        <v>0</v>
      </c>
      <c r="R255" s="940"/>
      <c r="S255" s="596">
        <v>0</v>
      </c>
      <c r="T255" s="724"/>
      <c r="U255" s="728"/>
      <c r="V255" s="728"/>
      <c r="W255" s="731">
        <f t="shared" si="114"/>
        <v>0</v>
      </c>
      <c r="X255" s="947"/>
      <c r="Y255" s="616"/>
      <c r="Z255" s="602">
        <f t="shared" si="118"/>
        <v>0</v>
      </c>
      <c r="AA255" s="835"/>
      <c r="AB255" s="602">
        <f t="shared" si="119"/>
        <v>0</v>
      </c>
      <c r="AC255" s="940"/>
      <c r="AD255" s="956"/>
      <c r="AE255" s="956"/>
      <c r="AF255" s="598">
        <v>11.666666666666666</v>
      </c>
      <c r="AG255" s="596"/>
      <c r="AH255" s="728">
        <v>16</v>
      </c>
      <c r="AI255" s="728">
        <v>5</v>
      </c>
      <c r="AJ255" s="729">
        <f t="shared" si="135"/>
        <v>21</v>
      </c>
      <c r="AK255" s="946"/>
      <c r="AL255" s="616">
        <v>175</v>
      </c>
      <c r="AM255" s="602">
        <f t="shared" si="122"/>
        <v>11.666666666666666</v>
      </c>
      <c r="AN255" s="835"/>
      <c r="AO255" s="835">
        <f t="shared" si="146"/>
        <v>0</v>
      </c>
      <c r="AP255" s="940"/>
      <c r="AQ255" s="722">
        <v>0</v>
      </c>
      <c r="AR255" s="728"/>
      <c r="AS255" s="728"/>
      <c r="AT255" s="729">
        <f t="shared" si="137"/>
        <v>0</v>
      </c>
      <c r="AU255" s="946"/>
      <c r="AV255" s="616"/>
      <c r="AW255" s="602">
        <f t="shared" si="120"/>
        <v>0</v>
      </c>
      <c r="AX255" s="940"/>
      <c r="AY255" s="602">
        <f t="shared" si="121"/>
        <v>0</v>
      </c>
      <c r="AZ255" s="940"/>
      <c r="BA255" s="962"/>
      <c r="BB255" s="962"/>
      <c r="BC255" s="611"/>
      <c r="BD255" s="712">
        <v>19</v>
      </c>
      <c r="BE255" s="596">
        <v>19</v>
      </c>
      <c r="BF255" s="596">
        <f t="shared" si="124"/>
        <v>0</v>
      </c>
      <c r="BG255" s="728">
        <v>25</v>
      </c>
      <c r="BH255" s="728">
        <v>7</v>
      </c>
      <c r="BI255" s="729">
        <f t="shared" si="115"/>
        <v>32</v>
      </c>
      <c r="BJ255" s="729"/>
      <c r="BK255" s="616">
        <v>950</v>
      </c>
      <c r="BL255" s="603">
        <f t="shared" si="123"/>
        <v>19</v>
      </c>
      <c r="BM255" s="964"/>
      <c r="BN255" s="602">
        <f t="shared" si="147"/>
        <v>0</v>
      </c>
      <c r="BO255" s="940"/>
      <c r="BP255" s="593">
        <f t="shared" si="139"/>
        <v>0</v>
      </c>
      <c r="BS255" s="741">
        <v>0</v>
      </c>
      <c r="BT255" s="741">
        <v>0</v>
      </c>
      <c r="BU255" s="741">
        <f t="shared" si="140"/>
        <v>0</v>
      </c>
      <c r="BV255" s="741">
        <v>0</v>
      </c>
      <c r="BW255" s="741"/>
      <c r="BX255" s="741">
        <v>0</v>
      </c>
      <c r="BY255" s="741">
        <v>0</v>
      </c>
      <c r="BZ255" s="741">
        <f t="shared" si="116"/>
        <v>0</v>
      </c>
      <c r="CA255" s="741">
        <v>0</v>
      </c>
      <c r="CB255" s="741"/>
      <c r="CC255" s="741">
        <f t="shared" si="141"/>
        <v>0</v>
      </c>
      <c r="CD255" s="751"/>
      <c r="CE255" s="748"/>
      <c r="CF255" s="748"/>
      <c r="CG255" s="748">
        <f t="shared" si="142"/>
        <v>0</v>
      </c>
      <c r="CH255" s="759"/>
      <c r="CI255" s="742"/>
      <c r="CJ255" s="591">
        <f t="shared" si="143"/>
        <v>0</v>
      </c>
    </row>
    <row r="256" spans="1:88" ht="45.75" customHeight="1" x14ac:dyDescent="0.25">
      <c r="A256" s="596" t="s">
        <v>130</v>
      </c>
      <c r="B256" s="596" t="s">
        <v>135</v>
      </c>
      <c r="C256" s="597" t="s">
        <v>141</v>
      </c>
      <c r="D256" s="182" t="s">
        <v>431</v>
      </c>
      <c r="E256" s="598">
        <v>0</v>
      </c>
      <c r="F256" s="596">
        <v>0</v>
      </c>
      <c r="G256" s="598">
        <v>0</v>
      </c>
      <c r="H256" s="596"/>
      <c r="I256" s="596">
        <f t="shared" si="117"/>
        <v>0</v>
      </c>
      <c r="J256" s="728"/>
      <c r="K256" s="728"/>
      <c r="L256" s="731">
        <f t="shared" si="113"/>
        <v>0</v>
      </c>
      <c r="M256" s="947"/>
      <c r="N256" s="617"/>
      <c r="O256" s="602">
        <f t="shared" si="144"/>
        <v>0</v>
      </c>
      <c r="P256" s="940"/>
      <c r="Q256" s="600">
        <f t="shared" si="145"/>
        <v>0</v>
      </c>
      <c r="R256" s="940"/>
      <c r="S256" s="596">
        <v>0</v>
      </c>
      <c r="T256" s="724"/>
      <c r="U256" s="728"/>
      <c r="V256" s="728"/>
      <c r="W256" s="731">
        <f t="shared" si="114"/>
        <v>0</v>
      </c>
      <c r="X256" s="947"/>
      <c r="Y256" s="616"/>
      <c r="Z256" s="602">
        <f t="shared" si="118"/>
        <v>0</v>
      </c>
      <c r="AA256" s="835"/>
      <c r="AB256" s="602">
        <f t="shared" si="119"/>
        <v>0</v>
      </c>
      <c r="AC256" s="940"/>
      <c r="AD256" s="956"/>
      <c r="AE256" s="956"/>
      <c r="AF256" s="598">
        <v>27.333333333333332</v>
      </c>
      <c r="AG256" s="596"/>
      <c r="AH256" s="728">
        <v>39</v>
      </c>
      <c r="AI256" s="728">
        <v>15</v>
      </c>
      <c r="AJ256" s="729">
        <f t="shared" si="135"/>
        <v>54</v>
      </c>
      <c r="AK256" s="946"/>
      <c r="AL256" s="616">
        <v>400</v>
      </c>
      <c r="AM256" s="602">
        <f t="shared" si="122"/>
        <v>26.666666666666668</v>
      </c>
      <c r="AN256" s="835"/>
      <c r="AO256" s="835">
        <f>AF256-AM256</f>
        <v>0.6666666666666643</v>
      </c>
      <c r="AP256" s="940"/>
      <c r="AQ256" s="722">
        <v>0</v>
      </c>
      <c r="AR256" s="728"/>
      <c r="AS256" s="728"/>
      <c r="AT256" s="729">
        <f t="shared" si="137"/>
        <v>0</v>
      </c>
      <c r="AU256" s="946"/>
      <c r="AV256" s="616"/>
      <c r="AW256" s="602">
        <f t="shared" si="120"/>
        <v>0</v>
      </c>
      <c r="AX256" s="940"/>
      <c r="AY256" s="602">
        <f t="shared" si="121"/>
        <v>0</v>
      </c>
      <c r="AZ256" s="940"/>
      <c r="BA256" s="962"/>
      <c r="BB256" s="962"/>
      <c r="BC256" s="611"/>
      <c r="BD256" s="712">
        <v>34</v>
      </c>
      <c r="BE256" s="596">
        <v>26</v>
      </c>
      <c r="BF256" s="596">
        <f t="shared" si="124"/>
        <v>8</v>
      </c>
      <c r="BG256" s="728">
        <v>39</v>
      </c>
      <c r="BH256" s="728">
        <v>16</v>
      </c>
      <c r="BI256" s="729">
        <f t="shared" si="115"/>
        <v>55</v>
      </c>
      <c r="BJ256" s="729"/>
      <c r="BK256" s="616">
        <v>1700</v>
      </c>
      <c r="BL256" s="603">
        <f t="shared" si="123"/>
        <v>34</v>
      </c>
      <c r="BM256" s="964"/>
      <c r="BN256" s="602">
        <f t="shared" si="147"/>
        <v>0</v>
      </c>
      <c r="BO256" s="940"/>
      <c r="BP256" s="593">
        <f t="shared" si="139"/>
        <v>0</v>
      </c>
      <c r="BS256" s="741">
        <v>0</v>
      </c>
      <c r="BT256" s="741">
        <v>0</v>
      </c>
      <c r="BU256" s="741">
        <f t="shared" si="140"/>
        <v>0</v>
      </c>
      <c r="BV256" s="741">
        <v>0</v>
      </c>
      <c r="BW256" s="741"/>
      <c r="BX256" s="741">
        <v>0</v>
      </c>
      <c r="BY256" s="741">
        <v>0</v>
      </c>
      <c r="BZ256" s="741">
        <f t="shared" si="116"/>
        <v>0</v>
      </c>
      <c r="CA256" s="741">
        <v>0</v>
      </c>
      <c r="CB256" s="741"/>
      <c r="CC256" s="741">
        <f t="shared" si="141"/>
        <v>0</v>
      </c>
      <c r="CD256" s="751"/>
      <c r="CE256" s="748"/>
      <c r="CF256" s="748"/>
      <c r="CG256" s="748">
        <f t="shared" si="142"/>
        <v>0</v>
      </c>
      <c r="CH256" s="759"/>
      <c r="CI256" s="742"/>
      <c r="CJ256" s="591">
        <f t="shared" si="143"/>
        <v>0.6666666666666643</v>
      </c>
    </row>
    <row r="257" spans="1:88" ht="36.75" customHeight="1" x14ac:dyDescent="0.25">
      <c r="A257" s="596" t="s">
        <v>130</v>
      </c>
      <c r="B257" s="596" t="s">
        <v>135</v>
      </c>
      <c r="C257" s="597" t="s">
        <v>495</v>
      </c>
      <c r="D257" s="182" t="s">
        <v>437</v>
      </c>
      <c r="E257" s="598">
        <v>0</v>
      </c>
      <c r="F257" s="596">
        <v>0</v>
      </c>
      <c r="G257" s="598">
        <v>0</v>
      </c>
      <c r="H257" s="596"/>
      <c r="I257" s="596">
        <f t="shared" si="117"/>
        <v>0</v>
      </c>
      <c r="J257" s="728"/>
      <c r="K257" s="728"/>
      <c r="L257" s="731">
        <f t="shared" si="113"/>
        <v>0</v>
      </c>
      <c r="M257" s="947"/>
      <c r="N257" s="617"/>
      <c r="O257" s="602">
        <f t="shared" si="144"/>
        <v>0</v>
      </c>
      <c r="P257" s="940"/>
      <c r="Q257" s="600">
        <f t="shared" si="145"/>
        <v>0</v>
      </c>
      <c r="R257" s="940"/>
      <c r="S257" s="596">
        <v>0</v>
      </c>
      <c r="T257" s="724"/>
      <c r="U257" s="728"/>
      <c r="V257" s="728"/>
      <c r="W257" s="731">
        <f t="shared" si="114"/>
        <v>0</v>
      </c>
      <c r="X257" s="947"/>
      <c r="Y257" s="616"/>
      <c r="Z257" s="602">
        <f t="shared" si="118"/>
        <v>0</v>
      </c>
      <c r="AA257" s="835"/>
      <c r="AB257" s="602">
        <f t="shared" si="119"/>
        <v>0</v>
      </c>
      <c r="AC257" s="940"/>
      <c r="AD257" s="956"/>
      <c r="AE257" s="956"/>
      <c r="AF257" s="598">
        <v>16</v>
      </c>
      <c r="AG257" s="596"/>
      <c r="AH257" s="728">
        <f>17+16</f>
        <v>33</v>
      </c>
      <c r="AI257" s="728">
        <f>3+4</f>
        <v>7</v>
      </c>
      <c r="AJ257" s="729">
        <f t="shared" si="135"/>
        <v>40</v>
      </c>
      <c r="AK257" s="946"/>
      <c r="AL257" s="616">
        <f>135+105</f>
        <v>240</v>
      </c>
      <c r="AM257" s="602">
        <f t="shared" si="122"/>
        <v>16</v>
      </c>
      <c r="AN257" s="835"/>
      <c r="AO257" s="835">
        <f t="shared" si="146"/>
        <v>0</v>
      </c>
      <c r="AP257" s="940"/>
      <c r="AQ257" s="722">
        <v>0</v>
      </c>
      <c r="AR257" s="728"/>
      <c r="AS257" s="728"/>
      <c r="AT257" s="729">
        <f t="shared" si="137"/>
        <v>0</v>
      </c>
      <c r="AU257" s="946"/>
      <c r="AV257" s="616"/>
      <c r="AW257" s="602">
        <f t="shared" si="120"/>
        <v>0</v>
      </c>
      <c r="AX257" s="940"/>
      <c r="AY257" s="602">
        <f t="shared" si="121"/>
        <v>0</v>
      </c>
      <c r="AZ257" s="940"/>
      <c r="BA257" s="962"/>
      <c r="BB257" s="962"/>
      <c r="BC257" s="611"/>
      <c r="BD257" s="712">
        <v>16</v>
      </c>
      <c r="BE257" s="596">
        <v>10</v>
      </c>
      <c r="BF257" s="596">
        <f t="shared" si="124"/>
        <v>6</v>
      </c>
      <c r="BG257" s="728">
        <f>20+13</f>
        <v>33</v>
      </c>
      <c r="BH257" s="728">
        <f>2+2</f>
        <v>4</v>
      </c>
      <c r="BI257" s="729">
        <f t="shared" si="115"/>
        <v>37</v>
      </c>
      <c r="BJ257" s="729"/>
      <c r="BK257" s="616">
        <v>800</v>
      </c>
      <c r="BL257" s="603">
        <f t="shared" si="123"/>
        <v>16</v>
      </c>
      <c r="BM257" s="964"/>
      <c r="BN257" s="602">
        <f t="shared" si="147"/>
        <v>0</v>
      </c>
      <c r="BO257" s="940"/>
      <c r="BP257" s="593">
        <f t="shared" si="139"/>
        <v>0</v>
      </c>
      <c r="BS257" s="741">
        <v>0</v>
      </c>
      <c r="BT257" s="741">
        <v>0</v>
      </c>
      <c r="BU257" s="741">
        <f t="shared" si="140"/>
        <v>0</v>
      </c>
      <c r="BV257" s="741">
        <v>0</v>
      </c>
      <c r="BW257" s="741"/>
      <c r="BX257" s="741">
        <v>0</v>
      </c>
      <c r="BY257" s="741">
        <v>0</v>
      </c>
      <c r="BZ257" s="741">
        <f t="shared" si="116"/>
        <v>0</v>
      </c>
      <c r="CA257" s="741">
        <v>0</v>
      </c>
      <c r="CB257" s="741"/>
      <c r="CC257" s="741">
        <f t="shared" si="141"/>
        <v>0</v>
      </c>
      <c r="CD257" s="751"/>
      <c r="CE257" s="748"/>
      <c r="CF257" s="748"/>
      <c r="CG257" s="748">
        <f t="shared" si="142"/>
        <v>0</v>
      </c>
      <c r="CH257" s="759"/>
      <c r="CI257" s="742"/>
      <c r="CJ257" s="591">
        <f t="shared" si="143"/>
        <v>0</v>
      </c>
    </row>
    <row r="258" spans="1:88" ht="21.6" customHeight="1" x14ac:dyDescent="0.25">
      <c r="A258" s="596" t="s">
        <v>130</v>
      </c>
      <c r="B258" s="596" t="s">
        <v>135</v>
      </c>
      <c r="C258" s="597" t="s">
        <v>497</v>
      </c>
      <c r="D258" s="182" t="s">
        <v>431</v>
      </c>
      <c r="E258" s="598">
        <v>14.666666666666666</v>
      </c>
      <c r="F258" s="596">
        <v>0</v>
      </c>
      <c r="G258" s="598">
        <v>14.666666666666666</v>
      </c>
      <c r="H258" s="596"/>
      <c r="I258" s="596">
        <f t="shared" si="117"/>
        <v>0</v>
      </c>
      <c r="J258" s="728">
        <f>9+7</f>
        <v>16</v>
      </c>
      <c r="K258" s="728">
        <f>11+0</f>
        <v>11</v>
      </c>
      <c r="L258" s="731">
        <f t="shared" si="113"/>
        <v>27</v>
      </c>
      <c r="M258" s="947"/>
      <c r="N258" s="617">
        <v>220</v>
      </c>
      <c r="O258" s="602">
        <f t="shared" si="144"/>
        <v>14.666666666666666</v>
      </c>
      <c r="P258" s="940"/>
      <c r="Q258" s="600">
        <f t="shared" si="145"/>
        <v>0</v>
      </c>
      <c r="R258" s="940"/>
      <c r="S258" s="596">
        <v>0</v>
      </c>
      <c r="T258" s="724"/>
      <c r="U258" s="728"/>
      <c r="V258" s="728"/>
      <c r="W258" s="731">
        <f t="shared" si="114"/>
        <v>0</v>
      </c>
      <c r="X258" s="947"/>
      <c r="Y258" s="616"/>
      <c r="Z258" s="602">
        <f t="shared" si="118"/>
        <v>0</v>
      </c>
      <c r="AA258" s="835"/>
      <c r="AB258" s="602">
        <f t="shared" si="119"/>
        <v>0</v>
      </c>
      <c r="AC258" s="940"/>
      <c r="AD258" s="956"/>
      <c r="AE258" s="956"/>
      <c r="AF258" s="598">
        <v>5.666666666666667</v>
      </c>
      <c r="AG258" s="596"/>
      <c r="AH258" s="728">
        <v>4</v>
      </c>
      <c r="AI258" s="728">
        <v>7</v>
      </c>
      <c r="AJ258" s="729">
        <f t="shared" si="135"/>
        <v>11</v>
      </c>
      <c r="AK258" s="946"/>
      <c r="AL258" s="616">
        <v>85</v>
      </c>
      <c r="AM258" s="602">
        <f t="shared" si="122"/>
        <v>5.666666666666667</v>
      </c>
      <c r="AN258" s="835"/>
      <c r="AO258" s="835">
        <f t="shared" si="146"/>
        <v>0</v>
      </c>
      <c r="AP258" s="940"/>
      <c r="AQ258" s="722">
        <v>0</v>
      </c>
      <c r="AR258" s="728"/>
      <c r="AS258" s="728"/>
      <c r="AT258" s="729">
        <f t="shared" si="137"/>
        <v>0</v>
      </c>
      <c r="AU258" s="946"/>
      <c r="AV258" s="616"/>
      <c r="AW258" s="602">
        <f t="shared" si="120"/>
        <v>0</v>
      </c>
      <c r="AX258" s="940"/>
      <c r="AY258" s="602">
        <f t="shared" si="121"/>
        <v>0</v>
      </c>
      <c r="AZ258" s="940"/>
      <c r="BA258" s="962"/>
      <c r="BB258" s="962"/>
      <c r="BC258" s="611"/>
      <c r="BD258" s="712">
        <v>20</v>
      </c>
      <c r="BE258" s="596">
        <v>14</v>
      </c>
      <c r="BF258" s="596">
        <f t="shared" si="124"/>
        <v>6</v>
      </c>
      <c r="BG258" s="728">
        <f>10+6+4</f>
        <v>20</v>
      </c>
      <c r="BH258" s="728">
        <f>11+7</f>
        <v>18</v>
      </c>
      <c r="BI258" s="729">
        <f t="shared" si="115"/>
        <v>38</v>
      </c>
      <c r="BJ258" s="729"/>
      <c r="BK258" s="616">
        <v>1000</v>
      </c>
      <c r="BL258" s="603">
        <f t="shared" si="123"/>
        <v>20</v>
      </c>
      <c r="BM258" s="964"/>
      <c r="BN258" s="602">
        <f t="shared" si="147"/>
        <v>0</v>
      </c>
      <c r="BO258" s="940"/>
      <c r="BP258" s="593">
        <f t="shared" si="139"/>
        <v>0</v>
      </c>
      <c r="BS258" s="741">
        <v>0</v>
      </c>
      <c r="BT258" s="741">
        <v>0</v>
      </c>
      <c r="BU258" s="741">
        <f t="shared" si="140"/>
        <v>0</v>
      </c>
      <c r="BV258" s="741">
        <v>0</v>
      </c>
      <c r="BW258" s="741"/>
      <c r="BX258" s="741">
        <v>0</v>
      </c>
      <c r="BY258" s="741">
        <v>0</v>
      </c>
      <c r="BZ258" s="741">
        <f t="shared" si="116"/>
        <v>0</v>
      </c>
      <c r="CA258" s="741">
        <v>0</v>
      </c>
      <c r="CB258" s="741"/>
      <c r="CC258" s="741">
        <f t="shared" si="141"/>
        <v>0</v>
      </c>
      <c r="CD258" s="751"/>
      <c r="CE258" s="748"/>
      <c r="CF258" s="748"/>
      <c r="CG258" s="748">
        <f t="shared" si="142"/>
        <v>0</v>
      </c>
      <c r="CH258" s="759"/>
      <c r="CI258" s="742"/>
      <c r="CJ258" s="591">
        <f t="shared" si="143"/>
        <v>0</v>
      </c>
    </row>
    <row r="259" spans="1:88" ht="21.6" customHeight="1" x14ac:dyDescent="0.25">
      <c r="A259" s="596"/>
      <c r="B259" s="596"/>
      <c r="C259" s="597"/>
      <c r="D259" s="143"/>
      <c r="E259" s="598">
        <v>0</v>
      </c>
      <c r="F259" s="596">
        <v>0</v>
      </c>
      <c r="G259" s="598"/>
      <c r="H259" s="596"/>
      <c r="I259" s="596">
        <f t="shared" si="117"/>
        <v>0</v>
      </c>
      <c r="J259" s="728"/>
      <c r="K259" s="728"/>
      <c r="L259" s="731">
        <f t="shared" si="113"/>
        <v>0</v>
      </c>
      <c r="M259" s="947"/>
      <c r="N259" s="617"/>
      <c r="O259" s="602">
        <f t="shared" si="144"/>
        <v>0</v>
      </c>
      <c r="P259" s="940"/>
      <c r="Q259" s="600">
        <f t="shared" si="145"/>
        <v>0</v>
      </c>
      <c r="R259" s="940"/>
      <c r="S259" s="596">
        <v>0</v>
      </c>
      <c r="T259" s="724"/>
      <c r="U259" s="728"/>
      <c r="V259" s="728"/>
      <c r="W259" s="731">
        <f t="shared" si="114"/>
        <v>0</v>
      </c>
      <c r="X259" s="947"/>
      <c r="Y259" s="616"/>
      <c r="Z259" s="602">
        <f t="shared" si="118"/>
        <v>0</v>
      </c>
      <c r="AA259" s="835"/>
      <c r="AB259" s="602">
        <f t="shared" si="119"/>
        <v>0</v>
      </c>
      <c r="AC259" s="940"/>
      <c r="AD259" s="956"/>
      <c r="AE259" s="956"/>
      <c r="AF259" s="598"/>
      <c r="AG259" s="596"/>
      <c r="AH259" s="728"/>
      <c r="AI259" s="728"/>
      <c r="AJ259" s="729">
        <f t="shared" ref="AJ259:AJ290" si="148">AH259+AI259</f>
        <v>0</v>
      </c>
      <c r="AK259" s="946"/>
      <c r="AL259" s="616"/>
      <c r="AM259" s="602">
        <f t="shared" si="122"/>
        <v>0</v>
      </c>
      <c r="AN259" s="835"/>
      <c r="AO259" s="835">
        <f t="shared" si="146"/>
        <v>0</v>
      </c>
      <c r="AP259" s="940"/>
      <c r="AQ259" s="722">
        <v>0</v>
      </c>
      <c r="AR259" s="728"/>
      <c r="AS259" s="728"/>
      <c r="AT259" s="729">
        <f t="shared" si="137"/>
        <v>0</v>
      </c>
      <c r="AU259" s="946"/>
      <c r="AV259" s="616"/>
      <c r="AW259" s="602">
        <f t="shared" si="120"/>
        <v>0</v>
      </c>
      <c r="AX259" s="940"/>
      <c r="AY259" s="602">
        <f t="shared" si="121"/>
        <v>0</v>
      </c>
      <c r="AZ259" s="940"/>
      <c r="BA259" s="962"/>
      <c r="BB259" s="962"/>
      <c r="BC259" s="611"/>
      <c r="BD259" s="712"/>
      <c r="BE259" s="596"/>
      <c r="BF259" s="596">
        <f t="shared" si="124"/>
        <v>0</v>
      </c>
      <c r="BG259" s="728"/>
      <c r="BH259" s="728"/>
      <c r="BI259" s="729">
        <f t="shared" si="115"/>
        <v>0</v>
      </c>
      <c r="BJ259" s="729"/>
      <c r="BK259" s="616"/>
      <c r="BL259" s="603">
        <f t="shared" si="123"/>
        <v>0</v>
      </c>
      <c r="BM259" s="964"/>
      <c r="BN259" s="602">
        <f t="shared" si="147"/>
        <v>0</v>
      </c>
      <c r="BO259" s="940"/>
      <c r="BP259" s="593">
        <f t="shared" ref="BP259:BP290" si="149">BO259+AZ259+AP259+AC259+R259</f>
        <v>0</v>
      </c>
      <c r="BS259" s="741">
        <v>0</v>
      </c>
      <c r="BT259" s="741">
        <v>0</v>
      </c>
      <c r="BU259" s="741">
        <f t="shared" si="140"/>
        <v>0</v>
      </c>
      <c r="BV259" s="741">
        <v>0</v>
      </c>
      <c r="BW259" s="741"/>
      <c r="BX259" s="741">
        <v>0</v>
      </c>
      <c r="BY259" s="741">
        <v>0</v>
      </c>
      <c r="BZ259" s="741">
        <f t="shared" si="116"/>
        <v>0</v>
      </c>
      <c r="CA259" s="741">
        <v>0</v>
      </c>
      <c r="CB259" s="741"/>
      <c r="CC259" s="741">
        <f t="shared" si="141"/>
        <v>0</v>
      </c>
      <c r="CD259" s="751"/>
      <c r="CE259" s="748"/>
      <c r="CF259" s="748"/>
      <c r="CG259" s="748">
        <f t="shared" si="142"/>
        <v>0</v>
      </c>
      <c r="CH259" s="759"/>
      <c r="CI259" s="742"/>
      <c r="CJ259" s="591">
        <f t="shared" ref="CJ259:CJ290" si="150">BN259+AY259+AO259+AB259+Q259</f>
        <v>0</v>
      </c>
    </row>
    <row r="260" spans="1:88" s="594" customFormat="1" ht="21.6" customHeight="1" x14ac:dyDescent="0.25">
      <c r="A260" s="612" t="s">
        <v>130</v>
      </c>
      <c r="B260" s="612" t="s">
        <v>142</v>
      </c>
      <c r="C260" s="613" t="s">
        <v>143</v>
      </c>
      <c r="D260" s="182" t="s">
        <v>437</v>
      </c>
      <c r="E260" s="614">
        <v>0</v>
      </c>
      <c r="F260" s="612">
        <v>70.666666666666657</v>
      </c>
      <c r="G260" s="614">
        <v>0</v>
      </c>
      <c r="H260" s="612">
        <v>39</v>
      </c>
      <c r="I260" s="612">
        <f t="shared" si="117"/>
        <v>31.666666666666657</v>
      </c>
      <c r="J260" s="728"/>
      <c r="K260" s="728"/>
      <c r="L260" s="731">
        <f t="shared" si="113"/>
        <v>0</v>
      </c>
      <c r="M260" s="947">
        <f>SUM(L260:L282)</f>
        <v>76</v>
      </c>
      <c r="N260" s="617"/>
      <c r="O260" s="602">
        <f t="shared" si="144"/>
        <v>0</v>
      </c>
      <c r="P260" s="940">
        <f>SUM(O260:O282)</f>
        <v>70.666666666666671</v>
      </c>
      <c r="Q260" s="600">
        <f t="shared" si="145"/>
        <v>0</v>
      </c>
      <c r="R260" s="940">
        <f>SUM(Q260:Q282)</f>
        <v>0</v>
      </c>
      <c r="S260" s="596">
        <v>0</v>
      </c>
      <c r="T260" s="724">
        <f>SUM(S260:S282)</f>
        <v>30</v>
      </c>
      <c r="U260" s="728"/>
      <c r="V260" s="728"/>
      <c r="W260" s="731">
        <f t="shared" si="114"/>
        <v>0</v>
      </c>
      <c r="X260" s="947">
        <f>SUM(W260:W282)</f>
        <v>27</v>
      </c>
      <c r="Y260" s="616"/>
      <c r="Z260" s="602">
        <f t="shared" si="118"/>
        <v>0</v>
      </c>
      <c r="AA260" s="835">
        <f>SUM(Z260:Z282)</f>
        <v>30</v>
      </c>
      <c r="AB260" s="602">
        <f t="shared" si="119"/>
        <v>0</v>
      </c>
      <c r="AC260" s="940">
        <f>SUM(AB260:AB282)</f>
        <v>0</v>
      </c>
      <c r="AD260" s="955">
        <f>M260+X260</f>
        <v>103</v>
      </c>
      <c r="AE260" s="955">
        <f>R260+AC260</f>
        <v>0</v>
      </c>
      <c r="AF260" s="614">
        <v>14</v>
      </c>
      <c r="AG260" s="612">
        <v>222.33333333333334</v>
      </c>
      <c r="AH260" s="728">
        <v>8</v>
      </c>
      <c r="AI260" s="728">
        <v>8</v>
      </c>
      <c r="AJ260" s="729">
        <f t="shared" si="148"/>
        <v>16</v>
      </c>
      <c r="AK260" s="946">
        <f>SUM(AJ260:AJ282)</f>
        <v>191</v>
      </c>
      <c r="AL260" s="616">
        <v>210</v>
      </c>
      <c r="AM260" s="602">
        <f t="shared" si="122"/>
        <v>14</v>
      </c>
      <c r="AN260" s="835">
        <f>SUM(AM260:AM282)</f>
        <v>222.33333333333334</v>
      </c>
      <c r="AO260" s="835">
        <f t="shared" si="146"/>
        <v>0</v>
      </c>
      <c r="AP260" s="940">
        <f>SUM(AO260:AO282)</f>
        <v>0</v>
      </c>
      <c r="AQ260" s="722">
        <v>14</v>
      </c>
      <c r="AR260" s="728">
        <v>8</v>
      </c>
      <c r="AS260" s="728">
        <v>8</v>
      </c>
      <c r="AT260" s="729">
        <f t="shared" si="137"/>
        <v>16</v>
      </c>
      <c r="AU260" s="946">
        <f>SUM(AT260:AT282)</f>
        <v>48</v>
      </c>
      <c r="AV260" s="616">
        <v>210</v>
      </c>
      <c r="AW260" s="602">
        <f t="shared" si="120"/>
        <v>14</v>
      </c>
      <c r="AX260" s="940">
        <f>SUM(AW260:AW282)</f>
        <v>50</v>
      </c>
      <c r="AY260" s="602">
        <f t="shared" si="121"/>
        <v>0</v>
      </c>
      <c r="AZ260" s="940">
        <f>SUM(AY260:AY282)</f>
        <v>0</v>
      </c>
      <c r="BA260" s="961">
        <f>AK260+AU260</f>
        <v>239</v>
      </c>
      <c r="BB260" s="961">
        <f>AP260+AZ260</f>
        <v>0</v>
      </c>
      <c r="BC260" s="614">
        <f>SUM(BD260:BD282)</f>
        <v>290</v>
      </c>
      <c r="BD260" s="716">
        <v>14</v>
      </c>
      <c r="BE260" s="612">
        <v>14</v>
      </c>
      <c r="BF260" s="596">
        <f t="shared" si="124"/>
        <v>0</v>
      </c>
      <c r="BG260" s="728">
        <v>8</v>
      </c>
      <c r="BH260" s="728">
        <v>8</v>
      </c>
      <c r="BI260" s="729">
        <f t="shared" si="115"/>
        <v>16</v>
      </c>
      <c r="BJ260" s="729">
        <f>SUM(BI260:BI282)</f>
        <v>269</v>
      </c>
      <c r="BK260" s="616">
        <v>700</v>
      </c>
      <c r="BL260" s="603">
        <f t="shared" si="123"/>
        <v>14</v>
      </c>
      <c r="BM260" s="964">
        <f>SUM(BL260:BL282)</f>
        <v>300</v>
      </c>
      <c r="BN260" s="602">
        <f t="shared" si="147"/>
        <v>0</v>
      </c>
      <c r="BO260" s="940">
        <f>SUM(BN260:BN282)</f>
        <v>-1</v>
      </c>
      <c r="BP260" s="593">
        <f>BO260+AZ260+AP260+AC260+R260</f>
        <v>-1</v>
      </c>
      <c r="BS260" s="745">
        <v>0</v>
      </c>
      <c r="BT260" s="745">
        <v>0</v>
      </c>
      <c r="BU260" s="741">
        <f t="shared" si="140"/>
        <v>0</v>
      </c>
      <c r="BV260" s="745">
        <v>0</v>
      </c>
      <c r="BW260" s="745">
        <f>SUM(BV260:BV282)</f>
        <v>0</v>
      </c>
      <c r="BX260" s="745">
        <v>0</v>
      </c>
      <c r="BY260" s="745">
        <v>0</v>
      </c>
      <c r="BZ260" s="741">
        <f t="shared" si="116"/>
        <v>0</v>
      </c>
      <c r="CA260" s="745">
        <v>0</v>
      </c>
      <c r="CB260" s="745">
        <f>SUM(CA260:CA282)</f>
        <v>0</v>
      </c>
      <c r="CC260" s="741">
        <f t="shared" si="141"/>
        <v>0</v>
      </c>
      <c r="CD260" s="756">
        <f>SUM(CC260:CC282)</f>
        <v>0</v>
      </c>
      <c r="CE260" s="748"/>
      <c r="CF260" s="748"/>
      <c r="CG260" s="748">
        <f t="shared" si="142"/>
        <v>0</v>
      </c>
      <c r="CH260" s="766"/>
      <c r="CI260" s="745">
        <f>SUM(CH260:CH282)</f>
        <v>0</v>
      </c>
      <c r="CJ260" s="594">
        <f t="shared" si="150"/>
        <v>0</v>
      </c>
    </row>
    <row r="261" spans="1:88" ht="21.6" customHeight="1" x14ac:dyDescent="0.25">
      <c r="A261" s="596" t="s">
        <v>130</v>
      </c>
      <c r="B261" s="596" t="s">
        <v>142</v>
      </c>
      <c r="C261" s="597" t="s">
        <v>144</v>
      </c>
      <c r="D261" s="182" t="s">
        <v>431</v>
      </c>
      <c r="E261" s="598">
        <v>0</v>
      </c>
      <c r="F261" s="596">
        <v>0</v>
      </c>
      <c r="G261" s="598">
        <v>0</v>
      </c>
      <c r="H261" s="596"/>
      <c r="I261" s="596">
        <f t="shared" si="117"/>
        <v>0</v>
      </c>
      <c r="J261" s="728"/>
      <c r="K261" s="728"/>
      <c r="L261" s="731">
        <f t="shared" si="113"/>
        <v>0</v>
      </c>
      <c r="M261" s="947"/>
      <c r="N261" s="617"/>
      <c r="O261" s="602">
        <f t="shared" si="144"/>
        <v>0</v>
      </c>
      <c r="P261" s="940"/>
      <c r="Q261" s="600">
        <f t="shared" si="145"/>
        <v>0</v>
      </c>
      <c r="R261" s="940"/>
      <c r="S261" s="596">
        <v>0</v>
      </c>
      <c r="T261" s="724"/>
      <c r="U261" s="728"/>
      <c r="V261" s="728"/>
      <c r="W261" s="731">
        <f t="shared" si="114"/>
        <v>0</v>
      </c>
      <c r="X261" s="947"/>
      <c r="Y261" s="616"/>
      <c r="Z261" s="602">
        <f t="shared" si="118"/>
        <v>0</v>
      </c>
      <c r="AA261" s="835"/>
      <c r="AB261" s="602">
        <f t="shared" si="119"/>
        <v>0</v>
      </c>
      <c r="AC261" s="940"/>
      <c r="AD261" s="956"/>
      <c r="AE261" s="956"/>
      <c r="AF261" s="598">
        <v>10</v>
      </c>
      <c r="AG261" s="596"/>
      <c r="AH261" s="728">
        <v>5</v>
      </c>
      <c r="AI261" s="728">
        <v>1</v>
      </c>
      <c r="AJ261" s="729">
        <f t="shared" si="148"/>
        <v>6</v>
      </c>
      <c r="AK261" s="946"/>
      <c r="AL261" s="616">
        <v>150</v>
      </c>
      <c r="AM261" s="602">
        <f t="shared" si="122"/>
        <v>10</v>
      </c>
      <c r="AN261" s="835"/>
      <c r="AO261" s="835">
        <f t="shared" si="146"/>
        <v>0</v>
      </c>
      <c r="AP261" s="940"/>
      <c r="AQ261" s="722">
        <v>0</v>
      </c>
      <c r="AR261" s="728"/>
      <c r="AS261" s="728"/>
      <c r="AT261" s="729">
        <f t="shared" si="137"/>
        <v>0</v>
      </c>
      <c r="AU261" s="946"/>
      <c r="AV261" s="616"/>
      <c r="AW261" s="602">
        <f t="shared" si="120"/>
        <v>0</v>
      </c>
      <c r="AX261" s="940"/>
      <c r="AY261" s="602">
        <f t="shared" si="121"/>
        <v>0</v>
      </c>
      <c r="AZ261" s="940"/>
      <c r="BA261" s="962"/>
      <c r="BB261" s="962"/>
      <c r="BC261" s="611"/>
      <c r="BD261" s="712">
        <v>10</v>
      </c>
      <c r="BE261" s="596">
        <v>10</v>
      </c>
      <c r="BF261" s="596">
        <f t="shared" si="124"/>
        <v>0</v>
      </c>
      <c r="BG261" s="728">
        <v>5</v>
      </c>
      <c r="BH261" s="728">
        <v>1</v>
      </c>
      <c r="BI261" s="729">
        <f t="shared" si="115"/>
        <v>6</v>
      </c>
      <c r="BJ261" s="729"/>
      <c r="BK261" s="616">
        <v>500</v>
      </c>
      <c r="BL261" s="603">
        <f t="shared" si="123"/>
        <v>10</v>
      </c>
      <c r="BM261" s="964"/>
      <c r="BN261" s="602">
        <f t="shared" si="147"/>
        <v>0</v>
      </c>
      <c r="BO261" s="940"/>
      <c r="BP261" s="593">
        <f t="shared" si="149"/>
        <v>0</v>
      </c>
      <c r="BS261" s="741">
        <v>0</v>
      </c>
      <c r="BT261" s="741">
        <v>0</v>
      </c>
      <c r="BU261" s="741">
        <f t="shared" si="140"/>
        <v>0</v>
      </c>
      <c r="BV261" s="741">
        <v>0</v>
      </c>
      <c r="BW261" s="741"/>
      <c r="BX261" s="741">
        <v>0</v>
      </c>
      <c r="BY261" s="741">
        <v>0</v>
      </c>
      <c r="BZ261" s="741">
        <f t="shared" si="116"/>
        <v>0</v>
      </c>
      <c r="CA261" s="741">
        <v>0</v>
      </c>
      <c r="CB261" s="741"/>
      <c r="CC261" s="741">
        <f t="shared" si="141"/>
        <v>0</v>
      </c>
      <c r="CD261" s="751"/>
      <c r="CE261" s="748"/>
      <c r="CF261" s="748"/>
      <c r="CG261" s="748">
        <f t="shared" si="142"/>
        <v>0</v>
      </c>
      <c r="CH261" s="759"/>
      <c r="CI261" s="742"/>
      <c r="CJ261" s="591">
        <f t="shared" si="150"/>
        <v>0</v>
      </c>
    </row>
    <row r="262" spans="1:88" ht="38.25" customHeight="1" x14ac:dyDescent="0.25">
      <c r="A262" s="596"/>
      <c r="B262" s="596" t="s">
        <v>142</v>
      </c>
      <c r="C262" s="597" t="s">
        <v>348</v>
      </c>
      <c r="D262" s="182"/>
      <c r="E262" s="598">
        <v>0</v>
      </c>
      <c r="F262" s="596">
        <v>0</v>
      </c>
      <c r="G262" s="598">
        <v>0</v>
      </c>
      <c r="H262" s="596"/>
      <c r="I262" s="596">
        <f t="shared" si="117"/>
        <v>0</v>
      </c>
      <c r="J262" s="728"/>
      <c r="K262" s="728"/>
      <c r="L262" s="731">
        <f t="shared" si="113"/>
        <v>0</v>
      </c>
      <c r="M262" s="947"/>
      <c r="N262" s="617"/>
      <c r="O262" s="602">
        <f t="shared" si="144"/>
        <v>0</v>
      </c>
      <c r="P262" s="940"/>
      <c r="Q262" s="600">
        <f t="shared" si="145"/>
        <v>0</v>
      </c>
      <c r="R262" s="940"/>
      <c r="S262" s="596">
        <v>0</v>
      </c>
      <c r="T262" s="724"/>
      <c r="U262" s="728"/>
      <c r="V262" s="728"/>
      <c r="W262" s="731">
        <f t="shared" si="114"/>
        <v>0</v>
      </c>
      <c r="X262" s="947"/>
      <c r="Y262" s="616"/>
      <c r="Z262" s="602">
        <f t="shared" si="118"/>
        <v>0</v>
      </c>
      <c r="AA262" s="835"/>
      <c r="AB262" s="602">
        <f t="shared" si="119"/>
        <v>0</v>
      </c>
      <c r="AC262" s="940"/>
      <c r="AD262" s="956"/>
      <c r="AE262" s="956"/>
      <c r="AF262" s="598">
        <v>0</v>
      </c>
      <c r="AG262" s="596"/>
      <c r="AH262" s="728"/>
      <c r="AI262" s="728"/>
      <c r="AJ262" s="729">
        <f t="shared" si="148"/>
        <v>0</v>
      </c>
      <c r="AK262" s="946"/>
      <c r="AL262" s="616"/>
      <c r="AM262" s="602">
        <f t="shared" si="122"/>
        <v>0</v>
      </c>
      <c r="AN262" s="835"/>
      <c r="AO262" s="835">
        <f t="shared" si="146"/>
        <v>0</v>
      </c>
      <c r="AP262" s="940"/>
      <c r="AQ262" s="722">
        <v>0</v>
      </c>
      <c r="AR262" s="728"/>
      <c r="AS262" s="728"/>
      <c r="AT262" s="729">
        <f t="shared" si="137"/>
        <v>0</v>
      </c>
      <c r="AU262" s="946"/>
      <c r="AV262" s="616"/>
      <c r="AW262" s="602">
        <f t="shared" si="120"/>
        <v>0</v>
      </c>
      <c r="AX262" s="940"/>
      <c r="AY262" s="602">
        <f t="shared" si="121"/>
        <v>0</v>
      </c>
      <c r="AZ262" s="940"/>
      <c r="BA262" s="962"/>
      <c r="BB262" s="962"/>
      <c r="BC262" s="611"/>
      <c r="BD262" s="712">
        <v>0</v>
      </c>
      <c r="BE262" s="596">
        <v>0</v>
      </c>
      <c r="BF262" s="596">
        <f t="shared" si="124"/>
        <v>0</v>
      </c>
      <c r="BG262" s="728"/>
      <c r="BH262" s="728"/>
      <c r="BI262" s="729">
        <f t="shared" si="115"/>
        <v>0</v>
      </c>
      <c r="BJ262" s="729"/>
      <c r="BK262" s="616"/>
      <c r="BL262" s="603">
        <f t="shared" si="123"/>
        <v>0</v>
      </c>
      <c r="BM262" s="964"/>
      <c r="BN262" s="602">
        <f t="shared" si="147"/>
        <v>0</v>
      </c>
      <c r="BO262" s="940"/>
      <c r="BP262" s="593">
        <f t="shared" si="149"/>
        <v>0</v>
      </c>
      <c r="BS262" s="741">
        <v>0</v>
      </c>
      <c r="BT262" s="741">
        <v>0</v>
      </c>
      <c r="BU262" s="741">
        <f t="shared" si="140"/>
        <v>0</v>
      </c>
      <c r="BV262" s="741">
        <v>0</v>
      </c>
      <c r="BW262" s="741"/>
      <c r="BX262" s="741">
        <v>0</v>
      </c>
      <c r="BY262" s="741">
        <v>0</v>
      </c>
      <c r="BZ262" s="741">
        <f t="shared" si="116"/>
        <v>0</v>
      </c>
      <c r="CA262" s="741">
        <v>0</v>
      </c>
      <c r="CB262" s="741"/>
      <c r="CC262" s="741">
        <f t="shared" si="141"/>
        <v>0</v>
      </c>
      <c r="CD262" s="751"/>
      <c r="CE262" s="748"/>
      <c r="CF262" s="748"/>
      <c r="CG262" s="748">
        <f t="shared" si="142"/>
        <v>0</v>
      </c>
      <c r="CH262" s="759"/>
      <c r="CI262" s="742"/>
      <c r="CJ262" s="591">
        <f t="shared" si="150"/>
        <v>0</v>
      </c>
    </row>
    <row r="263" spans="1:88" ht="42" customHeight="1" x14ac:dyDescent="0.25">
      <c r="A263" s="596" t="s">
        <v>130</v>
      </c>
      <c r="B263" s="596" t="s">
        <v>142</v>
      </c>
      <c r="C263" s="597" t="s">
        <v>402</v>
      </c>
      <c r="D263" s="182" t="s">
        <v>437</v>
      </c>
      <c r="E263" s="598">
        <v>20</v>
      </c>
      <c r="F263" s="596">
        <v>0</v>
      </c>
      <c r="G263" s="598">
        <v>0</v>
      </c>
      <c r="H263" s="596"/>
      <c r="I263" s="596">
        <f t="shared" si="117"/>
        <v>0</v>
      </c>
      <c r="J263" s="728">
        <v>13</v>
      </c>
      <c r="K263" s="728">
        <v>5</v>
      </c>
      <c r="L263" s="731">
        <f t="shared" si="113"/>
        <v>18</v>
      </c>
      <c r="M263" s="947"/>
      <c r="N263" s="617">
        <v>300</v>
      </c>
      <c r="O263" s="602">
        <f t="shared" si="144"/>
        <v>20</v>
      </c>
      <c r="P263" s="940"/>
      <c r="Q263" s="600">
        <f t="shared" si="145"/>
        <v>0</v>
      </c>
      <c r="R263" s="940"/>
      <c r="S263" s="596">
        <v>0</v>
      </c>
      <c r="T263" s="724"/>
      <c r="U263" s="728"/>
      <c r="V263" s="728"/>
      <c r="W263" s="731">
        <f t="shared" si="114"/>
        <v>0</v>
      </c>
      <c r="X263" s="947"/>
      <c r="Y263" s="616"/>
      <c r="Z263" s="602">
        <f t="shared" si="118"/>
        <v>0</v>
      </c>
      <c r="AA263" s="835"/>
      <c r="AB263" s="602">
        <f t="shared" si="119"/>
        <v>0</v>
      </c>
      <c r="AC263" s="940"/>
      <c r="AD263" s="956"/>
      <c r="AE263" s="956"/>
      <c r="AF263" s="598">
        <v>12.333333333333334</v>
      </c>
      <c r="AG263" s="596"/>
      <c r="AH263" s="728">
        <v>7</v>
      </c>
      <c r="AI263" s="728">
        <v>5</v>
      </c>
      <c r="AJ263" s="729">
        <f t="shared" si="148"/>
        <v>12</v>
      </c>
      <c r="AK263" s="946"/>
      <c r="AL263" s="616">
        <v>185</v>
      </c>
      <c r="AM263" s="602">
        <f t="shared" si="122"/>
        <v>12.333333333333334</v>
      </c>
      <c r="AN263" s="835"/>
      <c r="AO263" s="835">
        <f t="shared" si="146"/>
        <v>0</v>
      </c>
      <c r="AP263" s="940"/>
      <c r="AQ263" s="722">
        <v>1</v>
      </c>
      <c r="AR263" s="728"/>
      <c r="AS263" s="728">
        <v>1</v>
      </c>
      <c r="AT263" s="729">
        <f t="shared" si="137"/>
        <v>1</v>
      </c>
      <c r="AU263" s="946"/>
      <c r="AV263" s="616">
        <v>15</v>
      </c>
      <c r="AW263" s="602">
        <f t="shared" si="120"/>
        <v>1</v>
      </c>
      <c r="AX263" s="940"/>
      <c r="AY263" s="602">
        <f t="shared" si="121"/>
        <v>0</v>
      </c>
      <c r="AZ263" s="940"/>
      <c r="BA263" s="962"/>
      <c r="BB263" s="962"/>
      <c r="BC263" s="611"/>
      <c r="BD263" s="712">
        <v>32</v>
      </c>
      <c r="BE263" s="596">
        <v>12</v>
      </c>
      <c r="BF263" s="596">
        <v>8</v>
      </c>
      <c r="BG263" s="728">
        <f>7+13</f>
        <v>20</v>
      </c>
      <c r="BH263" s="728">
        <f>5+5</f>
        <v>10</v>
      </c>
      <c r="BI263" s="729">
        <f t="shared" si="115"/>
        <v>30</v>
      </c>
      <c r="BJ263" s="729"/>
      <c r="BK263" s="616">
        <f>600+1000</f>
        <v>1600</v>
      </c>
      <c r="BL263" s="603">
        <f t="shared" si="123"/>
        <v>32</v>
      </c>
      <c r="BM263" s="964"/>
      <c r="BN263" s="602">
        <f>BD263-BL263</f>
        <v>0</v>
      </c>
      <c r="BO263" s="940"/>
      <c r="BP263" s="593">
        <f t="shared" si="149"/>
        <v>0</v>
      </c>
      <c r="BS263" s="741">
        <v>0</v>
      </c>
      <c r="BT263" s="741">
        <v>0</v>
      </c>
      <c r="BU263" s="741">
        <f t="shared" si="140"/>
        <v>0</v>
      </c>
      <c r="BV263" s="741">
        <v>0</v>
      </c>
      <c r="BW263" s="741"/>
      <c r="BX263" s="741">
        <v>0</v>
      </c>
      <c r="BY263" s="741">
        <v>0</v>
      </c>
      <c r="BZ263" s="741">
        <f t="shared" si="116"/>
        <v>0</v>
      </c>
      <c r="CA263" s="741">
        <v>0</v>
      </c>
      <c r="CB263" s="741"/>
      <c r="CC263" s="741">
        <f t="shared" si="141"/>
        <v>0</v>
      </c>
      <c r="CD263" s="751"/>
      <c r="CE263" s="748"/>
      <c r="CF263" s="748"/>
      <c r="CG263" s="748">
        <f t="shared" si="142"/>
        <v>0</v>
      </c>
      <c r="CH263" s="759"/>
      <c r="CI263" s="742"/>
      <c r="CJ263" s="591">
        <f t="shared" si="150"/>
        <v>0</v>
      </c>
    </row>
    <row r="264" spans="1:88" ht="21.6" customHeight="1" x14ac:dyDescent="0.25">
      <c r="A264" s="596" t="s">
        <v>130</v>
      </c>
      <c r="B264" s="596" t="s">
        <v>142</v>
      </c>
      <c r="C264" s="597" t="s">
        <v>145</v>
      </c>
      <c r="D264" s="182" t="s">
        <v>431</v>
      </c>
      <c r="E264" s="598">
        <v>0</v>
      </c>
      <c r="F264" s="596">
        <v>0</v>
      </c>
      <c r="G264" s="598">
        <v>0</v>
      </c>
      <c r="H264" s="596"/>
      <c r="I264" s="596">
        <f t="shared" si="117"/>
        <v>0</v>
      </c>
      <c r="J264" s="728"/>
      <c r="K264" s="728"/>
      <c r="L264" s="731">
        <f t="shared" si="113"/>
        <v>0</v>
      </c>
      <c r="M264" s="947"/>
      <c r="N264" s="617"/>
      <c r="O264" s="602">
        <f t="shared" si="144"/>
        <v>0</v>
      </c>
      <c r="P264" s="940"/>
      <c r="Q264" s="600">
        <f t="shared" si="145"/>
        <v>0</v>
      </c>
      <c r="R264" s="940"/>
      <c r="S264" s="596">
        <v>0</v>
      </c>
      <c r="T264" s="724"/>
      <c r="U264" s="728"/>
      <c r="V264" s="728"/>
      <c r="W264" s="731">
        <f t="shared" si="114"/>
        <v>0</v>
      </c>
      <c r="X264" s="947"/>
      <c r="Y264" s="616"/>
      <c r="Z264" s="602">
        <f t="shared" si="118"/>
        <v>0</v>
      </c>
      <c r="AA264" s="835"/>
      <c r="AB264" s="602">
        <f t="shared" si="119"/>
        <v>0</v>
      </c>
      <c r="AC264" s="940"/>
      <c r="AD264" s="956"/>
      <c r="AE264" s="956"/>
      <c r="AF264" s="598">
        <v>36</v>
      </c>
      <c r="AG264" s="596"/>
      <c r="AH264" s="728">
        <v>2</v>
      </c>
      <c r="AI264" s="728">
        <v>14</v>
      </c>
      <c r="AJ264" s="729">
        <f t="shared" si="148"/>
        <v>16</v>
      </c>
      <c r="AK264" s="946"/>
      <c r="AL264" s="616">
        <v>540</v>
      </c>
      <c r="AM264" s="602">
        <f t="shared" si="122"/>
        <v>36</v>
      </c>
      <c r="AN264" s="835"/>
      <c r="AO264" s="835">
        <f t="shared" si="146"/>
        <v>0</v>
      </c>
      <c r="AP264" s="940"/>
      <c r="AQ264" s="722">
        <v>0</v>
      </c>
      <c r="AR264" s="728"/>
      <c r="AS264" s="728"/>
      <c r="AT264" s="729">
        <f t="shared" si="137"/>
        <v>0</v>
      </c>
      <c r="AU264" s="946"/>
      <c r="AV264" s="616"/>
      <c r="AW264" s="602">
        <f t="shared" si="120"/>
        <v>0</v>
      </c>
      <c r="AX264" s="940"/>
      <c r="AY264" s="602">
        <f t="shared" si="121"/>
        <v>0</v>
      </c>
      <c r="AZ264" s="940"/>
      <c r="BA264" s="962"/>
      <c r="BB264" s="962"/>
      <c r="BC264" s="611"/>
      <c r="BD264" s="712">
        <v>36</v>
      </c>
      <c r="BE264" s="596">
        <v>36</v>
      </c>
      <c r="BF264" s="596">
        <f t="shared" si="124"/>
        <v>0</v>
      </c>
      <c r="BG264" s="728">
        <v>2</v>
      </c>
      <c r="BH264" s="728">
        <v>14</v>
      </c>
      <c r="BI264" s="729">
        <f t="shared" si="115"/>
        <v>16</v>
      </c>
      <c r="BJ264" s="729"/>
      <c r="BK264" s="616">
        <v>1800</v>
      </c>
      <c r="BL264" s="603">
        <f t="shared" si="123"/>
        <v>36</v>
      </c>
      <c r="BM264" s="964"/>
      <c r="BN264" s="602">
        <f t="shared" si="147"/>
        <v>0</v>
      </c>
      <c r="BO264" s="940"/>
      <c r="BP264" s="593">
        <f t="shared" si="149"/>
        <v>0</v>
      </c>
      <c r="BS264" s="741">
        <v>0</v>
      </c>
      <c r="BT264" s="741">
        <v>0</v>
      </c>
      <c r="BU264" s="741">
        <f t="shared" si="140"/>
        <v>0</v>
      </c>
      <c r="BV264" s="741">
        <v>0</v>
      </c>
      <c r="BW264" s="741"/>
      <c r="BX264" s="741">
        <v>0</v>
      </c>
      <c r="BY264" s="741">
        <v>0</v>
      </c>
      <c r="BZ264" s="741">
        <f t="shared" si="116"/>
        <v>0</v>
      </c>
      <c r="CA264" s="741">
        <v>0</v>
      </c>
      <c r="CB264" s="741"/>
      <c r="CC264" s="741">
        <f t="shared" si="141"/>
        <v>0</v>
      </c>
      <c r="CD264" s="751"/>
      <c r="CE264" s="748"/>
      <c r="CF264" s="748"/>
      <c r="CG264" s="748">
        <f t="shared" si="142"/>
        <v>0</v>
      </c>
      <c r="CH264" s="759"/>
      <c r="CI264" s="742"/>
      <c r="CJ264" s="591">
        <f t="shared" si="150"/>
        <v>0</v>
      </c>
    </row>
    <row r="265" spans="1:88" ht="21.6" customHeight="1" x14ac:dyDescent="0.25">
      <c r="A265" s="596" t="s">
        <v>130</v>
      </c>
      <c r="B265" s="596" t="s">
        <v>142</v>
      </c>
      <c r="C265" s="597" t="s">
        <v>146</v>
      </c>
      <c r="D265" s="182" t="s">
        <v>437</v>
      </c>
      <c r="E265" s="598">
        <v>10</v>
      </c>
      <c r="F265" s="596">
        <v>0</v>
      </c>
      <c r="G265" s="598">
        <v>10</v>
      </c>
      <c r="H265" s="596"/>
      <c r="I265" s="596">
        <f t="shared" si="117"/>
        <v>0</v>
      </c>
      <c r="J265" s="728">
        <f>12</f>
        <v>12</v>
      </c>
      <c r="K265" s="728">
        <f>0</f>
        <v>0</v>
      </c>
      <c r="L265" s="731">
        <f t="shared" si="113"/>
        <v>12</v>
      </c>
      <c r="M265" s="947"/>
      <c r="N265" s="617">
        <v>150</v>
      </c>
      <c r="O265" s="602">
        <f t="shared" si="144"/>
        <v>10</v>
      </c>
      <c r="P265" s="940"/>
      <c r="Q265" s="600">
        <f t="shared" si="145"/>
        <v>0</v>
      </c>
      <c r="R265" s="940"/>
      <c r="S265" s="596">
        <v>0</v>
      </c>
      <c r="T265" s="724"/>
      <c r="U265" s="728"/>
      <c r="V265" s="728"/>
      <c r="W265" s="731">
        <f t="shared" si="114"/>
        <v>0</v>
      </c>
      <c r="X265" s="947"/>
      <c r="Y265" s="616"/>
      <c r="Z265" s="602">
        <f t="shared" si="118"/>
        <v>0</v>
      </c>
      <c r="AA265" s="835"/>
      <c r="AB265" s="602">
        <f t="shared" si="119"/>
        <v>0</v>
      </c>
      <c r="AC265" s="940"/>
      <c r="AD265" s="956"/>
      <c r="AE265" s="956"/>
      <c r="AF265" s="598">
        <v>0</v>
      </c>
      <c r="AG265" s="596"/>
      <c r="AH265" s="728"/>
      <c r="AI265" s="728"/>
      <c r="AJ265" s="729">
        <f t="shared" si="148"/>
        <v>0</v>
      </c>
      <c r="AK265" s="946"/>
      <c r="AL265" s="616"/>
      <c r="AM265" s="602">
        <f t="shared" si="122"/>
        <v>0</v>
      </c>
      <c r="AN265" s="835"/>
      <c r="AO265" s="835">
        <f t="shared" si="146"/>
        <v>0</v>
      </c>
      <c r="AP265" s="940"/>
      <c r="AQ265" s="722">
        <v>0</v>
      </c>
      <c r="AR265" s="728"/>
      <c r="AS265" s="728"/>
      <c r="AT265" s="729">
        <f t="shared" si="137"/>
        <v>0</v>
      </c>
      <c r="AU265" s="946"/>
      <c r="AV265" s="616"/>
      <c r="AW265" s="602">
        <f t="shared" si="120"/>
        <v>0</v>
      </c>
      <c r="AX265" s="940"/>
      <c r="AY265" s="602">
        <f t="shared" si="121"/>
        <v>0</v>
      </c>
      <c r="AZ265" s="940"/>
      <c r="BA265" s="962"/>
      <c r="BB265" s="962"/>
      <c r="BC265" s="611"/>
      <c r="BD265" s="712">
        <v>10</v>
      </c>
      <c r="BE265" s="596">
        <v>10</v>
      </c>
      <c r="BF265" s="596">
        <f t="shared" si="124"/>
        <v>0</v>
      </c>
      <c r="BG265" s="728">
        <v>12</v>
      </c>
      <c r="BH265" s="728"/>
      <c r="BI265" s="729">
        <f t="shared" si="115"/>
        <v>12</v>
      </c>
      <c r="BJ265" s="729"/>
      <c r="BK265" s="616">
        <v>500</v>
      </c>
      <c r="BL265" s="603">
        <f t="shared" si="123"/>
        <v>10</v>
      </c>
      <c r="BM265" s="964"/>
      <c r="BN265" s="602">
        <f t="shared" si="147"/>
        <v>0</v>
      </c>
      <c r="BO265" s="940"/>
      <c r="BP265" s="593">
        <f t="shared" si="149"/>
        <v>0</v>
      </c>
      <c r="BS265" s="741">
        <v>0</v>
      </c>
      <c r="BT265" s="741">
        <v>0</v>
      </c>
      <c r="BU265" s="741">
        <f t="shared" si="140"/>
        <v>0</v>
      </c>
      <c r="BV265" s="741">
        <v>0</v>
      </c>
      <c r="BW265" s="741"/>
      <c r="BX265" s="741">
        <v>0</v>
      </c>
      <c r="BY265" s="741">
        <v>0</v>
      </c>
      <c r="BZ265" s="741">
        <f t="shared" si="116"/>
        <v>0</v>
      </c>
      <c r="CA265" s="741">
        <v>0</v>
      </c>
      <c r="CB265" s="741"/>
      <c r="CC265" s="741">
        <f t="shared" si="141"/>
        <v>0</v>
      </c>
      <c r="CD265" s="751"/>
      <c r="CE265" s="748"/>
      <c r="CF265" s="748"/>
      <c r="CG265" s="748">
        <f t="shared" si="142"/>
        <v>0</v>
      </c>
      <c r="CH265" s="759"/>
      <c r="CI265" s="742"/>
      <c r="CJ265" s="591">
        <f t="shared" si="150"/>
        <v>0</v>
      </c>
    </row>
    <row r="266" spans="1:88" ht="38.25" customHeight="1" x14ac:dyDescent="0.25">
      <c r="A266" s="596"/>
      <c r="B266" s="596" t="s">
        <v>142</v>
      </c>
      <c r="C266" s="597" t="s">
        <v>405</v>
      </c>
      <c r="D266" s="182" t="s">
        <v>437</v>
      </c>
      <c r="E266" s="598">
        <v>0</v>
      </c>
      <c r="F266" s="596">
        <v>0</v>
      </c>
      <c r="G266" s="598">
        <v>0</v>
      </c>
      <c r="H266" s="596"/>
      <c r="I266" s="596">
        <f t="shared" si="117"/>
        <v>0</v>
      </c>
      <c r="J266" s="728"/>
      <c r="K266" s="728"/>
      <c r="L266" s="731">
        <f t="shared" si="113"/>
        <v>0</v>
      </c>
      <c r="M266" s="947"/>
      <c r="N266" s="617"/>
      <c r="O266" s="602">
        <f t="shared" si="144"/>
        <v>0</v>
      </c>
      <c r="P266" s="940"/>
      <c r="Q266" s="600">
        <f t="shared" si="145"/>
        <v>0</v>
      </c>
      <c r="R266" s="940"/>
      <c r="S266" s="596">
        <v>0</v>
      </c>
      <c r="T266" s="724"/>
      <c r="U266" s="728"/>
      <c r="V266" s="728"/>
      <c r="W266" s="731">
        <f t="shared" si="114"/>
        <v>0</v>
      </c>
      <c r="X266" s="947"/>
      <c r="Y266" s="616"/>
      <c r="Z266" s="602">
        <f t="shared" si="118"/>
        <v>0</v>
      </c>
      <c r="AA266" s="835"/>
      <c r="AB266" s="602">
        <f t="shared" si="119"/>
        <v>0</v>
      </c>
      <c r="AC266" s="940"/>
      <c r="AD266" s="956"/>
      <c r="AE266" s="956"/>
      <c r="AF266" s="598">
        <v>9</v>
      </c>
      <c r="AG266" s="596"/>
      <c r="AH266" s="728">
        <v>8</v>
      </c>
      <c r="AI266" s="728">
        <v>2</v>
      </c>
      <c r="AJ266" s="729">
        <f t="shared" si="148"/>
        <v>10</v>
      </c>
      <c r="AK266" s="946"/>
      <c r="AL266" s="616">
        <v>135</v>
      </c>
      <c r="AM266" s="602">
        <f t="shared" si="122"/>
        <v>9</v>
      </c>
      <c r="AN266" s="835"/>
      <c r="AO266" s="835">
        <f t="shared" si="146"/>
        <v>0</v>
      </c>
      <c r="AP266" s="940"/>
      <c r="AQ266" s="722">
        <v>0</v>
      </c>
      <c r="AR266" s="728"/>
      <c r="AS266" s="728"/>
      <c r="AT266" s="729">
        <f t="shared" si="137"/>
        <v>0</v>
      </c>
      <c r="AU266" s="946"/>
      <c r="AV266" s="616"/>
      <c r="AW266" s="602">
        <f t="shared" si="120"/>
        <v>0</v>
      </c>
      <c r="AX266" s="940"/>
      <c r="AY266" s="602">
        <f t="shared" si="121"/>
        <v>0</v>
      </c>
      <c r="AZ266" s="940"/>
      <c r="BA266" s="962"/>
      <c r="BB266" s="962"/>
      <c r="BC266" s="611"/>
      <c r="BD266" s="712">
        <v>9</v>
      </c>
      <c r="BE266" s="596">
        <v>9</v>
      </c>
      <c r="BF266" s="596">
        <f t="shared" si="124"/>
        <v>0</v>
      </c>
      <c r="BG266" s="728">
        <f>8</f>
        <v>8</v>
      </c>
      <c r="BH266" s="728">
        <f>2</f>
        <v>2</v>
      </c>
      <c r="BI266" s="729">
        <f t="shared" si="115"/>
        <v>10</v>
      </c>
      <c r="BJ266" s="729"/>
      <c r="BK266" s="616">
        <v>450</v>
      </c>
      <c r="BL266" s="603">
        <f t="shared" si="123"/>
        <v>9</v>
      </c>
      <c r="BM266" s="964"/>
      <c r="BN266" s="602">
        <f t="shared" si="147"/>
        <v>0</v>
      </c>
      <c r="BO266" s="940"/>
      <c r="BP266" s="593">
        <f t="shared" si="149"/>
        <v>0</v>
      </c>
      <c r="BS266" s="741">
        <v>0</v>
      </c>
      <c r="BT266" s="741">
        <v>0</v>
      </c>
      <c r="BU266" s="741">
        <f t="shared" si="140"/>
        <v>0</v>
      </c>
      <c r="BV266" s="741">
        <v>0</v>
      </c>
      <c r="BW266" s="741"/>
      <c r="BX266" s="741">
        <v>0</v>
      </c>
      <c r="BY266" s="741">
        <v>0</v>
      </c>
      <c r="BZ266" s="741">
        <f t="shared" si="116"/>
        <v>0</v>
      </c>
      <c r="CA266" s="741">
        <v>0</v>
      </c>
      <c r="CB266" s="741"/>
      <c r="CC266" s="741">
        <f t="shared" si="141"/>
        <v>0</v>
      </c>
      <c r="CD266" s="751"/>
      <c r="CE266" s="748"/>
      <c r="CF266" s="748"/>
      <c r="CG266" s="748">
        <f t="shared" si="142"/>
        <v>0</v>
      </c>
      <c r="CH266" s="759"/>
      <c r="CI266" s="742"/>
      <c r="CJ266" s="591">
        <f t="shared" si="150"/>
        <v>0</v>
      </c>
    </row>
    <row r="267" spans="1:88" ht="21.6" customHeight="1" x14ac:dyDescent="0.25">
      <c r="A267" s="596" t="s">
        <v>130</v>
      </c>
      <c r="B267" s="596" t="s">
        <v>142</v>
      </c>
      <c r="C267" s="597" t="s">
        <v>147</v>
      </c>
      <c r="D267" s="182" t="s">
        <v>431</v>
      </c>
      <c r="E267" s="598">
        <v>0</v>
      </c>
      <c r="F267" s="596">
        <v>0</v>
      </c>
      <c r="G267" s="598">
        <v>0</v>
      </c>
      <c r="H267" s="596"/>
      <c r="I267" s="596">
        <f t="shared" si="117"/>
        <v>0</v>
      </c>
      <c r="J267" s="728"/>
      <c r="K267" s="728"/>
      <c r="L267" s="731">
        <f t="shared" si="113"/>
        <v>0</v>
      </c>
      <c r="M267" s="947"/>
      <c r="N267" s="617"/>
      <c r="O267" s="602">
        <f t="shared" si="144"/>
        <v>0</v>
      </c>
      <c r="P267" s="940"/>
      <c r="Q267" s="600">
        <f t="shared" si="145"/>
        <v>0</v>
      </c>
      <c r="R267" s="940"/>
      <c r="S267" s="596">
        <v>0</v>
      </c>
      <c r="T267" s="724"/>
      <c r="U267" s="728"/>
      <c r="V267" s="728"/>
      <c r="W267" s="731">
        <f t="shared" si="114"/>
        <v>0</v>
      </c>
      <c r="X267" s="947"/>
      <c r="Y267" s="616"/>
      <c r="Z267" s="602">
        <f t="shared" si="118"/>
        <v>0</v>
      </c>
      <c r="AA267" s="835"/>
      <c r="AB267" s="602">
        <f t="shared" si="119"/>
        <v>0</v>
      </c>
      <c r="AC267" s="940"/>
      <c r="AD267" s="956"/>
      <c r="AE267" s="956"/>
      <c r="AF267" s="598">
        <v>28.333333333333332</v>
      </c>
      <c r="AG267" s="596"/>
      <c r="AH267" s="728">
        <v>14</v>
      </c>
      <c r="AI267" s="728">
        <v>3</v>
      </c>
      <c r="AJ267" s="729">
        <f t="shared" si="148"/>
        <v>17</v>
      </c>
      <c r="AK267" s="946"/>
      <c r="AL267" s="616">
        <v>425</v>
      </c>
      <c r="AM267" s="602">
        <f t="shared" si="122"/>
        <v>28.333333333333332</v>
      </c>
      <c r="AN267" s="835"/>
      <c r="AO267" s="835">
        <f t="shared" si="146"/>
        <v>0</v>
      </c>
      <c r="AP267" s="940"/>
      <c r="AQ267" s="722">
        <v>0</v>
      </c>
      <c r="AR267" s="728"/>
      <c r="AS267" s="728"/>
      <c r="AT267" s="729">
        <f t="shared" si="137"/>
        <v>0</v>
      </c>
      <c r="AU267" s="946"/>
      <c r="AV267" s="616"/>
      <c r="AW267" s="602">
        <f t="shared" si="120"/>
        <v>0</v>
      </c>
      <c r="AX267" s="940"/>
      <c r="AY267" s="602">
        <f t="shared" si="121"/>
        <v>0</v>
      </c>
      <c r="AZ267" s="940"/>
      <c r="BA267" s="962"/>
      <c r="BB267" s="962"/>
      <c r="BC267" s="611"/>
      <c r="BD267" s="712">
        <v>28</v>
      </c>
      <c r="BE267" s="596">
        <v>28</v>
      </c>
      <c r="BF267" s="596">
        <f t="shared" si="124"/>
        <v>0</v>
      </c>
      <c r="BG267" s="728">
        <f>5+14</f>
        <v>19</v>
      </c>
      <c r="BH267" s="728">
        <f>1+3</f>
        <v>4</v>
      </c>
      <c r="BI267" s="729">
        <f t="shared" si="115"/>
        <v>23</v>
      </c>
      <c r="BJ267" s="729"/>
      <c r="BK267" s="616">
        <f>300+1100</f>
        <v>1400</v>
      </c>
      <c r="BL267" s="603">
        <f t="shared" si="123"/>
        <v>28</v>
      </c>
      <c r="BM267" s="964"/>
      <c r="BN267" s="602">
        <f t="shared" si="147"/>
        <v>0</v>
      </c>
      <c r="BO267" s="940"/>
      <c r="BP267" s="593">
        <f t="shared" si="149"/>
        <v>0</v>
      </c>
      <c r="BS267" s="741">
        <v>0</v>
      </c>
      <c r="BT267" s="741">
        <v>0</v>
      </c>
      <c r="BU267" s="741">
        <f t="shared" si="140"/>
        <v>0</v>
      </c>
      <c r="BV267" s="741">
        <v>0</v>
      </c>
      <c r="BW267" s="741"/>
      <c r="BX267" s="741">
        <v>0</v>
      </c>
      <c r="BY267" s="741">
        <v>0</v>
      </c>
      <c r="BZ267" s="741">
        <f t="shared" si="116"/>
        <v>0</v>
      </c>
      <c r="CA267" s="741">
        <v>0</v>
      </c>
      <c r="CB267" s="741"/>
      <c r="CC267" s="741">
        <f t="shared" si="141"/>
        <v>0</v>
      </c>
      <c r="CD267" s="751"/>
      <c r="CE267" s="748"/>
      <c r="CF267" s="748"/>
      <c r="CG267" s="748">
        <f t="shared" si="142"/>
        <v>0</v>
      </c>
      <c r="CH267" s="759"/>
      <c r="CI267" s="742"/>
      <c r="CJ267" s="591">
        <f t="shared" si="150"/>
        <v>0</v>
      </c>
    </row>
    <row r="268" spans="1:88" ht="21.6" customHeight="1" x14ac:dyDescent="0.25">
      <c r="A268" s="596" t="s">
        <v>130</v>
      </c>
      <c r="B268" s="596" t="s">
        <v>142</v>
      </c>
      <c r="C268" s="597" t="s">
        <v>148</v>
      </c>
      <c r="D268" s="182" t="s">
        <v>431</v>
      </c>
      <c r="E268" s="598">
        <v>0</v>
      </c>
      <c r="F268" s="596">
        <v>0</v>
      </c>
      <c r="G268" s="598">
        <v>0</v>
      </c>
      <c r="H268" s="596"/>
      <c r="I268" s="596">
        <f t="shared" si="117"/>
        <v>0</v>
      </c>
      <c r="J268" s="728"/>
      <c r="K268" s="728"/>
      <c r="L268" s="731">
        <f t="shared" si="113"/>
        <v>0</v>
      </c>
      <c r="M268" s="947"/>
      <c r="N268" s="617"/>
      <c r="O268" s="602">
        <f t="shared" si="144"/>
        <v>0</v>
      </c>
      <c r="P268" s="940"/>
      <c r="Q268" s="600">
        <f t="shared" si="145"/>
        <v>0</v>
      </c>
      <c r="R268" s="940"/>
      <c r="S268" s="596">
        <v>0</v>
      </c>
      <c r="T268" s="724"/>
      <c r="U268" s="728"/>
      <c r="V268" s="728"/>
      <c r="W268" s="731">
        <f t="shared" si="114"/>
        <v>0</v>
      </c>
      <c r="X268" s="947"/>
      <c r="Y268" s="616"/>
      <c r="Z268" s="602">
        <f t="shared" si="118"/>
        <v>0</v>
      </c>
      <c r="AA268" s="835"/>
      <c r="AB268" s="602">
        <f t="shared" si="119"/>
        <v>0</v>
      </c>
      <c r="AC268" s="940"/>
      <c r="AD268" s="956"/>
      <c r="AE268" s="956"/>
      <c r="AF268" s="598">
        <v>6.666666666666667</v>
      </c>
      <c r="AG268" s="596"/>
      <c r="AH268" s="728">
        <v>10</v>
      </c>
      <c r="AI268" s="728">
        <v>1</v>
      </c>
      <c r="AJ268" s="729">
        <f t="shared" si="148"/>
        <v>11</v>
      </c>
      <c r="AK268" s="946"/>
      <c r="AL268" s="616">
        <v>100</v>
      </c>
      <c r="AM268" s="602">
        <f t="shared" si="122"/>
        <v>6.666666666666667</v>
      </c>
      <c r="AN268" s="835"/>
      <c r="AO268" s="835">
        <f t="shared" si="146"/>
        <v>0</v>
      </c>
      <c r="AP268" s="940"/>
      <c r="AQ268" s="722">
        <v>0</v>
      </c>
      <c r="AR268" s="728"/>
      <c r="AS268" s="728"/>
      <c r="AT268" s="729">
        <f t="shared" si="137"/>
        <v>0</v>
      </c>
      <c r="AU268" s="946"/>
      <c r="AV268" s="616"/>
      <c r="AW268" s="602">
        <f t="shared" si="120"/>
        <v>0</v>
      </c>
      <c r="AX268" s="940"/>
      <c r="AY268" s="602">
        <f t="shared" si="121"/>
        <v>0</v>
      </c>
      <c r="AZ268" s="940"/>
      <c r="BA268" s="962"/>
      <c r="BB268" s="962"/>
      <c r="BC268" s="611"/>
      <c r="BD268" s="712">
        <v>6</v>
      </c>
      <c r="BE268" s="596">
        <v>6</v>
      </c>
      <c r="BF268" s="596">
        <f t="shared" si="124"/>
        <v>0</v>
      </c>
      <c r="BG268" s="728">
        <v>10</v>
      </c>
      <c r="BH268" s="728">
        <v>1</v>
      </c>
      <c r="BI268" s="729">
        <f t="shared" si="115"/>
        <v>11</v>
      </c>
      <c r="BJ268" s="729"/>
      <c r="BK268" s="616">
        <v>300</v>
      </c>
      <c r="BL268" s="603">
        <f t="shared" si="123"/>
        <v>6</v>
      </c>
      <c r="BM268" s="964"/>
      <c r="BN268" s="602">
        <f t="shared" si="147"/>
        <v>0</v>
      </c>
      <c r="BO268" s="940"/>
      <c r="BP268" s="593">
        <f t="shared" si="149"/>
        <v>0</v>
      </c>
      <c r="BS268" s="741">
        <v>0</v>
      </c>
      <c r="BT268" s="741">
        <v>0</v>
      </c>
      <c r="BU268" s="741">
        <f t="shared" si="140"/>
        <v>0</v>
      </c>
      <c r="BV268" s="741">
        <v>0</v>
      </c>
      <c r="BW268" s="741"/>
      <c r="BX268" s="741">
        <v>0</v>
      </c>
      <c r="BY268" s="741">
        <v>0</v>
      </c>
      <c r="BZ268" s="741">
        <f t="shared" si="116"/>
        <v>0</v>
      </c>
      <c r="CA268" s="741">
        <v>0</v>
      </c>
      <c r="CB268" s="741"/>
      <c r="CC268" s="741">
        <f t="shared" si="141"/>
        <v>0</v>
      </c>
      <c r="CD268" s="751"/>
      <c r="CE268" s="748"/>
      <c r="CF268" s="748"/>
      <c r="CG268" s="748">
        <f t="shared" si="142"/>
        <v>0</v>
      </c>
      <c r="CH268" s="759"/>
      <c r="CI268" s="742"/>
      <c r="CJ268" s="591">
        <f t="shared" si="150"/>
        <v>0</v>
      </c>
    </row>
    <row r="269" spans="1:88" ht="21.6" customHeight="1" x14ac:dyDescent="0.25">
      <c r="A269" s="596"/>
      <c r="B269" s="596" t="s">
        <v>142</v>
      </c>
      <c r="C269" s="597" t="s">
        <v>407</v>
      </c>
      <c r="D269" s="182" t="s">
        <v>431</v>
      </c>
      <c r="E269" s="598">
        <v>0</v>
      </c>
      <c r="F269" s="596">
        <v>0</v>
      </c>
      <c r="G269" s="598">
        <v>0</v>
      </c>
      <c r="H269" s="596"/>
      <c r="I269" s="596">
        <f t="shared" si="117"/>
        <v>0</v>
      </c>
      <c r="J269" s="728"/>
      <c r="K269" s="728"/>
      <c r="L269" s="731">
        <f t="shared" si="113"/>
        <v>0</v>
      </c>
      <c r="M269" s="947"/>
      <c r="N269" s="617"/>
      <c r="O269" s="602">
        <f t="shared" si="144"/>
        <v>0</v>
      </c>
      <c r="P269" s="940"/>
      <c r="Q269" s="600">
        <f t="shared" si="145"/>
        <v>0</v>
      </c>
      <c r="R269" s="940"/>
      <c r="S269" s="596">
        <v>0</v>
      </c>
      <c r="T269" s="724"/>
      <c r="U269" s="728"/>
      <c r="V269" s="728"/>
      <c r="W269" s="731">
        <f t="shared" si="114"/>
        <v>0</v>
      </c>
      <c r="X269" s="947"/>
      <c r="Y269" s="616"/>
      <c r="Z269" s="602">
        <f t="shared" si="118"/>
        <v>0</v>
      </c>
      <c r="AA269" s="835"/>
      <c r="AB269" s="602">
        <f t="shared" si="119"/>
        <v>0</v>
      </c>
      <c r="AC269" s="940"/>
      <c r="AD269" s="956"/>
      <c r="AE269" s="956"/>
      <c r="AF269" s="598">
        <v>3.3333333333333335</v>
      </c>
      <c r="AG269" s="596"/>
      <c r="AH269" s="728">
        <v>3</v>
      </c>
      <c r="AI269" s="728"/>
      <c r="AJ269" s="729">
        <f t="shared" si="148"/>
        <v>3</v>
      </c>
      <c r="AK269" s="946"/>
      <c r="AL269" s="616">
        <v>50</v>
      </c>
      <c r="AM269" s="602">
        <f t="shared" si="122"/>
        <v>3.3333333333333335</v>
      </c>
      <c r="AN269" s="835"/>
      <c r="AO269" s="835">
        <f t="shared" si="146"/>
        <v>0</v>
      </c>
      <c r="AP269" s="940"/>
      <c r="AQ269" s="722">
        <v>0</v>
      </c>
      <c r="AR269" s="728"/>
      <c r="AS269" s="728"/>
      <c r="AT269" s="729">
        <f t="shared" si="137"/>
        <v>0</v>
      </c>
      <c r="AU269" s="946"/>
      <c r="AV269" s="616"/>
      <c r="AW269" s="602">
        <f t="shared" si="120"/>
        <v>0</v>
      </c>
      <c r="AX269" s="940"/>
      <c r="AY269" s="602">
        <f t="shared" si="121"/>
        <v>0</v>
      </c>
      <c r="AZ269" s="940"/>
      <c r="BA269" s="962"/>
      <c r="BB269" s="962"/>
      <c r="BC269" s="611"/>
      <c r="BD269" s="712">
        <v>3</v>
      </c>
      <c r="BE269" s="596">
        <v>3</v>
      </c>
      <c r="BF269" s="596">
        <f t="shared" si="124"/>
        <v>0</v>
      </c>
      <c r="BG269" s="728">
        <v>3</v>
      </c>
      <c r="BH269" s="728"/>
      <c r="BI269" s="729">
        <f t="shared" si="115"/>
        <v>3</v>
      </c>
      <c r="BJ269" s="729"/>
      <c r="BK269" s="616">
        <v>150</v>
      </c>
      <c r="BL269" s="603">
        <f t="shared" si="123"/>
        <v>3</v>
      </c>
      <c r="BM269" s="964"/>
      <c r="BN269" s="602">
        <f t="shared" si="147"/>
        <v>0</v>
      </c>
      <c r="BO269" s="940"/>
      <c r="BP269" s="593">
        <f t="shared" si="149"/>
        <v>0</v>
      </c>
      <c r="BS269" s="741">
        <v>0</v>
      </c>
      <c r="BT269" s="741">
        <v>0</v>
      </c>
      <c r="BU269" s="741">
        <f t="shared" si="140"/>
        <v>0</v>
      </c>
      <c r="BV269" s="741">
        <v>0</v>
      </c>
      <c r="BW269" s="741"/>
      <c r="BX269" s="741">
        <v>0</v>
      </c>
      <c r="BY269" s="741">
        <v>0</v>
      </c>
      <c r="BZ269" s="741">
        <f t="shared" si="116"/>
        <v>0</v>
      </c>
      <c r="CA269" s="741">
        <v>0</v>
      </c>
      <c r="CB269" s="741"/>
      <c r="CC269" s="741">
        <f t="shared" si="141"/>
        <v>0</v>
      </c>
      <c r="CD269" s="751"/>
      <c r="CE269" s="748"/>
      <c r="CF269" s="748"/>
      <c r="CG269" s="748">
        <f t="shared" si="142"/>
        <v>0</v>
      </c>
      <c r="CH269" s="759"/>
      <c r="CI269" s="742"/>
      <c r="CJ269" s="591">
        <f t="shared" si="150"/>
        <v>0</v>
      </c>
    </row>
    <row r="270" spans="1:88" ht="32.25" customHeight="1" x14ac:dyDescent="0.25">
      <c r="A270" s="596"/>
      <c r="B270" s="596" t="s">
        <v>142</v>
      </c>
      <c r="C270" s="597" t="s">
        <v>404</v>
      </c>
      <c r="D270" s="182" t="s">
        <v>437</v>
      </c>
      <c r="E270" s="598">
        <v>0</v>
      </c>
      <c r="F270" s="596">
        <v>0</v>
      </c>
      <c r="G270" s="598">
        <v>0</v>
      </c>
      <c r="H270" s="596"/>
      <c r="I270" s="596">
        <f t="shared" si="117"/>
        <v>0</v>
      </c>
      <c r="J270" s="728"/>
      <c r="K270" s="728"/>
      <c r="L270" s="731">
        <f t="shared" si="113"/>
        <v>0</v>
      </c>
      <c r="M270" s="947"/>
      <c r="N270" s="617"/>
      <c r="O270" s="602">
        <f t="shared" si="144"/>
        <v>0</v>
      </c>
      <c r="P270" s="940"/>
      <c r="Q270" s="600">
        <f t="shared" si="145"/>
        <v>0</v>
      </c>
      <c r="R270" s="940"/>
      <c r="S270" s="596">
        <v>0</v>
      </c>
      <c r="T270" s="724"/>
      <c r="U270" s="728"/>
      <c r="V270" s="728"/>
      <c r="W270" s="731">
        <f t="shared" si="114"/>
        <v>0</v>
      </c>
      <c r="X270" s="947"/>
      <c r="Y270" s="616"/>
      <c r="Z270" s="602">
        <f t="shared" si="118"/>
        <v>0</v>
      </c>
      <c r="AA270" s="835"/>
      <c r="AB270" s="602">
        <f t="shared" si="119"/>
        <v>0</v>
      </c>
      <c r="AC270" s="940"/>
      <c r="AD270" s="956"/>
      <c r="AE270" s="956"/>
      <c r="AF270" s="598">
        <v>8.3333333333333339</v>
      </c>
      <c r="AG270" s="596"/>
      <c r="AH270" s="728">
        <v>5</v>
      </c>
      <c r="AI270" s="728">
        <v>3</v>
      </c>
      <c r="AJ270" s="729">
        <f t="shared" si="148"/>
        <v>8</v>
      </c>
      <c r="AK270" s="946"/>
      <c r="AL270" s="616">
        <v>125</v>
      </c>
      <c r="AM270" s="602">
        <f t="shared" si="122"/>
        <v>8.3333333333333339</v>
      </c>
      <c r="AN270" s="835"/>
      <c r="AO270" s="835">
        <f t="shared" si="146"/>
        <v>0</v>
      </c>
      <c r="AP270" s="940"/>
      <c r="AQ270" s="722">
        <v>0</v>
      </c>
      <c r="AR270" s="728"/>
      <c r="AS270" s="728"/>
      <c r="AT270" s="729">
        <f t="shared" si="137"/>
        <v>0</v>
      </c>
      <c r="AU270" s="946"/>
      <c r="AV270" s="616"/>
      <c r="AW270" s="602">
        <f t="shared" si="120"/>
        <v>0</v>
      </c>
      <c r="AX270" s="940"/>
      <c r="AY270" s="602">
        <f t="shared" si="121"/>
        <v>0</v>
      </c>
      <c r="AZ270" s="940"/>
      <c r="BA270" s="962"/>
      <c r="BB270" s="962"/>
      <c r="BC270" s="611"/>
      <c r="BD270" s="712">
        <v>8</v>
      </c>
      <c r="BE270" s="596">
        <v>8</v>
      </c>
      <c r="BF270" s="596">
        <f t="shared" si="124"/>
        <v>0</v>
      </c>
      <c r="BG270" s="728">
        <v>5</v>
      </c>
      <c r="BH270" s="728">
        <v>3</v>
      </c>
      <c r="BI270" s="729">
        <f t="shared" si="115"/>
        <v>8</v>
      </c>
      <c r="BJ270" s="729"/>
      <c r="BK270" s="616">
        <v>400</v>
      </c>
      <c r="BL270" s="603">
        <f t="shared" si="123"/>
        <v>8</v>
      </c>
      <c r="BM270" s="964"/>
      <c r="BN270" s="602">
        <f t="shared" si="147"/>
        <v>0</v>
      </c>
      <c r="BO270" s="940"/>
      <c r="BP270" s="593">
        <f t="shared" si="149"/>
        <v>0</v>
      </c>
      <c r="BS270" s="741">
        <v>0</v>
      </c>
      <c r="BT270" s="741">
        <v>0</v>
      </c>
      <c r="BU270" s="741">
        <f t="shared" si="140"/>
        <v>0</v>
      </c>
      <c r="BV270" s="741">
        <v>0</v>
      </c>
      <c r="BW270" s="741"/>
      <c r="BX270" s="741">
        <v>0</v>
      </c>
      <c r="BY270" s="741">
        <v>0</v>
      </c>
      <c r="BZ270" s="741">
        <f t="shared" si="116"/>
        <v>0</v>
      </c>
      <c r="CA270" s="741">
        <v>0</v>
      </c>
      <c r="CB270" s="741"/>
      <c r="CC270" s="741">
        <f t="shared" si="141"/>
        <v>0</v>
      </c>
      <c r="CD270" s="751"/>
      <c r="CE270" s="748"/>
      <c r="CF270" s="748"/>
      <c r="CG270" s="748">
        <f t="shared" si="142"/>
        <v>0</v>
      </c>
      <c r="CH270" s="759"/>
      <c r="CI270" s="742"/>
      <c r="CJ270" s="591">
        <f t="shared" si="150"/>
        <v>0</v>
      </c>
    </row>
    <row r="271" spans="1:88" ht="21.6" customHeight="1" x14ac:dyDescent="0.25">
      <c r="A271" s="596"/>
      <c r="B271" s="596" t="s">
        <v>142</v>
      </c>
      <c r="C271" s="597" t="s">
        <v>408</v>
      </c>
      <c r="D271" s="182" t="s">
        <v>437</v>
      </c>
      <c r="E271" s="598">
        <v>0</v>
      </c>
      <c r="F271" s="596">
        <v>0</v>
      </c>
      <c r="G271" s="598">
        <v>0</v>
      </c>
      <c r="H271" s="596"/>
      <c r="I271" s="596">
        <f t="shared" si="117"/>
        <v>0</v>
      </c>
      <c r="J271" s="728"/>
      <c r="K271" s="728"/>
      <c r="L271" s="731">
        <f t="shared" si="113"/>
        <v>0</v>
      </c>
      <c r="M271" s="947"/>
      <c r="N271" s="617"/>
      <c r="O271" s="602">
        <f t="shared" si="144"/>
        <v>0</v>
      </c>
      <c r="P271" s="940"/>
      <c r="Q271" s="600">
        <f t="shared" si="145"/>
        <v>0</v>
      </c>
      <c r="R271" s="940"/>
      <c r="S271" s="596">
        <v>0</v>
      </c>
      <c r="T271" s="724"/>
      <c r="U271" s="728"/>
      <c r="V271" s="728"/>
      <c r="W271" s="731">
        <f t="shared" si="114"/>
        <v>0</v>
      </c>
      <c r="X271" s="947"/>
      <c r="Y271" s="616"/>
      <c r="Z271" s="602">
        <f t="shared" si="118"/>
        <v>0</v>
      </c>
      <c r="AA271" s="835"/>
      <c r="AB271" s="602">
        <f t="shared" si="119"/>
        <v>0</v>
      </c>
      <c r="AC271" s="940"/>
      <c r="AD271" s="956"/>
      <c r="AE271" s="956"/>
      <c r="AF271" s="598">
        <v>35</v>
      </c>
      <c r="AG271" s="596"/>
      <c r="AH271" s="728">
        <v>26</v>
      </c>
      <c r="AI271" s="728">
        <v>4</v>
      </c>
      <c r="AJ271" s="729">
        <f t="shared" si="148"/>
        <v>30</v>
      </c>
      <c r="AK271" s="946"/>
      <c r="AL271" s="616">
        <v>525</v>
      </c>
      <c r="AM271" s="602">
        <f t="shared" si="122"/>
        <v>35</v>
      </c>
      <c r="AN271" s="835"/>
      <c r="AO271" s="835">
        <f t="shared" si="146"/>
        <v>0</v>
      </c>
      <c r="AP271" s="940"/>
      <c r="AQ271" s="722">
        <v>0</v>
      </c>
      <c r="AR271" s="728"/>
      <c r="AS271" s="728"/>
      <c r="AT271" s="729">
        <f t="shared" si="137"/>
        <v>0</v>
      </c>
      <c r="AU271" s="946"/>
      <c r="AV271" s="616"/>
      <c r="AW271" s="602">
        <f t="shared" si="120"/>
        <v>0</v>
      </c>
      <c r="AX271" s="940"/>
      <c r="AY271" s="602">
        <f t="shared" si="121"/>
        <v>0</v>
      </c>
      <c r="AZ271" s="940"/>
      <c r="BA271" s="962"/>
      <c r="BB271" s="962"/>
      <c r="BC271" s="611"/>
      <c r="BD271" s="712">
        <v>35</v>
      </c>
      <c r="BE271" s="596">
        <v>35</v>
      </c>
      <c r="BF271" s="596">
        <f t="shared" si="124"/>
        <v>0</v>
      </c>
      <c r="BG271" s="728">
        <v>26</v>
      </c>
      <c r="BH271" s="728">
        <v>4</v>
      </c>
      <c r="BI271" s="729">
        <f t="shared" si="115"/>
        <v>30</v>
      </c>
      <c r="BJ271" s="729"/>
      <c r="BK271" s="616">
        <v>1750</v>
      </c>
      <c r="BL271" s="603">
        <f t="shared" si="123"/>
        <v>35</v>
      </c>
      <c r="BM271" s="964"/>
      <c r="BN271" s="602">
        <f t="shared" si="147"/>
        <v>0</v>
      </c>
      <c r="BO271" s="940"/>
      <c r="BP271" s="593">
        <f t="shared" si="149"/>
        <v>0</v>
      </c>
      <c r="BS271" s="741">
        <v>0</v>
      </c>
      <c r="BT271" s="741">
        <v>0</v>
      </c>
      <c r="BU271" s="741">
        <f t="shared" si="140"/>
        <v>0</v>
      </c>
      <c r="BV271" s="741">
        <v>0</v>
      </c>
      <c r="BW271" s="741"/>
      <c r="BX271" s="741">
        <v>0</v>
      </c>
      <c r="BY271" s="741">
        <v>0</v>
      </c>
      <c r="BZ271" s="741">
        <f t="shared" si="116"/>
        <v>0</v>
      </c>
      <c r="CA271" s="741">
        <v>0</v>
      </c>
      <c r="CB271" s="741"/>
      <c r="CC271" s="741">
        <f t="shared" si="141"/>
        <v>0</v>
      </c>
      <c r="CD271" s="751"/>
      <c r="CE271" s="748"/>
      <c r="CF271" s="748"/>
      <c r="CG271" s="748">
        <f t="shared" si="142"/>
        <v>0</v>
      </c>
      <c r="CH271" s="759"/>
      <c r="CI271" s="742"/>
      <c r="CJ271" s="591">
        <f t="shared" si="150"/>
        <v>0</v>
      </c>
    </row>
    <row r="272" spans="1:88" ht="21.6" customHeight="1" x14ac:dyDescent="0.25">
      <c r="A272" s="596" t="s">
        <v>130</v>
      </c>
      <c r="B272" s="596" t="s">
        <v>142</v>
      </c>
      <c r="C272" s="597" t="s">
        <v>149</v>
      </c>
      <c r="D272" s="182" t="s">
        <v>431</v>
      </c>
      <c r="E272" s="598">
        <v>0</v>
      </c>
      <c r="F272" s="596">
        <v>0</v>
      </c>
      <c r="G272" s="598">
        <v>0</v>
      </c>
      <c r="H272" s="596"/>
      <c r="I272" s="596">
        <f t="shared" si="117"/>
        <v>0</v>
      </c>
      <c r="J272" s="728"/>
      <c r="K272" s="728"/>
      <c r="L272" s="731">
        <f t="shared" ref="L272:L335" si="151">J272+K272</f>
        <v>0</v>
      </c>
      <c r="M272" s="947"/>
      <c r="N272" s="617"/>
      <c r="O272" s="602">
        <f t="shared" si="144"/>
        <v>0</v>
      </c>
      <c r="P272" s="940"/>
      <c r="Q272" s="600">
        <f t="shared" si="145"/>
        <v>0</v>
      </c>
      <c r="R272" s="940"/>
      <c r="S272" s="596">
        <v>0</v>
      </c>
      <c r="T272" s="724"/>
      <c r="U272" s="728"/>
      <c r="V272" s="728"/>
      <c r="W272" s="731">
        <f t="shared" ref="W272:W335" si="152">U272+V272</f>
        <v>0</v>
      </c>
      <c r="X272" s="947"/>
      <c r="Y272" s="616"/>
      <c r="Z272" s="602">
        <f t="shared" si="118"/>
        <v>0</v>
      </c>
      <c r="AA272" s="835"/>
      <c r="AB272" s="602">
        <f t="shared" si="119"/>
        <v>0</v>
      </c>
      <c r="AC272" s="940"/>
      <c r="AD272" s="956"/>
      <c r="AE272" s="956"/>
      <c r="AF272" s="598">
        <v>32.333333333333336</v>
      </c>
      <c r="AG272" s="596"/>
      <c r="AH272" s="728">
        <v>21</v>
      </c>
      <c r="AI272" s="728">
        <v>13</v>
      </c>
      <c r="AJ272" s="729">
        <f t="shared" si="148"/>
        <v>34</v>
      </c>
      <c r="AK272" s="946"/>
      <c r="AL272" s="616">
        <v>485</v>
      </c>
      <c r="AM272" s="602">
        <f t="shared" si="122"/>
        <v>32.333333333333336</v>
      </c>
      <c r="AN272" s="835"/>
      <c r="AO272" s="835">
        <f t="shared" si="146"/>
        <v>0</v>
      </c>
      <c r="AP272" s="940"/>
      <c r="AQ272" s="722">
        <v>0</v>
      </c>
      <c r="AR272" s="728"/>
      <c r="AS272" s="728"/>
      <c r="AT272" s="729">
        <f t="shared" si="137"/>
        <v>0</v>
      </c>
      <c r="AU272" s="946"/>
      <c r="AV272" s="616"/>
      <c r="AW272" s="602">
        <f t="shared" si="120"/>
        <v>0</v>
      </c>
      <c r="AX272" s="940"/>
      <c r="AY272" s="602">
        <f t="shared" si="121"/>
        <v>0</v>
      </c>
      <c r="AZ272" s="940"/>
      <c r="BA272" s="962"/>
      <c r="BB272" s="962"/>
      <c r="BC272" s="611"/>
      <c r="BD272" s="712">
        <v>32</v>
      </c>
      <c r="BE272" s="596">
        <v>32</v>
      </c>
      <c r="BF272" s="596">
        <f t="shared" si="124"/>
        <v>0</v>
      </c>
      <c r="BG272" s="728">
        <f>10+11</f>
        <v>21</v>
      </c>
      <c r="BH272" s="728">
        <f>4+8</f>
        <v>12</v>
      </c>
      <c r="BI272" s="729">
        <f t="shared" ref="BI272:BI335" si="153">BG272+BH272</f>
        <v>33</v>
      </c>
      <c r="BJ272" s="729"/>
      <c r="BK272" s="616">
        <f>750+850</f>
        <v>1600</v>
      </c>
      <c r="BL272" s="603">
        <f t="shared" si="123"/>
        <v>32</v>
      </c>
      <c r="BM272" s="964"/>
      <c r="BN272" s="602">
        <f t="shared" si="147"/>
        <v>0</v>
      </c>
      <c r="BO272" s="940"/>
      <c r="BP272" s="593">
        <f t="shared" si="149"/>
        <v>0</v>
      </c>
      <c r="BS272" s="741">
        <v>0</v>
      </c>
      <c r="BT272" s="741">
        <v>0</v>
      </c>
      <c r="BU272" s="741">
        <f t="shared" si="140"/>
        <v>0</v>
      </c>
      <c r="BV272" s="741">
        <v>0</v>
      </c>
      <c r="BW272" s="741"/>
      <c r="BX272" s="741">
        <v>0</v>
      </c>
      <c r="BY272" s="741">
        <v>0</v>
      </c>
      <c r="BZ272" s="741">
        <f t="shared" ref="BZ272:BZ335" si="154">BX272+BY272</f>
        <v>0</v>
      </c>
      <c r="CA272" s="741">
        <v>0</v>
      </c>
      <c r="CB272" s="741"/>
      <c r="CC272" s="741">
        <f t="shared" si="141"/>
        <v>0</v>
      </c>
      <c r="CD272" s="751"/>
      <c r="CE272" s="748"/>
      <c r="CF272" s="748"/>
      <c r="CG272" s="748">
        <f t="shared" si="142"/>
        <v>0</v>
      </c>
      <c r="CH272" s="759"/>
      <c r="CI272" s="742"/>
      <c r="CJ272" s="591">
        <f t="shared" si="150"/>
        <v>0</v>
      </c>
    </row>
    <row r="273" spans="1:88" ht="21.6" customHeight="1" x14ac:dyDescent="0.25">
      <c r="A273" s="596" t="s">
        <v>130</v>
      </c>
      <c r="B273" s="596" t="s">
        <v>142</v>
      </c>
      <c r="C273" s="597" t="s">
        <v>150</v>
      </c>
      <c r="D273" s="167"/>
      <c r="E273" s="598">
        <v>0</v>
      </c>
      <c r="F273" s="596">
        <v>0</v>
      </c>
      <c r="G273" s="598">
        <v>0</v>
      </c>
      <c r="H273" s="596"/>
      <c r="I273" s="596">
        <f t="shared" si="117"/>
        <v>0</v>
      </c>
      <c r="J273" s="728"/>
      <c r="K273" s="728"/>
      <c r="L273" s="731">
        <f t="shared" si="151"/>
        <v>0</v>
      </c>
      <c r="M273" s="947"/>
      <c r="N273" s="617"/>
      <c r="O273" s="602">
        <f t="shared" si="144"/>
        <v>0</v>
      </c>
      <c r="P273" s="940"/>
      <c r="Q273" s="600">
        <f t="shared" si="145"/>
        <v>0</v>
      </c>
      <c r="R273" s="940"/>
      <c r="S273" s="596">
        <v>0</v>
      </c>
      <c r="T273" s="724"/>
      <c r="U273" s="728"/>
      <c r="V273" s="728"/>
      <c r="W273" s="731">
        <f t="shared" si="152"/>
        <v>0</v>
      </c>
      <c r="X273" s="947"/>
      <c r="Y273" s="616"/>
      <c r="Z273" s="602">
        <f t="shared" si="118"/>
        <v>0</v>
      </c>
      <c r="AA273" s="835"/>
      <c r="AB273" s="602">
        <f t="shared" si="119"/>
        <v>0</v>
      </c>
      <c r="AC273" s="940"/>
      <c r="AD273" s="956"/>
      <c r="AE273" s="956"/>
      <c r="AF273" s="598">
        <v>0</v>
      </c>
      <c r="AG273" s="596"/>
      <c r="AH273" s="728"/>
      <c r="AI273" s="728"/>
      <c r="AJ273" s="729">
        <f t="shared" si="148"/>
        <v>0</v>
      </c>
      <c r="AK273" s="946"/>
      <c r="AL273" s="616"/>
      <c r="AM273" s="602">
        <f t="shared" si="122"/>
        <v>0</v>
      </c>
      <c r="AN273" s="835"/>
      <c r="AO273" s="835">
        <f t="shared" si="146"/>
        <v>0</v>
      </c>
      <c r="AP273" s="940"/>
      <c r="AQ273" s="722">
        <v>0</v>
      </c>
      <c r="AR273" s="728"/>
      <c r="AS273" s="728"/>
      <c r="AT273" s="729">
        <f t="shared" si="137"/>
        <v>0</v>
      </c>
      <c r="AU273" s="946"/>
      <c r="AV273" s="616"/>
      <c r="AW273" s="602">
        <f t="shared" si="120"/>
        <v>0</v>
      </c>
      <c r="AX273" s="940"/>
      <c r="AY273" s="602">
        <f t="shared" si="121"/>
        <v>0</v>
      </c>
      <c r="AZ273" s="940"/>
      <c r="BA273" s="962"/>
      <c r="BB273" s="962"/>
      <c r="BC273" s="611"/>
      <c r="BD273" s="712">
        <v>0</v>
      </c>
      <c r="BE273" s="596">
        <v>0</v>
      </c>
      <c r="BF273" s="596">
        <f t="shared" si="124"/>
        <v>0</v>
      </c>
      <c r="BG273" s="728"/>
      <c r="BH273" s="728"/>
      <c r="BI273" s="729">
        <f t="shared" si="153"/>
        <v>0</v>
      </c>
      <c r="BJ273" s="729"/>
      <c r="BK273" s="616"/>
      <c r="BL273" s="603">
        <f t="shared" si="123"/>
        <v>0</v>
      </c>
      <c r="BM273" s="964"/>
      <c r="BN273" s="602">
        <f t="shared" si="147"/>
        <v>0</v>
      </c>
      <c r="BO273" s="940"/>
      <c r="BP273" s="593">
        <f t="shared" si="149"/>
        <v>0</v>
      </c>
      <c r="BS273" s="741">
        <v>0</v>
      </c>
      <c r="BT273" s="741">
        <v>0</v>
      </c>
      <c r="BU273" s="741">
        <f t="shared" si="140"/>
        <v>0</v>
      </c>
      <c r="BV273" s="741">
        <v>0</v>
      </c>
      <c r="BW273" s="741"/>
      <c r="BX273" s="741">
        <v>0</v>
      </c>
      <c r="BY273" s="741">
        <v>0</v>
      </c>
      <c r="BZ273" s="741">
        <f t="shared" si="154"/>
        <v>0</v>
      </c>
      <c r="CA273" s="741">
        <v>0</v>
      </c>
      <c r="CB273" s="741"/>
      <c r="CC273" s="741">
        <f t="shared" si="141"/>
        <v>0</v>
      </c>
      <c r="CD273" s="751"/>
      <c r="CE273" s="748"/>
      <c r="CF273" s="748"/>
      <c r="CG273" s="748">
        <f t="shared" si="142"/>
        <v>0</v>
      </c>
      <c r="CH273" s="759"/>
      <c r="CI273" s="742"/>
      <c r="CJ273" s="591">
        <f t="shared" si="150"/>
        <v>0</v>
      </c>
    </row>
    <row r="274" spans="1:88" ht="21.6" customHeight="1" x14ac:dyDescent="0.25">
      <c r="A274" s="596"/>
      <c r="B274" s="596" t="s">
        <v>142</v>
      </c>
      <c r="C274" s="597" t="s">
        <v>346</v>
      </c>
      <c r="D274" s="182" t="s">
        <v>437</v>
      </c>
      <c r="E274" s="598">
        <v>3</v>
      </c>
      <c r="F274" s="596">
        <v>0</v>
      </c>
      <c r="G274" s="598">
        <v>0</v>
      </c>
      <c r="H274" s="596"/>
      <c r="I274" s="596">
        <f t="shared" si="117"/>
        <v>0</v>
      </c>
      <c r="J274" s="728">
        <v>1</v>
      </c>
      <c r="K274" s="728">
        <v>2</v>
      </c>
      <c r="L274" s="731">
        <f t="shared" si="151"/>
        <v>3</v>
      </c>
      <c r="M274" s="947"/>
      <c r="N274" s="617">
        <v>45</v>
      </c>
      <c r="O274" s="602">
        <f t="shared" si="144"/>
        <v>3</v>
      </c>
      <c r="P274" s="940"/>
      <c r="Q274" s="600">
        <f t="shared" si="145"/>
        <v>0</v>
      </c>
      <c r="R274" s="940"/>
      <c r="S274" s="596">
        <v>0</v>
      </c>
      <c r="T274" s="724"/>
      <c r="U274" s="728"/>
      <c r="V274" s="728"/>
      <c r="W274" s="731">
        <f t="shared" si="152"/>
        <v>0</v>
      </c>
      <c r="X274" s="947"/>
      <c r="Y274" s="616"/>
      <c r="Z274" s="602">
        <f t="shared" si="118"/>
        <v>0</v>
      </c>
      <c r="AA274" s="835"/>
      <c r="AB274" s="602">
        <f t="shared" si="119"/>
        <v>0</v>
      </c>
      <c r="AC274" s="940"/>
      <c r="AD274" s="956"/>
      <c r="AE274" s="956"/>
      <c r="AF274" s="598">
        <v>0</v>
      </c>
      <c r="AG274" s="596"/>
      <c r="AH274" s="728"/>
      <c r="AI274" s="728"/>
      <c r="AJ274" s="729">
        <f t="shared" si="148"/>
        <v>0</v>
      </c>
      <c r="AK274" s="946"/>
      <c r="AL274" s="616"/>
      <c r="AM274" s="602">
        <f t="shared" si="122"/>
        <v>0</v>
      </c>
      <c r="AN274" s="835"/>
      <c r="AO274" s="835">
        <f t="shared" si="146"/>
        <v>0</v>
      </c>
      <c r="AP274" s="940"/>
      <c r="AQ274" s="722">
        <v>0</v>
      </c>
      <c r="AR274" s="728"/>
      <c r="AS274" s="728"/>
      <c r="AT274" s="729">
        <f t="shared" si="137"/>
        <v>0</v>
      </c>
      <c r="AU274" s="946"/>
      <c r="AV274" s="616"/>
      <c r="AW274" s="602">
        <f t="shared" si="120"/>
        <v>0</v>
      </c>
      <c r="AX274" s="940"/>
      <c r="AY274" s="602">
        <f t="shared" si="121"/>
        <v>0</v>
      </c>
      <c r="AZ274" s="940"/>
      <c r="BA274" s="962"/>
      <c r="BB274" s="962"/>
      <c r="BC274" s="611"/>
      <c r="BD274" s="712">
        <v>3</v>
      </c>
      <c r="BE274" s="596">
        <v>0</v>
      </c>
      <c r="BF274" s="596">
        <f t="shared" si="124"/>
        <v>3</v>
      </c>
      <c r="BG274" s="728"/>
      <c r="BH274" s="728"/>
      <c r="BI274" s="729">
        <f t="shared" si="153"/>
        <v>0</v>
      </c>
      <c r="BJ274" s="729"/>
      <c r="BK274" s="616"/>
      <c r="BL274" s="603">
        <f t="shared" si="123"/>
        <v>0</v>
      </c>
      <c r="BM274" s="964"/>
      <c r="BN274" s="602">
        <f t="shared" si="147"/>
        <v>3</v>
      </c>
      <c r="BO274" s="940"/>
      <c r="BP274" s="593">
        <f t="shared" si="149"/>
        <v>0</v>
      </c>
      <c r="BS274" s="741">
        <v>0</v>
      </c>
      <c r="BT274" s="741">
        <v>0</v>
      </c>
      <c r="BU274" s="741">
        <f t="shared" si="140"/>
        <v>0</v>
      </c>
      <c r="BV274" s="741">
        <v>0</v>
      </c>
      <c r="BW274" s="741"/>
      <c r="BX274" s="741">
        <v>0</v>
      </c>
      <c r="BY274" s="741">
        <v>0</v>
      </c>
      <c r="BZ274" s="741">
        <f t="shared" si="154"/>
        <v>0</v>
      </c>
      <c r="CA274" s="741">
        <v>0</v>
      </c>
      <c r="CB274" s="741"/>
      <c r="CC274" s="741">
        <f t="shared" si="141"/>
        <v>0</v>
      </c>
      <c r="CD274" s="751"/>
      <c r="CE274" s="748"/>
      <c r="CF274" s="748"/>
      <c r="CG274" s="748">
        <f t="shared" si="142"/>
        <v>0</v>
      </c>
      <c r="CH274" s="759"/>
      <c r="CI274" s="742"/>
      <c r="CJ274" s="591">
        <f t="shared" si="150"/>
        <v>3</v>
      </c>
    </row>
    <row r="275" spans="1:88" ht="21.6" customHeight="1" x14ac:dyDescent="0.25">
      <c r="A275" s="596" t="s">
        <v>130</v>
      </c>
      <c r="B275" s="596" t="s">
        <v>142</v>
      </c>
      <c r="C275" s="597" t="s">
        <v>151</v>
      </c>
      <c r="D275" s="182" t="s">
        <v>431</v>
      </c>
      <c r="E275" s="598">
        <v>3</v>
      </c>
      <c r="F275" s="596">
        <v>0</v>
      </c>
      <c r="G275" s="598">
        <v>3</v>
      </c>
      <c r="H275" s="596"/>
      <c r="I275" s="596">
        <f t="shared" si="117"/>
        <v>0</v>
      </c>
      <c r="J275" s="728">
        <f>1</f>
        <v>1</v>
      </c>
      <c r="K275" s="728">
        <f>2</f>
        <v>2</v>
      </c>
      <c r="L275" s="731">
        <f t="shared" si="151"/>
        <v>3</v>
      </c>
      <c r="M275" s="947"/>
      <c r="N275" s="617">
        <v>45</v>
      </c>
      <c r="O275" s="602">
        <f t="shared" si="144"/>
        <v>3</v>
      </c>
      <c r="P275" s="940"/>
      <c r="Q275" s="600">
        <f t="shared" si="145"/>
        <v>0</v>
      </c>
      <c r="R275" s="940"/>
      <c r="S275" s="596">
        <v>5</v>
      </c>
      <c r="T275" s="724"/>
      <c r="U275" s="728">
        <v>1</v>
      </c>
      <c r="V275" s="728">
        <v>4</v>
      </c>
      <c r="W275" s="731">
        <f t="shared" si="152"/>
        <v>5</v>
      </c>
      <c r="X275" s="947"/>
      <c r="Y275" s="616">
        <v>75</v>
      </c>
      <c r="Z275" s="602">
        <f t="shared" ref="Z275:Z338" si="155">Y275/15</f>
        <v>5</v>
      </c>
      <c r="AA275" s="835"/>
      <c r="AB275" s="602">
        <f t="shared" ref="AB275:AB338" si="156">S275-Z275</f>
        <v>0</v>
      </c>
      <c r="AC275" s="940"/>
      <c r="AD275" s="956"/>
      <c r="AE275" s="956"/>
      <c r="AF275" s="598">
        <v>2</v>
      </c>
      <c r="AG275" s="596"/>
      <c r="AH275" s="728">
        <v>2</v>
      </c>
      <c r="AI275" s="728">
        <v>1</v>
      </c>
      <c r="AJ275" s="729">
        <f t="shared" si="148"/>
        <v>3</v>
      </c>
      <c r="AK275" s="946"/>
      <c r="AL275" s="616">
        <v>30</v>
      </c>
      <c r="AM275" s="602">
        <f t="shared" si="122"/>
        <v>2</v>
      </c>
      <c r="AN275" s="835"/>
      <c r="AO275" s="835">
        <f t="shared" si="146"/>
        <v>0</v>
      </c>
      <c r="AP275" s="940"/>
      <c r="AQ275" s="722">
        <v>5</v>
      </c>
      <c r="AR275" s="728">
        <v>4</v>
      </c>
      <c r="AS275" s="728">
        <v>6</v>
      </c>
      <c r="AT275" s="729">
        <f t="shared" si="137"/>
        <v>10</v>
      </c>
      <c r="AU275" s="946"/>
      <c r="AV275" s="616">
        <v>150</v>
      </c>
      <c r="AW275" s="602">
        <f t="shared" ref="AW275:AW338" si="157">AV275/15</f>
        <v>10</v>
      </c>
      <c r="AX275" s="940"/>
      <c r="AY275" s="602">
        <v>0</v>
      </c>
      <c r="AZ275" s="940"/>
      <c r="BA275" s="962"/>
      <c r="BB275" s="962"/>
      <c r="BC275" s="611"/>
      <c r="BD275" s="712">
        <v>5</v>
      </c>
      <c r="BE275" s="596">
        <v>5</v>
      </c>
      <c r="BF275" s="596">
        <v>12</v>
      </c>
      <c r="BG275" s="728">
        <f>1+4+2</f>
        <v>7</v>
      </c>
      <c r="BH275" s="728">
        <f>4+6+1</f>
        <v>11</v>
      </c>
      <c r="BI275" s="729">
        <f t="shared" si="153"/>
        <v>18</v>
      </c>
      <c r="BJ275" s="729"/>
      <c r="BK275" s="616">
        <f>250+500+100</f>
        <v>850</v>
      </c>
      <c r="BL275" s="603">
        <f t="shared" si="123"/>
        <v>17</v>
      </c>
      <c r="BM275" s="964"/>
      <c r="BN275" s="602">
        <f t="shared" si="147"/>
        <v>-12</v>
      </c>
      <c r="BO275" s="940"/>
      <c r="BP275" s="593">
        <f t="shared" si="149"/>
        <v>0</v>
      </c>
      <c r="BS275" s="741">
        <v>0</v>
      </c>
      <c r="BT275" s="741">
        <v>0</v>
      </c>
      <c r="BU275" s="741">
        <f t="shared" si="140"/>
        <v>0</v>
      </c>
      <c r="BV275" s="741">
        <v>0</v>
      </c>
      <c r="BW275" s="741"/>
      <c r="BX275" s="741">
        <v>0</v>
      </c>
      <c r="BY275" s="741">
        <v>0</v>
      </c>
      <c r="BZ275" s="741">
        <f t="shared" si="154"/>
        <v>0</v>
      </c>
      <c r="CA275" s="741">
        <v>0</v>
      </c>
      <c r="CB275" s="741"/>
      <c r="CC275" s="741">
        <f t="shared" si="141"/>
        <v>0</v>
      </c>
      <c r="CD275" s="751"/>
      <c r="CE275" s="748"/>
      <c r="CF275" s="748"/>
      <c r="CG275" s="748">
        <f t="shared" si="142"/>
        <v>0</v>
      </c>
      <c r="CH275" s="759"/>
      <c r="CI275" s="742"/>
      <c r="CJ275" s="591">
        <f t="shared" si="150"/>
        <v>-12</v>
      </c>
    </row>
    <row r="276" spans="1:88" ht="21.6" customHeight="1" x14ac:dyDescent="0.25">
      <c r="A276" s="596"/>
      <c r="B276" s="596" t="s">
        <v>142</v>
      </c>
      <c r="C276" s="597" t="s">
        <v>253</v>
      </c>
      <c r="D276" s="182" t="s">
        <v>431</v>
      </c>
      <c r="E276" s="598">
        <v>0</v>
      </c>
      <c r="F276" s="596">
        <v>0</v>
      </c>
      <c r="G276" s="598">
        <v>0</v>
      </c>
      <c r="H276" s="596"/>
      <c r="I276" s="596">
        <f t="shared" ref="I276:I339" si="158">F276-H276</f>
        <v>0</v>
      </c>
      <c r="J276" s="728"/>
      <c r="K276" s="728"/>
      <c r="L276" s="731">
        <f t="shared" si="151"/>
        <v>0</v>
      </c>
      <c r="M276" s="947"/>
      <c r="N276" s="617"/>
      <c r="O276" s="602">
        <f t="shared" si="144"/>
        <v>0</v>
      </c>
      <c r="P276" s="940"/>
      <c r="Q276" s="600">
        <f t="shared" si="145"/>
        <v>0</v>
      </c>
      <c r="R276" s="940"/>
      <c r="S276" s="596">
        <v>0</v>
      </c>
      <c r="T276" s="724"/>
      <c r="U276" s="728"/>
      <c r="V276" s="728"/>
      <c r="W276" s="731">
        <f t="shared" si="152"/>
        <v>0</v>
      </c>
      <c r="X276" s="947"/>
      <c r="Y276" s="616"/>
      <c r="Z276" s="602">
        <f t="shared" si="155"/>
        <v>0</v>
      </c>
      <c r="AA276" s="835"/>
      <c r="AB276" s="602">
        <f t="shared" si="156"/>
        <v>0</v>
      </c>
      <c r="AC276" s="940"/>
      <c r="AD276" s="956"/>
      <c r="AE276" s="956"/>
      <c r="AF276" s="598">
        <v>4</v>
      </c>
      <c r="AG276" s="596"/>
      <c r="AH276" s="728">
        <v>1</v>
      </c>
      <c r="AI276" s="728">
        <v>3</v>
      </c>
      <c r="AJ276" s="729">
        <f t="shared" si="148"/>
        <v>4</v>
      </c>
      <c r="AK276" s="946"/>
      <c r="AL276" s="616">
        <v>60</v>
      </c>
      <c r="AM276" s="602">
        <f t="shared" si="122"/>
        <v>4</v>
      </c>
      <c r="AN276" s="835"/>
      <c r="AO276" s="835">
        <f t="shared" si="146"/>
        <v>0</v>
      </c>
      <c r="AP276" s="940"/>
      <c r="AQ276" s="722">
        <v>0</v>
      </c>
      <c r="AR276" s="728"/>
      <c r="AS276" s="728"/>
      <c r="AT276" s="729">
        <f t="shared" si="137"/>
        <v>0</v>
      </c>
      <c r="AU276" s="946"/>
      <c r="AV276" s="616"/>
      <c r="AW276" s="602">
        <f t="shared" si="157"/>
        <v>0</v>
      </c>
      <c r="AX276" s="940"/>
      <c r="AY276" s="602">
        <f t="shared" ref="AY276:AY338" si="159">AQ276-AW276</f>
        <v>0</v>
      </c>
      <c r="AZ276" s="940"/>
      <c r="BA276" s="962"/>
      <c r="BB276" s="962"/>
      <c r="BC276" s="611"/>
      <c r="BD276" s="712">
        <v>4</v>
      </c>
      <c r="BE276" s="596">
        <v>4</v>
      </c>
      <c r="BF276" s="596">
        <f t="shared" si="124"/>
        <v>0</v>
      </c>
      <c r="BG276" s="728">
        <v>1</v>
      </c>
      <c r="BH276" s="728">
        <v>3</v>
      </c>
      <c r="BI276" s="729">
        <f t="shared" si="153"/>
        <v>4</v>
      </c>
      <c r="BJ276" s="729"/>
      <c r="BK276" s="616">
        <v>200</v>
      </c>
      <c r="BL276" s="603">
        <f t="shared" si="123"/>
        <v>4</v>
      </c>
      <c r="BM276" s="964"/>
      <c r="BN276" s="602">
        <f t="shared" si="147"/>
        <v>0</v>
      </c>
      <c r="BO276" s="940"/>
      <c r="BP276" s="593">
        <f t="shared" si="149"/>
        <v>0</v>
      </c>
      <c r="BS276" s="741">
        <v>0</v>
      </c>
      <c r="BT276" s="741">
        <v>0</v>
      </c>
      <c r="BU276" s="741">
        <f t="shared" si="140"/>
        <v>0</v>
      </c>
      <c r="BV276" s="741">
        <v>0</v>
      </c>
      <c r="BW276" s="741"/>
      <c r="BX276" s="741">
        <v>0</v>
      </c>
      <c r="BY276" s="741">
        <v>0</v>
      </c>
      <c r="BZ276" s="741">
        <f t="shared" si="154"/>
        <v>0</v>
      </c>
      <c r="CA276" s="741">
        <v>0</v>
      </c>
      <c r="CB276" s="741"/>
      <c r="CC276" s="741">
        <f t="shared" si="141"/>
        <v>0</v>
      </c>
      <c r="CD276" s="751"/>
      <c r="CE276" s="748"/>
      <c r="CF276" s="748"/>
      <c r="CG276" s="748">
        <f t="shared" si="142"/>
        <v>0</v>
      </c>
      <c r="CH276" s="759"/>
      <c r="CI276" s="742"/>
      <c r="CJ276" s="591">
        <f t="shared" si="150"/>
        <v>0</v>
      </c>
    </row>
    <row r="277" spans="1:88" ht="21.6" customHeight="1" x14ac:dyDescent="0.25">
      <c r="A277" s="596" t="s">
        <v>130</v>
      </c>
      <c r="B277" s="596" t="s">
        <v>142</v>
      </c>
      <c r="C277" s="597" t="s">
        <v>152</v>
      </c>
      <c r="D277" s="171" t="s">
        <v>437</v>
      </c>
      <c r="E277" s="598">
        <v>0</v>
      </c>
      <c r="F277" s="596">
        <v>0</v>
      </c>
      <c r="G277" s="598">
        <v>0</v>
      </c>
      <c r="H277" s="596"/>
      <c r="I277" s="596">
        <f t="shared" si="158"/>
        <v>0</v>
      </c>
      <c r="J277" s="728"/>
      <c r="K277" s="728"/>
      <c r="L277" s="731">
        <f t="shared" si="151"/>
        <v>0</v>
      </c>
      <c r="M277" s="947"/>
      <c r="N277" s="617"/>
      <c r="O277" s="602">
        <f t="shared" si="144"/>
        <v>0</v>
      </c>
      <c r="P277" s="940"/>
      <c r="Q277" s="600">
        <f t="shared" si="145"/>
        <v>0</v>
      </c>
      <c r="R277" s="940"/>
      <c r="S277" s="596">
        <v>15</v>
      </c>
      <c r="T277" s="724"/>
      <c r="U277" s="728">
        <v>15</v>
      </c>
      <c r="V277" s="728"/>
      <c r="W277" s="731">
        <f t="shared" si="152"/>
        <v>15</v>
      </c>
      <c r="X277" s="947"/>
      <c r="Y277" s="616">
        <v>225</v>
      </c>
      <c r="Z277" s="602">
        <f t="shared" si="155"/>
        <v>15</v>
      </c>
      <c r="AA277" s="835"/>
      <c r="AB277" s="602">
        <f t="shared" si="156"/>
        <v>0</v>
      </c>
      <c r="AC277" s="940"/>
      <c r="AD277" s="956"/>
      <c r="AE277" s="956"/>
      <c r="AF277" s="598">
        <v>12</v>
      </c>
      <c r="AG277" s="596"/>
      <c r="AH277" s="728">
        <v>12</v>
      </c>
      <c r="AI277" s="728"/>
      <c r="AJ277" s="729">
        <f t="shared" si="148"/>
        <v>12</v>
      </c>
      <c r="AK277" s="946"/>
      <c r="AL277" s="616">
        <v>180</v>
      </c>
      <c r="AM277" s="602">
        <f t="shared" si="122"/>
        <v>12</v>
      </c>
      <c r="AN277" s="835"/>
      <c r="AO277" s="835">
        <f t="shared" si="146"/>
        <v>0</v>
      </c>
      <c r="AP277" s="940"/>
      <c r="AQ277" s="722">
        <v>0</v>
      </c>
      <c r="AR277" s="728"/>
      <c r="AS277" s="728"/>
      <c r="AT277" s="729">
        <f t="shared" si="137"/>
        <v>0</v>
      </c>
      <c r="AU277" s="946"/>
      <c r="AV277" s="616"/>
      <c r="AW277" s="602">
        <f t="shared" si="157"/>
        <v>0</v>
      </c>
      <c r="AX277" s="940"/>
      <c r="AY277" s="602">
        <f t="shared" si="159"/>
        <v>0</v>
      </c>
      <c r="AZ277" s="940"/>
      <c r="BA277" s="962"/>
      <c r="BB277" s="962"/>
      <c r="BC277" s="611"/>
      <c r="BD277" s="712">
        <v>12</v>
      </c>
      <c r="BE277" s="596">
        <v>12</v>
      </c>
      <c r="BF277" s="596">
        <f t="shared" si="124"/>
        <v>0</v>
      </c>
      <c r="BG277" s="728">
        <v>12</v>
      </c>
      <c r="BH277" s="728"/>
      <c r="BI277" s="729">
        <f t="shared" si="153"/>
        <v>12</v>
      </c>
      <c r="BJ277" s="729"/>
      <c r="BK277" s="616">
        <v>600</v>
      </c>
      <c r="BL277" s="603">
        <f t="shared" si="123"/>
        <v>12</v>
      </c>
      <c r="BM277" s="964"/>
      <c r="BN277" s="602">
        <f t="shared" si="147"/>
        <v>0</v>
      </c>
      <c r="BO277" s="940"/>
      <c r="BP277" s="593">
        <f t="shared" si="149"/>
        <v>0</v>
      </c>
      <c r="BS277" s="741">
        <v>0</v>
      </c>
      <c r="BT277" s="741">
        <v>0</v>
      </c>
      <c r="BU277" s="741">
        <f t="shared" si="140"/>
        <v>0</v>
      </c>
      <c r="BV277" s="741">
        <v>0</v>
      </c>
      <c r="BW277" s="741"/>
      <c r="BX277" s="741">
        <v>0</v>
      </c>
      <c r="BY277" s="741">
        <v>0</v>
      </c>
      <c r="BZ277" s="741">
        <f t="shared" si="154"/>
        <v>0</v>
      </c>
      <c r="CA277" s="741">
        <v>0</v>
      </c>
      <c r="CB277" s="741"/>
      <c r="CC277" s="741">
        <f t="shared" si="141"/>
        <v>0</v>
      </c>
      <c r="CD277" s="751"/>
      <c r="CE277" s="748"/>
      <c r="CF277" s="748"/>
      <c r="CG277" s="748">
        <f t="shared" si="142"/>
        <v>0</v>
      </c>
      <c r="CH277" s="759"/>
      <c r="CI277" s="742"/>
      <c r="CJ277" s="591">
        <f t="shared" si="150"/>
        <v>0</v>
      </c>
    </row>
    <row r="278" spans="1:88" ht="31.5" customHeight="1" x14ac:dyDescent="0.25">
      <c r="A278" s="596" t="s">
        <v>130</v>
      </c>
      <c r="B278" s="596" t="s">
        <v>142</v>
      </c>
      <c r="C278" s="597" t="s">
        <v>153</v>
      </c>
      <c r="D278" s="167"/>
      <c r="E278" s="598">
        <v>0</v>
      </c>
      <c r="F278" s="596">
        <v>0</v>
      </c>
      <c r="G278" s="598">
        <v>0</v>
      </c>
      <c r="H278" s="596"/>
      <c r="I278" s="596">
        <f t="shared" si="158"/>
        <v>0</v>
      </c>
      <c r="J278" s="728"/>
      <c r="K278" s="728"/>
      <c r="L278" s="731">
        <f t="shared" si="151"/>
        <v>0</v>
      </c>
      <c r="M278" s="947"/>
      <c r="N278" s="617"/>
      <c r="O278" s="602">
        <f t="shared" si="144"/>
        <v>0</v>
      </c>
      <c r="P278" s="940"/>
      <c r="Q278" s="600">
        <f t="shared" si="145"/>
        <v>0</v>
      </c>
      <c r="R278" s="940"/>
      <c r="S278" s="596">
        <v>0</v>
      </c>
      <c r="T278" s="724"/>
      <c r="U278" s="728"/>
      <c r="V278" s="728"/>
      <c r="W278" s="731">
        <f t="shared" si="152"/>
        <v>0</v>
      </c>
      <c r="X278" s="947"/>
      <c r="Y278" s="616"/>
      <c r="Z278" s="602">
        <f t="shared" si="155"/>
        <v>0</v>
      </c>
      <c r="AA278" s="835"/>
      <c r="AB278" s="602">
        <f t="shared" si="156"/>
        <v>0</v>
      </c>
      <c r="AC278" s="940"/>
      <c r="AD278" s="956"/>
      <c r="AE278" s="956"/>
      <c r="AF278" s="598">
        <v>0</v>
      </c>
      <c r="AG278" s="596"/>
      <c r="AH278" s="728"/>
      <c r="AI278" s="728"/>
      <c r="AJ278" s="729">
        <f t="shared" si="148"/>
        <v>0</v>
      </c>
      <c r="AK278" s="946"/>
      <c r="AL278" s="616"/>
      <c r="AM278" s="602">
        <f t="shared" ref="AM278:AM341" si="160">AL278/15</f>
        <v>0</v>
      </c>
      <c r="AN278" s="835"/>
      <c r="AO278" s="835">
        <f t="shared" si="146"/>
        <v>0</v>
      </c>
      <c r="AP278" s="940"/>
      <c r="AQ278" s="722">
        <v>0</v>
      </c>
      <c r="AR278" s="728"/>
      <c r="AS278" s="728"/>
      <c r="AT278" s="729">
        <f t="shared" si="137"/>
        <v>0</v>
      </c>
      <c r="AU278" s="946"/>
      <c r="AV278" s="616"/>
      <c r="AW278" s="602">
        <f t="shared" si="157"/>
        <v>0</v>
      </c>
      <c r="AX278" s="940"/>
      <c r="AY278" s="602">
        <f t="shared" si="159"/>
        <v>0</v>
      </c>
      <c r="AZ278" s="940"/>
      <c r="BA278" s="962"/>
      <c r="BB278" s="962"/>
      <c r="BC278" s="611"/>
      <c r="BD278" s="712">
        <v>0</v>
      </c>
      <c r="BE278" s="596">
        <v>0</v>
      </c>
      <c r="BF278" s="596">
        <f t="shared" si="124"/>
        <v>0</v>
      </c>
      <c r="BG278" s="728"/>
      <c r="BH278" s="728"/>
      <c r="BI278" s="729">
        <f t="shared" si="153"/>
        <v>0</v>
      </c>
      <c r="BJ278" s="729"/>
      <c r="BK278" s="616"/>
      <c r="BL278" s="603">
        <f t="shared" ref="BL278:BL341" si="161">BK278/50</f>
        <v>0</v>
      </c>
      <c r="BM278" s="964"/>
      <c r="BN278" s="602">
        <f t="shared" si="147"/>
        <v>0</v>
      </c>
      <c r="BO278" s="940"/>
      <c r="BP278" s="593">
        <f t="shared" si="149"/>
        <v>0</v>
      </c>
      <c r="BS278" s="741">
        <v>0</v>
      </c>
      <c r="BT278" s="741">
        <v>0</v>
      </c>
      <c r="BU278" s="741">
        <f t="shared" si="140"/>
        <v>0</v>
      </c>
      <c r="BV278" s="741">
        <v>0</v>
      </c>
      <c r="BW278" s="741"/>
      <c r="BX278" s="741">
        <v>0</v>
      </c>
      <c r="BY278" s="741">
        <v>0</v>
      </c>
      <c r="BZ278" s="741">
        <f t="shared" si="154"/>
        <v>0</v>
      </c>
      <c r="CA278" s="741">
        <v>0</v>
      </c>
      <c r="CB278" s="741"/>
      <c r="CC278" s="741">
        <f t="shared" si="141"/>
        <v>0</v>
      </c>
      <c r="CD278" s="751"/>
      <c r="CE278" s="748"/>
      <c r="CF278" s="748"/>
      <c r="CG278" s="748">
        <f t="shared" si="142"/>
        <v>0</v>
      </c>
      <c r="CH278" s="759"/>
      <c r="CI278" s="742"/>
      <c r="CJ278" s="591">
        <f t="shared" si="150"/>
        <v>0</v>
      </c>
    </row>
    <row r="279" spans="1:88" ht="21.6" customHeight="1" x14ac:dyDescent="0.25">
      <c r="A279" s="596"/>
      <c r="B279" s="596" t="s">
        <v>142</v>
      </c>
      <c r="C279" s="597" t="s">
        <v>410</v>
      </c>
      <c r="D279" s="182" t="s">
        <v>431</v>
      </c>
      <c r="E279" s="598">
        <v>0</v>
      </c>
      <c r="F279" s="596">
        <v>0</v>
      </c>
      <c r="G279" s="598">
        <v>0</v>
      </c>
      <c r="H279" s="596"/>
      <c r="I279" s="596">
        <f t="shared" si="158"/>
        <v>0</v>
      </c>
      <c r="J279" s="728"/>
      <c r="K279" s="728"/>
      <c r="L279" s="731">
        <f t="shared" si="151"/>
        <v>0</v>
      </c>
      <c r="M279" s="947"/>
      <c r="N279" s="617"/>
      <c r="O279" s="602">
        <f t="shared" si="144"/>
        <v>0</v>
      </c>
      <c r="P279" s="940"/>
      <c r="Q279" s="600">
        <f t="shared" si="145"/>
        <v>0</v>
      </c>
      <c r="R279" s="940"/>
      <c r="S279" s="596">
        <v>0</v>
      </c>
      <c r="T279" s="724"/>
      <c r="U279" s="728"/>
      <c r="V279" s="728"/>
      <c r="W279" s="731">
        <f t="shared" si="152"/>
        <v>0</v>
      </c>
      <c r="X279" s="947"/>
      <c r="Y279" s="616"/>
      <c r="Z279" s="602">
        <f t="shared" si="155"/>
        <v>0</v>
      </c>
      <c r="AA279" s="835"/>
      <c r="AB279" s="602">
        <f t="shared" si="156"/>
        <v>0</v>
      </c>
      <c r="AC279" s="940"/>
      <c r="AD279" s="956"/>
      <c r="AE279" s="956"/>
      <c r="AF279" s="598">
        <v>3</v>
      </c>
      <c r="AG279" s="596"/>
      <c r="AH279" s="728">
        <v>1</v>
      </c>
      <c r="AI279" s="728">
        <v>2</v>
      </c>
      <c r="AJ279" s="729">
        <f t="shared" si="148"/>
        <v>3</v>
      </c>
      <c r="AK279" s="946"/>
      <c r="AL279" s="616">
        <v>45</v>
      </c>
      <c r="AM279" s="602">
        <f t="shared" si="160"/>
        <v>3</v>
      </c>
      <c r="AN279" s="835"/>
      <c r="AO279" s="835">
        <f t="shared" si="146"/>
        <v>0</v>
      </c>
      <c r="AP279" s="940"/>
      <c r="AQ279" s="722">
        <v>0</v>
      </c>
      <c r="AR279" s="728"/>
      <c r="AS279" s="728"/>
      <c r="AT279" s="729">
        <f t="shared" si="137"/>
        <v>0</v>
      </c>
      <c r="AU279" s="946"/>
      <c r="AV279" s="616"/>
      <c r="AW279" s="602">
        <f t="shared" si="157"/>
        <v>0</v>
      </c>
      <c r="AX279" s="940"/>
      <c r="AY279" s="602">
        <f t="shared" si="159"/>
        <v>0</v>
      </c>
      <c r="AZ279" s="940"/>
      <c r="BA279" s="962"/>
      <c r="BB279" s="962"/>
      <c r="BC279" s="611"/>
      <c r="BD279" s="712">
        <v>3</v>
      </c>
      <c r="BE279" s="596">
        <v>3</v>
      </c>
      <c r="BF279" s="596">
        <f t="shared" ref="BF279:BF342" si="162">BD279-BE279</f>
        <v>0</v>
      </c>
      <c r="BG279" s="728">
        <v>1</v>
      </c>
      <c r="BH279" s="728">
        <v>2</v>
      </c>
      <c r="BI279" s="729">
        <f t="shared" si="153"/>
        <v>3</v>
      </c>
      <c r="BJ279" s="729"/>
      <c r="BK279" s="616">
        <v>150</v>
      </c>
      <c r="BL279" s="603">
        <f t="shared" si="161"/>
        <v>3</v>
      </c>
      <c r="BM279" s="964"/>
      <c r="BN279" s="602">
        <f t="shared" si="147"/>
        <v>0</v>
      </c>
      <c r="BO279" s="940"/>
      <c r="BP279" s="593">
        <f t="shared" si="149"/>
        <v>0</v>
      </c>
      <c r="BS279" s="741">
        <v>0</v>
      </c>
      <c r="BT279" s="741">
        <v>0</v>
      </c>
      <c r="BU279" s="741">
        <f t="shared" si="140"/>
        <v>0</v>
      </c>
      <c r="BV279" s="741">
        <v>0</v>
      </c>
      <c r="BW279" s="741"/>
      <c r="BX279" s="741">
        <v>0</v>
      </c>
      <c r="BY279" s="741">
        <v>0</v>
      </c>
      <c r="BZ279" s="741">
        <f t="shared" si="154"/>
        <v>0</v>
      </c>
      <c r="CA279" s="741">
        <v>0</v>
      </c>
      <c r="CB279" s="741"/>
      <c r="CC279" s="741">
        <f t="shared" si="141"/>
        <v>0</v>
      </c>
      <c r="CD279" s="751"/>
      <c r="CE279" s="748"/>
      <c r="CF279" s="748"/>
      <c r="CG279" s="748">
        <f t="shared" si="142"/>
        <v>0</v>
      </c>
      <c r="CH279" s="759"/>
      <c r="CI279" s="742"/>
      <c r="CJ279" s="591">
        <f t="shared" si="150"/>
        <v>0</v>
      </c>
    </row>
    <row r="280" spans="1:88" ht="21.6" customHeight="1" x14ac:dyDescent="0.25">
      <c r="A280" s="596" t="s">
        <v>130</v>
      </c>
      <c r="B280" s="596" t="s">
        <v>142</v>
      </c>
      <c r="C280" s="597" t="s">
        <v>154</v>
      </c>
      <c r="D280" s="182" t="s">
        <v>437</v>
      </c>
      <c r="E280" s="598">
        <v>12</v>
      </c>
      <c r="F280" s="596">
        <v>0</v>
      </c>
      <c r="G280" s="598">
        <v>12</v>
      </c>
      <c r="H280" s="596"/>
      <c r="I280" s="596">
        <f t="shared" si="158"/>
        <v>0</v>
      </c>
      <c r="J280" s="728">
        <f>8</f>
        <v>8</v>
      </c>
      <c r="K280" s="728">
        <f>4</f>
        <v>4</v>
      </c>
      <c r="L280" s="731">
        <f t="shared" si="151"/>
        <v>12</v>
      </c>
      <c r="M280" s="947"/>
      <c r="N280" s="617">
        <v>180</v>
      </c>
      <c r="O280" s="602">
        <f t="shared" si="144"/>
        <v>12</v>
      </c>
      <c r="P280" s="940"/>
      <c r="Q280" s="600">
        <f t="shared" si="145"/>
        <v>0</v>
      </c>
      <c r="R280" s="940"/>
      <c r="S280" s="596">
        <v>0</v>
      </c>
      <c r="T280" s="724"/>
      <c r="U280" s="728"/>
      <c r="V280" s="728"/>
      <c r="W280" s="731">
        <f t="shared" si="152"/>
        <v>0</v>
      </c>
      <c r="X280" s="947"/>
      <c r="Y280" s="616"/>
      <c r="Z280" s="602">
        <f t="shared" si="155"/>
        <v>0</v>
      </c>
      <c r="AA280" s="835"/>
      <c r="AB280" s="602">
        <f t="shared" si="156"/>
        <v>0</v>
      </c>
      <c r="AC280" s="940"/>
      <c r="AD280" s="956"/>
      <c r="AE280" s="956"/>
      <c r="AF280" s="598">
        <v>0</v>
      </c>
      <c r="AG280" s="596"/>
      <c r="AH280" s="728"/>
      <c r="AI280" s="728"/>
      <c r="AJ280" s="729">
        <f t="shared" si="148"/>
        <v>0</v>
      </c>
      <c r="AK280" s="946"/>
      <c r="AL280" s="616"/>
      <c r="AM280" s="602">
        <f t="shared" si="160"/>
        <v>0</v>
      </c>
      <c r="AN280" s="835"/>
      <c r="AO280" s="835">
        <f t="shared" si="146"/>
        <v>0</v>
      </c>
      <c r="AP280" s="940"/>
      <c r="AQ280" s="722">
        <v>15</v>
      </c>
      <c r="AR280" s="728">
        <v>14</v>
      </c>
      <c r="AS280" s="728">
        <v>1</v>
      </c>
      <c r="AT280" s="729">
        <f t="shared" si="137"/>
        <v>15</v>
      </c>
      <c r="AU280" s="946"/>
      <c r="AV280" s="616">
        <v>225</v>
      </c>
      <c r="AW280" s="602">
        <f t="shared" si="157"/>
        <v>15</v>
      </c>
      <c r="AX280" s="940"/>
      <c r="AY280" s="602">
        <f t="shared" si="159"/>
        <v>0</v>
      </c>
      <c r="AZ280" s="940"/>
      <c r="BA280" s="962"/>
      <c r="BB280" s="962"/>
      <c r="BC280" s="611"/>
      <c r="BD280" s="712">
        <v>12</v>
      </c>
      <c r="BE280" s="596">
        <v>12</v>
      </c>
      <c r="BF280" s="596">
        <f t="shared" si="162"/>
        <v>0</v>
      </c>
      <c r="BG280" s="728">
        <v>14</v>
      </c>
      <c r="BH280" s="728">
        <v>1</v>
      </c>
      <c r="BI280" s="729">
        <f t="shared" si="153"/>
        <v>15</v>
      </c>
      <c r="BJ280" s="729"/>
      <c r="BK280" s="616">
        <v>750</v>
      </c>
      <c r="BL280" s="603">
        <f t="shared" si="161"/>
        <v>15</v>
      </c>
      <c r="BM280" s="964"/>
      <c r="BN280" s="602">
        <v>0</v>
      </c>
      <c r="BO280" s="940"/>
      <c r="BP280" s="593">
        <f t="shared" si="149"/>
        <v>0</v>
      </c>
      <c r="BS280" s="741">
        <v>0</v>
      </c>
      <c r="BT280" s="741">
        <v>0</v>
      </c>
      <c r="BU280" s="741">
        <f t="shared" si="140"/>
        <v>0</v>
      </c>
      <c r="BV280" s="741">
        <v>0</v>
      </c>
      <c r="BW280" s="741"/>
      <c r="BX280" s="741">
        <v>0</v>
      </c>
      <c r="BY280" s="741">
        <v>0</v>
      </c>
      <c r="BZ280" s="741">
        <f t="shared" si="154"/>
        <v>0</v>
      </c>
      <c r="CA280" s="741">
        <v>0</v>
      </c>
      <c r="CB280" s="741"/>
      <c r="CC280" s="741">
        <f t="shared" si="141"/>
        <v>0</v>
      </c>
      <c r="CD280" s="751"/>
      <c r="CE280" s="748"/>
      <c r="CF280" s="748"/>
      <c r="CG280" s="748">
        <f t="shared" si="142"/>
        <v>0</v>
      </c>
      <c r="CH280" s="759"/>
      <c r="CI280" s="742"/>
      <c r="CJ280" s="591">
        <f t="shared" si="150"/>
        <v>0</v>
      </c>
    </row>
    <row r="281" spans="1:88" ht="21.6" customHeight="1" x14ac:dyDescent="0.25">
      <c r="A281" s="596" t="s">
        <v>130</v>
      </c>
      <c r="B281" s="596" t="s">
        <v>142</v>
      </c>
      <c r="C281" s="597" t="s">
        <v>155</v>
      </c>
      <c r="D281" s="182" t="s">
        <v>431</v>
      </c>
      <c r="E281" s="598">
        <v>14.333333333333334</v>
      </c>
      <c r="F281" s="596">
        <v>0</v>
      </c>
      <c r="G281" s="598">
        <v>14</v>
      </c>
      <c r="H281" s="596"/>
      <c r="I281" s="596">
        <f t="shared" si="158"/>
        <v>0</v>
      </c>
      <c r="J281" s="728">
        <f>6</f>
        <v>6</v>
      </c>
      <c r="K281" s="728">
        <f>11</f>
        <v>11</v>
      </c>
      <c r="L281" s="731">
        <f t="shared" si="151"/>
        <v>17</v>
      </c>
      <c r="M281" s="947"/>
      <c r="N281" s="617">
        <v>215</v>
      </c>
      <c r="O281" s="602">
        <f t="shared" si="144"/>
        <v>14.333333333333334</v>
      </c>
      <c r="P281" s="940"/>
      <c r="Q281" s="600">
        <f t="shared" si="145"/>
        <v>0</v>
      </c>
      <c r="R281" s="940"/>
      <c r="S281" s="596">
        <v>10</v>
      </c>
      <c r="T281" s="724"/>
      <c r="U281" s="728">
        <v>3</v>
      </c>
      <c r="V281" s="728">
        <v>4</v>
      </c>
      <c r="W281" s="731">
        <f t="shared" si="152"/>
        <v>7</v>
      </c>
      <c r="X281" s="947"/>
      <c r="Y281" s="616">
        <v>150</v>
      </c>
      <c r="Z281" s="602">
        <f t="shared" si="155"/>
        <v>10</v>
      </c>
      <c r="AA281" s="835"/>
      <c r="AB281" s="602">
        <f t="shared" si="156"/>
        <v>0</v>
      </c>
      <c r="AC281" s="940"/>
      <c r="AD281" s="956"/>
      <c r="AE281" s="956"/>
      <c r="AF281" s="598">
        <v>5</v>
      </c>
      <c r="AG281" s="596"/>
      <c r="AH281" s="728"/>
      <c r="AI281" s="728">
        <v>5</v>
      </c>
      <c r="AJ281" s="729">
        <f t="shared" si="148"/>
        <v>5</v>
      </c>
      <c r="AK281" s="946"/>
      <c r="AL281" s="616">
        <v>75</v>
      </c>
      <c r="AM281" s="602">
        <f t="shared" si="160"/>
        <v>5</v>
      </c>
      <c r="AN281" s="835"/>
      <c r="AO281" s="835">
        <f t="shared" si="146"/>
        <v>0</v>
      </c>
      <c r="AP281" s="940"/>
      <c r="AQ281" s="722">
        <v>10</v>
      </c>
      <c r="AR281" s="728">
        <v>2</v>
      </c>
      <c r="AS281" s="728">
        <v>4</v>
      </c>
      <c r="AT281" s="729">
        <f t="shared" si="137"/>
        <v>6</v>
      </c>
      <c r="AU281" s="946"/>
      <c r="AV281" s="616">
        <v>150</v>
      </c>
      <c r="AW281" s="602">
        <f t="shared" si="157"/>
        <v>10</v>
      </c>
      <c r="AX281" s="940"/>
      <c r="AY281" s="602">
        <f t="shared" si="159"/>
        <v>0</v>
      </c>
      <c r="AZ281" s="940"/>
      <c r="BA281" s="962"/>
      <c r="BB281" s="962"/>
      <c r="BC281" s="611"/>
      <c r="BD281" s="712">
        <v>19</v>
      </c>
      <c r="BE281" s="596">
        <v>19</v>
      </c>
      <c r="BF281" s="596">
        <f t="shared" si="162"/>
        <v>0</v>
      </c>
      <c r="BG281" s="728">
        <f>2+4</f>
        <v>6</v>
      </c>
      <c r="BH281" s="728">
        <f>5+4+3</f>
        <v>12</v>
      </c>
      <c r="BI281" s="729">
        <f t="shared" si="153"/>
        <v>18</v>
      </c>
      <c r="BJ281" s="729"/>
      <c r="BK281" s="616">
        <f>250+500+500</f>
        <v>1250</v>
      </c>
      <c r="BL281" s="603">
        <f t="shared" si="161"/>
        <v>25</v>
      </c>
      <c r="BM281" s="964"/>
      <c r="BN281" s="602">
        <v>0</v>
      </c>
      <c r="BO281" s="940"/>
      <c r="BP281" s="593">
        <f t="shared" si="149"/>
        <v>0</v>
      </c>
      <c r="BS281" s="741">
        <v>0</v>
      </c>
      <c r="BT281" s="741">
        <v>0</v>
      </c>
      <c r="BU281" s="741">
        <f t="shared" si="140"/>
        <v>0</v>
      </c>
      <c r="BV281" s="741">
        <v>0</v>
      </c>
      <c r="BW281" s="741"/>
      <c r="BX281" s="741">
        <v>0</v>
      </c>
      <c r="BY281" s="741">
        <v>0</v>
      </c>
      <c r="BZ281" s="741">
        <f t="shared" si="154"/>
        <v>0</v>
      </c>
      <c r="CA281" s="741">
        <v>0</v>
      </c>
      <c r="CB281" s="741"/>
      <c r="CC281" s="741">
        <f t="shared" si="141"/>
        <v>0</v>
      </c>
      <c r="CD281" s="751"/>
      <c r="CE281" s="748"/>
      <c r="CF281" s="748"/>
      <c r="CG281" s="748">
        <f t="shared" si="142"/>
        <v>0</v>
      </c>
      <c r="CH281" s="759"/>
      <c r="CI281" s="742"/>
      <c r="CJ281" s="591">
        <f t="shared" si="150"/>
        <v>0</v>
      </c>
    </row>
    <row r="282" spans="1:88" ht="21.6" customHeight="1" x14ac:dyDescent="0.25">
      <c r="A282" s="596" t="s">
        <v>130</v>
      </c>
      <c r="B282" s="596" t="s">
        <v>142</v>
      </c>
      <c r="C282" s="597" t="s">
        <v>156</v>
      </c>
      <c r="D282" s="182" t="s">
        <v>431</v>
      </c>
      <c r="E282" s="598">
        <v>8.3333333333333339</v>
      </c>
      <c r="F282" s="596">
        <v>0</v>
      </c>
      <c r="G282" s="598">
        <v>0</v>
      </c>
      <c r="H282" s="596"/>
      <c r="I282" s="596">
        <f t="shared" si="158"/>
        <v>0</v>
      </c>
      <c r="J282" s="728">
        <v>8</v>
      </c>
      <c r="K282" s="728">
        <v>3</v>
      </c>
      <c r="L282" s="731">
        <f t="shared" si="151"/>
        <v>11</v>
      </c>
      <c r="M282" s="947"/>
      <c r="N282" s="617">
        <v>125</v>
      </c>
      <c r="O282" s="602">
        <f t="shared" si="144"/>
        <v>8.3333333333333339</v>
      </c>
      <c r="P282" s="940"/>
      <c r="Q282" s="600">
        <f t="shared" ref="Q282:Q313" si="163">E282-O282</f>
        <v>0</v>
      </c>
      <c r="R282" s="940"/>
      <c r="S282" s="596">
        <v>0</v>
      </c>
      <c r="T282" s="724"/>
      <c r="U282" s="728"/>
      <c r="V282" s="728"/>
      <c r="W282" s="731">
        <f t="shared" si="152"/>
        <v>0</v>
      </c>
      <c r="X282" s="947"/>
      <c r="Y282" s="616"/>
      <c r="Z282" s="602">
        <f t="shared" si="155"/>
        <v>0</v>
      </c>
      <c r="AA282" s="835"/>
      <c r="AB282" s="602">
        <f t="shared" si="156"/>
        <v>0</v>
      </c>
      <c r="AC282" s="940"/>
      <c r="AD282" s="956"/>
      <c r="AE282" s="956"/>
      <c r="AF282" s="598">
        <v>1</v>
      </c>
      <c r="AG282" s="596"/>
      <c r="AH282" s="728">
        <v>1</v>
      </c>
      <c r="AI282" s="728"/>
      <c r="AJ282" s="729">
        <f t="shared" si="148"/>
        <v>1</v>
      </c>
      <c r="AK282" s="946"/>
      <c r="AL282" s="616">
        <v>15</v>
      </c>
      <c r="AM282" s="602">
        <f t="shared" si="160"/>
        <v>1</v>
      </c>
      <c r="AN282" s="835"/>
      <c r="AO282" s="835">
        <f t="shared" ref="AO282:AO313" si="164">AF282-AM282</f>
        <v>0</v>
      </c>
      <c r="AP282" s="940"/>
      <c r="AQ282" s="722">
        <v>0</v>
      </c>
      <c r="AR282" s="728"/>
      <c r="AS282" s="728"/>
      <c r="AT282" s="729">
        <f t="shared" si="137"/>
        <v>0</v>
      </c>
      <c r="AU282" s="946"/>
      <c r="AV282" s="616"/>
      <c r="AW282" s="602">
        <f t="shared" si="157"/>
        <v>0</v>
      </c>
      <c r="AX282" s="940"/>
      <c r="AY282" s="602">
        <f t="shared" si="159"/>
        <v>0</v>
      </c>
      <c r="AZ282" s="940"/>
      <c r="BA282" s="962"/>
      <c r="BB282" s="962"/>
      <c r="BC282" s="611"/>
      <c r="BD282" s="712">
        <v>9</v>
      </c>
      <c r="BE282" s="596">
        <v>0</v>
      </c>
      <c r="BF282" s="596">
        <f t="shared" si="162"/>
        <v>9</v>
      </c>
      <c r="BG282" s="728">
        <v>1</v>
      </c>
      <c r="BH282" s="728"/>
      <c r="BI282" s="729">
        <f t="shared" si="153"/>
        <v>1</v>
      </c>
      <c r="BJ282" s="729"/>
      <c r="BK282" s="616">
        <v>50</v>
      </c>
      <c r="BL282" s="603">
        <f t="shared" si="161"/>
        <v>1</v>
      </c>
      <c r="BM282" s="964"/>
      <c r="BN282" s="602">
        <f t="shared" ref="BN282:BN313" si="165">BD282-BL282</f>
        <v>8</v>
      </c>
      <c r="BO282" s="940"/>
      <c r="BP282" s="593">
        <f t="shared" si="149"/>
        <v>0</v>
      </c>
      <c r="BS282" s="741">
        <v>0</v>
      </c>
      <c r="BT282" s="741">
        <v>0</v>
      </c>
      <c r="BU282" s="741">
        <f t="shared" si="140"/>
        <v>0</v>
      </c>
      <c r="BV282" s="741">
        <v>0</v>
      </c>
      <c r="BW282" s="741"/>
      <c r="BX282" s="741">
        <v>0</v>
      </c>
      <c r="BY282" s="741">
        <v>0</v>
      </c>
      <c r="BZ282" s="741">
        <f t="shared" si="154"/>
        <v>0</v>
      </c>
      <c r="CA282" s="741">
        <v>0</v>
      </c>
      <c r="CB282" s="741"/>
      <c r="CC282" s="741">
        <f t="shared" si="141"/>
        <v>0</v>
      </c>
      <c r="CD282" s="751"/>
      <c r="CE282" s="748"/>
      <c r="CF282" s="748"/>
      <c r="CG282" s="748">
        <f t="shared" si="142"/>
        <v>0</v>
      </c>
      <c r="CH282" s="759"/>
      <c r="CI282" s="742"/>
      <c r="CJ282" s="591">
        <f t="shared" si="150"/>
        <v>8</v>
      </c>
    </row>
    <row r="283" spans="1:88" ht="21.6" customHeight="1" x14ac:dyDescent="0.25">
      <c r="A283" s="596"/>
      <c r="B283" s="596"/>
      <c r="C283" s="597"/>
      <c r="D283" s="143"/>
      <c r="E283" s="598">
        <v>0</v>
      </c>
      <c r="F283" s="596">
        <v>0</v>
      </c>
      <c r="G283" s="598"/>
      <c r="H283" s="596"/>
      <c r="I283" s="596">
        <f t="shared" si="158"/>
        <v>0</v>
      </c>
      <c r="J283" s="728"/>
      <c r="K283" s="728"/>
      <c r="L283" s="731">
        <f t="shared" si="151"/>
        <v>0</v>
      </c>
      <c r="M283" s="947"/>
      <c r="N283" s="617"/>
      <c r="O283" s="602">
        <f t="shared" si="144"/>
        <v>0</v>
      </c>
      <c r="P283" s="940"/>
      <c r="Q283" s="600">
        <f t="shared" si="163"/>
        <v>0</v>
      </c>
      <c r="R283" s="940"/>
      <c r="S283" s="596">
        <v>0</v>
      </c>
      <c r="T283" s="724"/>
      <c r="U283" s="728"/>
      <c r="V283" s="728"/>
      <c r="W283" s="731">
        <f t="shared" si="152"/>
        <v>0</v>
      </c>
      <c r="X283" s="947"/>
      <c r="Y283" s="616"/>
      <c r="Z283" s="602">
        <f t="shared" si="155"/>
        <v>0</v>
      </c>
      <c r="AA283" s="835"/>
      <c r="AB283" s="602">
        <f t="shared" si="156"/>
        <v>0</v>
      </c>
      <c r="AC283" s="940"/>
      <c r="AD283" s="956"/>
      <c r="AE283" s="956"/>
      <c r="AF283" s="598"/>
      <c r="AG283" s="596"/>
      <c r="AH283" s="728"/>
      <c r="AI283" s="728"/>
      <c r="AJ283" s="729">
        <f t="shared" si="148"/>
        <v>0</v>
      </c>
      <c r="AK283" s="946"/>
      <c r="AL283" s="616"/>
      <c r="AM283" s="602">
        <f t="shared" si="160"/>
        <v>0</v>
      </c>
      <c r="AN283" s="835"/>
      <c r="AO283" s="835">
        <f t="shared" si="164"/>
        <v>0</v>
      </c>
      <c r="AP283" s="940"/>
      <c r="AQ283" s="722">
        <v>0</v>
      </c>
      <c r="AR283" s="728"/>
      <c r="AS283" s="728"/>
      <c r="AT283" s="729">
        <f t="shared" si="137"/>
        <v>0</v>
      </c>
      <c r="AU283" s="946"/>
      <c r="AV283" s="616"/>
      <c r="AW283" s="602">
        <f t="shared" si="157"/>
        <v>0</v>
      </c>
      <c r="AX283" s="940"/>
      <c r="AY283" s="602">
        <f t="shared" si="159"/>
        <v>0</v>
      </c>
      <c r="AZ283" s="940"/>
      <c r="BA283" s="962"/>
      <c r="BB283" s="962"/>
      <c r="BC283" s="611"/>
      <c r="BD283" s="712"/>
      <c r="BE283" s="596"/>
      <c r="BF283" s="596">
        <f t="shared" si="162"/>
        <v>0</v>
      </c>
      <c r="BG283" s="728"/>
      <c r="BH283" s="728"/>
      <c r="BI283" s="729">
        <f t="shared" si="153"/>
        <v>0</v>
      </c>
      <c r="BJ283" s="729"/>
      <c r="BK283" s="616"/>
      <c r="BL283" s="603">
        <f t="shared" si="161"/>
        <v>0</v>
      </c>
      <c r="BM283" s="964"/>
      <c r="BN283" s="602">
        <f t="shared" si="165"/>
        <v>0</v>
      </c>
      <c r="BO283" s="940"/>
      <c r="BP283" s="593">
        <f t="shared" si="149"/>
        <v>0</v>
      </c>
      <c r="BS283" s="741">
        <v>0</v>
      </c>
      <c r="BT283" s="741">
        <v>0</v>
      </c>
      <c r="BU283" s="741">
        <f t="shared" si="140"/>
        <v>0</v>
      </c>
      <c r="BV283" s="741">
        <v>0</v>
      </c>
      <c r="BW283" s="741"/>
      <c r="BX283" s="741">
        <v>0</v>
      </c>
      <c r="BY283" s="741">
        <v>0</v>
      </c>
      <c r="BZ283" s="741">
        <f t="shared" si="154"/>
        <v>0</v>
      </c>
      <c r="CA283" s="741">
        <v>0</v>
      </c>
      <c r="CB283" s="741"/>
      <c r="CC283" s="741">
        <f t="shared" si="141"/>
        <v>0</v>
      </c>
      <c r="CD283" s="751"/>
      <c r="CE283" s="748"/>
      <c r="CF283" s="748"/>
      <c r="CG283" s="748">
        <f t="shared" si="142"/>
        <v>0</v>
      </c>
      <c r="CH283" s="759"/>
      <c r="CI283" s="742"/>
      <c r="CJ283" s="591">
        <f t="shared" si="150"/>
        <v>0</v>
      </c>
    </row>
    <row r="284" spans="1:88" s="594" customFormat="1" ht="21.6" customHeight="1" x14ac:dyDescent="0.25">
      <c r="A284" s="612" t="s">
        <v>130</v>
      </c>
      <c r="B284" s="612" t="s">
        <v>157</v>
      </c>
      <c r="C284" s="613" t="s">
        <v>360</v>
      </c>
      <c r="D284" s="182" t="s">
        <v>431</v>
      </c>
      <c r="E284" s="614">
        <v>9</v>
      </c>
      <c r="F284" s="612">
        <v>355.33333333333337</v>
      </c>
      <c r="G284" s="614">
        <v>9</v>
      </c>
      <c r="H284" s="612">
        <v>338.00000000000006</v>
      </c>
      <c r="I284" s="612">
        <f t="shared" si="158"/>
        <v>17.333333333333314</v>
      </c>
      <c r="J284" s="728">
        <f>6+11</f>
        <v>17</v>
      </c>
      <c r="K284" s="728">
        <f>8+1</f>
        <v>9</v>
      </c>
      <c r="L284" s="731">
        <f t="shared" si="151"/>
        <v>26</v>
      </c>
      <c r="M284" s="947">
        <f>SUM(L284:L304)</f>
        <v>778</v>
      </c>
      <c r="N284" s="617">
        <v>135</v>
      </c>
      <c r="O284" s="602">
        <f t="shared" si="144"/>
        <v>9</v>
      </c>
      <c r="P284" s="940">
        <f>SUM(O284:O304)</f>
        <v>355.33000000000004</v>
      </c>
      <c r="Q284" s="600">
        <f t="shared" si="163"/>
        <v>0</v>
      </c>
      <c r="R284" s="940">
        <f>SUM(Q284:Q304)</f>
        <v>3.3333333333356308E-3</v>
      </c>
      <c r="S284" s="596">
        <v>0</v>
      </c>
      <c r="T284" s="724">
        <f>SUM(S284:S304)</f>
        <v>0</v>
      </c>
      <c r="U284" s="728"/>
      <c r="V284" s="728"/>
      <c r="W284" s="731">
        <f t="shared" si="152"/>
        <v>0</v>
      </c>
      <c r="X284" s="947">
        <f>SUM(W284:W304)</f>
        <v>0</v>
      </c>
      <c r="Y284" s="616"/>
      <c r="Z284" s="602">
        <f t="shared" si="155"/>
        <v>0</v>
      </c>
      <c r="AA284" s="835">
        <f>SUM(Z284:Z304)</f>
        <v>0</v>
      </c>
      <c r="AB284" s="602">
        <f t="shared" si="156"/>
        <v>0</v>
      </c>
      <c r="AC284" s="940">
        <f>SUM(AB284:AB304)</f>
        <v>0</v>
      </c>
      <c r="AD284" s="955">
        <f>M284+X284</f>
        <v>778</v>
      </c>
      <c r="AE284" s="955">
        <f>R284+AC284</f>
        <v>3.3333333333356308E-3</v>
      </c>
      <c r="AF284" s="614">
        <v>0</v>
      </c>
      <c r="AG284" s="612">
        <v>118</v>
      </c>
      <c r="AH284" s="728"/>
      <c r="AI284" s="728"/>
      <c r="AJ284" s="729">
        <f t="shared" si="148"/>
        <v>0</v>
      </c>
      <c r="AK284" s="946">
        <f>SUM(AJ284:AJ304)</f>
        <v>92</v>
      </c>
      <c r="AL284" s="616"/>
      <c r="AM284" s="602">
        <f t="shared" si="160"/>
        <v>0</v>
      </c>
      <c r="AN284" s="835">
        <f>SUM(AM284:AM304)</f>
        <v>118</v>
      </c>
      <c r="AO284" s="835">
        <f t="shared" si="164"/>
        <v>0</v>
      </c>
      <c r="AP284" s="940">
        <f>SUM(AO284:AO304)</f>
        <v>0</v>
      </c>
      <c r="AQ284" s="722">
        <v>0</v>
      </c>
      <c r="AR284" s="728"/>
      <c r="AS284" s="728"/>
      <c r="AT284" s="729">
        <f t="shared" si="137"/>
        <v>0</v>
      </c>
      <c r="AU284" s="946">
        <f>SUM(AT284:AT304)</f>
        <v>0</v>
      </c>
      <c r="AV284" s="616"/>
      <c r="AW284" s="602">
        <f t="shared" si="157"/>
        <v>0</v>
      </c>
      <c r="AX284" s="940">
        <f>SUM(AW284:AW304)</f>
        <v>0</v>
      </c>
      <c r="AY284" s="602">
        <f t="shared" si="159"/>
        <v>0</v>
      </c>
      <c r="AZ284" s="940">
        <f>SUM(AY284:AY304)</f>
        <v>0</v>
      </c>
      <c r="BA284" s="961">
        <f>AK284+AU284</f>
        <v>92</v>
      </c>
      <c r="BB284" s="961">
        <f>AP284+AZ284</f>
        <v>0</v>
      </c>
      <c r="BC284" s="614">
        <f>SUM(BD284:BD304)</f>
        <v>469</v>
      </c>
      <c r="BD284" s="716">
        <v>9</v>
      </c>
      <c r="BE284" s="612">
        <v>0</v>
      </c>
      <c r="BF284" s="596">
        <f t="shared" si="162"/>
        <v>9</v>
      </c>
      <c r="BG284" s="728"/>
      <c r="BH284" s="728"/>
      <c r="BI284" s="729">
        <f t="shared" si="153"/>
        <v>0</v>
      </c>
      <c r="BJ284" s="729">
        <f>SUM(BI284:BI304)</f>
        <v>48</v>
      </c>
      <c r="BK284" s="616">
        <v>500</v>
      </c>
      <c r="BL284" s="603">
        <f t="shared" si="161"/>
        <v>10</v>
      </c>
      <c r="BM284" s="964">
        <f>SUM(BL284:BL304)</f>
        <v>494.1</v>
      </c>
      <c r="BN284" s="602">
        <f t="shared" si="165"/>
        <v>-1</v>
      </c>
      <c r="BO284" s="940">
        <f>SUM(BN284:BN304)</f>
        <v>-25.1</v>
      </c>
      <c r="BP284" s="593">
        <f t="shared" si="149"/>
        <v>-25.096666666666664</v>
      </c>
      <c r="BS284" s="745">
        <v>0</v>
      </c>
      <c r="BT284" s="745">
        <v>0</v>
      </c>
      <c r="BU284" s="741">
        <f t="shared" si="140"/>
        <v>0</v>
      </c>
      <c r="BV284" s="745">
        <v>0</v>
      </c>
      <c r="BW284" s="745">
        <f>SUM(BV284:BV304)</f>
        <v>17.333333333333332</v>
      </c>
      <c r="BX284" s="745">
        <v>0</v>
      </c>
      <c r="BY284" s="745">
        <v>0</v>
      </c>
      <c r="BZ284" s="741">
        <f t="shared" si="154"/>
        <v>0</v>
      </c>
      <c r="CA284" s="745">
        <v>0</v>
      </c>
      <c r="CB284" s="745">
        <f>SUM(CA284:CA304)</f>
        <v>113</v>
      </c>
      <c r="CC284" s="741">
        <f t="shared" si="141"/>
        <v>0</v>
      </c>
      <c r="CD284" s="756">
        <f>SUM(CC284:CC304)</f>
        <v>130.33333333333334</v>
      </c>
      <c r="CE284" s="748"/>
      <c r="CF284" s="748"/>
      <c r="CG284" s="748">
        <f t="shared" si="142"/>
        <v>0</v>
      </c>
      <c r="CH284" s="766"/>
      <c r="CI284" s="745">
        <f>SUM(CH284:CH304)</f>
        <v>0</v>
      </c>
      <c r="CJ284" s="594">
        <f t="shared" si="150"/>
        <v>-1</v>
      </c>
    </row>
    <row r="285" spans="1:88" ht="21.6" customHeight="1" x14ac:dyDescent="0.25">
      <c r="A285" s="596" t="s">
        <v>130</v>
      </c>
      <c r="B285" s="596" t="s">
        <v>157</v>
      </c>
      <c r="C285" s="597" t="s">
        <v>158</v>
      </c>
      <c r="D285" s="182" t="s">
        <v>431</v>
      </c>
      <c r="E285" s="598">
        <v>5</v>
      </c>
      <c r="F285" s="596">
        <v>0</v>
      </c>
      <c r="G285" s="598">
        <v>5</v>
      </c>
      <c r="H285" s="596"/>
      <c r="I285" s="596">
        <f t="shared" si="158"/>
        <v>0</v>
      </c>
      <c r="J285" s="728">
        <f>11</f>
        <v>11</v>
      </c>
      <c r="K285" s="728">
        <f>3</f>
        <v>3</v>
      </c>
      <c r="L285" s="731">
        <f t="shared" si="151"/>
        <v>14</v>
      </c>
      <c r="M285" s="947"/>
      <c r="N285" s="617">
        <v>75</v>
      </c>
      <c r="O285" s="602">
        <f t="shared" si="144"/>
        <v>5</v>
      </c>
      <c r="P285" s="940"/>
      <c r="Q285" s="600">
        <f t="shared" si="163"/>
        <v>0</v>
      </c>
      <c r="R285" s="940"/>
      <c r="S285" s="596">
        <v>0</v>
      </c>
      <c r="T285" s="724"/>
      <c r="U285" s="728"/>
      <c r="V285" s="728"/>
      <c r="W285" s="731">
        <f t="shared" si="152"/>
        <v>0</v>
      </c>
      <c r="X285" s="947"/>
      <c r="Y285" s="616"/>
      <c r="Z285" s="602">
        <f t="shared" si="155"/>
        <v>0</v>
      </c>
      <c r="AA285" s="835"/>
      <c r="AB285" s="602">
        <f t="shared" si="156"/>
        <v>0</v>
      </c>
      <c r="AC285" s="940"/>
      <c r="AD285" s="956"/>
      <c r="AE285" s="956"/>
      <c r="AF285" s="598">
        <v>0</v>
      </c>
      <c r="AG285" s="596"/>
      <c r="AH285" s="728"/>
      <c r="AI285" s="728"/>
      <c r="AJ285" s="729">
        <f t="shared" si="148"/>
        <v>0</v>
      </c>
      <c r="AK285" s="946"/>
      <c r="AL285" s="616"/>
      <c r="AM285" s="602">
        <f t="shared" si="160"/>
        <v>0</v>
      </c>
      <c r="AN285" s="835"/>
      <c r="AO285" s="835">
        <f t="shared" si="164"/>
        <v>0</v>
      </c>
      <c r="AP285" s="940"/>
      <c r="AQ285" s="722">
        <v>0</v>
      </c>
      <c r="AR285" s="728"/>
      <c r="AS285" s="728"/>
      <c r="AT285" s="729">
        <f t="shared" si="137"/>
        <v>0</v>
      </c>
      <c r="AU285" s="946"/>
      <c r="AV285" s="616"/>
      <c r="AW285" s="602">
        <f t="shared" si="157"/>
        <v>0</v>
      </c>
      <c r="AX285" s="940"/>
      <c r="AY285" s="602">
        <f t="shared" si="159"/>
        <v>0</v>
      </c>
      <c r="AZ285" s="940"/>
      <c r="BA285" s="962"/>
      <c r="BB285" s="962"/>
      <c r="BC285" s="611"/>
      <c r="BD285" s="712">
        <v>5</v>
      </c>
      <c r="BE285" s="596">
        <v>0</v>
      </c>
      <c r="BF285" s="596">
        <f t="shared" si="162"/>
        <v>5</v>
      </c>
      <c r="BG285" s="728"/>
      <c r="BH285" s="728"/>
      <c r="BI285" s="729">
        <f t="shared" si="153"/>
        <v>0</v>
      </c>
      <c r="BJ285" s="729"/>
      <c r="BK285" s="616">
        <v>250</v>
      </c>
      <c r="BL285" s="603">
        <f t="shared" si="161"/>
        <v>5</v>
      </c>
      <c r="BM285" s="964"/>
      <c r="BN285" s="602">
        <f t="shared" si="165"/>
        <v>0</v>
      </c>
      <c r="BO285" s="940"/>
      <c r="BP285" s="593">
        <f t="shared" si="149"/>
        <v>0</v>
      </c>
      <c r="BS285" s="741">
        <v>0</v>
      </c>
      <c r="BT285" s="741">
        <v>0</v>
      </c>
      <c r="BU285" s="741">
        <f t="shared" si="140"/>
        <v>0</v>
      </c>
      <c r="BV285" s="741">
        <v>0</v>
      </c>
      <c r="BW285" s="741"/>
      <c r="BX285" s="741">
        <v>0</v>
      </c>
      <c r="BY285" s="741">
        <v>0</v>
      </c>
      <c r="BZ285" s="741">
        <f t="shared" si="154"/>
        <v>0</v>
      </c>
      <c r="CA285" s="741">
        <v>0</v>
      </c>
      <c r="CB285" s="741"/>
      <c r="CC285" s="741">
        <f t="shared" si="141"/>
        <v>0</v>
      </c>
      <c r="CD285" s="751"/>
      <c r="CE285" s="748"/>
      <c r="CF285" s="748"/>
      <c r="CG285" s="748">
        <f t="shared" si="142"/>
        <v>0</v>
      </c>
      <c r="CH285" s="759"/>
      <c r="CI285" s="742"/>
      <c r="CJ285" s="591">
        <f t="shared" si="150"/>
        <v>0</v>
      </c>
    </row>
    <row r="286" spans="1:88" ht="21.6" customHeight="1" x14ac:dyDescent="0.25">
      <c r="A286" s="596" t="s">
        <v>130</v>
      </c>
      <c r="B286" s="596" t="s">
        <v>157</v>
      </c>
      <c r="C286" s="597" t="s">
        <v>159</v>
      </c>
      <c r="D286" s="182" t="s">
        <v>431</v>
      </c>
      <c r="E286" s="598">
        <v>20.666666666666668</v>
      </c>
      <c r="F286" s="596">
        <v>0</v>
      </c>
      <c r="G286" s="598">
        <v>20.666666666666668</v>
      </c>
      <c r="H286" s="596"/>
      <c r="I286" s="596">
        <f t="shared" si="158"/>
        <v>0</v>
      </c>
      <c r="J286" s="728">
        <f>17+18+7+13</f>
        <v>55</v>
      </c>
      <c r="K286" s="728">
        <f>3+2+3+7</f>
        <v>15</v>
      </c>
      <c r="L286" s="731">
        <f t="shared" si="151"/>
        <v>70</v>
      </c>
      <c r="M286" s="947"/>
      <c r="N286" s="617">
        <v>310</v>
      </c>
      <c r="O286" s="602">
        <f t="shared" si="144"/>
        <v>20.666666666666668</v>
      </c>
      <c r="P286" s="940"/>
      <c r="Q286" s="600">
        <f t="shared" si="163"/>
        <v>0</v>
      </c>
      <c r="R286" s="940"/>
      <c r="S286" s="596">
        <v>0</v>
      </c>
      <c r="T286" s="724"/>
      <c r="U286" s="728"/>
      <c r="V286" s="728"/>
      <c r="W286" s="731">
        <f t="shared" si="152"/>
        <v>0</v>
      </c>
      <c r="X286" s="947"/>
      <c r="Y286" s="616"/>
      <c r="Z286" s="602">
        <f t="shared" si="155"/>
        <v>0</v>
      </c>
      <c r="AA286" s="835"/>
      <c r="AB286" s="602">
        <f t="shared" si="156"/>
        <v>0</v>
      </c>
      <c r="AC286" s="940"/>
      <c r="AD286" s="956"/>
      <c r="AE286" s="956"/>
      <c r="AF286" s="598">
        <v>2.6666666666666665</v>
      </c>
      <c r="AG286" s="596"/>
      <c r="AH286" s="728"/>
      <c r="AI286" s="728"/>
      <c r="AJ286" s="729">
        <f t="shared" si="148"/>
        <v>0</v>
      </c>
      <c r="AK286" s="946"/>
      <c r="AL286" s="616">
        <v>40</v>
      </c>
      <c r="AM286" s="602">
        <f t="shared" si="160"/>
        <v>2.6666666666666665</v>
      </c>
      <c r="AN286" s="835"/>
      <c r="AO286" s="835">
        <f t="shared" si="164"/>
        <v>0</v>
      </c>
      <c r="AP286" s="940"/>
      <c r="AQ286" s="722">
        <v>0</v>
      </c>
      <c r="AR286" s="728"/>
      <c r="AS286" s="728"/>
      <c r="AT286" s="729">
        <f t="shared" si="137"/>
        <v>0</v>
      </c>
      <c r="AU286" s="946"/>
      <c r="AV286" s="616"/>
      <c r="AW286" s="602">
        <f t="shared" si="157"/>
        <v>0</v>
      </c>
      <c r="AX286" s="940"/>
      <c r="AY286" s="602">
        <f t="shared" si="159"/>
        <v>0</v>
      </c>
      <c r="AZ286" s="940"/>
      <c r="BA286" s="962"/>
      <c r="BB286" s="962"/>
      <c r="BC286" s="611"/>
      <c r="BD286" s="712">
        <v>23</v>
      </c>
      <c r="BE286" s="596">
        <v>0</v>
      </c>
      <c r="BF286" s="596">
        <f t="shared" si="162"/>
        <v>23</v>
      </c>
      <c r="BG286" s="728"/>
      <c r="BH286" s="728"/>
      <c r="BI286" s="729">
        <f t="shared" si="153"/>
        <v>0</v>
      </c>
      <c r="BJ286" s="729"/>
      <c r="BK286" s="616">
        <v>1200</v>
      </c>
      <c r="BL286" s="603">
        <f t="shared" si="161"/>
        <v>24</v>
      </c>
      <c r="BM286" s="964"/>
      <c r="BN286" s="602">
        <f t="shared" si="165"/>
        <v>-1</v>
      </c>
      <c r="BO286" s="940"/>
      <c r="BP286" s="593">
        <f t="shared" si="149"/>
        <v>0</v>
      </c>
      <c r="BS286" s="741">
        <v>0</v>
      </c>
      <c r="BT286" s="741">
        <v>0</v>
      </c>
      <c r="BU286" s="741">
        <f t="shared" si="140"/>
        <v>0</v>
      </c>
      <c r="BV286" s="741">
        <v>0</v>
      </c>
      <c r="BW286" s="741"/>
      <c r="BX286" s="741">
        <v>0</v>
      </c>
      <c r="BY286" s="741">
        <v>0</v>
      </c>
      <c r="BZ286" s="741">
        <f t="shared" si="154"/>
        <v>0</v>
      </c>
      <c r="CA286" s="741">
        <v>2.6666666666666665</v>
      </c>
      <c r="CB286" s="741"/>
      <c r="CC286" s="741">
        <f t="shared" si="141"/>
        <v>2.6666666666666665</v>
      </c>
      <c r="CD286" s="751"/>
      <c r="CE286" s="748"/>
      <c r="CF286" s="748"/>
      <c r="CG286" s="748">
        <f t="shared" si="142"/>
        <v>0</v>
      </c>
      <c r="CH286" s="759"/>
      <c r="CI286" s="742"/>
      <c r="CJ286" s="591">
        <f t="shared" si="150"/>
        <v>-1</v>
      </c>
    </row>
    <row r="287" spans="1:88" ht="21.6" customHeight="1" x14ac:dyDescent="0.25">
      <c r="A287" s="596" t="s">
        <v>130</v>
      </c>
      <c r="B287" s="596" t="s">
        <v>157</v>
      </c>
      <c r="C287" s="597" t="s">
        <v>425</v>
      </c>
      <c r="D287" s="280" t="s">
        <v>431</v>
      </c>
      <c r="E287" s="598">
        <v>0</v>
      </c>
      <c r="F287" s="596">
        <v>0</v>
      </c>
      <c r="G287" s="598">
        <v>0</v>
      </c>
      <c r="H287" s="596"/>
      <c r="I287" s="596">
        <f t="shared" si="158"/>
        <v>0</v>
      </c>
      <c r="J287" s="728"/>
      <c r="K287" s="728"/>
      <c r="L287" s="731">
        <f t="shared" si="151"/>
        <v>0</v>
      </c>
      <c r="M287" s="947"/>
      <c r="N287" s="617"/>
      <c r="O287" s="602">
        <f t="shared" si="144"/>
        <v>0</v>
      </c>
      <c r="P287" s="940"/>
      <c r="Q287" s="600">
        <f t="shared" si="163"/>
        <v>0</v>
      </c>
      <c r="R287" s="940"/>
      <c r="S287" s="596">
        <v>0</v>
      </c>
      <c r="T287" s="724"/>
      <c r="U287" s="728"/>
      <c r="V287" s="728"/>
      <c r="W287" s="731">
        <f t="shared" si="152"/>
        <v>0</v>
      </c>
      <c r="X287" s="947"/>
      <c r="Y287" s="616"/>
      <c r="Z287" s="602">
        <f t="shared" si="155"/>
        <v>0</v>
      </c>
      <c r="AA287" s="835"/>
      <c r="AB287" s="602">
        <f t="shared" si="156"/>
        <v>0</v>
      </c>
      <c r="AC287" s="940"/>
      <c r="AD287" s="956"/>
      <c r="AE287" s="956"/>
      <c r="AF287" s="598">
        <v>0</v>
      </c>
      <c r="AG287" s="596"/>
      <c r="AH287" s="728"/>
      <c r="AI287" s="728"/>
      <c r="AJ287" s="729">
        <f t="shared" si="148"/>
        <v>0</v>
      </c>
      <c r="AK287" s="946"/>
      <c r="AL287" s="616"/>
      <c r="AM287" s="602">
        <f t="shared" si="160"/>
        <v>0</v>
      </c>
      <c r="AN287" s="835"/>
      <c r="AO287" s="835">
        <f t="shared" si="164"/>
        <v>0</v>
      </c>
      <c r="AP287" s="940"/>
      <c r="AQ287" s="722">
        <v>0</v>
      </c>
      <c r="AR287" s="728"/>
      <c r="AS287" s="728"/>
      <c r="AT287" s="729">
        <f t="shared" si="137"/>
        <v>0</v>
      </c>
      <c r="AU287" s="946"/>
      <c r="AV287" s="616"/>
      <c r="AW287" s="602">
        <f t="shared" si="157"/>
        <v>0</v>
      </c>
      <c r="AX287" s="940"/>
      <c r="AY287" s="602">
        <f t="shared" si="159"/>
        <v>0</v>
      </c>
      <c r="AZ287" s="940"/>
      <c r="BA287" s="962"/>
      <c r="BB287" s="962"/>
      <c r="BC287" s="611"/>
      <c r="BD287" s="712">
        <v>0</v>
      </c>
      <c r="BE287" s="596">
        <v>0</v>
      </c>
      <c r="BF287" s="596">
        <f t="shared" si="162"/>
        <v>0</v>
      </c>
      <c r="BG287" s="728"/>
      <c r="BH287" s="728"/>
      <c r="BI287" s="729">
        <f t="shared" si="153"/>
        <v>0</v>
      </c>
      <c r="BJ287" s="729"/>
      <c r="BK287" s="616"/>
      <c r="BL287" s="603">
        <f t="shared" si="161"/>
        <v>0</v>
      </c>
      <c r="BM287" s="964"/>
      <c r="BN287" s="602">
        <f t="shared" si="165"/>
        <v>0</v>
      </c>
      <c r="BO287" s="940"/>
      <c r="BP287" s="593">
        <f t="shared" si="149"/>
        <v>0</v>
      </c>
      <c r="BS287" s="741">
        <v>0</v>
      </c>
      <c r="BT287" s="741">
        <v>0</v>
      </c>
      <c r="BU287" s="741">
        <f t="shared" si="140"/>
        <v>0</v>
      </c>
      <c r="BV287" s="741">
        <v>0</v>
      </c>
      <c r="BW287" s="741"/>
      <c r="BX287" s="741">
        <v>0</v>
      </c>
      <c r="BY287" s="741">
        <v>0</v>
      </c>
      <c r="BZ287" s="741">
        <f t="shared" si="154"/>
        <v>0</v>
      </c>
      <c r="CA287" s="741">
        <v>0</v>
      </c>
      <c r="CB287" s="741"/>
      <c r="CC287" s="741">
        <f t="shared" si="141"/>
        <v>0</v>
      </c>
      <c r="CD287" s="751"/>
      <c r="CE287" s="748"/>
      <c r="CF287" s="748"/>
      <c r="CG287" s="748">
        <f t="shared" si="142"/>
        <v>0</v>
      </c>
      <c r="CH287" s="759"/>
      <c r="CI287" s="742"/>
      <c r="CJ287" s="591">
        <f t="shared" si="150"/>
        <v>0</v>
      </c>
    </row>
    <row r="288" spans="1:88" ht="21.6" customHeight="1" x14ac:dyDescent="0.25">
      <c r="A288" s="596" t="s">
        <v>130</v>
      </c>
      <c r="B288" s="596" t="s">
        <v>157</v>
      </c>
      <c r="C288" s="597" t="s">
        <v>160</v>
      </c>
      <c r="D288" s="182" t="s">
        <v>431</v>
      </c>
      <c r="E288" s="598">
        <v>30.666666666666668</v>
      </c>
      <c r="F288" s="596">
        <v>0</v>
      </c>
      <c r="G288" s="598">
        <v>30.666666666666668</v>
      </c>
      <c r="H288" s="596"/>
      <c r="I288" s="596">
        <f t="shared" si="158"/>
        <v>0</v>
      </c>
      <c r="J288" s="728">
        <f>15+7+9+12</f>
        <v>43</v>
      </c>
      <c r="K288" s="728">
        <f>5+1+7+8</f>
        <v>21</v>
      </c>
      <c r="L288" s="731">
        <f t="shared" si="151"/>
        <v>64</v>
      </c>
      <c r="M288" s="947"/>
      <c r="N288" s="617">
        <v>460</v>
      </c>
      <c r="O288" s="602">
        <f t="shared" si="144"/>
        <v>30.666666666666668</v>
      </c>
      <c r="P288" s="940"/>
      <c r="Q288" s="600">
        <f t="shared" si="163"/>
        <v>0</v>
      </c>
      <c r="R288" s="940"/>
      <c r="S288" s="596">
        <v>0</v>
      </c>
      <c r="T288" s="724"/>
      <c r="U288" s="728"/>
      <c r="V288" s="728"/>
      <c r="W288" s="731">
        <f t="shared" si="152"/>
        <v>0</v>
      </c>
      <c r="X288" s="947"/>
      <c r="Y288" s="616"/>
      <c r="Z288" s="602">
        <f t="shared" si="155"/>
        <v>0</v>
      </c>
      <c r="AA288" s="835"/>
      <c r="AB288" s="602">
        <f t="shared" si="156"/>
        <v>0</v>
      </c>
      <c r="AC288" s="940"/>
      <c r="AD288" s="956"/>
      <c r="AE288" s="956"/>
      <c r="AF288" s="598">
        <v>11</v>
      </c>
      <c r="AG288" s="596"/>
      <c r="AH288" s="728"/>
      <c r="AI288" s="728"/>
      <c r="AJ288" s="729">
        <f t="shared" si="148"/>
        <v>0</v>
      </c>
      <c r="AK288" s="946"/>
      <c r="AL288" s="616">
        <v>165</v>
      </c>
      <c r="AM288" s="602">
        <f t="shared" si="160"/>
        <v>11</v>
      </c>
      <c r="AN288" s="835"/>
      <c r="AO288" s="835">
        <f t="shared" si="164"/>
        <v>0</v>
      </c>
      <c r="AP288" s="940"/>
      <c r="AQ288" s="722">
        <v>0</v>
      </c>
      <c r="AR288" s="728"/>
      <c r="AS288" s="728"/>
      <c r="AT288" s="729">
        <f t="shared" si="137"/>
        <v>0</v>
      </c>
      <c r="AU288" s="946"/>
      <c r="AV288" s="616"/>
      <c r="AW288" s="602">
        <f t="shared" si="157"/>
        <v>0</v>
      </c>
      <c r="AX288" s="940"/>
      <c r="AY288" s="602">
        <f t="shared" si="159"/>
        <v>0</v>
      </c>
      <c r="AZ288" s="940"/>
      <c r="BA288" s="962"/>
      <c r="BB288" s="962"/>
      <c r="BC288" s="611"/>
      <c r="BD288" s="712">
        <v>41</v>
      </c>
      <c r="BE288" s="596">
        <v>0</v>
      </c>
      <c r="BF288" s="596">
        <f t="shared" si="162"/>
        <v>41</v>
      </c>
      <c r="BG288" s="728"/>
      <c r="BH288" s="728"/>
      <c r="BI288" s="729">
        <f t="shared" si="153"/>
        <v>0</v>
      </c>
      <c r="BJ288" s="729"/>
      <c r="BK288" s="616">
        <v>2250</v>
      </c>
      <c r="BL288" s="603">
        <f t="shared" si="161"/>
        <v>45</v>
      </c>
      <c r="BM288" s="964"/>
      <c r="BN288" s="602">
        <f t="shared" si="165"/>
        <v>-4</v>
      </c>
      <c r="BO288" s="940"/>
      <c r="BP288" s="593">
        <f t="shared" si="149"/>
        <v>0</v>
      </c>
      <c r="BS288" s="741">
        <v>0</v>
      </c>
      <c r="BT288" s="741">
        <v>0</v>
      </c>
      <c r="BU288" s="741">
        <f t="shared" si="140"/>
        <v>0</v>
      </c>
      <c r="BV288" s="741">
        <v>0</v>
      </c>
      <c r="BW288" s="741"/>
      <c r="BX288" s="741">
        <v>0</v>
      </c>
      <c r="BY288" s="741">
        <v>0</v>
      </c>
      <c r="BZ288" s="741">
        <f t="shared" si="154"/>
        <v>0</v>
      </c>
      <c r="CA288" s="741">
        <v>11</v>
      </c>
      <c r="CB288" s="741"/>
      <c r="CC288" s="741">
        <f t="shared" si="141"/>
        <v>11</v>
      </c>
      <c r="CD288" s="751"/>
      <c r="CE288" s="748"/>
      <c r="CF288" s="748"/>
      <c r="CG288" s="748">
        <f t="shared" si="142"/>
        <v>0</v>
      </c>
      <c r="CH288" s="759"/>
      <c r="CI288" s="742"/>
      <c r="CJ288" s="591">
        <f t="shared" si="150"/>
        <v>-4</v>
      </c>
    </row>
    <row r="289" spans="1:88" ht="21.6" customHeight="1" x14ac:dyDescent="0.25">
      <c r="A289" s="596" t="s">
        <v>130</v>
      </c>
      <c r="B289" s="596" t="s">
        <v>157</v>
      </c>
      <c r="C289" s="597" t="s">
        <v>161</v>
      </c>
      <c r="D289" s="182" t="s">
        <v>431</v>
      </c>
      <c r="E289" s="598">
        <v>4</v>
      </c>
      <c r="F289" s="596">
        <v>0</v>
      </c>
      <c r="G289" s="598">
        <v>4</v>
      </c>
      <c r="H289" s="596"/>
      <c r="I289" s="596">
        <f t="shared" si="158"/>
        <v>0</v>
      </c>
      <c r="J289" s="728">
        <f>12</f>
        <v>12</v>
      </c>
      <c r="K289" s="728">
        <f>4</f>
        <v>4</v>
      </c>
      <c r="L289" s="731">
        <f t="shared" si="151"/>
        <v>16</v>
      </c>
      <c r="M289" s="947"/>
      <c r="N289" s="617">
        <v>60</v>
      </c>
      <c r="O289" s="602">
        <f t="shared" si="144"/>
        <v>4</v>
      </c>
      <c r="P289" s="940"/>
      <c r="Q289" s="600">
        <f t="shared" si="163"/>
        <v>0</v>
      </c>
      <c r="R289" s="940"/>
      <c r="S289" s="596">
        <v>0</v>
      </c>
      <c r="T289" s="724"/>
      <c r="U289" s="728"/>
      <c r="V289" s="728"/>
      <c r="W289" s="731">
        <f t="shared" si="152"/>
        <v>0</v>
      </c>
      <c r="X289" s="947"/>
      <c r="Y289" s="616"/>
      <c r="Z289" s="602">
        <f t="shared" si="155"/>
        <v>0</v>
      </c>
      <c r="AA289" s="835"/>
      <c r="AB289" s="602">
        <f t="shared" si="156"/>
        <v>0</v>
      </c>
      <c r="AC289" s="940"/>
      <c r="AD289" s="956"/>
      <c r="AE289" s="956"/>
      <c r="AF289" s="598">
        <v>0</v>
      </c>
      <c r="AG289" s="596"/>
      <c r="AH289" s="728"/>
      <c r="AI289" s="728"/>
      <c r="AJ289" s="729">
        <f t="shared" si="148"/>
        <v>0</v>
      </c>
      <c r="AK289" s="946"/>
      <c r="AL289" s="616"/>
      <c r="AM289" s="602">
        <f t="shared" si="160"/>
        <v>0</v>
      </c>
      <c r="AN289" s="835"/>
      <c r="AO289" s="835">
        <f t="shared" si="164"/>
        <v>0</v>
      </c>
      <c r="AP289" s="940"/>
      <c r="AQ289" s="722">
        <v>0</v>
      </c>
      <c r="AR289" s="728"/>
      <c r="AS289" s="728"/>
      <c r="AT289" s="729">
        <f t="shared" si="137"/>
        <v>0</v>
      </c>
      <c r="AU289" s="946"/>
      <c r="AV289" s="616"/>
      <c r="AW289" s="602">
        <f t="shared" si="157"/>
        <v>0</v>
      </c>
      <c r="AX289" s="940"/>
      <c r="AY289" s="602">
        <f t="shared" si="159"/>
        <v>0</v>
      </c>
      <c r="AZ289" s="940"/>
      <c r="BA289" s="962"/>
      <c r="BB289" s="962"/>
      <c r="BC289" s="611"/>
      <c r="BD289" s="712">
        <v>4</v>
      </c>
      <c r="BE289" s="596">
        <v>0</v>
      </c>
      <c r="BF289" s="596">
        <f t="shared" si="162"/>
        <v>4</v>
      </c>
      <c r="BG289" s="728"/>
      <c r="BH289" s="728"/>
      <c r="BI289" s="729">
        <f t="shared" si="153"/>
        <v>0</v>
      </c>
      <c r="BJ289" s="729"/>
      <c r="BK289" s="616">
        <v>200</v>
      </c>
      <c r="BL289" s="603">
        <f t="shared" si="161"/>
        <v>4</v>
      </c>
      <c r="BM289" s="964"/>
      <c r="BN289" s="602">
        <f t="shared" si="165"/>
        <v>0</v>
      </c>
      <c r="BO289" s="940"/>
      <c r="BP289" s="593">
        <f t="shared" si="149"/>
        <v>0</v>
      </c>
      <c r="BS289" s="741">
        <v>0</v>
      </c>
      <c r="BT289" s="741">
        <v>0</v>
      </c>
      <c r="BU289" s="741">
        <f t="shared" si="140"/>
        <v>0</v>
      </c>
      <c r="BV289" s="741">
        <v>0</v>
      </c>
      <c r="BW289" s="741"/>
      <c r="BX289" s="741">
        <v>0</v>
      </c>
      <c r="BY289" s="741">
        <v>0</v>
      </c>
      <c r="BZ289" s="741">
        <f t="shared" si="154"/>
        <v>0</v>
      </c>
      <c r="CA289" s="741">
        <v>0</v>
      </c>
      <c r="CB289" s="741"/>
      <c r="CC289" s="741">
        <f t="shared" si="141"/>
        <v>0</v>
      </c>
      <c r="CD289" s="751"/>
      <c r="CE289" s="748"/>
      <c r="CF289" s="748"/>
      <c r="CG289" s="748">
        <f t="shared" si="142"/>
        <v>0</v>
      </c>
      <c r="CH289" s="759"/>
      <c r="CI289" s="742"/>
      <c r="CJ289" s="591">
        <f t="shared" si="150"/>
        <v>0</v>
      </c>
    </row>
    <row r="290" spans="1:88" ht="21.6" customHeight="1" x14ac:dyDescent="0.25">
      <c r="A290" s="596" t="s">
        <v>130</v>
      </c>
      <c r="B290" s="596" t="s">
        <v>157</v>
      </c>
      <c r="C290" s="597" t="s">
        <v>162</v>
      </c>
      <c r="D290" s="182" t="s">
        <v>431</v>
      </c>
      <c r="E290" s="598">
        <v>13.666666666666666</v>
      </c>
      <c r="F290" s="596">
        <v>0</v>
      </c>
      <c r="G290" s="598">
        <v>6.333333333333333</v>
      </c>
      <c r="H290" s="596"/>
      <c r="I290" s="596">
        <f t="shared" si="158"/>
        <v>0</v>
      </c>
      <c r="J290" s="728">
        <f>17</f>
        <v>17</v>
      </c>
      <c r="K290" s="728">
        <f>3</f>
        <v>3</v>
      </c>
      <c r="L290" s="731">
        <f t="shared" si="151"/>
        <v>20</v>
      </c>
      <c r="M290" s="947"/>
      <c r="N290" s="617">
        <v>204.94999999999996</v>
      </c>
      <c r="O290" s="602">
        <f t="shared" si="144"/>
        <v>13.66333333333333</v>
      </c>
      <c r="P290" s="940"/>
      <c r="Q290" s="600">
        <f t="shared" si="163"/>
        <v>3.3333333333356308E-3</v>
      </c>
      <c r="R290" s="940"/>
      <c r="S290" s="596">
        <v>0</v>
      </c>
      <c r="T290" s="724"/>
      <c r="U290" s="728"/>
      <c r="V290" s="728"/>
      <c r="W290" s="731">
        <f t="shared" si="152"/>
        <v>0</v>
      </c>
      <c r="X290" s="947"/>
      <c r="Y290" s="616"/>
      <c r="Z290" s="602">
        <f t="shared" si="155"/>
        <v>0</v>
      </c>
      <c r="AA290" s="835"/>
      <c r="AB290" s="602">
        <f t="shared" si="156"/>
        <v>0</v>
      </c>
      <c r="AC290" s="940"/>
      <c r="AD290" s="956"/>
      <c r="AE290" s="956"/>
      <c r="AF290" s="598">
        <v>13</v>
      </c>
      <c r="AG290" s="596"/>
      <c r="AH290" s="728"/>
      <c r="AI290" s="728"/>
      <c r="AJ290" s="729">
        <f t="shared" si="148"/>
        <v>0</v>
      </c>
      <c r="AK290" s="946"/>
      <c r="AL290" s="616">
        <f>110+85</f>
        <v>195</v>
      </c>
      <c r="AM290" s="602">
        <f t="shared" si="160"/>
        <v>13</v>
      </c>
      <c r="AN290" s="835"/>
      <c r="AO290" s="835">
        <f t="shared" si="164"/>
        <v>0</v>
      </c>
      <c r="AP290" s="940"/>
      <c r="AQ290" s="722">
        <v>0</v>
      </c>
      <c r="AR290" s="728"/>
      <c r="AS290" s="728"/>
      <c r="AT290" s="729">
        <f t="shared" si="137"/>
        <v>0</v>
      </c>
      <c r="AU290" s="946"/>
      <c r="AV290" s="616"/>
      <c r="AW290" s="602">
        <f t="shared" si="157"/>
        <v>0</v>
      </c>
      <c r="AX290" s="940"/>
      <c r="AY290" s="602">
        <f t="shared" si="159"/>
        <v>0</v>
      </c>
      <c r="AZ290" s="940"/>
      <c r="BA290" s="962"/>
      <c r="BB290" s="962"/>
      <c r="BC290" s="611"/>
      <c r="BD290" s="712">
        <v>26</v>
      </c>
      <c r="BE290" s="596">
        <v>0</v>
      </c>
      <c r="BF290" s="596">
        <f t="shared" si="162"/>
        <v>26</v>
      </c>
      <c r="BG290" s="728"/>
      <c r="BH290" s="728"/>
      <c r="BI290" s="729">
        <f t="shared" si="153"/>
        <v>0</v>
      </c>
      <c r="BJ290" s="729"/>
      <c r="BK290" s="616">
        <v>1450</v>
      </c>
      <c r="BL290" s="603">
        <f t="shared" si="161"/>
        <v>29</v>
      </c>
      <c r="BM290" s="964"/>
      <c r="BN290" s="602">
        <f t="shared" si="165"/>
        <v>-3</v>
      </c>
      <c r="BO290" s="940"/>
      <c r="BP290" s="593">
        <f t="shared" si="149"/>
        <v>0</v>
      </c>
      <c r="BS290" s="741">
        <v>17</v>
      </c>
      <c r="BT290" s="741">
        <v>3</v>
      </c>
      <c r="BU290" s="741">
        <f t="shared" si="140"/>
        <v>20</v>
      </c>
      <c r="BV290" s="741">
        <v>7.333333333333333</v>
      </c>
      <c r="BW290" s="741"/>
      <c r="BX290" s="741">
        <v>0</v>
      </c>
      <c r="BY290" s="741">
        <v>0</v>
      </c>
      <c r="BZ290" s="741">
        <f t="shared" si="154"/>
        <v>0</v>
      </c>
      <c r="CA290" s="741">
        <v>13</v>
      </c>
      <c r="CB290" s="741"/>
      <c r="CC290" s="741">
        <f t="shared" si="141"/>
        <v>20.333333333333332</v>
      </c>
      <c r="CD290" s="751"/>
      <c r="CE290" s="748"/>
      <c r="CF290" s="748"/>
      <c r="CG290" s="748">
        <f t="shared" si="142"/>
        <v>0</v>
      </c>
      <c r="CH290" s="759"/>
      <c r="CI290" s="742"/>
      <c r="CJ290" s="591">
        <f t="shared" si="150"/>
        <v>-2.9966666666666644</v>
      </c>
    </row>
    <row r="291" spans="1:88" ht="21.6" customHeight="1" x14ac:dyDescent="0.25">
      <c r="A291" s="596" t="s">
        <v>130</v>
      </c>
      <c r="B291" s="596" t="s">
        <v>157</v>
      </c>
      <c r="C291" s="597" t="s">
        <v>163</v>
      </c>
      <c r="D291" s="176" t="s">
        <v>431</v>
      </c>
      <c r="E291" s="598">
        <v>38.666666666666664</v>
      </c>
      <c r="F291" s="596">
        <v>0</v>
      </c>
      <c r="G291" s="598">
        <v>38.666666666666664</v>
      </c>
      <c r="H291" s="596"/>
      <c r="I291" s="596">
        <f t="shared" si="158"/>
        <v>0</v>
      </c>
      <c r="J291" s="728">
        <f>10+17+17+16+8+15</f>
        <v>83</v>
      </c>
      <c r="K291" s="728">
        <f>4+3+3+4+1+4</f>
        <v>19</v>
      </c>
      <c r="L291" s="731">
        <f t="shared" si="151"/>
        <v>102</v>
      </c>
      <c r="M291" s="947"/>
      <c r="N291" s="617">
        <v>580</v>
      </c>
      <c r="O291" s="602">
        <f t="shared" si="144"/>
        <v>38.666666666666664</v>
      </c>
      <c r="P291" s="940"/>
      <c r="Q291" s="600">
        <f t="shared" si="163"/>
        <v>0</v>
      </c>
      <c r="R291" s="940"/>
      <c r="S291" s="596">
        <v>0</v>
      </c>
      <c r="T291" s="724"/>
      <c r="U291" s="728"/>
      <c r="V291" s="728"/>
      <c r="W291" s="731">
        <f t="shared" si="152"/>
        <v>0</v>
      </c>
      <c r="X291" s="947"/>
      <c r="Y291" s="616"/>
      <c r="Z291" s="602">
        <f t="shared" si="155"/>
        <v>0</v>
      </c>
      <c r="AA291" s="835"/>
      <c r="AB291" s="602">
        <f t="shared" si="156"/>
        <v>0</v>
      </c>
      <c r="AC291" s="940"/>
      <c r="AD291" s="956"/>
      <c r="AE291" s="956"/>
      <c r="AF291" s="598">
        <v>37</v>
      </c>
      <c r="AG291" s="596"/>
      <c r="AH291" s="728">
        <f>16+4+13+17+11+8+5</f>
        <v>74</v>
      </c>
      <c r="AI291" s="728">
        <f>3+1+7+3+2+1+1</f>
        <v>18</v>
      </c>
      <c r="AJ291" s="729">
        <f t="shared" ref="AJ291:AJ322" si="166">AH291+AI291</f>
        <v>92</v>
      </c>
      <c r="AK291" s="946"/>
      <c r="AL291" s="616">
        <f>75+25+189+66+75+50+75</f>
        <v>555</v>
      </c>
      <c r="AM291" s="602">
        <f t="shared" si="160"/>
        <v>37</v>
      </c>
      <c r="AN291" s="835"/>
      <c r="AO291" s="835">
        <f t="shared" si="164"/>
        <v>0</v>
      </c>
      <c r="AP291" s="940"/>
      <c r="AQ291" s="722">
        <v>0</v>
      </c>
      <c r="AR291" s="728"/>
      <c r="AS291" s="728"/>
      <c r="AT291" s="729">
        <f t="shared" ref="AT291:AT354" si="167">AR291+AS291</f>
        <v>0</v>
      </c>
      <c r="AU291" s="946"/>
      <c r="AV291" s="616"/>
      <c r="AW291" s="602">
        <f t="shared" si="157"/>
        <v>0</v>
      </c>
      <c r="AX291" s="940"/>
      <c r="AY291" s="602">
        <f t="shared" si="159"/>
        <v>0</v>
      </c>
      <c r="AZ291" s="940"/>
      <c r="BA291" s="962"/>
      <c r="BB291" s="962"/>
      <c r="BC291" s="611"/>
      <c r="BD291" s="712">
        <v>75</v>
      </c>
      <c r="BE291" s="596">
        <v>0</v>
      </c>
      <c r="BF291" s="596">
        <f t="shared" si="162"/>
        <v>75</v>
      </c>
      <c r="BG291" s="728"/>
      <c r="BH291" s="728"/>
      <c r="BI291" s="729">
        <f t="shared" si="153"/>
        <v>0</v>
      </c>
      <c r="BJ291" s="729"/>
      <c r="BK291" s="616">
        <v>3800</v>
      </c>
      <c r="BL291" s="603">
        <f t="shared" si="161"/>
        <v>76</v>
      </c>
      <c r="BM291" s="964"/>
      <c r="BN291" s="602">
        <f t="shared" si="165"/>
        <v>-1</v>
      </c>
      <c r="BO291" s="940"/>
      <c r="BP291" s="593">
        <f t="shared" ref="BP291:BP322" si="168">BO291+AZ291+AP291+AC291+R291</f>
        <v>0</v>
      </c>
      <c r="BS291" s="741">
        <v>0</v>
      </c>
      <c r="BT291" s="741">
        <v>0</v>
      </c>
      <c r="BU291" s="741">
        <f t="shared" ref="BU291:BU354" si="169">BS291+BT291</f>
        <v>0</v>
      </c>
      <c r="BV291" s="741">
        <v>0</v>
      </c>
      <c r="BW291" s="741"/>
      <c r="BX291" s="741">
        <v>0</v>
      </c>
      <c r="BY291" s="741">
        <v>0</v>
      </c>
      <c r="BZ291" s="741">
        <f t="shared" si="154"/>
        <v>0</v>
      </c>
      <c r="CA291" s="741">
        <v>32</v>
      </c>
      <c r="CB291" s="741"/>
      <c r="CC291" s="741">
        <f t="shared" ref="CC291:CC354" si="170">BV291+CA291</f>
        <v>32</v>
      </c>
      <c r="CD291" s="751"/>
      <c r="CE291" s="748"/>
      <c r="CF291" s="748"/>
      <c r="CG291" s="748">
        <f t="shared" ref="CG291:CG354" si="171">CE291+CF291</f>
        <v>0</v>
      </c>
      <c r="CH291" s="759"/>
      <c r="CI291" s="742"/>
      <c r="CJ291" s="591">
        <f t="shared" ref="CJ291:CJ322" si="172">BN291+AY291+AO291+AB291+Q291</f>
        <v>-1</v>
      </c>
    </row>
    <row r="292" spans="1:88" ht="21.6" customHeight="1" x14ac:dyDescent="0.25">
      <c r="A292" s="596" t="s">
        <v>130</v>
      </c>
      <c r="B292" s="596" t="s">
        <v>157</v>
      </c>
      <c r="C292" s="597" t="s">
        <v>164</v>
      </c>
      <c r="D292" s="182" t="s">
        <v>431</v>
      </c>
      <c r="E292" s="598">
        <v>21.666666666666668</v>
      </c>
      <c r="F292" s="596">
        <v>0</v>
      </c>
      <c r="G292" s="598">
        <v>21.666666666666668</v>
      </c>
      <c r="H292" s="596"/>
      <c r="I292" s="596">
        <f t="shared" si="158"/>
        <v>0</v>
      </c>
      <c r="J292" s="728">
        <f>5+6+16+15</f>
        <v>42</v>
      </c>
      <c r="K292" s="728">
        <f>3+0+2+4</f>
        <v>9</v>
      </c>
      <c r="L292" s="731">
        <f t="shared" si="151"/>
        <v>51</v>
      </c>
      <c r="M292" s="947"/>
      <c r="N292" s="617">
        <v>325</v>
      </c>
      <c r="O292" s="602">
        <f t="shared" si="144"/>
        <v>21.666666666666668</v>
      </c>
      <c r="P292" s="940"/>
      <c r="Q292" s="600">
        <f t="shared" si="163"/>
        <v>0</v>
      </c>
      <c r="R292" s="940"/>
      <c r="S292" s="596">
        <v>0</v>
      </c>
      <c r="T292" s="724"/>
      <c r="U292" s="728"/>
      <c r="V292" s="728"/>
      <c r="W292" s="731">
        <f t="shared" si="152"/>
        <v>0</v>
      </c>
      <c r="X292" s="947"/>
      <c r="Y292" s="616"/>
      <c r="Z292" s="602">
        <f t="shared" si="155"/>
        <v>0</v>
      </c>
      <c r="AA292" s="835"/>
      <c r="AB292" s="602">
        <f t="shared" si="156"/>
        <v>0</v>
      </c>
      <c r="AC292" s="940"/>
      <c r="AD292" s="956"/>
      <c r="AE292" s="956"/>
      <c r="AF292" s="598">
        <v>5</v>
      </c>
      <c r="AG292" s="596"/>
      <c r="AH292" s="728"/>
      <c r="AI292" s="728"/>
      <c r="AJ292" s="729">
        <f t="shared" si="166"/>
        <v>0</v>
      </c>
      <c r="AK292" s="946"/>
      <c r="AL292" s="616">
        <v>75</v>
      </c>
      <c r="AM292" s="602">
        <f t="shared" si="160"/>
        <v>5</v>
      </c>
      <c r="AN292" s="835"/>
      <c r="AO292" s="835">
        <f t="shared" si="164"/>
        <v>0</v>
      </c>
      <c r="AP292" s="940"/>
      <c r="AQ292" s="722">
        <v>0</v>
      </c>
      <c r="AR292" s="728"/>
      <c r="AS292" s="728"/>
      <c r="AT292" s="729">
        <f t="shared" si="167"/>
        <v>0</v>
      </c>
      <c r="AU292" s="946"/>
      <c r="AV292" s="616"/>
      <c r="AW292" s="602">
        <f t="shared" si="157"/>
        <v>0</v>
      </c>
      <c r="AX292" s="940"/>
      <c r="AY292" s="602">
        <f t="shared" si="159"/>
        <v>0</v>
      </c>
      <c r="AZ292" s="940"/>
      <c r="BA292" s="962"/>
      <c r="BB292" s="962"/>
      <c r="BC292" s="611"/>
      <c r="BD292" s="712">
        <v>27</v>
      </c>
      <c r="BE292" s="596">
        <v>27</v>
      </c>
      <c r="BF292" s="596">
        <f t="shared" si="162"/>
        <v>0</v>
      </c>
      <c r="BG292" s="728"/>
      <c r="BH292" s="728"/>
      <c r="BI292" s="729">
        <f t="shared" si="153"/>
        <v>0</v>
      </c>
      <c r="BJ292" s="729"/>
      <c r="BK292" s="616">
        <v>1450</v>
      </c>
      <c r="BL292" s="603">
        <f t="shared" si="161"/>
        <v>29</v>
      </c>
      <c r="BM292" s="964"/>
      <c r="BN292" s="602">
        <f t="shared" si="165"/>
        <v>-2</v>
      </c>
      <c r="BO292" s="940"/>
      <c r="BP292" s="593">
        <f t="shared" si="168"/>
        <v>0</v>
      </c>
      <c r="BS292" s="741">
        <v>0</v>
      </c>
      <c r="BT292" s="741">
        <v>0</v>
      </c>
      <c r="BU292" s="741">
        <f t="shared" si="169"/>
        <v>0</v>
      </c>
      <c r="BV292" s="741">
        <v>0</v>
      </c>
      <c r="BW292" s="741"/>
      <c r="BX292" s="741">
        <v>0</v>
      </c>
      <c r="BY292" s="741">
        <v>0</v>
      </c>
      <c r="BZ292" s="741">
        <f t="shared" si="154"/>
        <v>0</v>
      </c>
      <c r="CA292" s="741">
        <v>5</v>
      </c>
      <c r="CB292" s="741"/>
      <c r="CC292" s="741">
        <f t="shared" si="170"/>
        <v>5</v>
      </c>
      <c r="CD292" s="751"/>
      <c r="CE292" s="748"/>
      <c r="CF292" s="748"/>
      <c r="CG292" s="748">
        <f t="shared" si="171"/>
        <v>0</v>
      </c>
      <c r="CH292" s="759"/>
      <c r="CI292" s="742"/>
      <c r="CJ292" s="591">
        <f t="shared" si="172"/>
        <v>-2</v>
      </c>
    </row>
    <row r="293" spans="1:88" ht="21.6" customHeight="1" x14ac:dyDescent="0.25">
      <c r="A293" s="596" t="s">
        <v>130</v>
      </c>
      <c r="B293" s="596" t="s">
        <v>157</v>
      </c>
      <c r="C293" s="597" t="s">
        <v>165</v>
      </c>
      <c r="D293" s="182" t="s">
        <v>431</v>
      </c>
      <c r="E293" s="598">
        <v>5</v>
      </c>
      <c r="F293" s="596">
        <v>0</v>
      </c>
      <c r="G293" s="598">
        <v>5</v>
      </c>
      <c r="H293" s="596"/>
      <c r="I293" s="596">
        <f t="shared" si="158"/>
        <v>0</v>
      </c>
      <c r="J293" s="728">
        <f>14</f>
        <v>14</v>
      </c>
      <c r="K293" s="728">
        <f>0</f>
        <v>0</v>
      </c>
      <c r="L293" s="731">
        <f t="shared" si="151"/>
        <v>14</v>
      </c>
      <c r="M293" s="947"/>
      <c r="N293" s="617">
        <v>75</v>
      </c>
      <c r="O293" s="602">
        <f t="shared" si="144"/>
        <v>5</v>
      </c>
      <c r="P293" s="940"/>
      <c r="Q293" s="600">
        <f t="shared" si="163"/>
        <v>0</v>
      </c>
      <c r="R293" s="940"/>
      <c r="S293" s="596">
        <v>0</v>
      </c>
      <c r="T293" s="724"/>
      <c r="U293" s="728"/>
      <c r="V293" s="728"/>
      <c r="W293" s="731">
        <f t="shared" si="152"/>
        <v>0</v>
      </c>
      <c r="X293" s="947"/>
      <c r="Y293" s="616"/>
      <c r="Z293" s="602">
        <f t="shared" si="155"/>
        <v>0</v>
      </c>
      <c r="AA293" s="835"/>
      <c r="AB293" s="602">
        <f t="shared" si="156"/>
        <v>0</v>
      </c>
      <c r="AC293" s="940"/>
      <c r="AD293" s="956"/>
      <c r="AE293" s="956"/>
      <c r="AF293" s="598">
        <v>0</v>
      </c>
      <c r="AG293" s="596"/>
      <c r="AH293" s="728"/>
      <c r="AI293" s="728"/>
      <c r="AJ293" s="729">
        <f t="shared" si="166"/>
        <v>0</v>
      </c>
      <c r="AK293" s="946"/>
      <c r="AL293" s="616"/>
      <c r="AM293" s="602">
        <f t="shared" si="160"/>
        <v>0</v>
      </c>
      <c r="AN293" s="835"/>
      <c r="AO293" s="835">
        <f t="shared" si="164"/>
        <v>0</v>
      </c>
      <c r="AP293" s="940"/>
      <c r="AQ293" s="722">
        <v>0</v>
      </c>
      <c r="AR293" s="728"/>
      <c r="AS293" s="728"/>
      <c r="AT293" s="729">
        <f t="shared" si="167"/>
        <v>0</v>
      </c>
      <c r="AU293" s="946"/>
      <c r="AV293" s="616"/>
      <c r="AW293" s="602">
        <f t="shared" si="157"/>
        <v>0</v>
      </c>
      <c r="AX293" s="940"/>
      <c r="AY293" s="602">
        <f t="shared" si="159"/>
        <v>0</v>
      </c>
      <c r="AZ293" s="940"/>
      <c r="BA293" s="962"/>
      <c r="BB293" s="962"/>
      <c r="BC293" s="611"/>
      <c r="BD293" s="712">
        <v>5</v>
      </c>
      <c r="BE293" s="596">
        <v>0</v>
      </c>
      <c r="BF293" s="596">
        <f t="shared" si="162"/>
        <v>5</v>
      </c>
      <c r="BG293" s="728"/>
      <c r="BH293" s="728"/>
      <c r="BI293" s="729">
        <f t="shared" si="153"/>
        <v>0</v>
      </c>
      <c r="BJ293" s="729"/>
      <c r="BK293" s="616">
        <v>250</v>
      </c>
      <c r="BL293" s="603">
        <f t="shared" si="161"/>
        <v>5</v>
      </c>
      <c r="BM293" s="964"/>
      <c r="BN293" s="602">
        <f t="shared" si="165"/>
        <v>0</v>
      </c>
      <c r="BO293" s="940"/>
      <c r="BP293" s="593">
        <f t="shared" si="168"/>
        <v>0</v>
      </c>
      <c r="BS293" s="741">
        <v>0</v>
      </c>
      <c r="BT293" s="741">
        <v>0</v>
      </c>
      <c r="BU293" s="741">
        <f t="shared" si="169"/>
        <v>0</v>
      </c>
      <c r="BV293" s="741">
        <v>0</v>
      </c>
      <c r="BW293" s="741"/>
      <c r="BX293" s="741">
        <v>0</v>
      </c>
      <c r="BY293" s="741">
        <v>0</v>
      </c>
      <c r="BZ293" s="741">
        <f t="shared" si="154"/>
        <v>0</v>
      </c>
      <c r="CA293" s="741">
        <v>0</v>
      </c>
      <c r="CB293" s="741"/>
      <c r="CC293" s="741">
        <f t="shared" si="170"/>
        <v>0</v>
      </c>
      <c r="CD293" s="751"/>
      <c r="CE293" s="748"/>
      <c r="CF293" s="748"/>
      <c r="CG293" s="748">
        <f t="shared" si="171"/>
        <v>0</v>
      </c>
      <c r="CH293" s="759"/>
      <c r="CI293" s="742"/>
      <c r="CJ293" s="591">
        <f t="shared" si="172"/>
        <v>0</v>
      </c>
    </row>
    <row r="294" spans="1:88" ht="21.6" customHeight="1" x14ac:dyDescent="0.25">
      <c r="A294" s="596" t="s">
        <v>130</v>
      </c>
      <c r="B294" s="596" t="s">
        <v>157</v>
      </c>
      <c r="C294" s="597" t="s">
        <v>166</v>
      </c>
      <c r="D294" s="182" t="s">
        <v>431</v>
      </c>
      <c r="E294" s="598">
        <v>22.333333333333332</v>
      </c>
      <c r="F294" s="596">
        <v>0</v>
      </c>
      <c r="G294" s="598">
        <v>22.333333333333332</v>
      </c>
      <c r="H294" s="596"/>
      <c r="I294" s="596">
        <f t="shared" si="158"/>
        <v>0</v>
      </c>
      <c r="J294" s="728">
        <f>5+2+11+8</f>
        <v>26</v>
      </c>
      <c r="K294" s="728">
        <f>5+0+4+12</f>
        <v>21</v>
      </c>
      <c r="L294" s="731">
        <f t="shared" si="151"/>
        <v>47</v>
      </c>
      <c r="M294" s="947"/>
      <c r="N294" s="617">
        <v>335</v>
      </c>
      <c r="O294" s="602">
        <f t="shared" si="144"/>
        <v>22.333333333333332</v>
      </c>
      <c r="P294" s="940"/>
      <c r="Q294" s="600">
        <f t="shared" si="163"/>
        <v>0</v>
      </c>
      <c r="R294" s="940"/>
      <c r="S294" s="596">
        <v>0</v>
      </c>
      <c r="T294" s="724"/>
      <c r="U294" s="728"/>
      <c r="V294" s="728"/>
      <c r="W294" s="731">
        <f t="shared" si="152"/>
        <v>0</v>
      </c>
      <c r="X294" s="947"/>
      <c r="Y294" s="616"/>
      <c r="Z294" s="602">
        <f t="shared" si="155"/>
        <v>0</v>
      </c>
      <c r="AA294" s="835"/>
      <c r="AB294" s="602">
        <f t="shared" si="156"/>
        <v>0</v>
      </c>
      <c r="AC294" s="940"/>
      <c r="AD294" s="956"/>
      <c r="AE294" s="956"/>
      <c r="AF294" s="598">
        <v>5</v>
      </c>
      <c r="AG294" s="596"/>
      <c r="AH294" s="728"/>
      <c r="AI294" s="728"/>
      <c r="AJ294" s="729">
        <f t="shared" si="166"/>
        <v>0</v>
      </c>
      <c r="AK294" s="946"/>
      <c r="AL294" s="616">
        <f>22.5+52.5</f>
        <v>75</v>
      </c>
      <c r="AM294" s="602">
        <f t="shared" si="160"/>
        <v>5</v>
      </c>
      <c r="AN294" s="835"/>
      <c r="AO294" s="835">
        <f t="shared" si="164"/>
        <v>0</v>
      </c>
      <c r="AP294" s="940"/>
      <c r="AQ294" s="722">
        <v>0</v>
      </c>
      <c r="AR294" s="728"/>
      <c r="AS294" s="728"/>
      <c r="AT294" s="729">
        <f t="shared" si="167"/>
        <v>0</v>
      </c>
      <c r="AU294" s="946"/>
      <c r="AV294" s="616"/>
      <c r="AW294" s="602">
        <f t="shared" si="157"/>
        <v>0</v>
      </c>
      <c r="AX294" s="940"/>
      <c r="AY294" s="602">
        <f t="shared" si="159"/>
        <v>0</v>
      </c>
      <c r="AZ294" s="940"/>
      <c r="BA294" s="962"/>
      <c r="BB294" s="962"/>
      <c r="BC294" s="611"/>
      <c r="BD294" s="712">
        <v>27</v>
      </c>
      <c r="BE294" s="596">
        <v>20</v>
      </c>
      <c r="BF294" s="596">
        <f t="shared" si="162"/>
        <v>7</v>
      </c>
      <c r="BG294" s="728"/>
      <c r="BH294" s="728"/>
      <c r="BI294" s="729">
        <f t="shared" si="153"/>
        <v>0</v>
      </c>
      <c r="BJ294" s="729"/>
      <c r="BK294" s="616">
        <v>1450</v>
      </c>
      <c r="BL294" s="603">
        <f t="shared" si="161"/>
        <v>29</v>
      </c>
      <c r="BM294" s="964"/>
      <c r="BN294" s="602">
        <f t="shared" si="165"/>
        <v>-2</v>
      </c>
      <c r="BO294" s="940"/>
      <c r="BP294" s="593">
        <f t="shared" si="168"/>
        <v>0</v>
      </c>
      <c r="BS294" s="741">
        <v>0</v>
      </c>
      <c r="BT294" s="741">
        <v>0</v>
      </c>
      <c r="BU294" s="741">
        <f t="shared" si="169"/>
        <v>0</v>
      </c>
      <c r="BV294" s="741">
        <v>0</v>
      </c>
      <c r="BW294" s="741"/>
      <c r="BX294" s="741">
        <v>0</v>
      </c>
      <c r="BY294" s="741">
        <v>0</v>
      </c>
      <c r="BZ294" s="741">
        <f t="shared" si="154"/>
        <v>0</v>
      </c>
      <c r="CA294" s="741">
        <v>5</v>
      </c>
      <c r="CB294" s="741"/>
      <c r="CC294" s="741">
        <f t="shared" si="170"/>
        <v>5</v>
      </c>
      <c r="CD294" s="751"/>
      <c r="CE294" s="748"/>
      <c r="CF294" s="748"/>
      <c r="CG294" s="748">
        <f t="shared" si="171"/>
        <v>0</v>
      </c>
      <c r="CH294" s="759"/>
      <c r="CI294" s="742"/>
      <c r="CJ294" s="591">
        <f t="shared" si="172"/>
        <v>-2</v>
      </c>
    </row>
    <row r="295" spans="1:88" ht="21.6" customHeight="1" x14ac:dyDescent="0.25">
      <c r="A295" s="596" t="s">
        <v>130</v>
      </c>
      <c r="B295" s="596" t="s">
        <v>157</v>
      </c>
      <c r="C295" s="597" t="s">
        <v>167</v>
      </c>
      <c r="D295" s="182" t="s">
        <v>437</v>
      </c>
      <c r="E295" s="598">
        <v>12.333333333333334</v>
      </c>
      <c r="F295" s="596">
        <v>0</v>
      </c>
      <c r="G295" s="598">
        <v>12.333333333333334</v>
      </c>
      <c r="H295" s="596"/>
      <c r="I295" s="596">
        <f t="shared" si="158"/>
        <v>0</v>
      </c>
      <c r="J295" s="728">
        <f>19+5+2</f>
        <v>26</v>
      </c>
      <c r="K295" s="728">
        <f>1+4+2</f>
        <v>7</v>
      </c>
      <c r="L295" s="731">
        <f t="shared" si="151"/>
        <v>33</v>
      </c>
      <c r="M295" s="947"/>
      <c r="N295" s="617">
        <f>25+120+40</f>
        <v>185</v>
      </c>
      <c r="O295" s="602">
        <f t="shared" ref="O295:O358" si="173">N295/15</f>
        <v>12.333333333333334</v>
      </c>
      <c r="P295" s="940"/>
      <c r="Q295" s="600">
        <f t="shared" si="163"/>
        <v>0</v>
      </c>
      <c r="R295" s="940"/>
      <c r="S295" s="596">
        <v>0</v>
      </c>
      <c r="T295" s="724"/>
      <c r="U295" s="728"/>
      <c r="V295" s="728"/>
      <c r="W295" s="731">
        <f t="shared" si="152"/>
        <v>0</v>
      </c>
      <c r="X295" s="947"/>
      <c r="Y295" s="616"/>
      <c r="Z295" s="602">
        <f t="shared" si="155"/>
        <v>0</v>
      </c>
      <c r="AA295" s="835"/>
      <c r="AB295" s="602">
        <f t="shared" si="156"/>
        <v>0</v>
      </c>
      <c r="AC295" s="940"/>
      <c r="AD295" s="956"/>
      <c r="AE295" s="956"/>
      <c r="AF295" s="598">
        <v>4.666666666666667</v>
      </c>
      <c r="AG295" s="596"/>
      <c r="AH295" s="728"/>
      <c r="AI295" s="728"/>
      <c r="AJ295" s="729">
        <f t="shared" si="166"/>
        <v>0</v>
      </c>
      <c r="AK295" s="946"/>
      <c r="AL295" s="616">
        <v>70</v>
      </c>
      <c r="AM295" s="602">
        <f t="shared" si="160"/>
        <v>4.666666666666667</v>
      </c>
      <c r="AN295" s="835"/>
      <c r="AO295" s="835">
        <f t="shared" si="164"/>
        <v>0</v>
      </c>
      <c r="AP295" s="940"/>
      <c r="AQ295" s="722">
        <v>0</v>
      </c>
      <c r="AR295" s="728"/>
      <c r="AS295" s="728"/>
      <c r="AT295" s="729">
        <f t="shared" si="167"/>
        <v>0</v>
      </c>
      <c r="AU295" s="946"/>
      <c r="AV295" s="616"/>
      <c r="AW295" s="602">
        <f t="shared" si="157"/>
        <v>0</v>
      </c>
      <c r="AX295" s="940"/>
      <c r="AY295" s="602">
        <f t="shared" si="159"/>
        <v>0</v>
      </c>
      <c r="AZ295" s="940"/>
      <c r="BA295" s="962"/>
      <c r="BB295" s="962"/>
      <c r="BC295" s="611"/>
      <c r="BD295" s="712">
        <v>17</v>
      </c>
      <c r="BE295" s="596">
        <v>0</v>
      </c>
      <c r="BF295" s="596">
        <f t="shared" si="162"/>
        <v>17</v>
      </c>
      <c r="BG295" s="728">
        <f>2</f>
        <v>2</v>
      </c>
      <c r="BH295" s="728">
        <f>1</f>
        <v>1</v>
      </c>
      <c r="BI295" s="729">
        <f t="shared" si="153"/>
        <v>3</v>
      </c>
      <c r="BJ295" s="729"/>
      <c r="BK295" s="616">
        <f>750+100</f>
        <v>850</v>
      </c>
      <c r="BL295" s="603">
        <f t="shared" si="161"/>
        <v>17</v>
      </c>
      <c r="BM295" s="964"/>
      <c r="BN295" s="602">
        <f t="shared" si="165"/>
        <v>0</v>
      </c>
      <c r="BO295" s="940"/>
      <c r="BP295" s="593">
        <f t="shared" si="168"/>
        <v>0</v>
      </c>
      <c r="BS295" s="741">
        <v>0</v>
      </c>
      <c r="BT295" s="741">
        <v>0</v>
      </c>
      <c r="BU295" s="741">
        <f t="shared" si="169"/>
        <v>0</v>
      </c>
      <c r="BV295" s="741">
        <v>0</v>
      </c>
      <c r="BW295" s="741"/>
      <c r="BX295" s="741">
        <v>0</v>
      </c>
      <c r="BY295" s="741">
        <v>0</v>
      </c>
      <c r="BZ295" s="741">
        <f t="shared" si="154"/>
        <v>0</v>
      </c>
      <c r="CA295" s="741">
        <v>4.666666666666667</v>
      </c>
      <c r="CB295" s="741"/>
      <c r="CC295" s="741">
        <f t="shared" si="170"/>
        <v>4.666666666666667</v>
      </c>
      <c r="CD295" s="751"/>
      <c r="CE295" s="748"/>
      <c r="CF295" s="748"/>
      <c r="CG295" s="748">
        <f t="shared" si="171"/>
        <v>0</v>
      </c>
      <c r="CH295" s="759"/>
      <c r="CI295" s="742"/>
      <c r="CJ295" s="591">
        <f t="shared" si="172"/>
        <v>0</v>
      </c>
    </row>
    <row r="296" spans="1:88" ht="21.6" customHeight="1" x14ac:dyDescent="0.25">
      <c r="A296" s="596" t="s">
        <v>130</v>
      </c>
      <c r="B296" s="596" t="s">
        <v>157</v>
      </c>
      <c r="C296" s="597" t="s">
        <v>168</v>
      </c>
      <c r="D296" s="167" t="s">
        <v>431</v>
      </c>
      <c r="E296" s="598">
        <v>11.333333333333334</v>
      </c>
      <c r="F296" s="596">
        <v>0</v>
      </c>
      <c r="G296" s="598">
        <v>11.333333333333334</v>
      </c>
      <c r="H296" s="596"/>
      <c r="I296" s="596">
        <f t="shared" si="158"/>
        <v>0</v>
      </c>
      <c r="J296" s="728">
        <f>3+13</f>
        <v>16</v>
      </c>
      <c r="K296" s="728">
        <f>4+5</f>
        <v>9</v>
      </c>
      <c r="L296" s="731">
        <f t="shared" si="151"/>
        <v>25</v>
      </c>
      <c r="M296" s="947"/>
      <c r="N296" s="617">
        <v>170</v>
      </c>
      <c r="O296" s="602">
        <f t="shared" si="173"/>
        <v>11.333333333333334</v>
      </c>
      <c r="P296" s="940"/>
      <c r="Q296" s="600">
        <f t="shared" si="163"/>
        <v>0</v>
      </c>
      <c r="R296" s="940"/>
      <c r="S296" s="596">
        <v>0</v>
      </c>
      <c r="T296" s="724"/>
      <c r="U296" s="728"/>
      <c r="V296" s="728"/>
      <c r="W296" s="731">
        <f t="shared" si="152"/>
        <v>0</v>
      </c>
      <c r="X296" s="947"/>
      <c r="Y296" s="616"/>
      <c r="Z296" s="602">
        <f t="shared" si="155"/>
        <v>0</v>
      </c>
      <c r="AA296" s="835"/>
      <c r="AB296" s="602">
        <f t="shared" si="156"/>
        <v>0</v>
      </c>
      <c r="AC296" s="940"/>
      <c r="AD296" s="956"/>
      <c r="AE296" s="956"/>
      <c r="AF296" s="598">
        <v>0</v>
      </c>
      <c r="AG296" s="596"/>
      <c r="AH296" s="728"/>
      <c r="AI296" s="728"/>
      <c r="AJ296" s="729">
        <f t="shared" si="166"/>
        <v>0</v>
      </c>
      <c r="AK296" s="946"/>
      <c r="AL296" s="616"/>
      <c r="AM296" s="602">
        <f t="shared" si="160"/>
        <v>0</v>
      </c>
      <c r="AN296" s="835"/>
      <c r="AO296" s="835">
        <f t="shared" si="164"/>
        <v>0</v>
      </c>
      <c r="AP296" s="940"/>
      <c r="AQ296" s="722">
        <v>0</v>
      </c>
      <c r="AR296" s="728"/>
      <c r="AS296" s="728"/>
      <c r="AT296" s="729">
        <f t="shared" si="167"/>
        <v>0</v>
      </c>
      <c r="AU296" s="946"/>
      <c r="AV296" s="616"/>
      <c r="AW296" s="602">
        <f t="shared" si="157"/>
        <v>0</v>
      </c>
      <c r="AX296" s="940"/>
      <c r="AY296" s="602">
        <f t="shared" si="159"/>
        <v>0</v>
      </c>
      <c r="AZ296" s="940"/>
      <c r="BA296" s="962"/>
      <c r="BB296" s="962"/>
      <c r="BC296" s="611"/>
      <c r="BD296" s="712">
        <v>11</v>
      </c>
      <c r="BE296" s="596">
        <v>0</v>
      </c>
      <c r="BF296" s="596">
        <f t="shared" si="162"/>
        <v>11</v>
      </c>
      <c r="BG296" s="728">
        <v>15</v>
      </c>
      <c r="BH296" s="728">
        <v>10</v>
      </c>
      <c r="BI296" s="729">
        <f t="shared" si="153"/>
        <v>25</v>
      </c>
      <c r="BJ296" s="729"/>
      <c r="BK296" s="616">
        <f>370+185</f>
        <v>555</v>
      </c>
      <c r="BL296" s="603">
        <f t="shared" si="161"/>
        <v>11.1</v>
      </c>
      <c r="BM296" s="964"/>
      <c r="BN296" s="602">
        <f t="shared" si="165"/>
        <v>-9.9999999999999645E-2</v>
      </c>
      <c r="BO296" s="940"/>
      <c r="BP296" s="593">
        <f t="shared" si="168"/>
        <v>0</v>
      </c>
      <c r="BS296" s="741">
        <v>0</v>
      </c>
      <c r="BT296" s="741">
        <v>0</v>
      </c>
      <c r="BU296" s="741">
        <f t="shared" si="169"/>
        <v>0</v>
      </c>
      <c r="BV296" s="741">
        <v>0</v>
      </c>
      <c r="BW296" s="741"/>
      <c r="BX296" s="741">
        <v>0</v>
      </c>
      <c r="BY296" s="741">
        <v>0</v>
      </c>
      <c r="BZ296" s="741">
        <f t="shared" si="154"/>
        <v>0</v>
      </c>
      <c r="CA296" s="741">
        <v>0</v>
      </c>
      <c r="CB296" s="741"/>
      <c r="CC296" s="741">
        <f t="shared" si="170"/>
        <v>0</v>
      </c>
      <c r="CD296" s="751"/>
      <c r="CE296" s="748"/>
      <c r="CF296" s="748"/>
      <c r="CG296" s="748">
        <f t="shared" si="171"/>
        <v>0</v>
      </c>
      <c r="CH296" s="759"/>
      <c r="CI296" s="742"/>
      <c r="CJ296" s="591">
        <f t="shared" si="172"/>
        <v>-9.9999999999999645E-2</v>
      </c>
    </row>
    <row r="297" spans="1:88" ht="21.6" customHeight="1" x14ac:dyDescent="0.25">
      <c r="A297" s="596" t="s">
        <v>130</v>
      </c>
      <c r="B297" s="596" t="s">
        <v>157</v>
      </c>
      <c r="C297" s="597" t="s">
        <v>169</v>
      </c>
      <c r="D297" s="182" t="s">
        <v>431</v>
      </c>
      <c r="E297" s="598">
        <v>13</v>
      </c>
      <c r="F297" s="596">
        <v>0</v>
      </c>
      <c r="G297" s="598">
        <v>13</v>
      </c>
      <c r="H297" s="596"/>
      <c r="I297" s="596">
        <f t="shared" si="158"/>
        <v>0</v>
      </c>
      <c r="J297" s="728">
        <f>10+6</f>
        <v>16</v>
      </c>
      <c r="K297" s="728">
        <f>7+2</f>
        <v>9</v>
      </c>
      <c r="L297" s="731">
        <f t="shared" si="151"/>
        <v>25</v>
      </c>
      <c r="M297" s="947"/>
      <c r="N297" s="617">
        <v>195</v>
      </c>
      <c r="O297" s="602">
        <f t="shared" si="173"/>
        <v>13</v>
      </c>
      <c r="P297" s="940"/>
      <c r="Q297" s="600">
        <f t="shared" si="163"/>
        <v>0</v>
      </c>
      <c r="R297" s="940"/>
      <c r="S297" s="596">
        <v>0</v>
      </c>
      <c r="T297" s="724"/>
      <c r="U297" s="728"/>
      <c r="V297" s="728"/>
      <c r="W297" s="731">
        <f t="shared" si="152"/>
        <v>0</v>
      </c>
      <c r="X297" s="947"/>
      <c r="Y297" s="616"/>
      <c r="Z297" s="602">
        <f t="shared" si="155"/>
        <v>0</v>
      </c>
      <c r="AA297" s="835"/>
      <c r="AB297" s="602">
        <f t="shared" si="156"/>
        <v>0</v>
      </c>
      <c r="AC297" s="940"/>
      <c r="AD297" s="956"/>
      <c r="AE297" s="956"/>
      <c r="AF297" s="598">
        <v>6</v>
      </c>
      <c r="AG297" s="596"/>
      <c r="AH297" s="728"/>
      <c r="AI297" s="728"/>
      <c r="AJ297" s="729">
        <f t="shared" si="166"/>
        <v>0</v>
      </c>
      <c r="AK297" s="946"/>
      <c r="AL297" s="616">
        <v>90</v>
      </c>
      <c r="AM297" s="602">
        <f t="shared" si="160"/>
        <v>6</v>
      </c>
      <c r="AN297" s="835"/>
      <c r="AO297" s="835">
        <f t="shared" si="164"/>
        <v>0</v>
      </c>
      <c r="AP297" s="940"/>
      <c r="AQ297" s="722">
        <v>0</v>
      </c>
      <c r="AR297" s="728"/>
      <c r="AS297" s="728"/>
      <c r="AT297" s="729">
        <f t="shared" si="167"/>
        <v>0</v>
      </c>
      <c r="AU297" s="946"/>
      <c r="AV297" s="616"/>
      <c r="AW297" s="602">
        <f t="shared" si="157"/>
        <v>0</v>
      </c>
      <c r="AX297" s="940"/>
      <c r="AY297" s="602">
        <f t="shared" si="159"/>
        <v>0</v>
      </c>
      <c r="AZ297" s="940"/>
      <c r="BA297" s="962"/>
      <c r="BB297" s="962"/>
      <c r="BC297" s="611"/>
      <c r="BD297" s="712">
        <v>19</v>
      </c>
      <c r="BE297" s="596">
        <v>19</v>
      </c>
      <c r="BF297" s="596">
        <f t="shared" si="162"/>
        <v>0</v>
      </c>
      <c r="BG297" s="728"/>
      <c r="BH297" s="728"/>
      <c r="BI297" s="729">
        <f t="shared" si="153"/>
        <v>0</v>
      </c>
      <c r="BJ297" s="729"/>
      <c r="BK297" s="616">
        <v>1100</v>
      </c>
      <c r="BL297" s="603">
        <f t="shared" si="161"/>
        <v>22</v>
      </c>
      <c r="BM297" s="964"/>
      <c r="BN297" s="602">
        <f t="shared" si="165"/>
        <v>-3</v>
      </c>
      <c r="BO297" s="940"/>
      <c r="BP297" s="593">
        <f t="shared" si="168"/>
        <v>0</v>
      </c>
      <c r="BS297" s="741">
        <v>0</v>
      </c>
      <c r="BT297" s="741">
        <v>0</v>
      </c>
      <c r="BU297" s="741">
        <f t="shared" si="169"/>
        <v>0</v>
      </c>
      <c r="BV297" s="741">
        <v>0</v>
      </c>
      <c r="BW297" s="741"/>
      <c r="BX297" s="741">
        <v>0</v>
      </c>
      <c r="BY297" s="741">
        <v>0</v>
      </c>
      <c r="BZ297" s="741">
        <f t="shared" si="154"/>
        <v>0</v>
      </c>
      <c r="CA297" s="741">
        <v>6</v>
      </c>
      <c r="CB297" s="741"/>
      <c r="CC297" s="741">
        <f t="shared" si="170"/>
        <v>6</v>
      </c>
      <c r="CD297" s="751"/>
      <c r="CE297" s="748"/>
      <c r="CF297" s="748"/>
      <c r="CG297" s="748">
        <f t="shared" si="171"/>
        <v>0</v>
      </c>
      <c r="CH297" s="759"/>
      <c r="CI297" s="742"/>
      <c r="CJ297" s="591">
        <f t="shared" si="172"/>
        <v>-3</v>
      </c>
    </row>
    <row r="298" spans="1:88" ht="21.6" customHeight="1" x14ac:dyDescent="0.25">
      <c r="A298" s="596" t="s">
        <v>130</v>
      </c>
      <c r="B298" s="596" t="s">
        <v>157</v>
      </c>
      <c r="C298" s="597" t="s">
        <v>170</v>
      </c>
      <c r="D298" s="182" t="s">
        <v>431</v>
      </c>
      <c r="E298" s="598">
        <v>15</v>
      </c>
      <c r="F298" s="596">
        <v>0</v>
      </c>
      <c r="G298" s="598">
        <v>15</v>
      </c>
      <c r="H298" s="596"/>
      <c r="I298" s="596">
        <f t="shared" si="158"/>
        <v>0</v>
      </c>
      <c r="J298" s="728">
        <f>12+11</f>
        <v>23</v>
      </c>
      <c r="K298" s="728">
        <f>2+4</f>
        <v>6</v>
      </c>
      <c r="L298" s="731">
        <f t="shared" si="151"/>
        <v>29</v>
      </c>
      <c r="M298" s="947"/>
      <c r="N298" s="617">
        <v>225</v>
      </c>
      <c r="O298" s="602">
        <f t="shared" si="173"/>
        <v>15</v>
      </c>
      <c r="P298" s="940"/>
      <c r="Q298" s="600">
        <f t="shared" si="163"/>
        <v>0</v>
      </c>
      <c r="R298" s="940"/>
      <c r="S298" s="596">
        <v>0</v>
      </c>
      <c r="T298" s="724"/>
      <c r="U298" s="728"/>
      <c r="V298" s="728"/>
      <c r="W298" s="731">
        <f t="shared" si="152"/>
        <v>0</v>
      </c>
      <c r="X298" s="947"/>
      <c r="Y298" s="616"/>
      <c r="Z298" s="602">
        <f t="shared" si="155"/>
        <v>0</v>
      </c>
      <c r="AA298" s="835"/>
      <c r="AB298" s="602">
        <f t="shared" si="156"/>
        <v>0</v>
      </c>
      <c r="AC298" s="940"/>
      <c r="AD298" s="956"/>
      <c r="AE298" s="956"/>
      <c r="AF298" s="598">
        <v>2</v>
      </c>
      <c r="AG298" s="596"/>
      <c r="AH298" s="728"/>
      <c r="AI298" s="728"/>
      <c r="AJ298" s="729">
        <f t="shared" si="166"/>
        <v>0</v>
      </c>
      <c r="AK298" s="946"/>
      <c r="AL298" s="616">
        <v>30</v>
      </c>
      <c r="AM298" s="602">
        <f t="shared" si="160"/>
        <v>2</v>
      </c>
      <c r="AN298" s="835"/>
      <c r="AO298" s="835">
        <f t="shared" si="164"/>
        <v>0</v>
      </c>
      <c r="AP298" s="940"/>
      <c r="AQ298" s="722">
        <v>0</v>
      </c>
      <c r="AR298" s="728"/>
      <c r="AS298" s="728"/>
      <c r="AT298" s="729">
        <f t="shared" si="167"/>
        <v>0</v>
      </c>
      <c r="AU298" s="946"/>
      <c r="AV298" s="616"/>
      <c r="AW298" s="602">
        <f t="shared" si="157"/>
        <v>0</v>
      </c>
      <c r="AX298" s="940"/>
      <c r="AY298" s="602">
        <f t="shared" si="159"/>
        <v>0</v>
      </c>
      <c r="AZ298" s="940"/>
      <c r="BA298" s="962"/>
      <c r="BB298" s="962"/>
      <c r="BC298" s="611"/>
      <c r="BD298" s="712">
        <v>17</v>
      </c>
      <c r="BE298" s="596">
        <v>13</v>
      </c>
      <c r="BF298" s="596">
        <f t="shared" si="162"/>
        <v>4</v>
      </c>
      <c r="BG298" s="728">
        <f>9</f>
        <v>9</v>
      </c>
      <c r="BH298" s="728">
        <f>6</f>
        <v>6</v>
      </c>
      <c r="BI298" s="729">
        <f t="shared" si="153"/>
        <v>15</v>
      </c>
      <c r="BJ298" s="729"/>
      <c r="BK298" s="616">
        <f>500+350</f>
        <v>850</v>
      </c>
      <c r="BL298" s="603">
        <f t="shared" si="161"/>
        <v>17</v>
      </c>
      <c r="BM298" s="964"/>
      <c r="BN298" s="602">
        <f t="shared" si="165"/>
        <v>0</v>
      </c>
      <c r="BO298" s="940"/>
      <c r="BP298" s="593">
        <f t="shared" si="168"/>
        <v>0</v>
      </c>
      <c r="BS298" s="741">
        <v>0</v>
      </c>
      <c r="BT298" s="741">
        <v>0</v>
      </c>
      <c r="BU298" s="741">
        <f t="shared" si="169"/>
        <v>0</v>
      </c>
      <c r="BV298" s="741">
        <v>0</v>
      </c>
      <c r="BW298" s="741"/>
      <c r="BX298" s="741">
        <v>0</v>
      </c>
      <c r="BY298" s="741">
        <v>0</v>
      </c>
      <c r="BZ298" s="741">
        <f t="shared" si="154"/>
        <v>0</v>
      </c>
      <c r="CA298" s="741">
        <v>2</v>
      </c>
      <c r="CB298" s="741"/>
      <c r="CC298" s="741">
        <f t="shared" si="170"/>
        <v>2</v>
      </c>
      <c r="CD298" s="751"/>
      <c r="CE298" s="748"/>
      <c r="CF298" s="748"/>
      <c r="CG298" s="748">
        <f t="shared" si="171"/>
        <v>0</v>
      </c>
      <c r="CH298" s="759"/>
      <c r="CI298" s="742"/>
      <c r="CJ298" s="591">
        <f t="shared" si="172"/>
        <v>0</v>
      </c>
    </row>
    <row r="299" spans="1:88" ht="21.6" customHeight="1" x14ac:dyDescent="0.25">
      <c r="A299" s="596" t="s">
        <v>130</v>
      </c>
      <c r="B299" s="596" t="s">
        <v>157</v>
      </c>
      <c r="C299" s="597" t="s">
        <v>171</v>
      </c>
      <c r="D299" s="182" t="s">
        <v>431</v>
      </c>
      <c r="E299" s="598">
        <v>11.333333333333334</v>
      </c>
      <c r="F299" s="596">
        <v>0</v>
      </c>
      <c r="G299" s="598">
        <v>11.333333333333334</v>
      </c>
      <c r="H299" s="596"/>
      <c r="I299" s="596">
        <f t="shared" si="158"/>
        <v>0</v>
      </c>
      <c r="J299" s="728">
        <f>7+1+11+2</f>
        <v>21</v>
      </c>
      <c r="K299" s="728">
        <f>1+0+4+0</f>
        <v>5</v>
      </c>
      <c r="L299" s="731">
        <f t="shared" si="151"/>
        <v>26</v>
      </c>
      <c r="M299" s="947"/>
      <c r="N299" s="617">
        <v>170</v>
      </c>
      <c r="O299" s="602">
        <f t="shared" si="173"/>
        <v>11.333333333333334</v>
      </c>
      <c r="P299" s="940"/>
      <c r="Q299" s="600">
        <f t="shared" si="163"/>
        <v>0</v>
      </c>
      <c r="R299" s="940"/>
      <c r="S299" s="596">
        <v>0</v>
      </c>
      <c r="T299" s="724"/>
      <c r="U299" s="728"/>
      <c r="V299" s="728"/>
      <c r="W299" s="731">
        <f t="shared" si="152"/>
        <v>0</v>
      </c>
      <c r="X299" s="947"/>
      <c r="Y299" s="616"/>
      <c r="Z299" s="602">
        <f t="shared" si="155"/>
        <v>0</v>
      </c>
      <c r="AA299" s="835"/>
      <c r="AB299" s="602">
        <f t="shared" si="156"/>
        <v>0</v>
      </c>
      <c r="AC299" s="940"/>
      <c r="AD299" s="956"/>
      <c r="AE299" s="956"/>
      <c r="AF299" s="598">
        <v>11.666666666666666</v>
      </c>
      <c r="AG299" s="596"/>
      <c r="AH299" s="728"/>
      <c r="AI299" s="728"/>
      <c r="AJ299" s="729">
        <f t="shared" si="166"/>
        <v>0</v>
      </c>
      <c r="AK299" s="946"/>
      <c r="AL299" s="616">
        <f>20+155</f>
        <v>175</v>
      </c>
      <c r="AM299" s="602">
        <f t="shared" si="160"/>
        <v>11.666666666666666</v>
      </c>
      <c r="AN299" s="835"/>
      <c r="AO299" s="835">
        <f t="shared" si="164"/>
        <v>0</v>
      </c>
      <c r="AP299" s="940"/>
      <c r="AQ299" s="722">
        <v>0</v>
      </c>
      <c r="AR299" s="728"/>
      <c r="AS299" s="728"/>
      <c r="AT299" s="729">
        <f t="shared" si="167"/>
        <v>0</v>
      </c>
      <c r="AU299" s="946"/>
      <c r="AV299" s="616"/>
      <c r="AW299" s="602">
        <f t="shared" si="157"/>
        <v>0</v>
      </c>
      <c r="AX299" s="940"/>
      <c r="AY299" s="602">
        <f t="shared" si="159"/>
        <v>0</v>
      </c>
      <c r="AZ299" s="940"/>
      <c r="BA299" s="962"/>
      <c r="BB299" s="962"/>
      <c r="BC299" s="611"/>
      <c r="BD299" s="712">
        <v>23</v>
      </c>
      <c r="BE299" s="596">
        <v>0</v>
      </c>
      <c r="BF299" s="596">
        <f t="shared" si="162"/>
        <v>23</v>
      </c>
      <c r="BG299" s="728">
        <f>2</f>
        <v>2</v>
      </c>
      <c r="BH299" s="728">
        <f>3</f>
        <v>3</v>
      </c>
      <c r="BI299" s="729">
        <f t="shared" si="153"/>
        <v>5</v>
      </c>
      <c r="BJ299" s="729"/>
      <c r="BK299" s="616">
        <f>900+150</f>
        <v>1050</v>
      </c>
      <c r="BL299" s="603">
        <f t="shared" si="161"/>
        <v>21</v>
      </c>
      <c r="BM299" s="964"/>
      <c r="BN299" s="602">
        <f t="shared" si="165"/>
        <v>2</v>
      </c>
      <c r="BO299" s="940"/>
      <c r="BP299" s="593">
        <f t="shared" si="168"/>
        <v>0</v>
      </c>
      <c r="BS299" s="741">
        <v>0</v>
      </c>
      <c r="BT299" s="741">
        <v>0</v>
      </c>
      <c r="BU299" s="741">
        <f t="shared" si="169"/>
        <v>0</v>
      </c>
      <c r="BV299" s="741">
        <v>0</v>
      </c>
      <c r="BW299" s="741"/>
      <c r="BX299" s="741">
        <v>0</v>
      </c>
      <c r="BY299" s="741">
        <v>0</v>
      </c>
      <c r="BZ299" s="741">
        <f t="shared" si="154"/>
        <v>0</v>
      </c>
      <c r="CA299" s="741">
        <v>11.666666666666666</v>
      </c>
      <c r="CB299" s="741"/>
      <c r="CC299" s="741">
        <f t="shared" si="170"/>
        <v>11.666666666666666</v>
      </c>
      <c r="CD299" s="751"/>
      <c r="CE299" s="748"/>
      <c r="CF299" s="748"/>
      <c r="CG299" s="748">
        <f t="shared" si="171"/>
        <v>0</v>
      </c>
      <c r="CH299" s="759"/>
      <c r="CI299" s="742"/>
      <c r="CJ299" s="591">
        <f t="shared" si="172"/>
        <v>2</v>
      </c>
    </row>
    <row r="300" spans="1:88" ht="21.6" customHeight="1" x14ac:dyDescent="0.25">
      <c r="A300" s="596" t="s">
        <v>130</v>
      </c>
      <c r="B300" s="596" t="s">
        <v>157</v>
      </c>
      <c r="C300" s="597" t="s">
        <v>172</v>
      </c>
      <c r="D300" s="182" t="s">
        <v>431</v>
      </c>
      <c r="E300" s="598">
        <v>30.666666666666668</v>
      </c>
      <c r="F300" s="596">
        <v>0</v>
      </c>
      <c r="G300" s="598">
        <v>30.666666666666668</v>
      </c>
      <c r="H300" s="596"/>
      <c r="I300" s="596">
        <f t="shared" si="158"/>
        <v>0</v>
      </c>
      <c r="J300" s="728">
        <f>14+12+6+3+1</f>
        <v>36</v>
      </c>
      <c r="K300" s="728">
        <f>6+6+0+4+0</f>
        <v>16</v>
      </c>
      <c r="L300" s="731">
        <f t="shared" si="151"/>
        <v>52</v>
      </c>
      <c r="M300" s="947"/>
      <c r="N300" s="617">
        <v>460</v>
      </c>
      <c r="O300" s="602">
        <f t="shared" si="173"/>
        <v>30.666666666666668</v>
      </c>
      <c r="P300" s="940"/>
      <c r="Q300" s="600">
        <f t="shared" si="163"/>
        <v>0</v>
      </c>
      <c r="R300" s="940"/>
      <c r="S300" s="596">
        <v>0</v>
      </c>
      <c r="T300" s="724"/>
      <c r="U300" s="728"/>
      <c r="V300" s="728"/>
      <c r="W300" s="731">
        <f t="shared" si="152"/>
        <v>0</v>
      </c>
      <c r="X300" s="947"/>
      <c r="Y300" s="616"/>
      <c r="Z300" s="602">
        <f t="shared" si="155"/>
        <v>0</v>
      </c>
      <c r="AA300" s="835"/>
      <c r="AB300" s="602">
        <f t="shared" si="156"/>
        <v>0</v>
      </c>
      <c r="AC300" s="940"/>
      <c r="AD300" s="956"/>
      <c r="AE300" s="956"/>
      <c r="AF300" s="598">
        <v>7</v>
      </c>
      <c r="AG300" s="596"/>
      <c r="AH300" s="728"/>
      <c r="AI300" s="728"/>
      <c r="AJ300" s="729">
        <f t="shared" si="166"/>
        <v>0</v>
      </c>
      <c r="AK300" s="946"/>
      <c r="AL300" s="616">
        <v>105</v>
      </c>
      <c r="AM300" s="602">
        <f t="shared" si="160"/>
        <v>7</v>
      </c>
      <c r="AN300" s="835"/>
      <c r="AO300" s="835">
        <f t="shared" si="164"/>
        <v>0</v>
      </c>
      <c r="AP300" s="940"/>
      <c r="AQ300" s="722">
        <v>0</v>
      </c>
      <c r="AR300" s="728"/>
      <c r="AS300" s="728"/>
      <c r="AT300" s="729">
        <f t="shared" si="167"/>
        <v>0</v>
      </c>
      <c r="AU300" s="946"/>
      <c r="AV300" s="616"/>
      <c r="AW300" s="602">
        <f t="shared" si="157"/>
        <v>0</v>
      </c>
      <c r="AX300" s="940"/>
      <c r="AY300" s="602">
        <f t="shared" si="159"/>
        <v>0</v>
      </c>
      <c r="AZ300" s="940"/>
      <c r="BA300" s="962"/>
      <c r="BB300" s="962"/>
      <c r="BC300" s="611"/>
      <c r="BD300" s="712">
        <v>37</v>
      </c>
      <c r="BE300" s="596">
        <v>0</v>
      </c>
      <c r="BF300" s="596">
        <f t="shared" si="162"/>
        <v>37</v>
      </c>
      <c r="BG300" s="728"/>
      <c r="BH300" s="728"/>
      <c r="BI300" s="729">
        <f t="shared" si="153"/>
        <v>0</v>
      </c>
      <c r="BJ300" s="729"/>
      <c r="BK300" s="616">
        <v>2100</v>
      </c>
      <c r="BL300" s="603">
        <f t="shared" si="161"/>
        <v>42</v>
      </c>
      <c r="BM300" s="964"/>
      <c r="BN300" s="602">
        <f t="shared" si="165"/>
        <v>-5</v>
      </c>
      <c r="BO300" s="940"/>
      <c r="BP300" s="593">
        <f t="shared" si="168"/>
        <v>0</v>
      </c>
      <c r="BS300" s="741">
        <v>0</v>
      </c>
      <c r="BT300" s="741">
        <v>0</v>
      </c>
      <c r="BU300" s="741">
        <f t="shared" si="169"/>
        <v>0</v>
      </c>
      <c r="BV300" s="741">
        <v>0</v>
      </c>
      <c r="BW300" s="741"/>
      <c r="BX300" s="741">
        <v>0</v>
      </c>
      <c r="BY300" s="741">
        <v>0</v>
      </c>
      <c r="BZ300" s="741">
        <f t="shared" si="154"/>
        <v>0</v>
      </c>
      <c r="CA300" s="741">
        <v>7</v>
      </c>
      <c r="CB300" s="741"/>
      <c r="CC300" s="741">
        <f t="shared" si="170"/>
        <v>7</v>
      </c>
      <c r="CD300" s="751"/>
      <c r="CE300" s="748"/>
      <c r="CF300" s="748"/>
      <c r="CG300" s="748">
        <f t="shared" si="171"/>
        <v>0</v>
      </c>
      <c r="CH300" s="759"/>
      <c r="CI300" s="742"/>
      <c r="CJ300" s="591">
        <f t="shared" si="172"/>
        <v>-5</v>
      </c>
    </row>
    <row r="301" spans="1:88" ht="21.6" customHeight="1" x14ac:dyDescent="0.25">
      <c r="A301" s="596"/>
      <c r="B301" s="596" t="s">
        <v>157</v>
      </c>
      <c r="C301" s="597" t="s">
        <v>359</v>
      </c>
      <c r="D301" s="182" t="s">
        <v>431</v>
      </c>
      <c r="E301" s="598">
        <v>11</v>
      </c>
      <c r="F301" s="596">
        <v>0</v>
      </c>
      <c r="G301" s="598">
        <v>11</v>
      </c>
      <c r="H301" s="596"/>
      <c r="I301" s="596">
        <f t="shared" si="158"/>
        <v>0</v>
      </c>
      <c r="J301" s="728">
        <f>16+2</f>
        <v>18</v>
      </c>
      <c r="K301" s="728">
        <f>4+0</f>
        <v>4</v>
      </c>
      <c r="L301" s="731">
        <f t="shared" si="151"/>
        <v>22</v>
      </c>
      <c r="M301" s="947"/>
      <c r="N301" s="617">
        <v>165</v>
      </c>
      <c r="O301" s="602">
        <f t="shared" si="173"/>
        <v>11</v>
      </c>
      <c r="P301" s="940"/>
      <c r="Q301" s="600">
        <f t="shared" si="163"/>
        <v>0</v>
      </c>
      <c r="R301" s="940"/>
      <c r="S301" s="596">
        <v>0</v>
      </c>
      <c r="T301" s="724"/>
      <c r="U301" s="728"/>
      <c r="V301" s="728"/>
      <c r="W301" s="731">
        <f t="shared" si="152"/>
        <v>0</v>
      </c>
      <c r="X301" s="947"/>
      <c r="Y301" s="616"/>
      <c r="Z301" s="602">
        <f t="shared" si="155"/>
        <v>0</v>
      </c>
      <c r="AA301" s="835"/>
      <c r="AB301" s="602">
        <f t="shared" si="156"/>
        <v>0</v>
      </c>
      <c r="AC301" s="940"/>
      <c r="AD301" s="956"/>
      <c r="AE301" s="956"/>
      <c r="AF301" s="598">
        <v>0</v>
      </c>
      <c r="AG301" s="596"/>
      <c r="AH301" s="728"/>
      <c r="AI301" s="728"/>
      <c r="AJ301" s="729">
        <f t="shared" si="166"/>
        <v>0</v>
      </c>
      <c r="AK301" s="946"/>
      <c r="AL301" s="616"/>
      <c r="AM301" s="602">
        <f t="shared" si="160"/>
        <v>0</v>
      </c>
      <c r="AN301" s="835"/>
      <c r="AO301" s="835">
        <f t="shared" si="164"/>
        <v>0</v>
      </c>
      <c r="AP301" s="940"/>
      <c r="AQ301" s="722">
        <v>0</v>
      </c>
      <c r="AR301" s="728"/>
      <c r="AS301" s="728"/>
      <c r="AT301" s="729">
        <f t="shared" si="167"/>
        <v>0</v>
      </c>
      <c r="AU301" s="946"/>
      <c r="AV301" s="616"/>
      <c r="AW301" s="602">
        <f t="shared" si="157"/>
        <v>0</v>
      </c>
      <c r="AX301" s="940"/>
      <c r="AY301" s="602">
        <f t="shared" si="159"/>
        <v>0</v>
      </c>
      <c r="AZ301" s="940"/>
      <c r="BA301" s="962"/>
      <c r="BB301" s="962"/>
      <c r="BC301" s="611"/>
      <c r="BD301" s="712">
        <v>11</v>
      </c>
      <c r="BE301" s="596">
        <v>11</v>
      </c>
      <c r="BF301" s="596">
        <f t="shared" si="162"/>
        <v>0</v>
      </c>
      <c r="BG301" s="728"/>
      <c r="BH301" s="728"/>
      <c r="BI301" s="729">
        <f t="shared" si="153"/>
        <v>0</v>
      </c>
      <c r="BJ301" s="729"/>
      <c r="BK301" s="616">
        <v>550</v>
      </c>
      <c r="BL301" s="603">
        <f t="shared" si="161"/>
        <v>11</v>
      </c>
      <c r="BM301" s="964"/>
      <c r="BN301" s="602">
        <f t="shared" si="165"/>
        <v>0</v>
      </c>
      <c r="BO301" s="940"/>
      <c r="BP301" s="593">
        <f t="shared" si="168"/>
        <v>0</v>
      </c>
      <c r="BS301" s="741">
        <v>0</v>
      </c>
      <c r="BT301" s="741">
        <v>0</v>
      </c>
      <c r="BU301" s="741">
        <f t="shared" si="169"/>
        <v>0</v>
      </c>
      <c r="BV301" s="741">
        <v>0</v>
      </c>
      <c r="BW301" s="741"/>
      <c r="BX301" s="741">
        <v>0</v>
      </c>
      <c r="BY301" s="741">
        <v>0</v>
      </c>
      <c r="BZ301" s="741">
        <f t="shared" si="154"/>
        <v>0</v>
      </c>
      <c r="CA301" s="741">
        <v>0</v>
      </c>
      <c r="CB301" s="741"/>
      <c r="CC301" s="741">
        <f t="shared" si="170"/>
        <v>0</v>
      </c>
      <c r="CD301" s="751"/>
      <c r="CE301" s="748"/>
      <c r="CF301" s="748"/>
      <c r="CG301" s="748">
        <f t="shared" si="171"/>
        <v>0</v>
      </c>
      <c r="CH301" s="759"/>
      <c r="CI301" s="742"/>
      <c r="CJ301" s="591">
        <f t="shared" si="172"/>
        <v>0</v>
      </c>
    </row>
    <row r="302" spans="1:88" ht="21.6" customHeight="1" x14ac:dyDescent="0.25">
      <c r="A302" s="596" t="s">
        <v>130</v>
      </c>
      <c r="B302" s="596" t="s">
        <v>157</v>
      </c>
      <c r="C302" s="597" t="s">
        <v>173</v>
      </c>
      <c r="D302" s="182" t="s">
        <v>431</v>
      </c>
      <c r="E302" s="598">
        <v>16</v>
      </c>
      <c r="F302" s="596">
        <v>0</v>
      </c>
      <c r="G302" s="598">
        <v>16</v>
      </c>
      <c r="H302" s="596"/>
      <c r="I302" s="596">
        <f t="shared" si="158"/>
        <v>0</v>
      </c>
      <c r="J302" s="728">
        <f>17+17</f>
        <v>34</v>
      </c>
      <c r="K302" s="728">
        <f>3+3</f>
        <v>6</v>
      </c>
      <c r="L302" s="731">
        <f t="shared" si="151"/>
        <v>40</v>
      </c>
      <c r="M302" s="947"/>
      <c r="N302" s="617">
        <v>240</v>
      </c>
      <c r="O302" s="602">
        <f t="shared" si="173"/>
        <v>16</v>
      </c>
      <c r="P302" s="940"/>
      <c r="Q302" s="600">
        <f t="shared" si="163"/>
        <v>0</v>
      </c>
      <c r="R302" s="940"/>
      <c r="S302" s="596">
        <v>0</v>
      </c>
      <c r="T302" s="724"/>
      <c r="U302" s="728"/>
      <c r="V302" s="728"/>
      <c r="W302" s="731">
        <f t="shared" si="152"/>
        <v>0</v>
      </c>
      <c r="X302" s="947"/>
      <c r="Y302" s="616"/>
      <c r="Z302" s="602">
        <f t="shared" si="155"/>
        <v>0</v>
      </c>
      <c r="AA302" s="835"/>
      <c r="AB302" s="602">
        <f t="shared" si="156"/>
        <v>0</v>
      </c>
      <c r="AC302" s="940"/>
      <c r="AD302" s="956"/>
      <c r="AE302" s="956"/>
      <c r="AF302" s="598">
        <v>1.6666666666666667</v>
      </c>
      <c r="AG302" s="596"/>
      <c r="AH302" s="728"/>
      <c r="AI302" s="728"/>
      <c r="AJ302" s="729">
        <f t="shared" si="166"/>
        <v>0</v>
      </c>
      <c r="AK302" s="946"/>
      <c r="AL302" s="616">
        <v>25</v>
      </c>
      <c r="AM302" s="602">
        <f t="shared" si="160"/>
        <v>1.6666666666666667</v>
      </c>
      <c r="AN302" s="835"/>
      <c r="AO302" s="835">
        <f t="shared" si="164"/>
        <v>0</v>
      </c>
      <c r="AP302" s="940"/>
      <c r="AQ302" s="722">
        <v>0</v>
      </c>
      <c r="AR302" s="728"/>
      <c r="AS302" s="728"/>
      <c r="AT302" s="729">
        <f t="shared" si="167"/>
        <v>0</v>
      </c>
      <c r="AU302" s="946"/>
      <c r="AV302" s="616"/>
      <c r="AW302" s="602">
        <f t="shared" si="157"/>
        <v>0</v>
      </c>
      <c r="AX302" s="940"/>
      <c r="AY302" s="602">
        <f t="shared" si="159"/>
        <v>0</v>
      </c>
      <c r="AZ302" s="940"/>
      <c r="BA302" s="962"/>
      <c r="BB302" s="962"/>
      <c r="BC302" s="611"/>
      <c r="BD302" s="712">
        <v>18</v>
      </c>
      <c r="BE302" s="596">
        <v>17</v>
      </c>
      <c r="BF302" s="596">
        <f t="shared" si="162"/>
        <v>1</v>
      </c>
      <c r="BG302" s="728"/>
      <c r="BH302" s="728"/>
      <c r="BI302" s="729">
        <f t="shared" si="153"/>
        <v>0</v>
      </c>
      <c r="BJ302" s="729"/>
      <c r="BK302" s="616">
        <v>1000</v>
      </c>
      <c r="BL302" s="603">
        <f t="shared" si="161"/>
        <v>20</v>
      </c>
      <c r="BM302" s="964"/>
      <c r="BN302" s="602">
        <f t="shared" si="165"/>
        <v>-2</v>
      </c>
      <c r="BO302" s="940"/>
      <c r="BP302" s="593">
        <f t="shared" si="168"/>
        <v>0</v>
      </c>
      <c r="BS302" s="741">
        <v>0</v>
      </c>
      <c r="BT302" s="741">
        <v>0</v>
      </c>
      <c r="BU302" s="741">
        <f t="shared" si="169"/>
        <v>0</v>
      </c>
      <c r="BV302" s="741">
        <v>0</v>
      </c>
      <c r="BW302" s="741"/>
      <c r="BX302" s="741">
        <v>0</v>
      </c>
      <c r="BY302" s="741">
        <v>0</v>
      </c>
      <c r="BZ302" s="741">
        <f t="shared" si="154"/>
        <v>0</v>
      </c>
      <c r="CA302" s="741">
        <v>1.6666666666666667</v>
      </c>
      <c r="CB302" s="741"/>
      <c r="CC302" s="741">
        <f t="shared" si="170"/>
        <v>1.6666666666666667</v>
      </c>
      <c r="CD302" s="751"/>
      <c r="CE302" s="748"/>
      <c r="CF302" s="748"/>
      <c r="CG302" s="748">
        <f t="shared" si="171"/>
        <v>0</v>
      </c>
      <c r="CH302" s="759"/>
      <c r="CI302" s="742"/>
      <c r="CJ302" s="591">
        <f t="shared" si="172"/>
        <v>-2</v>
      </c>
    </row>
    <row r="303" spans="1:88" ht="21.6" customHeight="1" x14ac:dyDescent="0.25">
      <c r="A303" s="596" t="s">
        <v>130</v>
      </c>
      <c r="B303" s="596" t="s">
        <v>157</v>
      </c>
      <c r="C303" s="597" t="s">
        <v>174</v>
      </c>
      <c r="D303" s="176" t="s">
        <v>431</v>
      </c>
      <c r="E303" s="598">
        <v>10.666666666666666</v>
      </c>
      <c r="F303" s="596">
        <v>0</v>
      </c>
      <c r="G303" s="598">
        <v>10.666666666666666</v>
      </c>
      <c r="H303" s="596"/>
      <c r="I303" s="596">
        <f t="shared" si="158"/>
        <v>0</v>
      </c>
      <c r="J303" s="728">
        <f>10+10</f>
        <v>20</v>
      </c>
      <c r="K303" s="728">
        <f>5+1</f>
        <v>6</v>
      </c>
      <c r="L303" s="731">
        <f t="shared" si="151"/>
        <v>26</v>
      </c>
      <c r="M303" s="947"/>
      <c r="N303" s="617">
        <v>160</v>
      </c>
      <c r="O303" s="602">
        <f t="shared" si="173"/>
        <v>10.666666666666666</v>
      </c>
      <c r="P303" s="940"/>
      <c r="Q303" s="600">
        <f t="shared" si="163"/>
        <v>0</v>
      </c>
      <c r="R303" s="940"/>
      <c r="S303" s="596">
        <v>0</v>
      </c>
      <c r="T303" s="724"/>
      <c r="U303" s="728"/>
      <c r="V303" s="728"/>
      <c r="W303" s="731">
        <f t="shared" si="152"/>
        <v>0</v>
      </c>
      <c r="X303" s="947"/>
      <c r="Y303" s="616"/>
      <c r="Z303" s="602">
        <f t="shared" si="155"/>
        <v>0</v>
      </c>
      <c r="AA303" s="835"/>
      <c r="AB303" s="602">
        <f t="shared" si="156"/>
        <v>0</v>
      </c>
      <c r="AC303" s="940"/>
      <c r="AD303" s="956"/>
      <c r="AE303" s="956"/>
      <c r="AF303" s="598">
        <v>0</v>
      </c>
      <c r="AG303" s="596"/>
      <c r="AH303" s="728"/>
      <c r="AI303" s="728"/>
      <c r="AJ303" s="729">
        <f t="shared" si="166"/>
        <v>0</v>
      </c>
      <c r="AK303" s="946"/>
      <c r="AL303" s="616"/>
      <c r="AM303" s="602">
        <f t="shared" si="160"/>
        <v>0</v>
      </c>
      <c r="AN303" s="835"/>
      <c r="AO303" s="835">
        <f t="shared" si="164"/>
        <v>0</v>
      </c>
      <c r="AP303" s="940"/>
      <c r="AQ303" s="722">
        <v>0</v>
      </c>
      <c r="AR303" s="728"/>
      <c r="AS303" s="728"/>
      <c r="AT303" s="729">
        <f t="shared" si="167"/>
        <v>0</v>
      </c>
      <c r="AU303" s="946"/>
      <c r="AV303" s="616"/>
      <c r="AW303" s="602">
        <f t="shared" si="157"/>
        <v>0</v>
      </c>
      <c r="AX303" s="940"/>
      <c r="AY303" s="602">
        <f t="shared" si="159"/>
        <v>0</v>
      </c>
      <c r="AZ303" s="940"/>
      <c r="BA303" s="962"/>
      <c r="BB303" s="962"/>
      <c r="BC303" s="611"/>
      <c r="BD303" s="712">
        <v>10</v>
      </c>
      <c r="BE303" s="596">
        <v>8</v>
      </c>
      <c r="BF303" s="596">
        <f t="shared" si="162"/>
        <v>2</v>
      </c>
      <c r="BG303" s="728"/>
      <c r="BH303" s="728"/>
      <c r="BI303" s="729">
        <f t="shared" si="153"/>
        <v>0</v>
      </c>
      <c r="BJ303" s="729"/>
      <c r="BK303" s="616">
        <v>650</v>
      </c>
      <c r="BL303" s="603">
        <f t="shared" si="161"/>
        <v>13</v>
      </c>
      <c r="BM303" s="964"/>
      <c r="BN303" s="602">
        <f t="shared" si="165"/>
        <v>-3</v>
      </c>
      <c r="BO303" s="940"/>
      <c r="BP303" s="593">
        <f t="shared" si="168"/>
        <v>0</v>
      </c>
      <c r="BS303" s="741">
        <v>0</v>
      </c>
      <c r="BT303" s="741">
        <v>0</v>
      </c>
      <c r="BU303" s="741">
        <f t="shared" si="169"/>
        <v>0</v>
      </c>
      <c r="BV303" s="741">
        <v>0</v>
      </c>
      <c r="BW303" s="741"/>
      <c r="BX303" s="741">
        <v>0</v>
      </c>
      <c r="BY303" s="741">
        <v>0</v>
      </c>
      <c r="BZ303" s="741">
        <f t="shared" si="154"/>
        <v>0</v>
      </c>
      <c r="CA303" s="741">
        <v>0</v>
      </c>
      <c r="CB303" s="741"/>
      <c r="CC303" s="741">
        <f t="shared" si="170"/>
        <v>0</v>
      </c>
      <c r="CD303" s="751"/>
      <c r="CE303" s="748"/>
      <c r="CF303" s="748"/>
      <c r="CG303" s="748">
        <f t="shared" si="171"/>
        <v>0</v>
      </c>
      <c r="CH303" s="759"/>
      <c r="CI303" s="742"/>
      <c r="CJ303" s="591">
        <f t="shared" si="172"/>
        <v>-3</v>
      </c>
    </row>
    <row r="304" spans="1:88" ht="21.6" customHeight="1" x14ac:dyDescent="0.25">
      <c r="A304" s="596" t="s">
        <v>130</v>
      </c>
      <c r="B304" s="596" t="s">
        <v>157</v>
      </c>
      <c r="C304" s="597" t="s">
        <v>175</v>
      </c>
      <c r="D304" s="182" t="s">
        <v>431</v>
      </c>
      <c r="E304" s="598">
        <v>53.333333333333336</v>
      </c>
      <c r="F304" s="596">
        <v>0</v>
      </c>
      <c r="G304" s="598">
        <v>43.333333333333336</v>
      </c>
      <c r="H304" s="596"/>
      <c r="I304" s="596">
        <f t="shared" si="158"/>
        <v>0</v>
      </c>
      <c r="J304" s="728">
        <f>18+12+9+9</f>
        <v>48</v>
      </c>
      <c r="K304" s="728">
        <f>2+4+11+11</f>
        <v>28</v>
      </c>
      <c r="L304" s="731">
        <f t="shared" si="151"/>
        <v>76</v>
      </c>
      <c r="M304" s="947"/>
      <c r="N304" s="617">
        <v>799.99999999999955</v>
      </c>
      <c r="O304" s="602">
        <f t="shared" si="173"/>
        <v>53.3333333333333</v>
      </c>
      <c r="P304" s="940"/>
      <c r="Q304" s="600">
        <f t="shared" si="163"/>
        <v>0</v>
      </c>
      <c r="R304" s="940"/>
      <c r="S304" s="596">
        <v>0</v>
      </c>
      <c r="T304" s="724"/>
      <c r="U304" s="728"/>
      <c r="V304" s="728"/>
      <c r="W304" s="731">
        <f t="shared" si="152"/>
        <v>0</v>
      </c>
      <c r="X304" s="947"/>
      <c r="Y304" s="616"/>
      <c r="Z304" s="602">
        <f t="shared" si="155"/>
        <v>0</v>
      </c>
      <c r="AA304" s="835"/>
      <c r="AB304" s="602">
        <f t="shared" si="156"/>
        <v>0</v>
      </c>
      <c r="AC304" s="940"/>
      <c r="AD304" s="956"/>
      <c r="AE304" s="956"/>
      <c r="AF304" s="598">
        <v>11.333333333333334</v>
      </c>
      <c r="AG304" s="596"/>
      <c r="AH304" s="728"/>
      <c r="AI304" s="728"/>
      <c r="AJ304" s="729">
        <f t="shared" si="166"/>
        <v>0</v>
      </c>
      <c r="AK304" s="946"/>
      <c r="AL304" s="616">
        <f>145+25</f>
        <v>170</v>
      </c>
      <c r="AM304" s="602">
        <f t="shared" si="160"/>
        <v>11.333333333333334</v>
      </c>
      <c r="AN304" s="835"/>
      <c r="AO304" s="835">
        <f t="shared" si="164"/>
        <v>0</v>
      </c>
      <c r="AP304" s="940"/>
      <c r="AQ304" s="722">
        <v>0</v>
      </c>
      <c r="AR304" s="728"/>
      <c r="AS304" s="728"/>
      <c r="AT304" s="729">
        <f t="shared" si="167"/>
        <v>0</v>
      </c>
      <c r="AU304" s="946"/>
      <c r="AV304" s="616"/>
      <c r="AW304" s="602">
        <f t="shared" si="157"/>
        <v>0</v>
      </c>
      <c r="AX304" s="940"/>
      <c r="AY304" s="602">
        <f t="shared" si="159"/>
        <v>0</v>
      </c>
      <c r="AZ304" s="940"/>
      <c r="BA304" s="962"/>
      <c r="BB304" s="962"/>
      <c r="BC304" s="611"/>
      <c r="BD304" s="712">
        <v>64</v>
      </c>
      <c r="BE304" s="596">
        <v>0</v>
      </c>
      <c r="BF304" s="596">
        <f t="shared" si="162"/>
        <v>64</v>
      </c>
      <c r="BG304" s="728"/>
      <c r="BH304" s="728"/>
      <c r="BI304" s="729">
        <f t="shared" si="153"/>
        <v>0</v>
      </c>
      <c r="BJ304" s="729"/>
      <c r="BK304" s="616">
        <v>3200</v>
      </c>
      <c r="BL304" s="603">
        <f t="shared" si="161"/>
        <v>64</v>
      </c>
      <c r="BM304" s="964"/>
      <c r="BN304" s="602">
        <f t="shared" si="165"/>
        <v>0</v>
      </c>
      <c r="BO304" s="940"/>
      <c r="BP304" s="593">
        <f t="shared" si="168"/>
        <v>0</v>
      </c>
      <c r="BS304" s="741">
        <v>18</v>
      </c>
      <c r="BT304" s="741">
        <v>2</v>
      </c>
      <c r="BU304" s="741">
        <f t="shared" si="169"/>
        <v>20</v>
      </c>
      <c r="BV304" s="741">
        <v>10</v>
      </c>
      <c r="BW304" s="741"/>
      <c r="BX304" s="741">
        <v>0</v>
      </c>
      <c r="BY304" s="741">
        <v>0</v>
      </c>
      <c r="BZ304" s="741">
        <f t="shared" si="154"/>
        <v>0</v>
      </c>
      <c r="CA304" s="741">
        <v>11.333333333333334</v>
      </c>
      <c r="CB304" s="741"/>
      <c r="CC304" s="741">
        <f t="shared" si="170"/>
        <v>21.333333333333336</v>
      </c>
      <c r="CD304" s="751"/>
      <c r="CE304" s="748"/>
      <c r="CF304" s="748"/>
      <c r="CG304" s="748">
        <f t="shared" si="171"/>
        <v>0</v>
      </c>
      <c r="CH304" s="759"/>
      <c r="CI304" s="742"/>
      <c r="CJ304" s="591">
        <f t="shared" si="172"/>
        <v>0</v>
      </c>
    </row>
    <row r="305" spans="1:88" ht="21.6" customHeight="1" x14ac:dyDescent="0.25">
      <c r="A305" s="596"/>
      <c r="B305" s="596"/>
      <c r="C305" s="597"/>
      <c r="D305" s="143"/>
      <c r="E305" s="598">
        <v>0</v>
      </c>
      <c r="F305" s="596">
        <v>0</v>
      </c>
      <c r="G305" s="598"/>
      <c r="H305" s="596"/>
      <c r="I305" s="596">
        <f t="shared" si="158"/>
        <v>0</v>
      </c>
      <c r="J305" s="728"/>
      <c r="K305" s="728"/>
      <c r="L305" s="731">
        <f t="shared" si="151"/>
        <v>0</v>
      </c>
      <c r="M305" s="947"/>
      <c r="N305" s="617">
        <v>0</v>
      </c>
      <c r="O305" s="602">
        <f t="shared" si="173"/>
        <v>0</v>
      </c>
      <c r="P305" s="940"/>
      <c r="Q305" s="600">
        <f t="shared" si="163"/>
        <v>0</v>
      </c>
      <c r="R305" s="940"/>
      <c r="S305" s="596">
        <v>0</v>
      </c>
      <c r="T305" s="724"/>
      <c r="U305" s="728"/>
      <c r="V305" s="728"/>
      <c r="W305" s="731">
        <f t="shared" si="152"/>
        <v>0</v>
      </c>
      <c r="X305" s="947"/>
      <c r="Y305" s="616"/>
      <c r="Z305" s="602">
        <f t="shared" si="155"/>
        <v>0</v>
      </c>
      <c r="AA305" s="835"/>
      <c r="AB305" s="602">
        <f t="shared" si="156"/>
        <v>0</v>
      </c>
      <c r="AC305" s="940"/>
      <c r="AD305" s="956"/>
      <c r="AE305" s="956"/>
      <c r="AF305" s="598"/>
      <c r="AG305" s="596"/>
      <c r="AH305" s="728"/>
      <c r="AI305" s="728"/>
      <c r="AJ305" s="729">
        <f t="shared" si="166"/>
        <v>0</v>
      </c>
      <c r="AK305" s="946"/>
      <c r="AL305" s="616"/>
      <c r="AM305" s="602">
        <f t="shared" si="160"/>
        <v>0</v>
      </c>
      <c r="AN305" s="835"/>
      <c r="AO305" s="835">
        <f t="shared" si="164"/>
        <v>0</v>
      </c>
      <c r="AP305" s="940"/>
      <c r="AQ305" s="722">
        <v>0</v>
      </c>
      <c r="AR305" s="728"/>
      <c r="AS305" s="728"/>
      <c r="AT305" s="729">
        <f t="shared" si="167"/>
        <v>0</v>
      </c>
      <c r="AU305" s="946"/>
      <c r="AV305" s="616"/>
      <c r="AW305" s="602">
        <f t="shared" si="157"/>
        <v>0</v>
      </c>
      <c r="AX305" s="940"/>
      <c r="AY305" s="602">
        <f t="shared" si="159"/>
        <v>0</v>
      </c>
      <c r="AZ305" s="940"/>
      <c r="BA305" s="962"/>
      <c r="BB305" s="962"/>
      <c r="BC305" s="611"/>
      <c r="BD305" s="712"/>
      <c r="BE305" s="596"/>
      <c r="BF305" s="596">
        <f t="shared" si="162"/>
        <v>0</v>
      </c>
      <c r="BG305" s="728"/>
      <c r="BH305" s="728"/>
      <c r="BI305" s="729">
        <f t="shared" si="153"/>
        <v>0</v>
      </c>
      <c r="BJ305" s="729"/>
      <c r="BK305" s="616"/>
      <c r="BL305" s="603">
        <f t="shared" si="161"/>
        <v>0</v>
      </c>
      <c r="BM305" s="964"/>
      <c r="BN305" s="602">
        <f t="shared" si="165"/>
        <v>0</v>
      </c>
      <c r="BO305" s="940"/>
      <c r="BP305" s="593">
        <f t="shared" si="168"/>
        <v>0</v>
      </c>
      <c r="BS305" s="741">
        <v>0</v>
      </c>
      <c r="BT305" s="741">
        <v>0</v>
      </c>
      <c r="BU305" s="741">
        <f t="shared" si="169"/>
        <v>0</v>
      </c>
      <c r="BV305" s="741">
        <v>0</v>
      </c>
      <c r="BW305" s="741"/>
      <c r="BX305" s="741">
        <v>0</v>
      </c>
      <c r="BY305" s="741">
        <v>0</v>
      </c>
      <c r="BZ305" s="741">
        <f t="shared" si="154"/>
        <v>0</v>
      </c>
      <c r="CA305" s="741">
        <v>0</v>
      </c>
      <c r="CB305" s="741"/>
      <c r="CC305" s="741">
        <f t="shared" si="170"/>
        <v>0</v>
      </c>
      <c r="CD305" s="751"/>
      <c r="CE305" s="748"/>
      <c r="CF305" s="748"/>
      <c r="CG305" s="748">
        <f t="shared" si="171"/>
        <v>0</v>
      </c>
      <c r="CH305" s="759"/>
      <c r="CI305" s="742"/>
      <c r="CJ305" s="591">
        <f t="shared" si="172"/>
        <v>0</v>
      </c>
    </row>
    <row r="306" spans="1:88" s="594" customFormat="1" ht="52.5" customHeight="1" x14ac:dyDescent="0.25">
      <c r="A306" s="612"/>
      <c r="B306" s="612" t="s">
        <v>176</v>
      </c>
      <c r="C306" s="613" t="s">
        <v>506</v>
      </c>
      <c r="D306" s="182" t="s">
        <v>431</v>
      </c>
      <c r="E306" s="614">
        <v>16</v>
      </c>
      <c r="F306" s="612">
        <v>151</v>
      </c>
      <c r="G306" s="614">
        <v>16</v>
      </c>
      <c r="H306" s="612">
        <v>103</v>
      </c>
      <c r="I306" s="612">
        <f t="shared" si="158"/>
        <v>48</v>
      </c>
      <c r="J306" s="728">
        <f>11</f>
        <v>11</v>
      </c>
      <c r="K306" s="728">
        <f>5</f>
        <v>5</v>
      </c>
      <c r="L306" s="731">
        <f t="shared" si="151"/>
        <v>16</v>
      </c>
      <c r="M306" s="947">
        <f>SUM(L306:L329)</f>
        <v>177</v>
      </c>
      <c r="N306" s="617">
        <v>240</v>
      </c>
      <c r="O306" s="602">
        <f t="shared" si="173"/>
        <v>16</v>
      </c>
      <c r="P306" s="940">
        <f>SUM(O306:O329)</f>
        <v>151</v>
      </c>
      <c r="Q306" s="600">
        <f t="shared" si="163"/>
        <v>0</v>
      </c>
      <c r="R306" s="940">
        <f>SUM(Q306:Q329)</f>
        <v>0</v>
      </c>
      <c r="S306" s="596">
        <v>0</v>
      </c>
      <c r="T306" s="724">
        <f>SUM(S306:S329)</f>
        <v>12.333333333333334</v>
      </c>
      <c r="U306" s="728"/>
      <c r="V306" s="728"/>
      <c r="W306" s="731">
        <f t="shared" si="152"/>
        <v>0</v>
      </c>
      <c r="X306" s="947">
        <f>SUM(W306:W329)</f>
        <v>16</v>
      </c>
      <c r="Y306" s="616"/>
      <c r="Z306" s="602">
        <f t="shared" si="155"/>
        <v>0</v>
      </c>
      <c r="AA306" s="835">
        <f>SUM(Z306:Z329)</f>
        <v>12.333333333333334</v>
      </c>
      <c r="AB306" s="602">
        <f t="shared" si="156"/>
        <v>0</v>
      </c>
      <c r="AC306" s="940">
        <f>SUM(AB306:AB329)</f>
        <v>0</v>
      </c>
      <c r="AD306" s="955">
        <f>M306+X306</f>
        <v>193</v>
      </c>
      <c r="AE306" s="955">
        <f>R306+AC306</f>
        <v>0</v>
      </c>
      <c r="AF306" s="614">
        <v>7.666666666666667</v>
      </c>
      <c r="AG306" s="612">
        <v>177.33333333333334</v>
      </c>
      <c r="AH306" s="728">
        <v>9</v>
      </c>
      <c r="AI306" s="728">
        <v>6</v>
      </c>
      <c r="AJ306" s="729">
        <f t="shared" si="166"/>
        <v>15</v>
      </c>
      <c r="AK306" s="946">
        <f>SUM(AJ306:AJ329)</f>
        <v>211</v>
      </c>
      <c r="AL306" s="616">
        <v>115</v>
      </c>
      <c r="AM306" s="602">
        <f t="shared" si="160"/>
        <v>7.666666666666667</v>
      </c>
      <c r="AN306" s="835">
        <f>SUM(AM306:AM329)</f>
        <v>178.00000000000003</v>
      </c>
      <c r="AO306" s="835">
        <f t="shared" si="164"/>
        <v>0</v>
      </c>
      <c r="AP306" s="940">
        <f>SUM(AO306:AO329)</f>
        <v>-0.66666666666666696</v>
      </c>
      <c r="AQ306" s="722">
        <v>0</v>
      </c>
      <c r="AR306" s="728"/>
      <c r="AS306" s="728"/>
      <c r="AT306" s="729">
        <f t="shared" si="167"/>
        <v>0</v>
      </c>
      <c r="AU306" s="946">
        <f>SUM(AT306:AT329)</f>
        <v>0</v>
      </c>
      <c r="AV306" s="616"/>
      <c r="AW306" s="602">
        <f t="shared" si="157"/>
        <v>0</v>
      </c>
      <c r="AX306" s="940">
        <f>SUM(AW306:AW329)</f>
        <v>0</v>
      </c>
      <c r="AY306" s="602">
        <f t="shared" si="159"/>
        <v>0</v>
      </c>
      <c r="AZ306" s="940">
        <f>SUM(AY306:AY329)</f>
        <v>0</v>
      </c>
      <c r="BA306" s="961">
        <f>AK306+AU306</f>
        <v>211</v>
      </c>
      <c r="BB306" s="961">
        <f>AP306+AZ306</f>
        <v>-0.66666666666666696</v>
      </c>
      <c r="BC306" s="614">
        <f>SUM(BD306:BD329)</f>
        <v>335</v>
      </c>
      <c r="BD306" s="716">
        <v>24</v>
      </c>
      <c r="BE306" s="612">
        <v>24</v>
      </c>
      <c r="BF306" s="596">
        <f t="shared" si="162"/>
        <v>0</v>
      </c>
      <c r="BG306" s="728">
        <f>8+12</f>
        <v>20</v>
      </c>
      <c r="BH306" s="728">
        <f>5+7</f>
        <v>12</v>
      </c>
      <c r="BI306" s="729">
        <f t="shared" si="153"/>
        <v>32</v>
      </c>
      <c r="BJ306" s="729">
        <f>SUM(BI306:BI329)</f>
        <v>415</v>
      </c>
      <c r="BK306" s="616">
        <f>316.67+883.34</f>
        <v>1200.01</v>
      </c>
      <c r="BL306" s="603">
        <f t="shared" si="161"/>
        <v>24.0002</v>
      </c>
      <c r="BM306" s="964">
        <f>SUM(BL306:BL329)</f>
        <v>342.9301999999999</v>
      </c>
      <c r="BN306" s="602">
        <f t="shared" si="165"/>
        <v>-1.9999999999953388E-4</v>
      </c>
      <c r="BO306" s="940">
        <f>SUM(BN306:BN329)</f>
        <v>-7.930200000000001</v>
      </c>
      <c r="BP306" s="593">
        <f t="shared" si="168"/>
        <v>-8.5968666666666671</v>
      </c>
      <c r="BS306" s="745">
        <v>0</v>
      </c>
      <c r="BT306" s="745">
        <v>0</v>
      </c>
      <c r="BU306" s="741">
        <f t="shared" si="169"/>
        <v>0</v>
      </c>
      <c r="BV306" s="745">
        <v>0</v>
      </c>
      <c r="BW306" s="745">
        <f>SUM(BV306:BV329)</f>
        <v>0</v>
      </c>
      <c r="BX306" s="745">
        <v>0</v>
      </c>
      <c r="BY306" s="745">
        <v>0</v>
      </c>
      <c r="BZ306" s="741">
        <f t="shared" si="154"/>
        <v>0</v>
      </c>
      <c r="CA306" s="745">
        <v>0</v>
      </c>
      <c r="CB306" s="745">
        <f>SUM(CA306:CA329)</f>
        <v>0</v>
      </c>
      <c r="CC306" s="741">
        <f t="shared" si="170"/>
        <v>0</v>
      </c>
      <c r="CD306" s="756">
        <f>SUM(CC306:CC329)</f>
        <v>0</v>
      </c>
      <c r="CE306" s="748"/>
      <c r="CF306" s="748"/>
      <c r="CG306" s="748">
        <f t="shared" si="171"/>
        <v>0</v>
      </c>
      <c r="CH306" s="766"/>
      <c r="CI306" s="745">
        <f>SUM(CH306:CH329)</f>
        <v>0</v>
      </c>
      <c r="CJ306" s="594">
        <f t="shared" si="172"/>
        <v>-1.9999999999953388E-4</v>
      </c>
    </row>
    <row r="307" spans="1:88" ht="31.5" customHeight="1" x14ac:dyDescent="0.25">
      <c r="A307" s="596" t="s">
        <v>130</v>
      </c>
      <c r="B307" s="596" t="s">
        <v>176</v>
      </c>
      <c r="C307" s="597" t="s">
        <v>319</v>
      </c>
      <c r="D307" s="182" t="s">
        <v>431</v>
      </c>
      <c r="E307" s="598">
        <v>4</v>
      </c>
      <c r="F307" s="596">
        <v>0</v>
      </c>
      <c r="G307" s="598">
        <v>0</v>
      </c>
      <c r="H307" s="596"/>
      <c r="I307" s="596">
        <f t="shared" si="158"/>
        <v>0</v>
      </c>
      <c r="J307" s="728">
        <v>6</v>
      </c>
      <c r="K307" s="728"/>
      <c r="L307" s="731">
        <f t="shared" si="151"/>
        <v>6</v>
      </c>
      <c r="M307" s="947"/>
      <c r="N307" s="617">
        <v>60</v>
      </c>
      <c r="O307" s="602">
        <f t="shared" si="173"/>
        <v>4</v>
      </c>
      <c r="P307" s="940"/>
      <c r="Q307" s="600">
        <f t="shared" si="163"/>
        <v>0</v>
      </c>
      <c r="R307" s="940"/>
      <c r="S307" s="596">
        <v>0</v>
      </c>
      <c r="T307" s="724"/>
      <c r="U307" s="728"/>
      <c r="V307" s="728"/>
      <c r="W307" s="731">
        <f t="shared" si="152"/>
        <v>0</v>
      </c>
      <c r="X307" s="947"/>
      <c r="Y307" s="616"/>
      <c r="Z307" s="602">
        <f t="shared" si="155"/>
        <v>0</v>
      </c>
      <c r="AA307" s="835"/>
      <c r="AB307" s="602">
        <f t="shared" si="156"/>
        <v>0</v>
      </c>
      <c r="AC307" s="940"/>
      <c r="AD307" s="956"/>
      <c r="AE307" s="956"/>
      <c r="AF307" s="598">
        <v>5.666666666666667</v>
      </c>
      <c r="AG307" s="596"/>
      <c r="AH307" s="728">
        <v>9</v>
      </c>
      <c r="AI307" s="728">
        <v>3</v>
      </c>
      <c r="AJ307" s="729">
        <f t="shared" si="166"/>
        <v>12</v>
      </c>
      <c r="AK307" s="946"/>
      <c r="AL307" s="616">
        <v>85</v>
      </c>
      <c r="AM307" s="602">
        <f t="shared" si="160"/>
        <v>5.666666666666667</v>
      </c>
      <c r="AN307" s="835"/>
      <c r="AO307" s="835">
        <f t="shared" si="164"/>
        <v>0</v>
      </c>
      <c r="AP307" s="940"/>
      <c r="AQ307" s="722">
        <v>0</v>
      </c>
      <c r="AR307" s="728"/>
      <c r="AS307" s="728"/>
      <c r="AT307" s="729">
        <f t="shared" si="167"/>
        <v>0</v>
      </c>
      <c r="AU307" s="946"/>
      <c r="AV307" s="616"/>
      <c r="AW307" s="602">
        <f t="shared" si="157"/>
        <v>0</v>
      </c>
      <c r="AX307" s="940"/>
      <c r="AY307" s="602">
        <f t="shared" si="159"/>
        <v>0</v>
      </c>
      <c r="AZ307" s="940"/>
      <c r="BA307" s="962"/>
      <c r="BB307" s="962"/>
      <c r="BC307" s="611"/>
      <c r="BD307" s="712">
        <v>9</v>
      </c>
      <c r="BE307" s="596">
        <v>0</v>
      </c>
      <c r="BF307" s="596">
        <f t="shared" si="162"/>
        <v>9</v>
      </c>
      <c r="BG307" s="728">
        <f>9+6</f>
        <v>15</v>
      </c>
      <c r="BH307" s="728">
        <f>3+0</f>
        <v>3</v>
      </c>
      <c r="BI307" s="729">
        <f t="shared" si="153"/>
        <v>18</v>
      </c>
      <c r="BJ307" s="729"/>
      <c r="BK307" s="616">
        <f>317.5+225</f>
        <v>542.5</v>
      </c>
      <c r="BL307" s="603">
        <f t="shared" si="161"/>
        <v>10.85</v>
      </c>
      <c r="BM307" s="964"/>
      <c r="BN307" s="602">
        <f t="shared" si="165"/>
        <v>-1.8499999999999996</v>
      </c>
      <c r="BO307" s="940"/>
      <c r="BP307" s="593">
        <f t="shared" si="168"/>
        <v>0</v>
      </c>
      <c r="BS307" s="741">
        <v>0</v>
      </c>
      <c r="BT307" s="741">
        <v>0</v>
      </c>
      <c r="BU307" s="741">
        <f t="shared" si="169"/>
        <v>0</v>
      </c>
      <c r="BV307" s="741">
        <v>0</v>
      </c>
      <c r="BW307" s="741"/>
      <c r="BX307" s="741">
        <v>0</v>
      </c>
      <c r="BY307" s="741">
        <v>0</v>
      </c>
      <c r="BZ307" s="741">
        <f t="shared" si="154"/>
        <v>0</v>
      </c>
      <c r="CA307" s="741">
        <v>0</v>
      </c>
      <c r="CB307" s="741"/>
      <c r="CC307" s="741">
        <f t="shared" si="170"/>
        <v>0</v>
      </c>
      <c r="CD307" s="751"/>
      <c r="CE307" s="748"/>
      <c r="CF307" s="748"/>
      <c r="CG307" s="748">
        <f t="shared" si="171"/>
        <v>0</v>
      </c>
      <c r="CH307" s="759"/>
      <c r="CI307" s="742"/>
      <c r="CJ307" s="591">
        <f t="shared" si="172"/>
        <v>-1.8499999999999996</v>
      </c>
    </row>
    <row r="308" spans="1:88" ht="21.6" customHeight="1" x14ac:dyDescent="0.25">
      <c r="A308" s="596" t="s">
        <v>130</v>
      </c>
      <c r="B308" s="596" t="s">
        <v>176</v>
      </c>
      <c r="C308" s="597" t="s">
        <v>178</v>
      </c>
      <c r="D308" s="167"/>
      <c r="E308" s="598">
        <v>0</v>
      </c>
      <c r="F308" s="596">
        <v>0</v>
      </c>
      <c r="G308" s="598">
        <v>0</v>
      </c>
      <c r="H308" s="596"/>
      <c r="I308" s="596">
        <f t="shared" si="158"/>
        <v>0</v>
      </c>
      <c r="J308" s="728"/>
      <c r="K308" s="728"/>
      <c r="L308" s="731">
        <f t="shared" si="151"/>
        <v>0</v>
      </c>
      <c r="M308" s="947"/>
      <c r="N308" s="617"/>
      <c r="O308" s="602">
        <f t="shared" si="173"/>
        <v>0</v>
      </c>
      <c r="P308" s="940"/>
      <c r="Q308" s="600">
        <f t="shared" si="163"/>
        <v>0</v>
      </c>
      <c r="R308" s="940"/>
      <c r="S308" s="596">
        <v>0</v>
      </c>
      <c r="T308" s="724"/>
      <c r="U308" s="728"/>
      <c r="V308" s="728"/>
      <c r="W308" s="731">
        <f t="shared" si="152"/>
        <v>0</v>
      </c>
      <c r="X308" s="947"/>
      <c r="Y308" s="616"/>
      <c r="Z308" s="602">
        <f t="shared" si="155"/>
        <v>0</v>
      </c>
      <c r="AA308" s="835"/>
      <c r="AB308" s="602">
        <f t="shared" si="156"/>
        <v>0</v>
      </c>
      <c r="AC308" s="940"/>
      <c r="AD308" s="956"/>
      <c r="AE308" s="956"/>
      <c r="AF308" s="598">
        <v>0</v>
      </c>
      <c r="AG308" s="596"/>
      <c r="AH308" s="728"/>
      <c r="AI308" s="728"/>
      <c r="AJ308" s="729">
        <f t="shared" si="166"/>
        <v>0</v>
      </c>
      <c r="AK308" s="946"/>
      <c r="AL308" s="616"/>
      <c r="AM308" s="602">
        <f t="shared" si="160"/>
        <v>0</v>
      </c>
      <c r="AN308" s="835"/>
      <c r="AO308" s="835">
        <f t="shared" si="164"/>
        <v>0</v>
      </c>
      <c r="AP308" s="940"/>
      <c r="AQ308" s="722">
        <v>0</v>
      </c>
      <c r="AR308" s="728"/>
      <c r="AS308" s="728"/>
      <c r="AT308" s="729">
        <f t="shared" si="167"/>
        <v>0</v>
      </c>
      <c r="AU308" s="946"/>
      <c r="AV308" s="616"/>
      <c r="AW308" s="602">
        <f t="shared" si="157"/>
        <v>0</v>
      </c>
      <c r="AX308" s="940"/>
      <c r="AY308" s="602">
        <f t="shared" si="159"/>
        <v>0</v>
      </c>
      <c r="AZ308" s="940"/>
      <c r="BA308" s="962"/>
      <c r="BB308" s="962"/>
      <c r="BC308" s="611"/>
      <c r="BD308" s="712">
        <v>0</v>
      </c>
      <c r="BE308" s="596">
        <v>0</v>
      </c>
      <c r="BF308" s="596">
        <f t="shared" si="162"/>
        <v>0</v>
      </c>
      <c r="BG308" s="728"/>
      <c r="BH308" s="728"/>
      <c r="BI308" s="729">
        <f t="shared" si="153"/>
        <v>0</v>
      </c>
      <c r="BJ308" s="729"/>
      <c r="BK308" s="616"/>
      <c r="BL308" s="603">
        <f t="shared" si="161"/>
        <v>0</v>
      </c>
      <c r="BM308" s="964"/>
      <c r="BN308" s="602">
        <f t="shared" si="165"/>
        <v>0</v>
      </c>
      <c r="BO308" s="940"/>
      <c r="BP308" s="593">
        <f t="shared" si="168"/>
        <v>0</v>
      </c>
      <c r="BS308" s="741">
        <v>0</v>
      </c>
      <c r="BT308" s="741">
        <v>0</v>
      </c>
      <c r="BU308" s="741">
        <f t="shared" si="169"/>
        <v>0</v>
      </c>
      <c r="BV308" s="741">
        <v>0</v>
      </c>
      <c r="BW308" s="741"/>
      <c r="BX308" s="741">
        <v>0</v>
      </c>
      <c r="BY308" s="741">
        <v>0</v>
      </c>
      <c r="BZ308" s="741">
        <f t="shared" si="154"/>
        <v>0</v>
      </c>
      <c r="CA308" s="741">
        <v>0</v>
      </c>
      <c r="CB308" s="741"/>
      <c r="CC308" s="741">
        <f t="shared" si="170"/>
        <v>0</v>
      </c>
      <c r="CD308" s="751"/>
      <c r="CE308" s="748"/>
      <c r="CF308" s="748"/>
      <c r="CG308" s="748">
        <f t="shared" si="171"/>
        <v>0</v>
      </c>
      <c r="CH308" s="759"/>
      <c r="CI308" s="742"/>
      <c r="CJ308" s="591">
        <f t="shared" si="172"/>
        <v>0</v>
      </c>
    </row>
    <row r="309" spans="1:88" ht="21.6" customHeight="1" x14ac:dyDescent="0.25">
      <c r="A309" s="596" t="s">
        <v>130</v>
      </c>
      <c r="B309" s="596" t="s">
        <v>176</v>
      </c>
      <c r="C309" s="597" t="s">
        <v>179</v>
      </c>
      <c r="D309" s="182" t="s">
        <v>431</v>
      </c>
      <c r="E309" s="598">
        <v>4</v>
      </c>
      <c r="F309" s="596">
        <v>0</v>
      </c>
      <c r="G309" s="598">
        <v>0</v>
      </c>
      <c r="H309" s="596"/>
      <c r="I309" s="596">
        <f t="shared" si="158"/>
        <v>0</v>
      </c>
      <c r="J309" s="728">
        <v>2</v>
      </c>
      <c r="K309" s="728">
        <v>3</v>
      </c>
      <c r="L309" s="731">
        <f t="shared" si="151"/>
        <v>5</v>
      </c>
      <c r="M309" s="947"/>
      <c r="N309" s="617">
        <v>60</v>
      </c>
      <c r="O309" s="602">
        <f t="shared" si="173"/>
        <v>4</v>
      </c>
      <c r="P309" s="940"/>
      <c r="Q309" s="600">
        <f t="shared" si="163"/>
        <v>0</v>
      </c>
      <c r="R309" s="940"/>
      <c r="S309" s="596">
        <v>0</v>
      </c>
      <c r="T309" s="724"/>
      <c r="U309" s="728"/>
      <c r="V309" s="728"/>
      <c r="W309" s="731">
        <f t="shared" si="152"/>
        <v>0</v>
      </c>
      <c r="X309" s="947"/>
      <c r="Y309" s="616"/>
      <c r="Z309" s="602">
        <f t="shared" si="155"/>
        <v>0</v>
      </c>
      <c r="AA309" s="835"/>
      <c r="AB309" s="602">
        <f t="shared" si="156"/>
        <v>0</v>
      </c>
      <c r="AC309" s="940"/>
      <c r="AD309" s="956"/>
      <c r="AE309" s="956"/>
      <c r="AF309" s="598">
        <v>2</v>
      </c>
      <c r="AG309" s="596"/>
      <c r="AH309" s="728">
        <v>2</v>
      </c>
      <c r="AI309" s="728">
        <v>2</v>
      </c>
      <c r="AJ309" s="729">
        <f t="shared" si="166"/>
        <v>4</v>
      </c>
      <c r="AK309" s="946"/>
      <c r="AL309" s="616">
        <v>30</v>
      </c>
      <c r="AM309" s="602">
        <f t="shared" si="160"/>
        <v>2</v>
      </c>
      <c r="AN309" s="835"/>
      <c r="AO309" s="835">
        <f t="shared" si="164"/>
        <v>0</v>
      </c>
      <c r="AP309" s="940"/>
      <c r="AQ309" s="722">
        <v>0</v>
      </c>
      <c r="AR309" s="728"/>
      <c r="AS309" s="728"/>
      <c r="AT309" s="729">
        <f t="shared" si="167"/>
        <v>0</v>
      </c>
      <c r="AU309" s="946"/>
      <c r="AV309" s="616"/>
      <c r="AW309" s="602">
        <f t="shared" si="157"/>
        <v>0</v>
      </c>
      <c r="AX309" s="940"/>
      <c r="AY309" s="602">
        <f t="shared" si="159"/>
        <v>0</v>
      </c>
      <c r="AZ309" s="940"/>
      <c r="BA309" s="962"/>
      <c r="BB309" s="962"/>
      <c r="BC309" s="611"/>
      <c r="BD309" s="712">
        <v>6</v>
      </c>
      <c r="BE309" s="596">
        <v>0</v>
      </c>
      <c r="BF309" s="596">
        <f t="shared" si="162"/>
        <v>6</v>
      </c>
      <c r="BG309" s="728">
        <f>2+2</f>
        <v>4</v>
      </c>
      <c r="BH309" s="728">
        <f>3+2</f>
        <v>5</v>
      </c>
      <c r="BI309" s="729">
        <f t="shared" si="153"/>
        <v>9</v>
      </c>
      <c r="BJ309" s="729"/>
      <c r="BK309" s="616">
        <f>100+225</f>
        <v>325</v>
      </c>
      <c r="BL309" s="603">
        <f t="shared" si="161"/>
        <v>6.5</v>
      </c>
      <c r="BM309" s="964"/>
      <c r="BN309" s="602">
        <f t="shared" si="165"/>
        <v>-0.5</v>
      </c>
      <c r="BO309" s="940"/>
      <c r="BP309" s="593">
        <f t="shared" si="168"/>
        <v>0</v>
      </c>
      <c r="BS309" s="741">
        <v>0</v>
      </c>
      <c r="BT309" s="741">
        <v>0</v>
      </c>
      <c r="BU309" s="741">
        <f t="shared" si="169"/>
        <v>0</v>
      </c>
      <c r="BV309" s="741">
        <v>0</v>
      </c>
      <c r="BW309" s="741"/>
      <c r="BX309" s="741">
        <v>0</v>
      </c>
      <c r="BY309" s="741">
        <v>0</v>
      </c>
      <c r="BZ309" s="741">
        <f t="shared" si="154"/>
        <v>0</v>
      </c>
      <c r="CA309" s="741">
        <v>0</v>
      </c>
      <c r="CB309" s="741"/>
      <c r="CC309" s="741">
        <f t="shared" si="170"/>
        <v>0</v>
      </c>
      <c r="CD309" s="751"/>
      <c r="CE309" s="748"/>
      <c r="CF309" s="748"/>
      <c r="CG309" s="748">
        <f t="shared" si="171"/>
        <v>0</v>
      </c>
      <c r="CH309" s="759"/>
      <c r="CI309" s="742"/>
      <c r="CJ309" s="591">
        <f t="shared" si="172"/>
        <v>-0.5</v>
      </c>
    </row>
    <row r="310" spans="1:88" ht="21.6" customHeight="1" x14ac:dyDescent="0.25">
      <c r="A310" s="596" t="s">
        <v>130</v>
      </c>
      <c r="B310" s="596" t="s">
        <v>176</v>
      </c>
      <c r="C310" s="597" t="s">
        <v>180</v>
      </c>
      <c r="D310" s="182" t="s">
        <v>431</v>
      </c>
      <c r="E310" s="598">
        <v>5</v>
      </c>
      <c r="F310" s="596">
        <v>0</v>
      </c>
      <c r="G310" s="598">
        <v>0</v>
      </c>
      <c r="H310" s="596"/>
      <c r="I310" s="596">
        <f t="shared" si="158"/>
        <v>0</v>
      </c>
      <c r="J310" s="728">
        <v>8</v>
      </c>
      <c r="K310" s="728"/>
      <c r="L310" s="731">
        <f t="shared" si="151"/>
        <v>8</v>
      </c>
      <c r="M310" s="947"/>
      <c r="N310" s="617">
        <v>75</v>
      </c>
      <c r="O310" s="602">
        <f t="shared" si="173"/>
        <v>5</v>
      </c>
      <c r="P310" s="940"/>
      <c r="Q310" s="600">
        <f t="shared" si="163"/>
        <v>0</v>
      </c>
      <c r="R310" s="940"/>
      <c r="S310" s="596">
        <v>0</v>
      </c>
      <c r="T310" s="724"/>
      <c r="U310" s="728"/>
      <c r="V310" s="728"/>
      <c r="W310" s="731">
        <f t="shared" si="152"/>
        <v>0</v>
      </c>
      <c r="X310" s="947"/>
      <c r="Y310" s="616"/>
      <c r="Z310" s="602">
        <f t="shared" si="155"/>
        <v>0</v>
      </c>
      <c r="AA310" s="835"/>
      <c r="AB310" s="602">
        <f t="shared" si="156"/>
        <v>0</v>
      </c>
      <c r="AC310" s="940"/>
      <c r="AD310" s="956"/>
      <c r="AE310" s="956"/>
      <c r="AF310" s="598">
        <v>3</v>
      </c>
      <c r="AG310" s="596"/>
      <c r="AH310" s="728">
        <v>2</v>
      </c>
      <c r="AI310" s="728">
        <v>3</v>
      </c>
      <c r="AJ310" s="729">
        <f t="shared" si="166"/>
        <v>5</v>
      </c>
      <c r="AK310" s="946"/>
      <c r="AL310" s="616">
        <v>45</v>
      </c>
      <c r="AM310" s="602">
        <f t="shared" si="160"/>
        <v>3</v>
      </c>
      <c r="AN310" s="835"/>
      <c r="AO310" s="835">
        <f t="shared" si="164"/>
        <v>0</v>
      </c>
      <c r="AP310" s="940"/>
      <c r="AQ310" s="722">
        <v>0</v>
      </c>
      <c r="AR310" s="728"/>
      <c r="AS310" s="728"/>
      <c r="AT310" s="729">
        <f t="shared" si="167"/>
        <v>0</v>
      </c>
      <c r="AU310" s="946"/>
      <c r="AV310" s="616"/>
      <c r="AW310" s="602">
        <f t="shared" si="157"/>
        <v>0</v>
      </c>
      <c r="AX310" s="940"/>
      <c r="AY310" s="602">
        <f t="shared" si="159"/>
        <v>0</v>
      </c>
      <c r="AZ310" s="940"/>
      <c r="BA310" s="962"/>
      <c r="BB310" s="962"/>
      <c r="BC310" s="611"/>
      <c r="BD310" s="712">
        <v>7</v>
      </c>
      <c r="BE310" s="596">
        <v>0</v>
      </c>
      <c r="BF310" s="596">
        <f t="shared" si="162"/>
        <v>7</v>
      </c>
      <c r="BG310" s="728">
        <f>8+2</f>
        <v>10</v>
      </c>
      <c r="BH310" s="728">
        <f>0+3</f>
        <v>3</v>
      </c>
      <c r="BI310" s="729">
        <f t="shared" si="153"/>
        <v>13</v>
      </c>
      <c r="BJ310" s="729"/>
      <c r="BK310" s="616">
        <f>150+250</f>
        <v>400</v>
      </c>
      <c r="BL310" s="603">
        <f t="shared" si="161"/>
        <v>8</v>
      </c>
      <c r="BM310" s="964"/>
      <c r="BN310" s="602">
        <f t="shared" si="165"/>
        <v>-1</v>
      </c>
      <c r="BO310" s="940"/>
      <c r="BP310" s="593">
        <f t="shared" si="168"/>
        <v>0</v>
      </c>
      <c r="BS310" s="741">
        <v>0</v>
      </c>
      <c r="BT310" s="741">
        <v>0</v>
      </c>
      <c r="BU310" s="741">
        <f t="shared" si="169"/>
        <v>0</v>
      </c>
      <c r="BV310" s="741">
        <v>0</v>
      </c>
      <c r="BW310" s="741"/>
      <c r="BX310" s="741">
        <v>0</v>
      </c>
      <c r="BY310" s="741">
        <v>0</v>
      </c>
      <c r="BZ310" s="741">
        <f t="shared" si="154"/>
        <v>0</v>
      </c>
      <c r="CA310" s="741">
        <v>0</v>
      </c>
      <c r="CB310" s="741"/>
      <c r="CC310" s="741">
        <f t="shared" si="170"/>
        <v>0</v>
      </c>
      <c r="CD310" s="751"/>
      <c r="CE310" s="748"/>
      <c r="CF310" s="748"/>
      <c r="CG310" s="748">
        <f t="shared" si="171"/>
        <v>0</v>
      </c>
      <c r="CH310" s="759"/>
      <c r="CI310" s="742"/>
      <c r="CJ310" s="591">
        <f t="shared" si="172"/>
        <v>-1</v>
      </c>
    </row>
    <row r="311" spans="1:88" ht="21.6" customHeight="1" x14ac:dyDescent="0.25">
      <c r="A311" s="596" t="s">
        <v>130</v>
      </c>
      <c r="B311" s="596" t="s">
        <v>176</v>
      </c>
      <c r="C311" s="597" t="s">
        <v>181</v>
      </c>
      <c r="D311" s="167"/>
      <c r="E311" s="598">
        <v>0</v>
      </c>
      <c r="F311" s="596">
        <v>0</v>
      </c>
      <c r="G311" s="598">
        <v>0</v>
      </c>
      <c r="H311" s="596"/>
      <c r="I311" s="596">
        <f t="shared" si="158"/>
        <v>0</v>
      </c>
      <c r="J311" s="728"/>
      <c r="K311" s="728"/>
      <c r="L311" s="731">
        <f t="shared" si="151"/>
        <v>0</v>
      </c>
      <c r="M311" s="947"/>
      <c r="N311" s="617"/>
      <c r="O311" s="602">
        <f t="shared" si="173"/>
        <v>0</v>
      </c>
      <c r="P311" s="940"/>
      <c r="Q311" s="600">
        <f t="shared" si="163"/>
        <v>0</v>
      </c>
      <c r="R311" s="940"/>
      <c r="S311" s="596">
        <v>0</v>
      </c>
      <c r="T311" s="724"/>
      <c r="U311" s="728"/>
      <c r="V311" s="728"/>
      <c r="W311" s="731">
        <f t="shared" si="152"/>
        <v>0</v>
      </c>
      <c r="X311" s="947"/>
      <c r="Y311" s="616"/>
      <c r="Z311" s="602">
        <f t="shared" si="155"/>
        <v>0</v>
      </c>
      <c r="AA311" s="835"/>
      <c r="AB311" s="602">
        <f t="shared" si="156"/>
        <v>0</v>
      </c>
      <c r="AC311" s="940"/>
      <c r="AD311" s="956"/>
      <c r="AE311" s="956"/>
      <c r="AF311" s="598">
        <v>0</v>
      </c>
      <c r="AG311" s="596"/>
      <c r="AH311" s="728"/>
      <c r="AI311" s="728"/>
      <c r="AJ311" s="729">
        <f t="shared" si="166"/>
        <v>0</v>
      </c>
      <c r="AK311" s="946"/>
      <c r="AL311" s="616"/>
      <c r="AM311" s="602">
        <f t="shared" si="160"/>
        <v>0</v>
      </c>
      <c r="AN311" s="835"/>
      <c r="AO311" s="835">
        <f t="shared" si="164"/>
        <v>0</v>
      </c>
      <c r="AP311" s="940"/>
      <c r="AQ311" s="722">
        <v>0</v>
      </c>
      <c r="AR311" s="728"/>
      <c r="AS311" s="728"/>
      <c r="AT311" s="729">
        <f t="shared" si="167"/>
        <v>0</v>
      </c>
      <c r="AU311" s="946"/>
      <c r="AV311" s="616"/>
      <c r="AW311" s="602">
        <f t="shared" si="157"/>
        <v>0</v>
      </c>
      <c r="AX311" s="940"/>
      <c r="AY311" s="602">
        <f t="shared" si="159"/>
        <v>0</v>
      </c>
      <c r="AZ311" s="940"/>
      <c r="BA311" s="962"/>
      <c r="BB311" s="962"/>
      <c r="BC311" s="611"/>
      <c r="BD311" s="712">
        <v>0</v>
      </c>
      <c r="BE311" s="596">
        <v>0</v>
      </c>
      <c r="BF311" s="596">
        <f t="shared" si="162"/>
        <v>0</v>
      </c>
      <c r="BG311" s="728"/>
      <c r="BH311" s="728"/>
      <c r="BI311" s="729">
        <f t="shared" si="153"/>
        <v>0</v>
      </c>
      <c r="BJ311" s="729"/>
      <c r="BK311" s="616"/>
      <c r="BL311" s="603">
        <f t="shared" si="161"/>
        <v>0</v>
      </c>
      <c r="BM311" s="964"/>
      <c r="BN311" s="602">
        <f t="shared" si="165"/>
        <v>0</v>
      </c>
      <c r="BO311" s="940"/>
      <c r="BP311" s="593">
        <f t="shared" si="168"/>
        <v>0</v>
      </c>
      <c r="BS311" s="741">
        <v>0</v>
      </c>
      <c r="BT311" s="741">
        <v>0</v>
      </c>
      <c r="BU311" s="741">
        <f t="shared" si="169"/>
        <v>0</v>
      </c>
      <c r="BV311" s="741">
        <v>0</v>
      </c>
      <c r="BW311" s="741"/>
      <c r="BX311" s="741">
        <v>0</v>
      </c>
      <c r="BY311" s="741">
        <v>0</v>
      </c>
      <c r="BZ311" s="741">
        <f t="shared" si="154"/>
        <v>0</v>
      </c>
      <c r="CA311" s="741">
        <v>0</v>
      </c>
      <c r="CB311" s="741"/>
      <c r="CC311" s="741">
        <f t="shared" si="170"/>
        <v>0</v>
      </c>
      <c r="CD311" s="751"/>
      <c r="CE311" s="748"/>
      <c r="CF311" s="748"/>
      <c r="CG311" s="748">
        <f t="shared" si="171"/>
        <v>0</v>
      </c>
      <c r="CH311" s="759"/>
      <c r="CI311" s="742"/>
      <c r="CJ311" s="591">
        <f t="shared" si="172"/>
        <v>0</v>
      </c>
    </row>
    <row r="312" spans="1:88" ht="21.6" customHeight="1" x14ac:dyDescent="0.25">
      <c r="A312" s="596"/>
      <c r="B312" s="596" t="s">
        <v>176</v>
      </c>
      <c r="C312" s="597" t="s">
        <v>721</v>
      </c>
      <c r="D312" s="167" t="s">
        <v>431</v>
      </c>
      <c r="E312" s="598">
        <v>21.666666666666668</v>
      </c>
      <c r="F312" s="596">
        <v>0</v>
      </c>
      <c r="G312" s="598">
        <v>21.666666666666668</v>
      </c>
      <c r="H312" s="596"/>
      <c r="I312" s="596">
        <f t="shared" si="158"/>
        <v>0</v>
      </c>
      <c r="J312" s="728">
        <f>19+3</f>
        <v>22</v>
      </c>
      <c r="K312" s="728">
        <f>5+1</f>
        <v>6</v>
      </c>
      <c r="L312" s="731">
        <f t="shared" si="151"/>
        <v>28</v>
      </c>
      <c r="M312" s="947"/>
      <c r="N312" s="617">
        <v>325</v>
      </c>
      <c r="O312" s="602">
        <f t="shared" si="173"/>
        <v>21.666666666666668</v>
      </c>
      <c r="P312" s="940"/>
      <c r="Q312" s="600">
        <f t="shared" si="163"/>
        <v>0</v>
      </c>
      <c r="R312" s="940"/>
      <c r="S312" s="596">
        <v>0</v>
      </c>
      <c r="T312" s="724"/>
      <c r="U312" s="728"/>
      <c r="V312" s="728"/>
      <c r="W312" s="731">
        <f t="shared" si="152"/>
        <v>0</v>
      </c>
      <c r="X312" s="947"/>
      <c r="Y312" s="616"/>
      <c r="Z312" s="602">
        <f t="shared" si="155"/>
        <v>0</v>
      </c>
      <c r="AA312" s="835"/>
      <c r="AB312" s="602">
        <f t="shared" si="156"/>
        <v>0</v>
      </c>
      <c r="AC312" s="940"/>
      <c r="AD312" s="956"/>
      <c r="AE312" s="956"/>
      <c r="AF312" s="598"/>
      <c r="AG312" s="596"/>
      <c r="AH312" s="728"/>
      <c r="AI312" s="728"/>
      <c r="AJ312" s="729">
        <f t="shared" si="166"/>
        <v>0</v>
      </c>
      <c r="AK312" s="946"/>
      <c r="AL312" s="616"/>
      <c r="AM312" s="602">
        <f t="shared" si="160"/>
        <v>0</v>
      </c>
      <c r="AN312" s="835"/>
      <c r="AO312" s="835">
        <f t="shared" si="164"/>
        <v>0</v>
      </c>
      <c r="AP312" s="940"/>
      <c r="AQ312" s="722">
        <v>0</v>
      </c>
      <c r="AR312" s="728"/>
      <c r="AS312" s="728"/>
      <c r="AT312" s="729">
        <f t="shared" si="167"/>
        <v>0</v>
      </c>
      <c r="AU312" s="946"/>
      <c r="AV312" s="616"/>
      <c r="AW312" s="602">
        <f t="shared" si="157"/>
        <v>0</v>
      </c>
      <c r="AX312" s="940"/>
      <c r="AY312" s="602">
        <f t="shared" si="159"/>
        <v>0</v>
      </c>
      <c r="AZ312" s="940"/>
      <c r="BA312" s="962"/>
      <c r="BB312" s="962"/>
      <c r="BC312" s="611"/>
      <c r="BD312" s="712">
        <v>21</v>
      </c>
      <c r="BE312" s="596">
        <v>21</v>
      </c>
      <c r="BF312" s="596">
        <f t="shared" si="162"/>
        <v>0</v>
      </c>
      <c r="BG312" s="728">
        <f>14+9</f>
        <v>23</v>
      </c>
      <c r="BH312" s="728">
        <f>4+3</f>
        <v>7</v>
      </c>
      <c r="BI312" s="729">
        <f t="shared" si="153"/>
        <v>30</v>
      </c>
      <c r="BJ312" s="729"/>
      <c r="BK312" s="616">
        <f>650.5+467</f>
        <v>1117.5</v>
      </c>
      <c r="BL312" s="603">
        <f t="shared" si="161"/>
        <v>22.35</v>
      </c>
      <c r="BM312" s="964"/>
      <c r="BN312" s="602">
        <f t="shared" si="165"/>
        <v>-1.3500000000000014</v>
      </c>
      <c r="BO312" s="940"/>
      <c r="BP312" s="593">
        <f t="shared" si="168"/>
        <v>0</v>
      </c>
      <c r="BS312" s="741">
        <v>0</v>
      </c>
      <c r="BT312" s="741">
        <v>0</v>
      </c>
      <c r="BU312" s="741">
        <f t="shared" si="169"/>
        <v>0</v>
      </c>
      <c r="BV312" s="741">
        <v>0</v>
      </c>
      <c r="BW312" s="741"/>
      <c r="BX312" s="741">
        <v>0</v>
      </c>
      <c r="BY312" s="741">
        <v>0</v>
      </c>
      <c r="BZ312" s="741">
        <f t="shared" si="154"/>
        <v>0</v>
      </c>
      <c r="CA312" s="741">
        <v>0</v>
      </c>
      <c r="CB312" s="741"/>
      <c r="CC312" s="741">
        <f t="shared" si="170"/>
        <v>0</v>
      </c>
      <c r="CD312" s="751"/>
      <c r="CE312" s="748"/>
      <c r="CF312" s="748"/>
      <c r="CG312" s="748">
        <f t="shared" si="171"/>
        <v>0</v>
      </c>
      <c r="CH312" s="759"/>
      <c r="CI312" s="742"/>
      <c r="CJ312" s="591">
        <f t="shared" si="172"/>
        <v>-1.3500000000000014</v>
      </c>
    </row>
    <row r="313" spans="1:88" ht="21.6" customHeight="1" x14ac:dyDescent="0.25">
      <c r="A313" s="596" t="s">
        <v>130</v>
      </c>
      <c r="B313" s="596" t="s">
        <v>176</v>
      </c>
      <c r="C313" s="597" t="s">
        <v>182</v>
      </c>
      <c r="D313" s="182" t="s">
        <v>431</v>
      </c>
      <c r="E313" s="598">
        <v>16</v>
      </c>
      <c r="F313" s="596">
        <v>0</v>
      </c>
      <c r="G313" s="598">
        <v>0</v>
      </c>
      <c r="H313" s="596"/>
      <c r="I313" s="596">
        <f t="shared" si="158"/>
        <v>0</v>
      </c>
      <c r="J313" s="728">
        <v>8</v>
      </c>
      <c r="K313" s="728">
        <v>6</v>
      </c>
      <c r="L313" s="731">
        <f t="shared" si="151"/>
        <v>14</v>
      </c>
      <c r="M313" s="947"/>
      <c r="N313" s="617">
        <v>240</v>
      </c>
      <c r="O313" s="602">
        <f t="shared" si="173"/>
        <v>16</v>
      </c>
      <c r="P313" s="940"/>
      <c r="Q313" s="600">
        <f t="shared" si="163"/>
        <v>0</v>
      </c>
      <c r="R313" s="940"/>
      <c r="S313" s="596">
        <v>0</v>
      </c>
      <c r="T313" s="724"/>
      <c r="U313" s="728"/>
      <c r="V313" s="728"/>
      <c r="W313" s="731">
        <f t="shared" si="152"/>
        <v>0</v>
      </c>
      <c r="X313" s="947"/>
      <c r="Y313" s="616"/>
      <c r="Z313" s="602">
        <f t="shared" si="155"/>
        <v>0</v>
      </c>
      <c r="AA313" s="835"/>
      <c r="AB313" s="602">
        <f t="shared" si="156"/>
        <v>0</v>
      </c>
      <c r="AC313" s="940"/>
      <c r="AD313" s="956"/>
      <c r="AE313" s="956"/>
      <c r="AF313" s="598">
        <v>9</v>
      </c>
      <c r="AG313" s="596"/>
      <c r="AH313" s="728">
        <v>12</v>
      </c>
      <c r="AI313" s="728">
        <v>8</v>
      </c>
      <c r="AJ313" s="729">
        <f t="shared" si="166"/>
        <v>20</v>
      </c>
      <c r="AK313" s="946"/>
      <c r="AL313" s="616">
        <v>135</v>
      </c>
      <c r="AM313" s="602">
        <f t="shared" si="160"/>
        <v>9</v>
      </c>
      <c r="AN313" s="835"/>
      <c r="AO313" s="835">
        <f t="shared" si="164"/>
        <v>0</v>
      </c>
      <c r="AP313" s="940"/>
      <c r="AQ313" s="722">
        <v>0</v>
      </c>
      <c r="AR313" s="728"/>
      <c r="AS313" s="728"/>
      <c r="AT313" s="729">
        <f t="shared" si="167"/>
        <v>0</v>
      </c>
      <c r="AU313" s="946"/>
      <c r="AV313" s="616"/>
      <c r="AW313" s="602">
        <f t="shared" si="157"/>
        <v>0</v>
      </c>
      <c r="AX313" s="940"/>
      <c r="AY313" s="602">
        <f t="shared" si="159"/>
        <v>0</v>
      </c>
      <c r="AZ313" s="940"/>
      <c r="BA313" s="962"/>
      <c r="BB313" s="962"/>
      <c r="BC313" s="611"/>
      <c r="BD313" s="712">
        <v>24</v>
      </c>
      <c r="BE313" s="596">
        <v>0</v>
      </c>
      <c r="BF313" s="596">
        <f t="shared" si="162"/>
        <v>24</v>
      </c>
      <c r="BG313" s="728">
        <f>12+14</f>
        <v>26</v>
      </c>
      <c r="BH313" s="728">
        <f>8+6</f>
        <v>14</v>
      </c>
      <c r="BI313" s="729">
        <f t="shared" si="153"/>
        <v>40</v>
      </c>
      <c r="BJ313" s="729"/>
      <c r="BK313" s="616">
        <f>280+975</f>
        <v>1255</v>
      </c>
      <c r="BL313" s="603">
        <f t="shared" si="161"/>
        <v>25.1</v>
      </c>
      <c r="BM313" s="964"/>
      <c r="BN313" s="602">
        <f t="shared" si="165"/>
        <v>-1.1000000000000014</v>
      </c>
      <c r="BO313" s="940"/>
      <c r="BP313" s="593">
        <f t="shared" si="168"/>
        <v>0</v>
      </c>
      <c r="BS313" s="741">
        <v>0</v>
      </c>
      <c r="BT313" s="741">
        <v>0</v>
      </c>
      <c r="BU313" s="741">
        <f t="shared" si="169"/>
        <v>0</v>
      </c>
      <c r="BV313" s="741">
        <v>0</v>
      </c>
      <c r="BW313" s="741"/>
      <c r="BX313" s="741">
        <v>0</v>
      </c>
      <c r="BY313" s="741">
        <v>0</v>
      </c>
      <c r="BZ313" s="741">
        <f t="shared" si="154"/>
        <v>0</v>
      </c>
      <c r="CA313" s="741">
        <v>0</v>
      </c>
      <c r="CB313" s="741"/>
      <c r="CC313" s="741">
        <f t="shared" si="170"/>
        <v>0</v>
      </c>
      <c r="CD313" s="751"/>
      <c r="CE313" s="748"/>
      <c r="CF313" s="748"/>
      <c r="CG313" s="748">
        <f t="shared" si="171"/>
        <v>0</v>
      </c>
      <c r="CH313" s="759"/>
      <c r="CI313" s="742"/>
      <c r="CJ313" s="591">
        <f t="shared" si="172"/>
        <v>-1.1000000000000014</v>
      </c>
    </row>
    <row r="314" spans="1:88" ht="21.6" customHeight="1" x14ac:dyDescent="0.25">
      <c r="A314" s="596" t="s">
        <v>130</v>
      </c>
      <c r="B314" s="596" t="s">
        <v>176</v>
      </c>
      <c r="C314" s="597" t="s">
        <v>183</v>
      </c>
      <c r="D314" s="167"/>
      <c r="E314" s="598">
        <v>0</v>
      </c>
      <c r="F314" s="596">
        <v>0</v>
      </c>
      <c r="G314" s="598">
        <v>0</v>
      </c>
      <c r="H314" s="596"/>
      <c r="I314" s="596">
        <f t="shared" si="158"/>
        <v>0</v>
      </c>
      <c r="J314" s="728"/>
      <c r="K314" s="728"/>
      <c r="L314" s="731">
        <f t="shared" si="151"/>
        <v>0</v>
      </c>
      <c r="M314" s="947"/>
      <c r="N314" s="617"/>
      <c r="O314" s="602">
        <f t="shared" si="173"/>
        <v>0</v>
      </c>
      <c r="P314" s="940"/>
      <c r="Q314" s="600">
        <f t="shared" ref="Q314:Q345" si="174">E314-O314</f>
        <v>0</v>
      </c>
      <c r="R314" s="940"/>
      <c r="S314" s="596">
        <v>0</v>
      </c>
      <c r="T314" s="724"/>
      <c r="U314" s="728"/>
      <c r="V314" s="728"/>
      <c r="W314" s="731">
        <f t="shared" si="152"/>
        <v>0</v>
      </c>
      <c r="X314" s="947"/>
      <c r="Y314" s="616"/>
      <c r="Z314" s="602">
        <f t="shared" si="155"/>
        <v>0</v>
      </c>
      <c r="AA314" s="835"/>
      <c r="AB314" s="602">
        <f t="shared" si="156"/>
        <v>0</v>
      </c>
      <c r="AC314" s="940"/>
      <c r="AD314" s="956"/>
      <c r="AE314" s="956"/>
      <c r="AF314" s="598">
        <v>0</v>
      </c>
      <c r="AG314" s="596"/>
      <c r="AH314" s="728"/>
      <c r="AI314" s="728"/>
      <c r="AJ314" s="729">
        <f t="shared" si="166"/>
        <v>0</v>
      </c>
      <c r="AK314" s="946"/>
      <c r="AL314" s="616"/>
      <c r="AM314" s="602">
        <f t="shared" si="160"/>
        <v>0</v>
      </c>
      <c r="AN314" s="835"/>
      <c r="AO314" s="835">
        <f t="shared" ref="AO314:AO345" si="175">AF314-AM314</f>
        <v>0</v>
      </c>
      <c r="AP314" s="940"/>
      <c r="AQ314" s="722">
        <v>0</v>
      </c>
      <c r="AR314" s="728"/>
      <c r="AS314" s="728"/>
      <c r="AT314" s="729">
        <f t="shared" si="167"/>
        <v>0</v>
      </c>
      <c r="AU314" s="946"/>
      <c r="AV314" s="616"/>
      <c r="AW314" s="602">
        <f t="shared" si="157"/>
        <v>0</v>
      </c>
      <c r="AX314" s="940"/>
      <c r="AY314" s="602">
        <f t="shared" si="159"/>
        <v>0</v>
      </c>
      <c r="AZ314" s="940"/>
      <c r="BA314" s="962"/>
      <c r="BB314" s="962"/>
      <c r="BC314" s="611"/>
      <c r="BD314" s="712">
        <v>0</v>
      </c>
      <c r="BE314" s="596">
        <v>0</v>
      </c>
      <c r="BF314" s="596">
        <f t="shared" si="162"/>
        <v>0</v>
      </c>
      <c r="BG314" s="728"/>
      <c r="BH314" s="728"/>
      <c r="BI314" s="729">
        <f t="shared" si="153"/>
        <v>0</v>
      </c>
      <c r="BJ314" s="729"/>
      <c r="BK314" s="616"/>
      <c r="BL314" s="603">
        <f t="shared" si="161"/>
        <v>0</v>
      </c>
      <c r="BM314" s="964"/>
      <c r="BN314" s="602">
        <f t="shared" ref="BN314:BN345" si="176">BD314-BL314</f>
        <v>0</v>
      </c>
      <c r="BO314" s="940"/>
      <c r="BP314" s="593">
        <f t="shared" si="168"/>
        <v>0</v>
      </c>
      <c r="BS314" s="741">
        <v>0</v>
      </c>
      <c r="BT314" s="741">
        <v>0</v>
      </c>
      <c r="BU314" s="741">
        <f t="shared" si="169"/>
        <v>0</v>
      </c>
      <c r="BV314" s="741">
        <v>0</v>
      </c>
      <c r="BW314" s="741"/>
      <c r="BX314" s="741">
        <v>0</v>
      </c>
      <c r="BY314" s="741">
        <v>0</v>
      </c>
      <c r="BZ314" s="741">
        <f t="shared" si="154"/>
        <v>0</v>
      </c>
      <c r="CA314" s="741">
        <v>0</v>
      </c>
      <c r="CB314" s="741"/>
      <c r="CC314" s="741">
        <f t="shared" si="170"/>
        <v>0</v>
      </c>
      <c r="CD314" s="751"/>
      <c r="CE314" s="748"/>
      <c r="CF314" s="748"/>
      <c r="CG314" s="748">
        <f t="shared" si="171"/>
        <v>0</v>
      </c>
      <c r="CH314" s="759"/>
      <c r="CI314" s="742"/>
      <c r="CJ314" s="591">
        <f t="shared" si="172"/>
        <v>0</v>
      </c>
    </row>
    <row r="315" spans="1:88" ht="21.6" customHeight="1" x14ac:dyDescent="0.25">
      <c r="A315" s="596" t="s">
        <v>130</v>
      </c>
      <c r="B315" s="596" t="s">
        <v>176</v>
      </c>
      <c r="C315" s="597" t="s">
        <v>184</v>
      </c>
      <c r="D315" s="182" t="s">
        <v>431</v>
      </c>
      <c r="E315" s="598">
        <v>4</v>
      </c>
      <c r="F315" s="596">
        <v>0</v>
      </c>
      <c r="G315" s="598">
        <v>0</v>
      </c>
      <c r="H315" s="596"/>
      <c r="I315" s="596">
        <f t="shared" si="158"/>
        <v>0</v>
      </c>
      <c r="J315" s="728">
        <v>4</v>
      </c>
      <c r="K315" s="728">
        <v>1</v>
      </c>
      <c r="L315" s="731">
        <f t="shared" si="151"/>
        <v>5</v>
      </c>
      <c r="M315" s="947"/>
      <c r="N315" s="617">
        <v>60</v>
      </c>
      <c r="O315" s="602">
        <f t="shared" si="173"/>
        <v>4</v>
      </c>
      <c r="P315" s="940"/>
      <c r="Q315" s="600">
        <f t="shared" si="174"/>
        <v>0</v>
      </c>
      <c r="R315" s="940"/>
      <c r="S315" s="596">
        <v>0</v>
      </c>
      <c r="T315" s="724"/>
      <c r="U315" s="728"/>
      <c r="V315" s="728"/>
      <c r="W315" s="731">
        <f t="shared" si="152"/>
        <v>0</v>
      </c>
      <c r="X315" s="947"/>
      <c r="Y315" s="616"/>
      <c r="Z315" s="602">
        <f t="shared" si="155"/>
        <v>0</v>
      </c>
      <c r="AA315" s="835"/>
      <c r="AB315" s="602">
        <f t="shared" si="156"/>
        <v>0</v>
      </c>
      <c r="AC315" s="940"/>
      <c r="AD315" s="956"/>
      <c r="AE315" s="956"/>
      <c r="AF315" s="598">
        <v>2</v>
      </c>
      <c r="AG315" s="596"/>
      <c r="AH315" s="728">
        <v>2</v>
      </c>
      <c r="AI315" s="728"/>
      <c r="AJ315" s="729">
        <f t="shared" si="166"/>
        <v>2</v>
      </c>
      <c r="AK315" s="946"/>
      <c r="AL315" s="616">
        <v>30</v>
      </c>
      <c r="AM315" s="602">
        <f t="shared" si="160"/>
        <v>2</v>
      </c>
      <c r="AN315" s="835"/>
      <c r="AO315" s="835">
        <f t="shared" si="175"/>
        <v>0</v>
      </c>
      <c r="AP315" s="940"/>
      <c r="AQ315" s="722">
        <v>0</v>
      </c>
      <c r="AR315" s="728"/>
      <c r="AS315" s="728"/>
      <c r="AT315" s="729">
        <f t="shared" si="167"/>
        <v>0</v>
      </c>
      <c r="AU315" s="946"/>
      <c r="AV315" s="616"/>
      <c r="AW315" s="602">
        <f t="shared" si="157"/>
        <v>0</v>
      </c>
      <c r="AX315" s="940"/>
      <c r="AY315" s="602">
        <f t="shared" si="159"/>
        <v>0</v>
      </c>
      <c r="AZ315" s="940"/>
      <c r="BA315" s="962"/>
      <c r="BB315" s="962"/>
      <c r="BC315" s="611"/>
      <c r="BD315" s="712">
        <v>6</v>
      </c>
      <c r="BE315" s="596">
        <v>0</v>
      </c>
      <c r="BF315" s="596">
        <f t="shared" si="162"/>
        <v>6</v>
      </c>
      <c r="BG315" s="728">
        <f>4+2</f>
        <v>6</v>
      </c>
      <c r="BH315" s="728">
        <v>1</v>
      </c>
      <c r="BI315" s="729">
        <f t="shared" si="153"/>
        <v>7</v>
      </c>
      <c r="BJ315" s="729"/>
      <c r="BK315" s="616">
        <f>100+200</f>
        <v>300</v>
      </c>
      <c r="BL315" s="603">
        <f t="shared" si="161"/>
        <v>6</v>
      </c>
      <c r="BM315" s="964"/>
      <c r="BN315" s="602">
        <f t="shared" si="176"/>
        <v>0</v>
      </c>
      <c r="BO315" s="940"/>
      <c r="BP315" s="593">
        <f t="shared" si="168"/>
        <v>0</v>
      </c>
      <c r="BS315" s="741">
        <v>0</v>
      </c>
      <c r="BT315" s="741">
        <v>0</v>
      </c>
      <c r="BU315" s="741">
        <f t="shared" si="169"/>
        <v>0</v>
      </c>
      <c r="BV315" s="741">
        <v>0</v>
      </c>
      <c r="BW315" s="741"/>
      <c r="BX315" s="741">
        <v>0</v>
      </c>
      <c r="BY315" s="741">
        <v>0</v>
      </c>
      <c r="BZ315" s="741">
        <f t="shared" si="154"/>
        <v>0</v>
      </c>
      <c r="CA315" s="741">
        <v>0</v>
      </c>
      <c r="CB315" s="741"/>
      <c r="CC315" s="741">
        <f t="shared" si="170"/>
        <v>0</v>
      </c>
      <c r="CD315" s="751"/>
      <c r="CE315" s="748"/>
      <c r="CF315" s="748"/>
      <c r="CG315" s="748">
        <f t="shared" si="171"/>
        <v>0</v>
      </c>
      <c r="CH315" s="759"/>
      <c r="CI315" s="742"/>
      <c r="CJ315" s="591">
        <f t="shared" si="172"/>
        <v>0</v>
      </c>
    </row>
    <row r="316" spans="1:88" ht="21.6" customHeight="1" x14ac:dyDescent="0.25">
      <c r="A316" s="596" t="s">
        <v>130</v>
      </c>
      <c r="B316" s="596" t="s">
        <v>176</v>
      </c>
      <c r="C316" s="597" t="s">
        <v>185</v>
      </c>
      <c r="D316" s="167"/>
      <c r="E316" s="598">
        <v>0</v>
      </c>
      <c r="F316" s="596">
        <v>0</v>
      </c>
      <c r="G316" s="598">
        <v>0</v>
      </c>
      <c r="H316" s="596"/>
      <c r="I316" s="596">
        <f t="shared" si="158"/>
        <v>0</v>
      </c>
      <c r="J316" s="728"/>
      <c r="K316" s="728"/>
      <c r="L316" s="731">
        <f t="shared" si="151"/>
        <v>0</v>
      </c>
      <c r="M316" s="947"/>
      <c r="N316" s="617"/>
      <c r="O316" s="602">
        <f t="shared" si="173"/>
        <v>0</v>
      </c>
      <c r="P316" s="940"/>
      <c r="Q316" s="600">
        <f t="shared" si="174"/>
        <v>0</v>
      </c>
      <c r="R316" s="940"/>
      <c r="S316" s="596">
        <v>0</v>
      </c>
      <c r="T316" s="724"/>
      <c r="U316" s="728"/>
      <c r="V316" s="728"/>
      <c r="W316" s="731">
        <f t="shared" si="152"/>
        <v>0</v>
      </c>
      <c r="X316" s="947"/>
      <c r="Y316" s="616"/>
      <c r="Z316" s="602">
        <f t="shared" si="155"/>
        <v>0</v>
      </c>
      <c r="AA316" s="835"/>
      <c r="AB316" s="602">
        <f t="shared" si="156"/>
        <v>0</v>
      </c>
      <c r="AC316" s="940"/>
      <c r="AD316" s="956"/>
      <c r="AE316" s="956"/>
      <c r="AF316" s="598">
        <v>0</v>
      </c>
      <c r="AG316" s="596"/>
      <c r="AH316" s="728"/>
      <c r="AI316" s="728"/>
      <c r="AJ316" s="729">
        <f t="shared" si="166"/>
        <v>0</v>
      </c>
      <c r="AK316" s="946"/>
      <c r="AL316" s="616"/>
      <c r="AM316" s="602">
        <f t="shared" si="160"/>
        <v>0</v>
      </c>
      <c r="AN316" s="835"/>
      <c r="AO316" s="835">
        <f t="shared" si="175"/>
        <v>0</v>
      </c>
      <c r="AP316" s="940"/>
      <c r="AQ316" s="722">
        <v>0</v>
      </c>
      <c r="AR316" s="728"/>
      <c r="AS316" s="728"/>
      <c r="AT316" s="729">
        <f t="shared" si="167"/>
        <v>0</v>
      </c>
      <c r="AU316" s="946"/>
      <c r="AV316" s="616"/>
      <c r="AW316" s="602">
        <f t="shared" si="157"/>
        <v>0</v>
      </c>
      <c r="AX316" s="940"/>
      <c r="AY316" s="602">
        <f t="shared" si="159"/>
        <v>0</v>
      </c>
      <c r="AZ316" s="940"/>
      <c r="BA316" s="962"/>
      <c r="BB316" s="962"/>
      <c r="BC316" s="611"/>
      <c r="BD316" s="712">
        <v>0</v>
      </c>
      <c r="BE316" s="596">
        <v>0</v>
      </c>
      <c r="BF316" s="596">
        <f t="shared" si="162"/>
        <v>0</v>
      </c>
      <c r="BG316" s="728"/>
      <c r="BH316" s="728"/>
      <c r="BI316" s="729">
        <f t="shared" si="153"/>
        <v>0</v>
      </c>
      <c r="BJ316" s="729"/>
      <c r="BK316" s="616"/>
      <c r="BL316" s="603">
        <f t="shared" si="161"/>
        <v>0</v>
      </c>
      <c r="BM316" s="964"/>
      <c r="BN316" s="602">
        <f t="shared" si="176"/>
        <v>0</v>
      </c>
      <c r="BO316" s="940"/>
      <c r="BP316" s="593">
        <f t="shared" si="168"/>
        <v>0</v>
      </c>
      <c r="BS316" s="741">
        <v>0</v>
      </c>
      <c r="BT316" s="741">
        <v>0</v>
      </c>
      <c r="BU316" s="741">
        <f t="shared" si="169"/>
        <v>0</v>
      </c>
      <c r="BV316" s="741">
        <v>0</v>
      </c>
      <c r="BW316" s="741"/>
      <c r="BX316" s="741">
        <v>0</v>
      </c>
      <c r="BY316" s="741">
        <v>0</v>
      </c>
      <c r="BZ316" s="741">
        <f t="shared" si="154"/>
        <v>0</v>
      </c>
      <c r="CA316" s="741">
        <v>0</v>
      </c>
      <c r="CB316" s="741"/>
      <c r="CC316" s="741">
        <f t="shared" si="170"/>
        <v>0</v>
      </c>
      <c r="CD316" s="751"/>
      <c r="CE316" s="748"/>
      <c r="CF316" s="748"/>
      <c r="CG316" s="748">
        <f t="shared" si="171"/>
        <v>0</v>
      </c>
      <c r="CH316" s="759"/>
      <c r="CI316" s="742"/>
      <c r="CJ316" s="591">
        <f t="shared" si="172"/>
        <v>0</v>
      </c>
    </row>
    <row r="317" spans="1:88" ht="40.5" customHeight="1" x14ac:dyDescent="0.25">
      <c r="A317" s="596"/>
      <c r="B317" s="596" t="s">
        <v>176</v>
      </c>
      <c r="C317" s="597" t="s">
        <v>509</v>
      </c>
      <c r="D317" s="167" t="s">
        <v>431</v>
      </c>
      <c r="E317" s="598">
        <v>10</v>
      </c>
      <c r="F317" s="596">
        <v>0</v>
      </c>
      <c r="G317" s="598">
        <v>10</v>
      </c>
      <c r="H317" s="596"/>
      <c r="I317" s="596">
        <f t="shared" si="158"/>
        <v>0</v>
      </c>
      <c r="J317" s="728">
        <f>3</f>
        <v>3</v>
      </c>
      <c r="K317" s="728">
        <f>7</f>
        <v>7</v>
      </c>
      <c r="L317" s="731">
        <f t="shared" si="151"/>
        <v>10</v>
      </c>
      <c r="M317" s="947"/>
      <c r="N317" s="617">
        <v>150</v>
      </c>
      <c r="O317" s="602">
        <f t="shared" si="173"/>
        <v>10</v>
      </c>
      <c r="P317" s="940"/>
      <c r="Q317" s="600">
        <f t="shared" si="174"/>
        <v>0</v>
      </c>
      <c r="R317" s="940"/>
      <c r="S317" s="596">
        <v>0</v>
      </c>
      <c r="T317" s="724"/>
      <c r="U317" s="728"/>
      <c r="V317" s="728"/>
      <c r="W317" s="731">
        <f t="shared" si="152"/>
        <v>0</v>
      </c>
      <c r="X317" s="947"/>
      <c r="Y317" s="616"/>
      <c r="Z317" s="602">
        <f t="shared" si="155"/>
        <v>0</v>
      </c>
      <c r="AA317" s="835"/>
      <c r="AB317" s="602">
        <f t="shared" si="156"/>
        <v>0</v>
      </c>
      <c r="AC317" s="940"/>
      <c r="AD317" s="956"/>
      <c r="AE317" s="956"/>
      <c r="AF317" s="598">
        <v>10</v>
      </c>
      <c r="AG317" s="596"/>
      <c r="AH317" s="728">
        <v>2</v>
      </c>
      <c r="AI317" s="728">
        <v>7</v>
      </c>
      <c r="AJ317" s="729">
        <f t="shared" si="166"/>
        <v>9</v>
      </c>
      <c r="AK317" s="946"/>
      <c r="AL317" s="616">
        <v>150</v>
      </c>
      <c r="AM317" s="602">
        <f t="shared" si="160"/>
        <v>10</v>
      </c>
      <c r="AN317" s="835"/>
      <c r="AO317" s="835">
        <f t="shared" si="175"/>
        <v>0</v>
      </c>
      <c r="AP317" s="940"/>
      <c r="AQ317" s="722">
        <v>0</v>
      </c>
      <c r="AR317" s="728"/>
      <c r="AS317" s="728"/>
      <c r="AT317" s="729">
        <f t="shared" si="167"/>
        <v>0</v>
      </c>
      <c r="AU317" s="946"/>
      <c r="AV317" s="616"/>
      <c r="AW317" s="602">
        <f t="shared" si="157"/>
        <v>0</v>
      </c>
      <c r="AX317" s="940"/>
      <c r="AY317" s="602">
        <f t="shared" si="159"/>
        <v>0</v>
      </c>
      <c r="AZ317" s="940"/>
      <c r="BA317" s="962"/>
      <c r="BB317" s="962"/>
      <c r="BC317" s="611"/>
      <c r="BD317" s="712">
        <v>20</v>
      </c>
      <c r="BE317" s="596">
        <v>20</v>
      </c>
      <c r="BF317" s="596">
        <f t="shared" si="162"/>
        <v>0</v>
      </c>
      <c r="BG317" s="728">
        <f>12</f>
        <v>12</v>
      </c>
      <c r="BH317" s="728">
        <f>17</f>
        <v>17</v>
      </c>
      <c r="BI317" s="729">
        <f t="shared" si="153"/>
        <v>29</v>
      </c>
      <c r="BJ317" s="729"/>
      <c r="BK317" s="616">
        <f>1000</f>
        <v>1000</v>
      </c>
      <c r="BL317" s="603">
        <f t="shared" si="161"/>
        <v>20</v>
      </c>
      <c r="BM317" s="964"/>
      <c r="BN317" s="602">
        <f t="shared" si="176"/>
        <v>0</v>
      </c>
      <c r="BO317" s="940"/>
      <c r="BP317" s="593">
        <f t="shared" si="168"/>
        <v>0</v>
      </c>
      <c r="BS317" s="741">
        <v>0</v>
      </c>
      <c r="BT317" s="741">
        <v>0</v>
      </c>
      <c r="BU317" s="741">
        <f t="shared" si="169"/>
        <v>0</v>
      </c>
      <c r="BV317" s="741">
        <v>0</v>
      </c>
      <c r="BW317" s="741"/>
      <c r="BX317" s="741">
        <v>0</v>
      </c>
      <c r="BY317" s="741">
        <v>0</v>
      </c>
      <c r="BZ317" s="741">
        <f t="shared" si="154"/>
        <v>0</v>
      </c>
      <c r="CA317" s="741">
        <v>0</v>
      </c>
      <c r="CB317" s="741"/>
      <c r="CC317" s="741">
        <f t="shared" si="170"/>
        <v>0</v>
      </c>
      <c r="CD317" s="751"/>
      <c r="CE317" s="748"/>
      <c r="CF317" s="748"/>
      <c r="CG317" s="748">
        <f t="shared" si="171"/>
        <v>0</v>
      </c>
      <c r="CH317" s="759"/>
      <c r="CI317" s="742"/>
      <c r="CJ317" s="591">
        <f t="shared" si="172"/>
        <v>0</v>
      </c>
    </row>
    <row r="318" spans="1:88" ht="21.6" customHeight="1" x14ac:dyDescent="0.25">
      <c r="A318" s="596"/>
      <c r="B318" s="596" t="s">
        <v>176</v>
      </c>
      <c r="C318" s="597" t="s">
        <v>511</v>
      </c>
      <c r="D318" s="167" t="s">
        <v>431</v>
      </c>
      <c r="E318" s="598">
        <v>0</v>
      </c>
      <c r="F318" s="596">
        <v>0</v>
      </c>
      <c r="G318" s="598"/>
      <c r="H318" s="596"/>
      <c r="I318" s="596">
        <f t="shared" si="158"/>
        <v>0</v>
      </c>
      <c r="J318" s="728"/>
      <c r="K318" s="728"/>
      <c r="L318" s="731">
        <f t="shared" si="151"/>
        <v>0</v>
      </c>
      <c r="M318" s="947"/>
      <c r="N318" s="617"/>
      <c r="O318" s="602">
        <f t="shared" si="173"/>
        <v>0</v>
      </c>
      <c r="P318" s="940"/>
      <c r="Q318" s="600">
        <f t="shared" si="174"/>
        <v>0</v>
      </c>
      <c r="R318" s="940"/>
      <c r="S318" s="596">
        <v>0</v>
      </c>
      <c r="T318" s="724"/>
      <c r="U318" s="728"/>
      <c r="V318" s="728"/>
      <c r="W318" s="731">
        <f t="shared" si="152"/>
        <v>0</v>
      </c>
      <c r="X318" s="947"/>
      <c r="Y318" s="616"/>
      <c r="Z318" s="602">
        <f t="shared" si="155"/>
        <v>0</v>
      </c>
      <c r="AA318" s="835"/>
      <c r="AB318" s="602">
        <f t="shared" si="156"/>
        <v>0</v>
      </c>
      <c r="AC318" s="940"/>
      <c r="AD318" s="956"/>
      <c r="AE318" s="956"/>
      <c r="AF318" s="598">
        <v>49</v>
      </c>
      <c r="AG318" s="596"/>
      <c r="AH318" s="728">
        <v>56</v>
      </c>
      <c r="AI318" s="728">
        <v>12</v>
      </c>
      <c r="AJ318" s="729">
        <f t="shared" si="166"/>
        <v>68</v>
      </c>
      <c r="AK318" s="946"/>
      <c r="AL318" s="616">
        <v>735</v>
      </c>
      <c r="AM318" s="602">
        <f t="shared" si="160"/>
        <v>49</v>
      </c>
      <c r="AN318" s="835"/>
      <c r="AO318" s="835">
        <f t="shared" si="175"/>
        <v>0</v>
      </c>
      <c r="AP318" s="940"/>
      <c r="AQ318" s="722">
        <v>0</v>
      </c>
      <c r="AR318" s="728"/>
      <c r="AS318" s="728"/>
      <c r="AT318" s="729">
        <f t="shared" si="167"/>
        <v>0</v>
      </c>
      <c r="AU318" s="946"/>
      <c r="AV318" s="616"/>
      <c r="AW318" s="602">
        <f t="shared" si="157"/>
        <v>0</v>
      </c>
      <c r="AX318" s="940"/>
      <c r="AY318" s="602">
        <f t="shared" si="159"/>
        <v>0</v>
      </c>
      <c r="AZ318" s="940"/>
      <c r="BA318" s="962"/>
      <c r="BB318" s="962"/>
      <c r="BC318" s="611"/>
      <c r="BD318" s="712">
        <v>49</v>
      </c>
      <c r="BE318" s="596">
        <v>49</v>
      </c>
      <c r="BF318" s="596">
        <f t="shared" si="162"/>
        <v>0</v>
      </c>
      <c r="BG318" s="728">
        <f>56</f>
        <v>56</v>
      </c>
      <c r="BH318" s="728">
        <f>12</f>
        <v>12</v>
      </c>
      <c r="BI318" s="729">
        <f t="shared" si="153"/>
        <v>68</v>
      </c>
      <c r="BJ318" s="729"/>
      <c r="BK318" s="616">
        <v>2450</v>
      </c>
      <c r="BL318" s="603">
        <f t="shared" si="161"/>
        <v>49</v>
      </c>
      <c r="BM318" s="964"/>
      <c r="BN318" s="602">
        <f t="shared" si="176"/>
        <v>0</v>
      </c>
      <c r="BO318" s="940"/>
      <c r="BP318" s="593">
        <f t="shared" si="168"/>
        <v>0</v>
      </c>
      <c r="BS318" s="741">
        <v>0</v>
      </c>
      <c r="BT318" s="741">
        <v>0</v>
      </c>
      <c r="BU318" s="741">
        <f t="shared" si="169"/>
        <v>0</v>
      </c>
      <c r="BV318" s="741">
        <v>0</v>
      </c>
      <c r="BW318" s="741"/>
      <c r="BX318" s="741">
        <v>0</v>
      </c>
      <c r="BY318" s="741">
        <v>0</v>
      </c>
      <c r="BZ318" s="741">
        <f t="shared" si="154"/>
        <v>0</v>
      </c>
      <c r="CA318" s="741">
        <v>0</v>
      </c>
      <c r="CB318" s="741"/>
      <c r="CC318" s="741">
        <f t="shared" si="170"/>
        <v>0</v>
      </c>
      <c r="CD318" s="751"/>
      <c r="CE318" s="748"/>
      <c r="CF318" s="748"/>
      <c r="CG318" s="748">
        <f t="shared" si="171"/>
        <v>0</v>
      </c>
      <c r="CH318" s="759"/>
      <c r="CI318" s="742"/>
      <c r="CJ318" s="591">
        <f t="shared" si="172"/>
        <v>0</v>
      </c>
    </row>
    <row r="319" spans="1:88" ht="21.6" customHeight="1" x14ac:dyDescent="0.25">
      <c r="A319" s="596"/>
      <c r="B319" s="596" t="s">
        <v>176</v>
      </c>
      <c r="C319" s="597" t="s">
        <v>512</v>
      </c>
      <c r="D319" s="167" t="s">
        <v>437</v>
      </c>
      <c r="E319" s="598">
        <v>10</v>
      </c>
      <c r="F319" s="596">
        <v>0</v>
      </c>
      <c r="G319" s="598">
        <v>10</v>
      </c>
      <c r="H319" s="596"/>
      <c r="I319" s="596">
        <f t="shared" si="158"/>
        <v>0</v>
      </c>
      <c r="J319" s="728">
        <f>8</f>
        <v>8</v>
      </c>
      <c r="K319" s="728">
        <f>3</f>
        <v>3</v>
      </c>
      <c r="L319" s="731">
        <f t="shared" si="151"/>
        <v>11</v>
      </c>
      <c r="M319" s="947"/>
      <c r="N319" s="617">
        <v>150</v>
      </c>
      <c r="O319" s="602">
        <f t="shared" si="173"/>
        <v>10</v>
      </c>
      <c r="P319" s="940"/>
      <c r="Q319" s="600">
        <f t="shared" si="174"/>
        <v>0</v>
      </c>
      <c r="R319" s="940"/>
      <c r="S319" s="596">
        <v>0</v>
      </c>
      <c r="T319" s="724"/>
      <c r="U319" s="728"/>
      <c r="V319" s="728"/>
      <c r="W319" s="731">
        <f t="shared" si="152"/>
        <v>0</v>
      </c>
      <c r="X319" s="947"/>
      <c r="Y319" s="616"/>
      <c r="Z319" s="602">
        <f t="shared" si="155"/>
        <v>0</v>
      </c>
      <c r="AA319" s="835"/>
      <c r="AB319" s="602">
        <f t="shared" si="156"/>
        <v>0</v>
      </c>
      <c r="AC319" s="940"/>
      <c r="AD319" s="956"/>
      <c r="AE319" s="956"/>
      <c r="AF319" s="598">
        <v>0</v>
      </c>
      <c r="AG319" s="596"/>
      <c r="AH319" s="728"/>
      <c r="AI319" s="728"/>
      <c r="AJ319" s="729">
        <f t="shared" si="166"/>
        <v>0</v>
      </c>
      <c r="AK319" s="946"/>
      <c r="AL319" s="616"/>
      <c r="AM319" s="602">
        <f t="shared" si="160"/>
        <v>0</v>
      </c>
      <c r="AN319" s="835"/>
      <c r="AO319" s="835">
        <f t="shared" si="175"/>
        <v>0</v>
      </c>
      <c r="AP319" s="940"/>
      <c r="AQ319" s="722">
        <v>0</v>
      </c>
      <c r="AR319" s="728"/>
      <c r="AS319" s="728"/>
      <c r="AT319" s="729">
        <f t="shared" si="167"/>
        <v>0</v>
      </c>
      <c r="AU319" s="946"/>
      <c r="AV319" s="616"/>
      <c r="AW319" s="602">
        <f t="shared" si="157"/>
        <v>0</v>
      </c>
      <c r="AX319" s="940"/>
      <c r="AY319" s="602">
        <f t="shared" si="159"/>
        <v>0</v>
      </c>
      <c r="AZ319" s="940"/>
      <c r="BA319" s="962"/>
      <c r="BB319" s="962"/>
      <c r="BC319" s="611"/>
      <c r="BD319" s="712">
        <v>10</v>
      </c>
      <c r="BE319" s="596">
        <v>10</v>
      </c>
      <c r="BF319" s="596">
        <f t="shared" si="162"/>
        <v>0</v>
      </c>
      <c r="BG319" s="728">
        <v>8</v>
      </c>
      <c r="BH319" s="728">
        <v>3</v>
      </c>
      <c r="BI319" s="729">
        <f t="shared" si="153"/>
        <v>11</v>
      </c>
      <c r="BJ319" s="729"/>
      <c r="BK319" s="616">
        <v>500.5</v>
      </c>
      <c r="BL319" s="603">
        <f t="shared" si="161"/>
        <v>10.01</v>
      </c>
      <c r="BM319" s="964"/>
      <c r="BN319" s="602">
        <f t="shared" si="176"/>
        <v>-9.9999999999997868E-3</v>
      </c>
      <c r="BO319" s="940"/>
      <c r="BP319" s="593">
        <f t="shared" si="168"/>
        <v>0</v>
      </c>
      <c r="BS319" s="741">
        <v>0</v>
      </c>
      <c r="BT319" s="741">
        <v>0</v>
      </c>
      <c r="BU319" s="741">
        <f t="shared" si="169"/>
        <v>0</v>
      </c>
      <c r="BV319" s="741">
        <v>0</v>
      </c>
      <c r="BW319" s="741"/>
      <c r="BX319" s="741">
        <v>0</v>
      </c>
      <c r="BY319" s="741">
        <v>0</v>
      </c>
      <c r="BZ319" s="741">
        <f t="shared" si="154"/>
        <v>0</v>
      </c>
      <c r="CA319" s="741">
        <v>0</v>
      </c>
      <c r="CB319" s="741"/>
      <c r="CC319" s="741">
        <f t="shared" si="170"/>
        <v>0</v>
      </c>
      <c r="CD319" s="751"/>
      <c r="CE319" s="748"/>
      <c r="CF319" s="748"/>
      <c r="CG319" s="748">
        <f t="shared" si="171"/>
        <v>0</v>
      </c>
      <c r="CH319" s="759"/>
      <c r="CI319" s="742"/>
      <c r="CJ319" s="591">
        <f t="shared" si="172"/>
        <v>-9.9999999999997868E-3</v>
      </c>
    </row>
    <row r="320" spans="1:88" ht="21.6" customHeight="1" x14ac:dyDescent="0.25">
      <c r="A320" s="596"/>
      <c r="B320" s="596" t="s">
        <v>176</v>
      </c>
      <c r="C320" s="597" t="s">
        <v>513</v>
      </c>
      <c r="D320" s="167" t="s">
        <v>431</v>
      </c>
      <c r="E320" s="598">
        <v>20</v>
      </c>
      <c r="F320" s="596">
        <v>0</v>
      </c>
      <c r="G320" s="598">
        <v>20</v>
      </c>
      <c r="H320" s="596"/>
      <c r="I320" s="596">
        <f t="shared" si="158"/>
        <v>0</v>
      </c>
      <c r="J320" s="728">
        <f>8</f>
        <v>8</v>
      </c>
      <c r="K320" s="728">
        <f>2</f>
        <v>2</v>
      </c>
      <c r="L320" s="731">
        <f t="shared" si="151"/>
        <v>10</v>
      </c>
      <c r="M320" s="947"/>
      <c r="N320" s="617">
        <v>300</v>
      </c>
      <c r="O320" s="602">
        <f t="shared" si="173"/>
        <v>20</v>
      </c>
      <c r="P320" s="940"/>
      <c r="Q320" s="600">
        <f t="shared" si="174"/>
        <v>0</v>
      </c>
      <c r="R320" s="940"/>
      <c r="S320" s="596">
        <v>0</v>
      </c>
      <c r="T320" s="724"/>
      <c r="U320" s="728"/>
      <c r="V320" s="728"/>
      <c r="W320" s="731">
        <f t="shared" si="152"/>
        <v>0</v>
      </c>
      <c r="X320" s="947"/>
      <c r="Y320" s="616"/>
      <c r="Z320" s="602">
        <f t="shared" si="155"/>
        <v>0</v>
      </c>
      <c r="AA320" s="835"/>
      <c r="AB320" s="602">
        <f t="shared" si="156"/>
        <v>0</v>
      </c>
      <c r="AC320" s="940"/>
      <c r="AD320" s="956"/>
      <c r="AE320" s="956"/>
      <c r="AF320" s="598">
        <v>0</v>
      </c>
      <c r="AG320" s="596"/>
      <c r="AH320" s="728"/>
      <c r="AI320" s="728"/>
      <c r="AJ320" s="729">
        <f t="shared" si="166"/>
        <v>0</v>
      </c>
      <c r="AK320" s="946"/>
      <c r="AL320" s="616"/>
      <c r="AM320" s="602">
        <f t="shared" si="160"/>
        <v>0</v>
      </c>
      <c r="AN320" s="835"/>
      <c r="AO320" s="835">
        <f t="shared" si="175"/>
        <v>0</v>
      </c>
      <c r="AP320" s="940"/>
      <c r="AQ320" s="722">
        <v>0</v>
      </c>
      <c r="AR320" s="728"/>
      <c r="AS320" s="728"/>
      <c r="AT320" s="729">
        <f t="shared" si="167"/>
        <v>0</v>
      </c>
      <c r="AU320" s="946"/>
      <c r="AV320" s="616"/>
      <c r="AW320" s="602">
        <f t="shared" si="157"/>
        <v>0</v>
      </c>
      <c r="AX320" s="940"/>
      <c r="AY320" s="602">
        <f t="shared" si="159"/>
        <v>0</v>
      </c>
      <c r="AZ320" s="940"/>
      <c r="BA320" s="962"/>
      <c r="BB320" s="962"/>
      <c r="BC320" s="611"/>
      <c r="BD320" s="712">
        <v>20</v>
      </c>
      <c r="BE320" s="596">
        <v>20</v>
      </c>
      <c r="BF320" s="596">
        <f t="shared" si="162"/>
        <v>0</v>
      </c>
      <c r="BG320" s="728">
        <f>8</f>
        <v>8</v>
      </c>
      <c r="BH320" s="728">
        <f>2</f>
        <v>2</v>
      </c>
      <c r="BI320" s="729">
        <f t="shared" si="153"/>
        <v>10</v>
      </c>
      <c r="BJ320" s="729"/>
      <c r="BK320" s="616">
        <f>1000</f>
        <v>1000</v>
      </c>
      <c r="BL320" s="603">
        <f t="shared" si="161"/>
        <v>20</v>
      </c>
      <c r="BM320" s="964"/>
      <c r="BN320" s="602">
        <f t="shared" si="176"/>
        <v>0</v>
      </c>
      <c r="BO320" s="940"/>
      <c r="BP320" s="593">
        <f t="shared" si="168"/>
        <v>0</v>
      </c>
      <c r="BS320" s="741">
        <v>0</v>
      </c>
      <c r="BT320" s="741">
        <v>0</v>
      </c>
      <c r="BU320" s="741">
        <f t="shared" si="169"/>
        <v>0</v>
      </c>
      <c r="BV320" s="741">
        <v>0</v>
      </c>
      <c r="BW320" s="741"/>
      <c r="BX320" s="741">
        <v>0</v>
      </c>
      <c r="BY320" s="741">
        <v>0</v>
      </c>
      <c r="BZ320" s="741">
        <f t="shared" si="154"/>
        <v>0</v>
      </c>
      <c r="CA320" s="741">
        <v>0</v>
      </c>
      <c r="CB320" s="741"/>
      <c r="CC320" s="741">
        <f t="shared" si="170"/>
        <v>0</v>
      </c>
      <c r="CD320" s="751"/>
      <c r="CE320" s="748"/>
      <c r="CF320" s="748"/>
      <c r="CG320" s="748">
        <f t="shared" si="171"/>
        <v>0</v>
      </c>
      <c r="CH320" s="759"/>
      <c r="CI320" s="742"/>
      <c r="CJ320" s="591">
        <f t="shared" si="172"/>
        <v>0</v>
      </c>
    </row>
    <row r="321" spans="1:88" ht="21.6" customHeight="1" x14ac:dyDescent="0.25">
      <c r="A321" s="596" t="s">
        <v>130</v>
      </c>
      <c r="B321" s="596" t="s">
        <v>176</v>
      </c>
      <c r="C321" s="597" t="s">
        <v>186</v>
      </c>
      <c r="D321" s="167"/>
      <c r="E321" s="598">
        <v>0</v>
      </c>
      <c r="F321" s="596">
        <v>0</v>
      </c>
      <c r="G321" s="598">
        <v>0</v>
      </c>
      <c r="H321" s="596"/>
      <c r="I321" s="596">
        <f t="shared" si="158"/>
        <v>0</v>
      </c>
      <c r="J321" s="728"/>
      <c r="K321" s="728"/>
      <c r="L321" s="731">
        <f t="shared" si="151"/>
        <v>0</v>
      </c>
      <c r="M321" s="947"/>
      <c r="N321" s="617"/>
      <c r="O321" s="602">
        <f t="shared" si="173"/>
        <v>0</v>
      </c>
      <c r="P321" s="940"/>
      <c r="Q321" s="600">
        <f t="shared" si="174"/>
        <v>0</v>
      </c>
      <c r="R321" s="940"/>
      <c r="S321" s="596">
        <v>0</v>
      </c>
      <c r="T321" s="724"/>
      <c r="U321" s="728"/>
      <c r="V321" s="728"/>
      <c r="W321" s="731">
        <f t="shared" si="152"/>
        <v>0</v>
      </c>
      <c r="X321" s="947"/>
      <c r="Y321" s="616"/>
      <c r="Z321" s="602">
        <f t="shared" si="155"/>
        <v>0</v>
      </c>
      <c r="AA321" s="835"/>
      <c r="AB321" s="602">
        <f t="shared" si="156"/>
        <v>0</v>
      </c>
      <c r="AC321" s="940"/>
      <c r="AD321" s="956"/>
      <c r="AE321" s="956"/>
      <c r="AF321" s="598">
        <v>0</v>
      </c>
      <c r="AG321" s="596"/>
      <c r="AH321" s="728"/>
      <c r="AI321" s="728"/>
      <c r="AJ321" s="729">
        <f t="shared" si="166"/>
        <v>0</v>
      </c>
      <c r="AK321" s="946"/>
      <c r="AL321" s="616"/>
      <c r="AM321" s="602">
        <f t="shared" si="160"/>
        <v>0</v>
      </c>
      <c r="AN321" s="835"/>
      <c r="AO321" s="835">
        <f t="shared" si="175"/>
        <v>0</v>
      </c>
      <c r="AP321" s="940"/>
      <c r="AQ321" s="722">
        <v>0</v>
      </c>
      <c r="AR321" s="728"/>
      <c r="AS321" s="728"/>
      <c r="AT321" s="729">
        <f t="shared" si="167"/>
        <v>0</v>
      </c>
      <c r="AU321" s="946"/>
      <c r="AV321" s="616"/>
      <c r="AW321" s="602">
        <f t="shared" si="157"/>
        <v>0</v>
      </c>
      <c r="AX321" s="940"/>
      <c r="AY321" s="602">
        <f t="shared" si="159"/>
        <v>0</v>
      </c>
      <c r="AZ321" s="940"/>
      <c r="BA321" s="962"/>
      <c r="BB321" s="962"/>
      <c r="BC321" s="611"/>
      <c r="BD321" s="712">
        <v>0</v>
      </c>
      <c r="BE321" s="596">
        <v>0</v>
      </c>
      <c r="BF321" s="596">
        <f t="shared" si="162"/>
        <v>0</v>
      </c>
      <c r="BG321" s="728"/>
      <c r="BH321" s="728"/>
      <c r="BI321" s="729">
        <f t="shared" si="153"/>
        <v>0</v>
      </c>
      <c r="BJ321" s="729"/>
      <c r="BK321" s="616"/>
      <c r="BL321" s="603">
        <f t="shared" si="161"/>
        <v>0</v>
      </c>
      <c r="BM321" s="964"/>
      <c r="BN321" s="602">
        <f t="shared" si="176"/>
        <v>0</v>
      </c>
      <c r="BO321" s="940"/>
      <c r="BP321" s="593">
        <f t="shared" si="168"/>
        <v>0</v>
      </c>
      <c r="BS321" s="741">
        <v>0</v>
      </c>
      <c r="BT321" s="741">
        <v>0</v>
      </c>
      <c r="BU321" s="741">
        <f t="shared" si="169"/>
        <v>0</v>
      </c>
      <c r="BV321" s="741">
        <v>0</v>
      </c>
      <c r="BW321" s="741"/>
      <c r="BX321" s="741">
        <v>0</v>
      </c>
      <c r="BY321" s="741">
        <v>0</v>
      </c>
      <c r="BZ321" s="741">
        <f t="shared" si="154"/>
        <v>0</v>
      </c>
      <c r="CA321" s="741">
        <v>0</v>
      </c>
      <c r="CB321" s="741"/>
      <c r="CC321" s="741">
        <f t="shared" si="170"/>
        <v>0</v>
      </c>
      <c r="CD321" s="751"/>
      <c r="CE321" s="748"/>
      <c r="CF321" s="748"/>
      <c r="CG321" s="748">
        <f t="shared" si="171"/>
        <v>0</v>
      </c>
      <c r="CH321" s="759"/>
      <c r="CI321" s="742"/>
      <c r="CJ321" s="591">
        <f t="shared" si="172"/>
        <v>0</v>
      </c>
    </row>
    <row r="322" spans="1:88" ht="21.6" customHeight="1" x14ac:dyDescent="0.25">
      <c r="A322" s="596" t="s">
        <v>130</v>
      </c>
      <c r="B322" s="596" t="s">
        <v>176</v>
      </c>
      <c r="C322" s="597" t="s">
        <v>187</v>
      </c>
      <c r="D322" s="182" t="s">
        <v>431</v>
      </c>
      <c r="E322" s="598">
        <v>1.3333333333333333</v>
      </c>
      <c r="F322" s="596">
        <v>0</v>
      </c>
      <c r="G322" s="598">
        <v>0</v>
      </c>
      <c r="H322" s="596"/>
      <c r="I322" s="596">
        <f t="shared" si="158"/>
        <v>0</v>
      </c>
      <c r="J322" s="728">
        <v>3</v>
      </c>
      <c r="K322" s="728">
        <v>1</v>
      </c>
      <c r="L322" s="731">
        <f t="shared" si="151"/>
        <v>4</v>
      </c>
      <c r="M322" s="947"/>
      <c r="N322" s="617">
        <v>20</v>
      </c>
      <c r="O322" s="602">
        <f t="shared" si="173"/>
        <v>1.3333333333333333</v>
      </c>
      <c r="P322" s="940"/>
      <c r="Q322" s="600">
        <f t="shared" si="174"/>
        <v>0</v>
      </c>
      <c r="R322" s="940"/>
      <c r="S322" s="596">
        <v>0</v>
      </c>
      <c r="T322" s="724"/>
      <c r="U322" s="728"/>
      <c r="V322" s="728"/>
      <c r="W322" s="731">
        <f t="shared" si="152"/>
        <v>0</v>
      </c>
      <c r="X322" s="947"/>
      <c r="Y322" s="616"/>
      <c r="Z322" s="602">
        <f t="shared" si="155"/>
        <v>0</v>
      </c>
      <c r="AA322" s="835"/>
      <c r="AB322" s="602">
        <f t="shared" si="156"/>
        <v>0</v>
      </c>
      <c r="AC322" s="940"/>
      <c r="AD322" s="956"/>
      <c r="AE322" s="956"/>
      <c r="AF322" s="598">
        <v>7</v>
      </c>
      <c r="AG322" s="596"/>
      <c r="AH322" s="728">
        <f>3+4</f>
        <v>7</v>
      </c>
      <c r="AI322" s="728">
        <f>1+1+5</f>
        <v>7</v>
      </c>
      <c r="AJ322" s="729">
        <f t="shared" si="166"/>
        <v>14</v>
      </c>
      <c r="AK322" s="946"/>
      <c r="AL322" s="616">
        <f>25+60+30</f>
        <v>115</v>
      </c>
      <c r="AM322" s="602">
        <f t="shared" si="160"/>
        <v>7.666666666666667</v>
      </c>
      <c r="AN322" s="835"/>
      <c r="AO322" s="835">
        <f t="shared" si="175"/>
        <v>-0.66666666666666696</v>
      </c>
      <c r="AP322" s="940"/>
      <c r="AQ322" s="722">
        <v>0</v>
      </c>
      <c r="AR322" s="728"/>
      <c r="AS322" s="728"/>
      <c r="AT322" s="729">
        <f t="shared" si="167"/>
        <v>0</v>
      </c>
      <c r="AU322" s="946"/>
      <c r="AV322" s="616"/>
      <c r="AW322" s="602">
        <f t="shared" si="157"/>
        <v>0</v>
      </c>
      <c r="AX322" s="940"/>
      <c r="AY322" s="602">
        <f t="shared" si="159"/>
        <v>0</v>
      </c>
      <c r="AZ322" s="940"/>
      <c r="BA322" s="962"/>
      <c r="BB322" s="962"/>
      <c r="BC322" s="611"/>
      <c r="BD322" s="712">
        <v>8</v>
      </c>
      <c r="BE322" s="596">
        <v>0</v>
      </c>
      <c r="BF322" s="596">
        <f t="shared" si="162"/>
        <v>8</v>
      </c>
      <c r="BG322" s="728">
        <f>2+4</f>
        <v>6</v>
      </c>
      <c r="BH322" s="728">
        <f>5+2+1</f>
        <v>8</v>
      </c>
      <c r="BI322" s="729">
        <f t="shared" si="153"/>
        <v>14</v>
      </c>
      <c r="BJ322" s="729"/>
      <c r="BK322" s="616">
        <f>100+100+200</f>
        <v>400</v>
      </c>
      <c r="BL322" s="603">
        <f t="shared" si="161"/>
        <v>8</v>
      </c>
      <c r="BM322" s="964"/>
      <c r="BN322" s="602">
        <f t="shared" si="176"/>
        <v>0</v>
      </c>
      <c r="BO322" s="940"/>
      <c r="BP322" s="593">
        <f t="shared" si="168"/>
        <v>0</v>
      </c>
      <c r="BS322" s="741">
        <v>0</v>
      </c>
      <c r="BT322" s="741">
        <v>0</v>
      </c>
      <c r="BU322" s="741">
        <f t="shared" si="169"/>
        <v>0</v>
      </c>
      <c r="BV322" s="741">
        <v>0</v>
      </c>
      <c r="BW322" s="741"/>
      <c r="BX322" s="741">
        <v>0</v>
      </c>
      <c r="BY322" s="741">
        <v>0</v>
      </c>
      <c r="BZ322" s="741">
        <f t="shared" si="154"/>
        <v>0</v>
      </c>
      <c r="CA322" s="741">
        <v>0</v>
      </c>
      <c r="CB322" s="741"/>
      <c r="CC322" s="741">
        <f t="shared" si="170"/>
        <v>0</v>
      </c>
      <c r="CD322" s="751"/>
      <c r="CE322" s="748"/>
      <c r="CF322" s="748"/>
      <c r="CG322" s="748">
        <f t="shared" si="171"/>
        <v>0</v>
      </c>
      <c r="CH322" s="759"/>
      <c r="CI322" s="742"/>
      <c r="CJ322" s="591">
        <f t="shared" si="172"/>
        <v>-0.66666666666666696</v>
      </c>
    </row>
    <row r="323" spans="1:88" ht="51" customHeight="1" x14ac:dyDescent="0.25">
      <c r="A323" s="596"/>
      <c r="B323" s="596" t="s">
        <v>176</v>
      </c>
      <c r="C323" s="597" t="s">
        <v>318</v>
      </c>
      <c r="D323" s="182" t="s">
        <v>431</v>
      </c>
      <c r="E323" s="598">
        <v>5</v>
      </c>
      <c r="F323" s="596">
        <v>0</v>
      </c>
      <c r="G323" s="598">
        <v>0</v>
      </c>
      <c r="H323" s="596"/>
      <c r="I323" s="596">
        <f t="shared" si="158"/>
        <v>0</v>
      </c>
      <c r="J323" s="728">
        <v>11</v>
      </c>
      <c r="K323" s="728">
        <v>1</v>
      </c>
      <c r="L323" s="731">
        <f t="shared" si="151"/>
        <v>12</v>
      </c>
      <c r="M323" s="947"/>
      <c r="N323" s="617">
        <v>75</v>
      </c>
      <c r="O323" s="602">
        <f t="shared" si="173"/>
        <v>5</v>
      </c>
      <c r="P323" s="940"/>
      <c r="Q323" s="600">
        <f t="shared" si="174"/>
        <v>0</v>
      </c>
      <c r="R323" s="940"/>
      <c r="S323" s="596">
        <v>0</v>
      </c>
      <c r="T323" s="724"/>
      <c r="U323" s="728"/>
      <c r="V323" s="728"/>
      <c r="W323" s="731">
        <f t="shared" si="152"/>
        <v>0</v>
      </c>
      <c r="X323" s="947"/>
      <c r="Y323" s="616"/>
      <c r="Z323" s="602">
        <f t="shared" si="155"/>
        <v>0</v>
      </c>
      <c r="AA323" s="835"/>
      <c r="AB323" s="602">
        <f t="shared" si="156"/>
        <v>0</v>
      </c>
      <c r="AC323" s="940"/>
      <c r="AD323" s="956"/>
      <c r="AE323" s="956"/>
      <c r="AF323" s="598">
        <v>2</v>
      </c>
      <c r="AG323" s="596"/>
      <c r="AH323" s="728">
        <v>5</v>
      </c>
      <c r="AI323" s="728"/>
      <c r="AJ323" s="729">
        <f t="shared" ref="AJ323:AJ354" si="177">AH323+AI323</f>
        <v>5</v>
      </c>
      <c r="AK323" s="946"/>
      <c r="AL323" s="616">
        <v>30</v>
      </c>
      <c r="AM323" s="602">
        <f t="shared" si="160"/>
        <v>2</v>
      </c>
      <c r="AN323" s="835"/>
      <c r="AO323" s="835">
        <f t="shared" si="175"/>
        <v>0</v>
      </c>
      <c r="AP323" s="940"/>
      <c r="AQ323" s="722">
        <v>0</v>
      </c>
      <c r="AR323" s="728"/>
      <c r="AS323" s="728"/>
      <c r="AT323" s="729">
        <f t="shared" si="167"/>
        <v>0</v>
      </c>
      <c r="AU323" s="946"/>
      <c r="AV323" s="616"/>
      <c r="AW323" s="602">
        <f t="shared" si="157"/>
        <v>0</v>
      </c>
      <c r="AX323" s="940"/>
      <c r="AY323" s="602">
        <f t="shared" si="159"/>
        <v>0</v>
      </c>
      <c r="AZ323" s="940"/>
      <c r="BA323" s="962"/>
      <c r="BB323" s="962"/>
      <c r="BC323" s="611"/>
      <c r="BD323" s="712">
        <v>6</v>
      </c>
      <c r="BE323" s="596">
        <v>0</v>
      </c>
      <c r="BF323" s="596">
        <f t="shared" si="162"/>
        <v>6</v>
      </c>
      <c r="BG323" s="728">
        <f>11+5</f>
        <v>16</v>
      </c>
      <c r="BH323" s="728">
        <f>1</f>
        <v>1</v>
      </c>
      <c r="BI323" s="729">
        <f t="shared" si="153"/>
        <v>17</v>
      </c>
      <c r="BJ323" s="729"/>
      <c r="BK323" s="616">
        <f>100+250</f>
        <v>350</v>
      </c>
      <c r="BL323" s="603">
        <f t="shared" si="161"/>
        <v>7</v>
      </c>
      <c r="BM323" s="964"/>
      <c r="BN323" s="602">
        <f t="shared" si="176"/>
        <v>-1</v>
      </c>
      <c r="BO323" s="940"/>
      <c r="BP323" s="593">
        <f t="shared" ref="BP323:BP354" si="178">BO323+AZ323+AP323+AC323+R323</f>
        <v>0</v>
      </c>
      <c r="BS323" s="741">
        <v>0</v>
      </c>
      <c r="BT323" s="741">
        <v>0</v>
      </c>
      <c r="BU323" s="741">
        <f t="shared" si="169"/>
        <v>0</v>
      </c>
      <c r="BV323" s="741">
        <v>0</v>
      </c>
      <c r="BW323" s="741"/>
      <c r="BX323" s="741">
        <v>0</v>
      </c>
      <c r="BY323" s="741">
        <v>0</v>
      </c>
      <c r="BZ323" s="741">
        <f t="shared" si="154"/>
        <v>0</v>
      </c>
      <c r="CA323" s="741">
        <v>0</v>
      </c>
      <c r="CB323" s="741"/>
      <c r="CC323" s="741">
        <f t="shared" si="170"/>
        <v>0</v>
      </c>
      <c r="CD323" s="751"/>
      <c r="CE323" s="748"/>
      <c r="CF323" s="748"/>
      <c r="CG323" s="748">
        <f t="shared" si="171"/>
        <v>0</v>
      </c>
      <c r="CH323" s="759"/>
      <c r="CI323" s="742"/>
      <c r="CJ323" s="591">
        <f t="shared" ref="CJ323:CJ354" si="179">BN323+AY323+AO323+AB323+Q323</f>
        <v>-1</v>
      </c>
    </row>
    <row r="324" spans="1:88" ht="21.6" customHeight="1" x14ac:dyDescent="0.25">
      <c r="A324" s="596" t="s">
        <v>130</v>
      </c>
      <c r="B324" s="596" t="s">
        <v>176</v>
      </c>
      <c r="C324" s="597" t="s">
        <v>188</v>
      </c>
      <c r="D324" s="167" t="s">
        <v>431</v>
      </c>
      <c r="E324" s="598">
        <v>0</v>
      </c>
      <c r="F324" s="596">
        <v>0</v>
      </c>
      <c r="G324" s="598">
        <v>0</v>
      </c>
      <c r="H324" s="596"/>
      <c r="I324" s="596">
        <f t="shared" si="158"/>
        <v>0</v>
      </c>
      <c r="J324" s="728"/>
      <c r="K324" s="728"/>
      <c r="L324" s="731">
        <f t="shared" si="151"/>
        <v>0</v>
      </c>
      <c r="M324" s="947"/>
      <c r="N324" s="617"/>
      <c r="O324" s="602">
        <f t="shared" si="173"/>
        <v>0</v>
      </c>
      <c r="P324" s="940"/>
      <c r="Q324" s="600">
        <f t="shared" si="174"/>
        <v>0</v>
      </c>
      <c r="R324" s="940"/>
      <c r="S324" s="596">
        <v>12.333333333333334</v>
      </c>
      <c r="T324" s="724"/>
      <c r="U324" s="728">
        <v>14</v>
      </c>
      <c r="V324" s="728">
        <v>2</v>
      </c>
      <c r="W324" s="731">
        <f t="shared" si="152"/>
        <v>16</v>
      </c>
      <c r="X324" s="947"/>
      <c r="Y324" s="616">
        <v>185</v>
      </c>
      <c r="Z324" s="602">
        <f t="shared" si="155"/>
        <v>12.333333333333334</v>
      </c>
      <c r="AA324" s="835"/>
      <c r="AB324" s="602">
        <f t="shared" si="156"/>
        <v>0</v>
      </c>
      <c r="AC324" s="940"/>
      <c r="AD324" s="956"/>
      <c r="AE324" s="956"/>
      <c r="AF324" s="598">
        <v>0</v>
      </c>
      <c r="AG324" s="596"/>
      <c r="AH324" s="728"/>
      <c r="AI324" s="728"/>
      <c r="AJ324" s="729">
        <f t="shared" si="177"/>
        <v>0</v>
      </c>
      <c r="AK324" s="946"/>
      <c r="AL324" s="616"/>
      <c r="AM324" s="602">
        <f t="shared" si="160"/>
        <v>0</v>
      </c>
      <c r="AN324" s="835"/>
      <c r="AO324" s="835">
        <f t="shared" si="175"/>
        <v>0</v>
      </c>
      <c r="AP324" s="940"/>
      <c r="AQ324" s="722">
        <v>0</v>
      </c>
      <c r="AR324" s="728"/>
      <c r="AS324" s="728"/>
      <c r="AT324" s="729">
        <f t="shared" si="167"/>
        <v>0</v>
      </c>
      <c r="AU324" s="946"/>
      <c r="AV324" s="616"/>
      <c r="AW324" s="602">
        <f t="shared" si="157"/>
        <v>0</v>
      </c>
      <c r="AX324" s="940"/>
      <c r="AY324" s="602">
        <f t="shared" si="159"/>
        <v>0</v>
      </c>
      <c r="AZ324" s="940"/>
      <c r="BA324" s="962"/>
      <c r="BB324" s="962"/>
      <c r="BC324" s="611"/>
      <c r="BD324" s="712">
        <v>12</v>
      </c>
      <c r="BE324" s="596">
        <v>0</v>
      </c>
      <c r="BF324" s="596">
        <f t="shared" si="162"/>
        <v>12</v>
      </c>
      <c r="BG324" s="728">
        <f>14</f>
        <v>14</v>
      </c>
      <c r="BH324" s="728">
        <f>3</f>
        <v>3</v>
      </c>
      <c r="BI324" s="729">
        <f t="shared" si="153"/>
        <v>17</v>
      </c>
      <c r="BJ324" s="729"/>
      <c r="BK324" s="616">
        <f>649.5</f>
        <v>649.5</v>
      </c>
      <c r="BL324" s="603">
        <f t="shared" si="161"/>
        <v>12.99</v>
      </c>
      <c r="BM324" s="964"/>
      <c r="BN324" s="602">
        <f t="shared" si="176"/>
        <v>-0.99000000000000021</v>
      </c>
      <c r="BO324" s="940"/>
      <c r="BP324" s="593">
        <f t="shared" si="178"/>
        <v>0</v>
      </c>
      <c r="BS324" s="741">
        <v>0</v>
      </c>
      <c r="BT324" s="741">
        <v>0</v>
      </c>
      <c r="BU324" s="741">
        <f t="shared" si="169"/>
        <v>0</v>
      </c>
      <c r="BV324" s="741">
        <v>0</v>
      </c>
      <c r="BW324" s="741"/>
      <c r="BX324" s="741">
        <v>0</v>
      </c>
      <c r="BY324" s="741">
        <v>0</v>
      </c>
      <c r="BZ324" s="741">
        <f t="shared" si="154"/>
        <v>0</v>
      </c>
      <c r="CA324" s="741">
        <v>0</v>
      </c>
      <c r="CB324" s="741"/>
      <c r="CC324" s="741">
        <f t="shared" si="170"/>
        <v>0</v>
      </c>
      <c r="CD324" s="751"/>
      <c r="CE324" s="748"/>
      <c r="CF324" s="748"/>
      <c r="CG324" s="748">
        <f t="shared" si="171"/>
        <v>0</v>
      </c>
      <c r="CH324" s="759"/>
      <c r="CI324" s="742"/>
      <c r="CJ324" s="591">
        <f t="shared" si="179"/>
        <v>-0.99000000000000021</v>
      </c>
    </row>
    <row r="325" spans="1:88" ht="42" customHeight="1" x14ac:dyDescent="0.25">
      <c r="A325" s="596"/>
      <c r="B325" s="596" t="s">
        <v>176</v>
      </c>
      <c r="C325" s="597" t="s">
        <v>516</v>
      </c>
      <c r="D325" s="167" t="s">
        <v>437</v>
      </c>
      <c r="E325" s="598">
        <v>13.333333333333334</v>
      </c>
      <c r="F325" s="596">
        <v>0</v>
      </c>
      <c r="G325" s="598">
        <v>12.333333333333334</v>
      </c>
      <c r="H325" s="596"/>
      <c r="I325" s="596">
        <f t="shared" si="158"/>
        <v>0</v>
      </c>
      <c r="J325" s="728">
        <v>15</v>
      </c>
      <c r="K325" s="728">
        <v>3</v>
      </c>
      <c r="L325" s="731">
        <f t="shared" si="151"/>
        <v>18</v>
      </c>
      <c r="M325" s="947"/>
      <c r="N325" s="617">
        <v>200</v>
      </c>
      <c r="O325" s="602">
        <f t="shared" si="173"/>
        <v>13.333333333333334</v>
      </c>
      <c r="P325" s="940"/>
      <c r="Q325" s="600">
        <f t="shared" si="174"/>
        <v>0</v>
      </c>
      <c r="R325" s="940"/>
      <c r="S325" s="596">
        <v>0</v>
      </c>
      <c r="T325" s="724"/>
      <c r="U325" s="728"/>
      <c r="V325" s="728"/>
      <c r="W325" s="731">
        <f t="shared" si="152"/>
        <v>0</v>
      </c>
      <c r="X325" s="947"/>
      <c r="Y325" s="616"/>
      <c r="Z325" s="602">
        <f t="shared" si="155"/>
        <v>0</v>
      </c>
      <c r="AA325" s="835"/>
      <c r="AB325" s="602">
        <f t="shared" si="156"/>
        <v>0</v>
      </c>
      <c r="AC325" s="940"/>
      <c r="AD325" s="956"/>
      <c r="AE325" s="956"/>
      <c r="AF325" s="598">
        <v>0</v>
      </c>
      <c r="AG325" s="596"/>
      <c r="AH325" s="728"/>
      <c r="AI325" s="728"/>
      <c r="AJ325" s="729">
        <f t="shared" si="177"/>
        <v>0</v>
      </c>
      <c r="AK325" s="946"/>
      <c r="AL325" s="616"/>
      <c r="AM325" s="602">
        <f t="shared" si="160"/>
        <v>0</v>
      </c>
      <c r="AN325" s="835"/>
      <c r="AO325" s="835">
        <f t="shared" si="175"/>
        <v>0</v>
      </c>
      <c r="AP325" s="940"/>
      <c r="AQ325" s="722">
        <v>0</v>
      </c>
      <c r="AR325" s="728"/>
      <c r="AS325" s="728"/>
      <c r="AT325" s="729">
        <f t="shared" si="167"/>
        <v>0</v>
      </c>
      <c r="AU325" s="946"/>
      <c r="AV325" s="616"/>
      <c r="AW325" s="602">
        <f t="shared" si="157"/>
        <v>0</v>
      </c>
      <c r="AX325" s="940"/>
      <c r="AY325" s="602">
        <f t="shared" si="159"/>
        <v>0</v>
      </c>
      <c r="AZ325" s="940"/>
      <c r="BA325" s="962"/>
      <c r="BB325" s="962"/>
      <c r="BC325" s="611"/>
      <c r="BD325" s="712">
        <v>12</v>
      </c>
      <c r="BE325" s="596">
        <v>12</v>
      </c>
      <c r="BF325" s="596">
        <f t="shared" si="162"/>
        <v>0</v>
      </c>
      <c r="BG325" s="728">
        <v>15</v>
      </c>
      <c r="BH325" s="728">
        <v>3</v>
      </c>
      <c r="BI325" s="729">
        <f t="shared" si="153"/>
        <v>18</v>
      </c>
      <c r="BJ325" s="729"/>
      <c r="BK325" s="616">
        <v>666</v>
      </c>
      <c r="BL325" s="603">
        <f t="shared" si="161"/>
        <v>13.32</v>
      </c>
      <c r="BM325" s="964"/>
      <c r="BN325" s="602">
        <f t="shared" si="176"/>
        <v>-1.3200000000000003</v>
      </c>
      <c r="BO325" s="940"/>
      <c r="BP325" s="593">
        <f t="shared" si="178"/>
        <v>0</v>
      </c>
      <c r="BS325" s="741">
        <v>0</v>
      </c>
      <c r="BT325" s="741">
        <v>0</v>
      </c>
      <c r="BU325" s="741">
        <f t="shared" si="169"/>
        <v>0</v>
      </c>
      <c r="BV325" s="741">
        <v>0</v>
      </c>
      <c r="BW325" s="741"/>
      <c r="BX325" s="741">
        <v>0</v>
      </c>
      <c r="BY325" s="741">
        <v>0</v>
      </c>
      <c r="BZ325" s="741">
        <f t="shared" si="154"/>
        <v>0</v>
      </c>
      <c r="CA325" s="741">
        <v>0</v>
      </c>
      <c r="CB325" s="741"/>
      <c r="CC325" s="741">
        <f t="shared" si="170"/>
        <v>0</v>
      </c>
      <c r="CD325" s="751"/>
      <c r="CE325" s="748"/>
      <c r="CF325" s="748"/>
      <c r="CG325" s="748">
        <f t="shared" si="171"/>
        <v>0</v>
      </c>
      <c r="CH325" s="759"/>
      <c r="CI325" s="742"/>
      <c r="CJ325" s="591">
        <f t="shared" si="179"/>
        <v>-1.3200000000000003</v>
      </c>
    </row>
    <row r="326" spans="1:88" ht="37.5" customHeight="1" x14ac:dyDescent="0.25">
      <c r="A326" s="596"/>
      <c r="B326" s="596" t="s">
        <v>176</v>
      </c>
      <c r="C326" s="597" t="s">
        <v>517</v>
      </c>
      <c r="D326" s="167" t="s">
        <v>431</v>
      </c>
      <c r="E326" s="598">
        <v>0</v>
      </c>
      <c r="F326" s="596">
        <v>0</v>
      </c>
      <c r="G326" s="598"/>
      <c r="H326" s="596"/>
      <c r="I326" s="596">
        <f t="shared" si="158"/>
        <v>0</v>
      </c>
      <c r="J326" s="728"/>
      <c r="K326" s="728"/>
      <c r="L326" s="731">
        <f t="shared" si="151"/>
        <v>0</v>
      </c>
      <c r="M326" s="947"/>
      <c r="N326" s="617"/>
      <c r="O326" s="602">
        <f t="shared" si="173"/>
        <v>0</v>
      </c>
      <c r="P326" s="940"/>
      <c r="Q326" s="600">
        <f t="shared" si="174"/>
        <v>0</v>
      </c>
      <c r="R326" s="940"/>
      <c r="S326" s="596">
        <v>0</v>
      </c>
      <c r="T326" s="724"/>
      <c r="U326" s="728"/>
      <c r="V326" s="728"/>
      <c r="W326" s="731">
        <f t="shared" si="152"/>
        <v>0</v>
      </c>
      <c r="X326" s="947"/>
      <c r="Y326" s="616"/>
      <c r="Z326" s="602">
        <f t="shared" si="155"/>
        <v>0</v>
      </c>
      <c r="AA326" s="835"/>
      <c r="AB326" s="602">
        <f t="shared" si="156"/>
        <v>0</v>
      </c>
      <c r="AC326" s="940"/>
      <c r="AD326" s="956"/>
      <c r="AE326" s="956"/>
      <c r="AF326" s="598">
        <v>59.666666666666664</v>
      </c>
      <c r="AG326" s="596"/>
      <c r="AH326" s="728">
        <f>17+9</f>
        <v>26</v>
      </c>
      <c r="AI326" s="728">
        <v>3</v>
      </c>
      <c r="AJ326" s="729">
        <f t="shared" si="177"/>
        <v>29</v>
      </c>
      <c r="AK326" s="946"/>
      <c r="AL326" s="616">
        <f>580+315</f>
        <v>895</v>
      </c>
      <c r="AM326" s="602">
        <f t="shared" si="160"/>
        <v>59.666666666666664</v>
      </c>
      <c r="AN326" s="835"/>
      <c r="AO326" s="835">
        <f t="shared" si="175"/>
        <v>0</v>
      </c>
      <c r="AP326" s="940"/>
      <c r="AQ326" s="722">
        <v>0</v>
      </c>
      <c r="AR326" s="728"/>
      <c r="AS326" s="728"/>
      <c r="AT326" s="729">
        <f t="shared" si="167"/>
        <v>0</v>
      </c>
      <c r="AU326" s="946"/>
      <c r="AV326" s="616"/>
      <c r="AW326" s="602">
        <f t="shared" si="157"/>
        <v>0</v>
      </c>
      <c r="AX326" s="940"/>
      <c r="AY326" s="602">
        <f t="shared" si="159"/>
        <v>0</v>
      </c>
      <c r="AZ326" s="940"/>
      <c r="BA326" s="962"/>
      <c r="BB326" s="962"/>
      <c r="BC326" s="611"/>
      <c r="BD326" s="712">
        <v>60</v>
      </c>
      <c r="BE326" s="596">
        <v>60</v>
      </c>
      <c r="BF326" s="596">
        <f t="shared" si="162"/>
        <v>0</v>
      </c>
      <c r="BG326" s="728">
        <f>26</f>
        <v>26</v>
      </c>
      <c r="BH326" s="728">
        <f>3</f>
        <v>3</v>
      </c>
      <c r="BI326" s="729">
        <f t="shared" si="153"/>
        <v>29</v>
      </c>
      <c r="BJ326" s="729"/>
      <c r="BK326" s="616">
        <v>3000</v>
      </c>
      <c r="BL326" s="603">
        <f t="shared" si="161"/>
        <v>60</v>
      </c>
      <c r="BM326" s="964"/>
      <c r="BN326" s="602">
        <f t="shared" si="176"/>
        <v>0</v>
      </c>
      <c r="BO326" s="940"/>
      <c r="BP326" s="593">
        <f t="shared" si="178"/>
        <v>0</v>
      </c>
      <c r="BS326" s="741">
        <v>0</v>
      </c>
      <c r="BT326" s="741">
        <v>0</v>
      </c>
      <c r="BU326" s="741">
        <f t="shared" si="169"/>
        <v>0</v>
      </c>
      <c r="BV326" s="741">
        <v>0</v>
      </c>
      <c r="BW326" s="741"/>
      <c r="BX326" s="741">
        <v>0</v>
      </c>
      <c r="BY326" s="741">
        <v>0</v>
      </c>
      <c r="BZ326" s="741">
        <f t="shared" si="154"/>
        <v>0</v>
      </c>
      <c r="CA326" s="741">
        <v>0</v>
      </c>
      <c r="CB326" s="741"/>
      <c r="CC326" s="741">
        <f t="shared" si="170"/>
        <v>0</v>
      </c>
      <c r="CD326" s="751"/>
      <c r="CE326" s="748"/>
      <c r="CF326" s="748"/>
      <c r="CG326" s="748">
        <f t="shared" si="171"/>
        <v>0</v>
      </c>
      <c r="CH326" s="759"/>
      <c r="CI326" s="742"/>
      <c r="CJ326" s="591">
        <f t="shared" si="179"/>
        <v>0</v>
      </c>
    </row>
    <row r="327" spans="1:88" ht="34.5" customHeight="1" x14ac:dyDescent="0.25">
      <c r="A327" s="596"/>
      <c r="B327" s="596" t="s">
        <v>176</v>
      </c>
      <c r="C327" s="597" t="s">
        <v>320</v>
      </c>
      <c r="D327" s="182" t="s">
        <v>437</v>
      </c>
      <c r="E327" s="598">
        <v>7.666666666666667</v>
      </c>
      <c r="F327" s="596">
        <v>0</v>
      </c>
      <c r="G327" s="598">
        <v>0</v>
      </c>
      <c r="H327" s="596"/>
      <c r="I327" s="596">
        <f t="shared" si="158"/>
        <v>0</v>
      </c>
      <c r="J327" s="728">
        <v>9</v>
      </c>
      <c r="K327" s="728"/>
      <c r="L327" s="731">
        <f t="shared" si="151"/>
        <v>9</v>
      </c>
      <c r="M327" s="947"/>
      <c r="N327" s="617">
        <v>115</v>
      </c>
      <c r="O327" s="602">
        <f t="shared" si="173"/>
        <v>7.666666666666667</v>
      </c>
      <c r="P327" s="940"/>
      <c r="Q327" s="600">
        <f t="shared" si="174"/>
        <v>0</v>
      </c>
      <c r="R327" s="940"/>
      <c r="S327" s="596">
        <v>0</v>
      </c>
      <c r="T327" s="724"/>
      <c r="U327" s="728"/>
      <c r="V327" s="728"/>
      <c r="W327" s="731">
        <f t="shared" si="152"/>
        <v>0</v>
      </c>
      <c r="X327" s="947"/>
      <c r="Y327" s="616"/>
      <c r="Z327" s="602">
        <f t="shared" si="155"/>
        <v>0</v>
      </c>
      <c r="AA327" s="835"/>
      <c r="AB327" s="602">
        <f t="shared" si="156"/>
        <v>0</v>
      </c>
      <c r="AC327" s="940"/>
      <c r="AD327" s="956"/>
      <c r="AE327" s="956"/>
      <c r="AF327" s="598">
        <v>15.333333333333334</v>
      </c>
      <c r="AG327" s="596"/>
      <c r="AH327" s="728">
        <f>12+5</f>
        <v>17</v>
      </c>
      <c r="AI327" s="728"/>
      <c r="AJ327" s="729">
        <f t="shared" si="177"/>
        <v>17</v>
      </c>
      <c r="AK327" s="946"/>
      <c r="AL327" s="616">
        <f>155+75</f>
        <v>230</v>
      </c>
      <c r="AM327" s="602">
        <f t="shared" si="160"/>
        <v>15.333333333333334</v>
      </c>
      <c r="AN327" s="835"/>
      <c r="AO327" s="835">
        <f t="shared" si="175"/>
        <v>0</v>
      </c>
      <c r="AP327" s="940"/>
      <c r="AQ327" s="722">
        <v>0</v>
      </c>
      <c r="AR327" s="728"/>
      <c r="AS327" s="728"/>
      <c r="AT327" s="729">
        <f t="shared" si="167"/>
        <v>0</v>
      </c>
      <c r="AU327" s="946"/>
      <c r="AV327" s="616"/>
      <c r="AW327" s="602">
        <f t="shared" si="157"/>
        <v>0</v>
      </c>
      <c r="AX327" s="940"/>
      <c r="AY327" s="602">
        <f t="shared" si="159"/>
        <v>0</v>
      </c>
      <c r="AZ327" s="940"/>
      <c r="BA327" s="962"/>
      <c r="BB327" s="962"/>
      <c r="BC327" s="611"/>
      <c r="BD327" s="712">
        <v>23</v>
      </c>
      <c r="BE327" s="596">
        <v>0</v>
      </c>
      <c r="BF327" s="596">
        <f t="shared" si="162"/>
        <v>23</v>
      </c>
      <c r="BG327" s="728">
        <f>9+12</f>
        <v>21</v>
      </c>
      <c r="BH327" s="728">
        <f>0+0</f>
        <v>0</v>
      </c>
      <c r="BI327" s="729">
        <f t="shared" si="153"/>
        <v>21</v>
      </c>
      <c r="BJ327" s="729"/>
      <c r="BK327" s="616">
        <f>400+657.5</f>
        <v>1057.5</v>
      </c>
      <c r="BL327" s="603">
        <f t="shared" si="161"/>
        <v>21.15</v>
      </c>
      <c r="BM327" s="964"/>
      <c r="BN327" s="602">
        <f t="shared" si="176"/>
        <v>1.8500000000000014</v>
      </c>
      <c r="BO327" s="940"/>
      <c r="BP327" s="593">
        <f t="shared" si="178"/>
        <v>0</v>
      </c>
      <c r="BS327" s="741">
        <v>0</v>
      </c>
      <c r="BT327" s="741">
        <v>0</v>
      </c>
      <c r="BU327" s="741">
        <f t="shared" si="169"/>
        <v>0</v>
      </c>
      <c r="BV327" s="741">
        <v>0</v>
      </c>
      <c r="BW327" s="741"/>
      <c r="BX327" s="741">
        <v>0</v>
      </c>
      <c r="BY327" s="741">
        <v>0</v>
      </c>
      <c r="BZ327" s="741">
        <f t="shared" si="154"/>
        <v>0</v>
      </c>
      <c r="CA327" s="741">
        <v>0</v>
      </c>
      <c r="CB327" s="741"/>
      <c r="CC327" s="741">
        <f t="shared" si="170"/>
        <v>0</v>
      </c>
      <c r="CD327" s="751"/>
      <c r="CE327" s="748"/>
      <c r="CF327" s="748"/>
      <c r="CG327" s="748">
        <f t="shared" si="171"/>
        <v>0</v>
      </c>
      <c r="CH327" s="759"/>
      <c r="CI327" s="742"/>
      <c r="CJ327" s="591">
        <f t="shared" si="179"/>
        <v>1.8500000000000014</v>
      </c>
    </row>
    <row r="328" spans="1:88" ht="21.6" customHeight="1" x14ac:dyDescent="0.25">
      <c r="A328" s="596"/>
      <c r="B328" s="596" t="s">
        <v>176</v>
      </c>
      <c r="C328" s="597" t="s">
        <v>519</v>
      </c>
      <c r="D328" s="182" t="s">
        <v>431</v>
      </c>
      <c r="E328" s="598">
        <v>0</v>
      </c>
      <c r="F328" s="596">
        <v>0</v>
      </c>
      <c r="G328" s="598">
        <v>0</v>
      </c>
      <c r="H328" s="596"/>
      <c r="I328" s="596">
        <f t="shared" si="158"/>
        <v>0</v>
      </c>
      <c r="J328" s="728"/>
      <c r="K328" s="728"/>
      <c r="L328" s="731">
        <f t="shared" si="151"/>
        <v>0</v>
      </c>
      <c r="M328" s="947"/>
      <c r="N328" s="617"/>
      <c r="O328" s="602">
        <f t="shared" si="173"/>
        <v>0</v>
      </c>
      <c r="P328" s="940"/>
      <c r="Q328" s="600">
        <f t="shared" si="174"/>
        <v>0</v>
      </c>
      <c r="R328" s="940"/>
      <c r="S328" s="596">
        <v>0</v>
      </c>
      <c r="T328" s="724"/>
      <c r="U328" s="728"/>
      <c r="V328" s="728"/>
      <c r="W328" s="731">
        <f t="shared" si="152"/>
        <v>0</v>
      </c>
      <c r="X328" s="947"/>
      <c r="Y328" s="616"/>
      <c r="Z328" s="602">
        <f t="shared" si="155"/>
        <v>0</v>
      </c>
      <c r="AA328" s="835"/>
      <c r="AB328" s="602">
        <f t="shared" si="156"/>
        <v>0</v>
      </c>
      <c r="AC328" s="940"/>
      <c r="AD328" s="956"/>
      <c r="AE328" s="956"/>
      <c r="AF328" s="598">
        <v>5</v>
      </c>
      <c r="AG328" s="596"/>
      <c r="AH328" s="728">
        <v>10</v>
      </c>
      <c r="AI328" s="728">
        <v>1</v>
      </c>
      <c r="AJ328" s="729">
        <f t="shared" si="177"/>
        <v>11</v>
      </c>
      <c r="AK328" s="946"/>
      <c r="AL328" s="616">
        <v>75</v>
      </c>
      <c r="AM328" s="602">
        <f t="shared" si="160"/>
        <v>5</v>
      </c>
      <c r="AN328" s="835"/>
      <c r="AO328" s="835">
        <f t="shared" si="175"/>
        <v>0</v>
      </c>
      <c r="AP328" s="940"/>
      <c r="AQ328" s="722">
        <v>0</v>
      </c>
      <c r="AR328" s="728"/>
      <c r="AS328" s="728"/>
      <c r="AT328" s="729">
        <f t="shared" si="167"/>
        <v>0</v>
      </c>
      <c r="AU328" s="946"/>
      <c r="AV328" s="616"/>
      <c r="AW328" s="602">
        <f t="shared" si="157"/>
        <v>0</v>
      </c>
      <c r="AX328" s="940"/>
      <c r="AY328" s="602">
        <f t="shared" si="159"/>
        <v>0</v>
      </c>
      <c r="AZ328" s="940"/>
      <c r="BA328" s="962"/>
      <c r="BB328" s="962"/>
      <c r="BC328" s="611"/>
      <c r="BD328" s="712">
        <v>5</v>
      </c>
      <c r="BE328" s="596">
        <v>5</v>
      </c>
      <c r="BF328" s="596">
        <f t="shared" si="162"/>
        <v>0</v>
      </c>
      <c r="BG328" s="728">
        <v>10</v>
      </c>
      <c r="BH328" s="728">
        <v>1</v>
      </c>
      <c r="BI328" s="729">
        <f t="shared" si="153"/>
        <v>11</v>
      </c>
      <c r="BJ328" s="729"/>
      <c r="BK328" s="616">
        <v>282.5</v>
      </c>
      <c r="BL328" s="603">
        <f t="shared" si="161"/>
        <v>5.65</v>
      </c>
      <c r="BM328" s="964"/>
      <c r="BN328" s="602">
        <f t="shared" si="176"/>
        <v>-0.65000000000000036</v>
      </c>
      <c r="BO328" s="940"/>
      <c r="BP328" s="593">
        <f t="shared" si="178"/>
        <v>0</v>
      </c>
      <c r="BS328" s="741">
        <v>0</v>
      </c>
      <c r="BT328" s="741">
        <v>0</v>
      </c>
      <c r="BU328" s="741">
        <f t="shared" si="169"/>
        <v>0</v>
      </c>
      <c r="BV328" s="741">
        <v>0</v>
      </c>
      <c r="BW328" s="741"/>
      <c r="BX328" s="741">
        <v>0</v>
      </c>
      <c r="BY328" s="741">
        <v>0</v>
      </c>
      <c r="BZ328" s="741">
        <f t="shared" si="154"/>
        <v>0</v>
      </c>
      <c r="CA328" s="741">
        <v>0</v>
      </c>
      <c r="CB328" s="741"/>
      <c r="CC328" s="741">
        <f t="shared" si="170"/>
        <v>0</v>
      </c>
      <c r="CD328" s="751"/>
      <c r="CE328" s="748"/>
      <c r="CF328" s="748"/>
      <c r="CG328" s="748">
        <f t="shared" si="171"/>
        <v>0</v>
      </c>
      <c r="CH328" s="759"/>
      <c r="CI328" s="742"/>
      <c r="CJ328" s="591">
        <f t="shared" si="179"/>
        <v>-0.65000000000000036</v>
      </c>
    </row>
    <row r="329" spans="1:88" ht="21.6" customHeight="1" x14ac:dyDescent="0.25">
      <c r="A329" s="596"/>
      <c r="B329" s="596" t="s">
        <v>176</v>
      </c>
      <c r="C329" s="597" t="s">
        <v>520</v>
      </c>
      <c r="D329" s="182" t="s">
        <v>431</v>
      </c>
      <c r="E329" s="598">
        <v>13</v>
      </c>
      <c r="F329" s="596">
        <v>0</v>
      </c>
      <c r="G329" s="598">
        <v>13</v>
      </c>
      <c r="H329" s="596"/>
      <c r="I329" s="596">
        <f t="shared" si="158"/>
        <v>0</v>
      </c>
      <c r="J329" s="728">
        <f>16</f>
        <v>16</v>
      </c>
      <c r="K329" s="728">
        <f>5</f>
        <v>5</v>
      </c>
      <c r="L329" s="731">
        <f t="shared" si="151"/>
        <v>21</v>
      </c>
      <c r="M329" s="947"/>
      <c r="N329" s="617">
        <v>195</v>
      </c>
      <c r="O329" s="602">
        <f t="shared" si="173"/>
        <v>13</v>
      </c>
      <c r="P329" s="940"/>
      <c r="Q329" s="600">
        <f t="shared" si="174"/>
        <v>0</v>
      </c>
      <c r="R329" s="940"/>
      <c r="S329" s="596">
        <v>0</v>
      </c>
      <c r="T329" s="724"/>
      <c r="U329" s="728"/>
      <c r="V329" s="728"/>
      <c r="W329" s="731">
        <f t="shared" si="152"/>
        <v>0</v>
      </c>
      <c r="X329" s="947"/>
      <c r="Y329" s="616"/>
      <c r="Z329" s="602">
        <f t="shared" si="155"/>
        <v>0</v>
      </c>
      <c r="AA329" s="835"/>
      <c r="AB329" s="602">
        <f t="shared" si="156"/>
        <v>0</v>
      </c>
      <c r="AC329" s="940"/>
      <c r="AD329" s="956"/>
      <c r="AE329" s="956"/>
      <c r="AF329" s="598"/>
      <c r="AG329" s="596"/>
      <c r="AH329" s="728"/>
      <c r="AI329" s="728"/>
      <c r="AJ329" s="729">
        <f t="shared" si="177"/>
        <v>0</v>
      </c>
      <c r="AK329" s="946"/>
      <c r="AL329" s="616"/>
      <c r="AM329" s="602">
        <f t="shared" si="160"/>
        <v>0</v>
      </c>
      <c r="AN329" s="835"/>
      <c r="AO329" s="835">
        <f t="shared" si="175"/>
        <v>0</v>
      </c>
      <c r="AP329" s="940"/>
      <c r="AQ329" s="722">
        <v>0</v>
      </c>
      <c r="AR329" s="728"/>
      <c r="AS329" s="728"/>
      <c r="AT329" s="729">
        <f t="shared" si="167"/>
        <v>0</v>
      </c>
      <c r="AU329" s="946"/>
      <c r="AV329" s="616"/>
      <c r="AW329" s="602">
        <f t="shared" si="157"/>
        <v>0</v>
      </c>
      <c r="AX329" s="940"/>
      <c r="AY329" s="602">
        <f t="shared" si="159"/>
        <v>0</v>
      </c>
      <c r="AZ329" s="940"/>
      <c r="BA329" s="962"/>
      <c r="BB329" s="962"/>
      <c r="BC329" s="611"/>
      <c r="BD329" s="712">
        <v>13</v>
      </c>
      <c r="BE329" s="596">
        <v>13</v>
      </c>
      <c r="BF329" s="596">
        <f t="shared" si="162"/>
        <v>0</v>
      </c>
      <c r="BG329" s="728">
        <f>17</f>
        <v>17</v>
      </c>
      <c r="BH329" s="728">
        <f>4</f>
        <v>4</v>
      </c>
      <c r="BI329" s="729">
        <f t="shared" si="153"/>
        <v>21</v>
      </c>
      <c r="BJ329" s="729"/>
      <c r="BK329" s="616">
        <f>650.5</f>
        <v>650.5</v>
      </c>
      <c r="BL329" s="603">
        <f t="shared" si="161"/>
        <v>13.01</v>
      </c>
      <c r="BM329" s="964"/>
      <c r="BN329" s="602">
        <f t="shared" si="176"/>
        <v>-9.9999999999997868E-3</v>
      </c>
      <c r="BO329" s="940"/>
      <c r="BP329" s="593">
        <f t="shared" si="178"/>
        <v>0</v>
      </c>
      <c r="BS329" s="741">
        <v>0</v>
      </c>
      <c r="BT329" s="741">
        <v>0</v>
      </c>
      <c r="BU329" s="741">
        <f t="shared" si="169"/>
        <v>0</v>
      </c>
      <c r="BV329" s="741">
        <v>0</v>
      </c>
      <c r="BW329" s="741"/>
      <c r="BX329" s="741">
        <v>0</v>
      </c>
      <c r="BY329" s="741">
        <v>0</v>
      </c>
      <c r="BZ329" s="741">
        <f t="shared" si="154"/>
        <v>0</v>
      </c>
      <c r="CA329" s="741">
        <v>0</v>
      </c>
      <c r="CB329" s="741"/>
      <c r="CC329" s="741">
        <f t="shared" si="170"/>
        <v>0</v>
      </c>
      <c r="CD329" s="751"/>
      <c r="CE329" s="748"/>
      <c r="CF329" s="748"/>
      <c r="CG329" s="748">
        <f t="shared" si="171"/>
        <v>0</v>
      </c>
      <c r="CH329" s="759"/>
      <c r="CI329" s="742"/>
      <c r="CJ329" s="591">
        <f t="shared" si="179"/>
        <v>-9.9999999999997868E-3</v>
      </c>
    </row>
    <row r="330" spans="1:88" ht="21.6" customHeight="1" x14ac:dyDescent="0.25">
      <c r="A330" s="596"/>
      <c r="B330" s="596"/>
      <c r="C330" s="597"/>
      <c r="D330" s="143"/>
      <c r="E330" s="598">
        <v>0</v>
      </c>
      <c r="F330" s="596">
        <v>0</v>
      </c>
      <c r="G330" s="598"/>
      <c r="H330" s="596"/>
      <c r="I330" s="596">
        <f t="shared" si="158"/>
        <v>0</v>
      </c>
      <c r="J330" s="728"/>
      <c r="K330" s="728"/>
      <c r="L330" s="731">
        <f t="shared" si="151"/>
        <v>0</v>
      </c>
      <c r="M330" s="947"/>
      <c r="N330" s="617"/>
      <c r="O330" s="602">
        <f t="shared" si="173"/>
        <v>0</v>
      </c>
      <c r="P330" s="940"/>
      <c r="Q330" s="600">
        <f t="shared" si="174"/>
        <v>0</v>
      </c>
      <c r="R330" s="940"/>
      <c r="S330" s="596">
        <v>0</v>
      </c>
      <c r="T330" s="724"/>
      <c r="U330" s="728"/>
      <c r="V330" s="728"/>
      <c r="W330" s="731">
        <f t="shared" si="152"/>
        <v>0</v>
      </c>
      <c r="X330" s="947"/>
      <c r="Y330" s="616"/>
      <c r="Z330" s="602">
        <f t="shared" si="155"/>
        <v>0</v>
      </c>
      <c r="AA330" s="835"/>
      <c r="AB330" s="602">
        <f t="shared" si="156"/>
        <v>0</v>
      </c>
      <c r="AC330" s="940"/>
      <c r="AD330" s="956"/>
      <c r="AE330" s="956"/>
      <c r="AF330" s="598"/>
      <c r="AG330" s="596"/>
      <c r="AH330" s="728"/>
      <c r="AI330" s="728"/>
      <c r="AJ330" s="729">
        <f t="shared" si="177"/>
        <v>0</v>
      </c>
      <c r="AK330" s="946"/>
      <c r="AL330" s="616"/>
      <c r="AM330" s="602">
        <f t="shared" si="160"/>
        <v>0</v>
      </c>
      <c r="AN330" s="835"/>
      <c r="AO330" s="835">
        <f t="shared" si="175"/>
        <v>0</v>
      </c>
      <c r="AP330" s="940"/>
      <c r="AQ330" s="722">
        <v>0</v>
      </c>
      <c r="AR330" s="728"/>
      <c r="AS330" s="728"/>
      <c r="AT330" s="729">
        <f t="shared" si="167"/>
        <v>0</v>
      </c>
      <c r="AU330" s="946"/>
      <c r="AV330" s="616"/>
      <c r="AW330" s="602">
        <f t="shared" si="157"/>
        <v>0</v>
      </c>
      <c r="AX330" s="940"/>
      <c r="AY330" s="602">
        <f t="shared" si="159"/>
        <v>0</v>
      </c>
      <c r="AZ330" s="940"/>
      <c r="BA330" s="962"/>
      <c r="BB330" s="962"/>
      <c r="BC330" s="611"/>
      <c r="BD330" s="712"/>
      <c r="BE330" s="596"/>
      <c r="BF330" s="596">
        <f t="shared" si="162"/>
        <v>0</v>
      </c>
      <c r="BG330" s="728"/>
      <c r="BH330" s="728"/>
      <c r="BI330" s="729">
        <f t="shared" si="153"/>
        <v>0</v>
      </c>
      <c r="BJ330" s="729"/>
      <c r="BK330" s="616"/>
      <c r="BL330" s="603">
        <f t="shared" si="161"/>
        <v>0</v>
      </c>
      <c r="BM330" s="964"/>
      <c r="BN330" s="602">
        <f t="shared" si="176"/>
        <v>0</v>
      </c>
      <c r="BO330" s="940"/>
      <c r="BP330" s="593">
        <f t="shared" si="178"/>
        <v>0</v>
      </c>
      <c r="BS330" s="741">
        <v>0</v>
      </c>
      <c r="BT330" s="741">
        <v>0</v>
      </c>
      <c r="BU330" s="741">
        <f t="shared" si="169"/>
        <v>0</v>
      </c>
      <c r="BV330" s="741">
        <v>0</v>
      </c>
      <c r="BW330" s="741"/>
      <c r="BX330" s="741">
        <v>0</v>
      </c>
      <c r="BY330" s="741">
        <v>0</v>
      </c>
      <c r="BZ330" s="741">
        <f t="shared" si="154"/>
        <v>0</v>
      </c>
      <c r="CA330" s="741">
        <v>0</v>
      </c>
      <c r="CB330" s="741"/>
      <c r="CC330" s="741">
        <f t="shared" si="170"/>
        <v>0</v>
      </c>
      <c r="CD330" s="751"/>
      <c r="CE330" s="748"/>
      <c r="CF330" s="748"/>
      <c r="CG330" s="748">
        <f t="shared" si="171"/>
        <v>0</v>
      </c>
      <c r="CH330" s="759"/>
      <c r="CI330" s="742"/>
      <c r="CJ330" s="591">
        <f t="shared" si="179"/>
        <v>0</v>
      </c>
    </row>
    <row r="331" spans="1:88" s="594" customFormat="1" ht="21.6" customHeight="1" x14ac:dyDescent="0.25">
      <c r="A331" s="612"/>
      <c r="B331" s="612" t="s">
        <v>189</v>
      </c>
      <c r="C331" s="613" t="s">
        <v>469</v>
      </c>
      <c r="D331" s="134" t="s">
        <v>437</v>
      </c>
      <c r="E331" s="614">
        <v>14</v>
      </c>
      <c r="F331" s="612">
        <v>126</v>
      </c>
      <c r="G331" s="614">
        <v>14</v>
      </c>
      <c r="H331" s="612">
        <v>124</v>
      </c>
      <c r="I331" s="612">
        <f t="shared" si="158"/>
        <v>2</v>
      </c>
      <c r="J331" s="728">
        <f>12</f>
        <v>12</v>
      </c>
      <c r="K331" s="728">
        <f>0</f>
        <v>0</v>
      </c>
      <c r="L331" s="731">
        <f t="shared" si="151"/>
        <v>12</v>
      </c>
      <c r="M331" s="947">
        <f>SUM(L331:L342)</f>
        <v>115</v>
      </c>
      <c r="N331" s="617">
        <v>210</v>
      </c>
      <c r="O331" s="602">
        <f t="shared" si="173"/>
        <v>14</v>
      </c>
      <c r="P331" s="940">
        <f>SUM(O331:O342)</f>
        <v>126</v>
      </c>
      <c r="Q331" s="600">
        <f t="shared" si="174"/>
        <v>0</v>
      </c>
      <c r="R331" s="940">
        <f>SUM(Q331:Q342)</f>
        <v>0</v>
      </c>
      <c r="S331" s="596">
        <v>0</v>
      </c>
      <c r="T331" s="724">
        <f>SUM(S331:S342)</f>
        <v>0</v>
      </c>
      <c r="U331" s="728"/>
      <c r="V331" s="728"/>
      <c r="W331" s="731">
        <f t="shared" si="152"/>
        <v>0</v>
      </c>
      <c r="X331" s="947">
        <f>SUM(W331:W342)</f>
        <v>0</v>
      </c>
      <c r="Y331" s="616"/>
      <c r="Z331" s="602">
        <f t="shared" si="155"/>
        <v>0</v>
      </c>
      <c r="AA331" s="835">
        <f>SUM(Z331:Z342)</f>
        <v>0</v>
      </c>
      <c r="AB331" s="602">
        <f t="shared" si="156"/>
        <v>0</v>
      </c>
      <c r="AC331" s="940">
        <f>SUM(AB331:AB342)</f>
        <v>0</v>
      </c>
      <c r="AD331" s="955">
        <f>M331+X331</f>
        <v>115</v>
      </c>
      <c r="AE331" s="955">
        <f>R331+AC331</f>
        <v>0</v>
      </c>
      <c r="AF331" s="614">
        <v>0</v>
      </c>
      <c r="AG331" s="612">
        <v>145</v>
      </c>
      <c r="AH331" s="728"/>
      <c r="AI331" s="728"/>
      <c r="AJ331" s="729">
        <f t="shared" si="177"/>
        <v>0</v>
      </c>
      <c r="AK331" s="946">
        <f>SUM(AJ331:AJ342)</f>
        <v>145</v>
      </c>
      <c r="AL331" s="616"/>
      <c r="AM331" s="602">
        <f t="shared" si="160"/>
        <v>0</v>
      </c>
      <c r="AN331" s="835">
        <f>SUM(AM331:AM342)</f>
        <v>145</v>
      </c>
      <c r="AO331" s="835">
        <f t="shared" si="175"/>
        <v>0</v>
      </c>
      <c r="AP331" s="940">
        <f>SUM(AO331:AO342)</f>
        <v>0</v>
      </c>
      <c r="AQ331" s="722">
        <v>0</v>
      </c>
      <c r="AR331" s="728"/>
      <c r="AS331" s="728"/>
      <c r="AT331" s="729">
        <f t="shared" si="167"/>
        <v>0</v>
      </c>
      <c r="AU331" s="946">
        <f>SUM(AT331:AT342)</f>
        <v>0</v>
      </c>
      <c r="AV331" s="616"/>
      <c r="AW331" s="602">
        <f t="shared" si="157"/>
        <v>0</v>
      </c>
      <c r="AX331" s="940">
        <f>SUM(AW331:AW342)</f>
        <v>0</v>
      </c>
      <c r="AY331" s="602">
        <f t="shared" si="159"/>
        <v>0</v>
      </c>
      <c r="AZ331" s="940">
        <f>SUM(AY331:AY342)</f>
        <v>0</v>
      </c>
      <c r="BA331" s="961">
        <f>AK331+AU331</f>
        <v>145</v>
      </c>
      <c r="BB331" s="961">
        <f>AP331+AZ331</f>
        <v>0</v>
      </c>
      <c r="BC331" s="614">
        <f>SUM(BD331:BD342)</f>
        <v>271</v>
      </c>
      <c r="BD331" s="716">
        <v>14</v>
      </c>
      <c r="BE331" s="612">
        <v>0</v>
      </c>
      <c r="BF331" s="596">
        <f t="shared" si="162"/>
        <v>14</v>
      </c>
      <c r="BG331" s="728">
        <f>11+2</f>
        <v>13</v>
      </c>
      <c r="BH331" s="728">
        <f>1</f>
        <v>1</v>
      </c>
      <c r="BI331" s="729">
        <f t="shared" si="153"/>
        <v>14</v>
      </c>
      <c r="BJ331" s="729">
        <f>SUM(BI331:BI342)</f>
        <v>268</v>
      </c>
      <c r="BK331" s="616">
        <f>600+100</f>
        <v>700</v>
      </c>
      <c r="BL331" s="603">
        <f t="shared" si="161"/>
        <v>14</v>
      </c>
      <c r="BM331" s="964">
        <f>SUM(BL331:BL342)</f>
        <v>271</v>
      </c>
      <c r="BN331" s="602">
        <f t="shared" si="176"/>
        <v>0</v>
      </c>
      <c r="BO331" s="940">
        <f>SUM(BN331:BN342)</f>
        <v>0</v>
      </c>
      <c r="BP331" s="593">
        <f t="shared" si="178"/>
        <v>0</v>
      </c>
      <c r="BS331" s="745">
        <v>0</v>
      </c>
      <c r="BT331" s="745">
        <v>0</v>
      </c>
      <c r="BU331" s="741">
        <f t="shared" si="169"/>
        <v>0</v>
      </c>
      <c r="BV331" s="745">
        <v>0</v>
      </c>
      <c r="BW331" s="745">
        <f>SUM(BV331:BV342)</f>
        <v>0</v>
      </c>
      <c r="BX331" s="745">
        <v>0</v>
      </c>
      <c r="BY331" s="745">
        <v>0</v>
      </c>
      <c r="BZ331" s="741">
        <f t="shared" si="154"/>
        <v>0</v>
      </c>
      <c r="CA331" s="745">
        <v>0</v>
      </c>
      <c r="CB331" s="745">
        <f>SUM(CA331:CA342)</f>
        <v>0</v>
      </c>
      <c r="CC331" s="741">
        <f t="shared" si="170"/>
        <v>0</v>
      </c>
      <c r="CD331" s="756">
        <f>SUM(CC331:CC342)</f>
        <v>0</v>
      </c>
      <c r="CE331" s="748"/>
      <c r="CF331" s="748"/>
      <c r="CG331" s="748">
        <f t="shared" si="171"/>
        <v>0</v>
      </c>
      <c r="CH331" s="766"/>
      <c r="CI331" s="745">
        <f>SUM(CH331:CH342)</f>
        <v>104</v>
      </c>
      <c r="CJ331" s="594">
        <f t="shared" si="179"/>
        <v>0</v>
      </c>
    </row>
    <row r="332" spans="1:88" ht="37.5" customHeight="1" x14ac:dyDescent="0.25">
      <c r="A332" s="596" t="s">
        <v>130</v>
      </c>
      <c r="B332" s="596" t="s">
        <v>189</v>
      </c>
      <c r="C332" s="597" t="s">
        <v>190</v>
      </c>
      <c r="D332" s="153"/>
      <c r="E332" s="598">
        <v>0</v>
      </c>
      <c r="F332" s="596">
        <v>0</v>
      </c>
      <c r="G332" s="598">
        <v>0</v>
      </c>
      <c r="H332" s="596"/>
      <c r="I332" s="596">
        <f t="shared" si="158"/>
        <v>0</v>
      </c>
      <c r="J332" s="728"/>
      <c r="K332" s="728"/>
      <c r="L332" s="731">
        <f t="shared" si="151"/>
        <v>0</v>
      </c>
      <c r="M332" s="947"/>
      <c r="N332" s="617"/>
      <c r="O332" s="602">
        <f t="shared" si="173"/>
        <v>0</v>
      </c>
      <c r="P332" s="940"/>
      <c r="Q332" s="600">
        <f t="shared" si="174"/>
        <v>0</v>
      </c>
      <c r="R332" s="940"/>
      <c r="S332" s="596">
        <v>0</v>
      </c>
      <c r="T332" s="724"/>
      <c r="U332" s="728"/>
      <c r="V332" s="728"/>
      <c r="W332" s="731">
        <f t="shared" si="152"/>
        <v>0</v>
      </c>
      <c r="X332" s="947"/>
      <c r="Y332" s="616"/>
      <c r="Z332" s="602">
        <f t="shared" si="155"/>
        <v>0</v>
      </c>
      <c r="AA332" s="835"/>
      <c r="AB332" s="602">
        <f t="shared" si="156"/>
        <v>0</v>
      </c>
      <c r="AC332" s="940"/>
      <c r="AD332" s="956"/>
      <c r="AE332" s="956"/>
      <c r="AF332" s="598">
        <v>0</v>
      </c>
      <c r="AG332" s="596"/>
      <c r="AH332" s="728"/>
      <c r="AI332" s="728"/>
      <c r="AJ332" s="729">
        <f t="shared" si="177"/>
        <v>0</v>
      </c>
      <c r="AK332" s="946"/>
      <c r="AL332" s="616"/>
      <c r="AM332" s="602">
        <f t="shared" si="160"/>
        <v>0</v>
      </c>
      <c r="AN332" s="835"/>
      <c r="AO332" s="835">
        <f t="shared" si="175"/>
        <v>0</v>
      </c>
      <c r="AP332" s="940"/>
      <c r="AQ332" s="722">
        <v>0</v>
      </c>
      <c r="AR332" s="728"/>
      <c r="AS332" s="728"/>
      <c r="AT332" s="729">
        <f t="shared" si="167"/>
        <v>0</v>
      </c>
      <c r="AU332" s="946"/>
      <c r="AV332" s="616"/>
      <c r="AW332" s="602">
        <f t="shared" si="157"/>
        <v>0</v>
      </c>
      <c r="AX332" s="940"/>
      <c r="AY332" s="602">
        <f t="shared" si="159"/>
        <v>0</v>
      </c>
      <c r="AZ332" s="940"/>
      <c r="BA332" s="962"/>
      <c r="BB332" s="962"/>
      <c r="BC332" s="611"/>
      <c r="BD332" s="712">
        <v>0</v>
      </c>
      <c r="BE332" s="596">
        <v>0</v>
      </c>
      <c r="BF332" s="596">
        <f t="shared" si="162"/>
        <v>0</v>
      </c>
      <c r="BG332" s="728"/>
      <c r="BH332" s="728"/>
      <c r="BI332" s="729">
        <f t="shared" si="153"/>
        <v>0</v>
      </c>
      <c r="BJ332" s="729"/>
      <c r="BK332" s="616"/>
      <c r="BL332" s="603">
        <f t="shared" si="161"/>
        <v>0</v>
      </c>
      <c r="BM332" s="964"/>
      <c r="BN332" s="602">
        <f t="shared" si="176"/>
        <v>0</v>
      </c>
      <c r="BO332" s="940"/>
      <c r="BP332" s="593">
        <f t="shared" si="178"/>
        <v>0</v>
      </c>
      <c r="BS332" s="741">
        <v>0</v>
      </c>
      <c r="BT332" s="741">
        <v>0</v>
      </c>
      <c r="BU332" s="741">
        <f t="shared" si="169"/>
        <v>0</v>
      </c>
      <c r="BV332" s="741">
        <v>0</v>
      </c>
      <c r="BW332" s="741"/>
      <c r="BX332" s="741">
        <v>0</v>
      </c>
      <c r="BY332" s="741">
        <v>0</v>
      </c>
      <c r="BZ332" s="741">
        <f t="shared" si="154"/>
        <v>0</v>
      </c>
      <c r="CA332" s="741">
        <v>0</v>
      </c>
      <c r="CB332" s="741"/>
      <c r="CC332" s="741">
        <f t="shared" si="170"/>
        <v>0</v>
      </c>
      <c r="CD332" s="751"/>
      <c r="CE332" s="748"/>
      <c r="CF332" s="748"/>
      <c r="CG332" s="748">
        <f t="shared" si="171"/>
        <v>0</v>
      </c>
      <c r="CH332" s="759"/>
      <c r="CI332" s="742"/>
      <c r="CJ332" s="591">
        <f t="shared" si="179"/>
        <v>0</v>
      </c>
    </row>
    <row r="333" spans="1:88" ht="50.25" customHeight="1" x14ac:dyDescent="0.25">
      <c r="A333" s="596"/>
      <c r="B333" s="596" t="s">
        <v>189</v>
      </c>
      <c r="C333" s="597" t="s">
        <v>471</v>
      </c>
      <c r="D333" s="153" t="s">
        <v>437</v>
      </c>
      <c r="E333" s="598">
        <v>55</v>
      </c>
      <c r="F333" s="596">
        <v>0</v>
      </c>
      <c r="G333" s="598">
        <v>53</v>
      </c>
      <c r="H333" s="596"/>
      <c r="I333" s="596">
        <f t="shared" si="158"/>
        <v>0</v>
      </c>
      <c r="J333" s="728">
        <f>15+15+14</f>
        <v>44</v>
      </c>
      <c r="K333" s="728">
        <f>1+0+0+1</f>
        <v>2</v>
      </c>
      <c r="L333" s="731">
        <f t="shared" si="151"/>
        <v>46</v>
      </c>
      <c r="M333" s="947"/>
      <c r="N333" s="617">
        <f>795+30</f>
        <v>825</v>
      </c>
      <c r="O333" s="602">
        <f t="shared" si="173"/>
        <v>55</v>
      </c>
      <c r="P333" s="940"/>
      <c r="Q333" s="600">
        <f t="shared" si="174"/>
        <v>0</v>
      </c>
      <c r="R333" s="940"/>
      <c r="S333" s="596">
        <v>0</v>
      </c>
      <c r="T333" s="724"/>
      <c r="U333" s="728"/>
      <c r="V333" s="728"/>
      <c r="W333" s="731">
        <f t="shared" si="152"/>
        <v>0</v>
      </c>
      <c r="X333" s="947"/>
      <c r="Y333" s="616"/>
      <c r="Z333" s="602">
        <f t="shared" si="155"/>
        <v>0</v>
      </c>
      <c r="AA333" s="835"/>
      <c r="AB333" s="602">
        <f t="shared" si="156"/>
        <v>0</v>
      </c>
      <c r="AC333" s="940"/>
      <c r="AD333" s="956"/>
      <c r="AE333" s="956"/>
      <c r="AF333" s="598">
        <v>17</v>
      </c>
      <c r="AG333" s="596"/>
      <c r="AH333" s="728">
        <f>6+12</f>
        <v>18</v>
      </c>
      <c r="AI333" s="728">
        <v>1</v>
      </c>
      <c r="AJ333" s="729">
        <f t="shared" si="177"/>
        <v>19</v>
      </c>
      <c r="AK333" s="946"/>
      <c r="AL333" s="616">
        <f>75+180</f>
        <v>255</v>
      </c>
      <c r="AM333" s="602">
        <f t="shared" si="160"/>
        <v>17</v>
      </c>
      <c r="AN333" s="835"/>
      <c r="AO333" s="835">
        <f t="shared" si="175"/>
        <v>0</v>
      </c>
      <c r="AP333" s="940"/>
      <c r="AQ333" s="722">
        <v>0</v>
      </c>
      <c r="AR333" s="728"/>
      <c r="AS333" s="728"/>
      <c r="AT333" s="729">
        <f t="shared" si="167"/>
        <v>0</v>
      </c>
      <c r="AU333" s="946"/>
      <c r="AV333" s="616"/>
      <c r="AW333" s="602">
        <f t="shared" si="157"/>
        <v>0</v>
      </c>
      <c r="AX333" s="940"/>
      <c r="AY333" s="602">
        <f t="shared" si="159"/>
        <v>0</v>
      </c>
      <c r="AZ333" s="940"/>
      <c r="BA333" s="962"/>
      <c r="BB333" s="962"/>
      <c r="BC333" s="611"/>
      <c r="BD333" s="712">
        <v>72</v>
      </c>
      <c r="BE333" s="596">
        <v>13</v>
      </c>
      <c r="BF333" s="596">
        <f t="shared" si="162"/>
        <v>59</v>
      </c>
      <c r="BG333" s="728">
        <f>6+7+14+15+14+14</f>
        <v>70</v>
      </c>
      <c r="BH333" s="728">
        <f>1+1+1</f>
        <v>3</v>
      </c>
      <c r="BI333" s="729">
        <f t="shared" si="153"/>
        <v>73</v>
      </c>
      <c r="BJ333" s="729"/>
      <c r="BK333" s="616">
        <f>250+400+750+750+750+700</f>
        <v>3600</v>
      </c>
      <c r="BL333" s="603">
        <f t="shared" si="161"/>
        <v>72</v>
      </c>
      <c r="BM333" s="964"/>
      <c r="BN333" s="602">
        <f t="shared" si="176"/>
        <v>0</v>
      </c>
      <c r="BO333" s="940"/>
      <c r="BP333" s="593">
        <f t="shared" si="178"/>
        <v>0</v>
      </c>
      <c r="BS333" s="741">
        <v>0</v>
      </c>
      <c r="BT333" s="741">
        <v>0</v>
      </c>
      <c r="BU333" s="741">
        <f t="shared" si="169"/>
        <v>0</v>
      </c>
      <c r="BV333" s="741">
        <v>0</v>
      </c>
      <c r="BW333" s="741"/>
      <c r="BX333" s="741">
        <v>0</v>
      </c>
      <c r="BY333" s="741">
        <v>0</v>
      </c>
      <c r="BZ333" s="741">
        <f t="shared" si="154"/>
        <v>0</v>
      </c>
      <c r="CA333" s="741">
        <v>0</v>
      </c>
      <c r="CB333" s="741"/>
      <c r="CC333" s="741">
        <f t="shared" si="170"/>
        <v>0</v>
      </c>
      <c r="CD333" s="751"/>
      <c r="CE333" s="748">
        <f>6+7</f>
        <v>13</v>
      </c>
      <c r="CF333" s="748">
        <v>1</v>
      </c>
      <c r="CG333" s="748">
        <f t="shared" si="171"/>
        <v>14</v>
      </c>
      <c r="CH333" s="759">
        <v>13</v>
      </c>
      <c r="CI333" s="742"/>
      <c r="CJ333" s="591">
        <f t="shared" si="179"/>
        <v>0</v>
      </c>
    </row>
    <row r="334" spans="1:88" ht="21.6" customHeight="1" x14ac:dyDescent="0.25">
      <c r="A334" s="596" t="s">
        <v>130</v>
      </c>
      <c r="B334" s="596" t="s">
        <v>189</v>
      </c>
      <c r="C334" s="597" t="s">
        <v>191</v>
      </c>
      <c r="D334" s="153" t="s">
        <v>431</v>
      </c>
      <c r="E334" s="598">
        <v>3</v>
      </c>
      <c r="F334" s="596">
        <v>0</v>
      </c>
      <c r="G334" s="598">
        <v>3</v>
      </c>
      <c r="H334" s="596"/>
      <c r="I334" s="596">
        <f t="shared" si="158"/>
        <v>0</v>
      </c>
      <c r="J334" s="728">
        <f>1+2</f>
        <v>3</v>
      </c>
      <c r="K334" s="728"/>
      <c r="L334" s="731">
        <f t="shared" si="151"/>
        <v>3</v>
      </c>
      <c r="M334" s="947"/>
      <c r="N334" s="617">
        <v>45</v>
      </c>
      <c r="O334" s="602">
        <f t="shared" si="173"/>
        <v>3</v>
      </c>
      <c r="P334" s="940"/>
      <c r="Q334" s="600">
        <f t="shared" si="174"/>
        <v>0</v>
      </c>
      <c r="R334" s="940"/>
      <c r="S334" s="596">
        <v>0</v>
      </c>
      <c r="T334" s="724"/>
      <c r="U334" s="728"/>
      <c r="V334" s="728"/>
      <c r="W334" s="731">
        <f t="shared" si="152"/>
        <v>0</v>
      </c>
      <c r="X334" s="947"/>
      <c r="Y334" s="616"/>
      <c r="Z334" s="602">
        <f t="shared" si="155"/>
        <v>0</v>
      </c>
      <c r="AA334" s="835"/>
      <c r="AB334" s="602">
        <f t="shared" si="156"/>
        <v>0</v>
      </c>
      <c r="AC334" s="940"/>
      <c r="AD334" s="956"/>
      <c r="AE334" s="956"/>
      <c r="AF334" s="598">
        <v>19</v>
      </c>
      <c r="AG334" s="596"/>
      <c r="AH334" s="728">
        <f>11</f>
        <v>11</v>
      </c>
      <c r="AI334" s="728">
        <f>1+4+3</f>
        <v>8</v>
      </c>
      <c r="AJ334" s="729">
        <f t="shared" si="177"/>
        <v>19</v>
      </c>
      <c r="AK334" s="946"/>
      <c r="AL334" s="616">
        <f>15+225+45</f>
        <v>285</v>
      </c>
      <c r="AM334" s="602">
        <f t="shared" si="160"/>
        <v>19</v>
      </c>
      <c r="AN334" s="835"/>
      <c r="AO334" s="835">
        <f t="shared" si="175"/>
        <v>0</v>
      </c>
      <c r="AP334" s="940"/>
      <c r="AQ334" s="722">
        <v>0</v>
      </c>
      <c r="AR334" s="728"/>
      <c r="AS334" s="728"/>
      <c r="AT334" s="729">
        <f t="shared" si="167"/>
        <v>0</v>
      </c>
      <c r="AU334" s="946"/>
      <c r="AV334" s="616"/>
      <c r="AW334" s="602">
        <f t="shared" si="157"/>
        <v>0</v>
      </c>
      <c r="AX334" s="940"/>
      <c r="AY334" s="602">
        <f t="shared" si="159"/>
        <v>0</v>
      </c>
      <c r="AZ334" s="940"/>
      <c r="BA334" s="962"/>
      <c r="BB334" s="962"/>
      <c r="BC334" s="611"/>
      <c r="BD334" s="712">
        <v>22</v>
      </c>
      <c r="BE334" s="596">
        <v>18</v>
      </c>
      <c r="BF334" s="596">
        <f t="shared" si="162"/>
        <v>4</v>
      </c>
      <c r="BG334" s="728">
        <f>11+2+1</f>
        <v>14</v>
      </c>
      <c r="BH334" s="728">
        <f>4+1+3</f>
        <v>8</v>
      </c>
      <c r="BI334" s="729">
        <f t="shared" si="153"/>
        <v>22</v>
      </c>
      <c r="BJ334" s="729"/>
      <c r="BK334" s="616">
        <f>750+50+100+200</f>
        <v>1100</v>
      </c>
      <c r="BL334" s="603">
        <f t="shared" si="161"/>
        <v>22</v>
      </c>
      <c r="BM334" s="964"/>
      <c r="BN334" s="602">
        <f t="shared" si="176"/>
        <v>0</v>
      </c>
      <c r="BO334" s="940"/>
      <c r="BP334" s="593">
        <f t="shared" si="178"/>
        <v>0</v>
      </c>
      <c r="BS334" s="741">
        <v>0</v>
      </c>
      <c r="BT334" s="741">
        <v>0</v>
      </c>
      <c r="BU334" s="741">
        <f t="shared" si="169"/>
        <v>0</v>
      </c>
      <c r="BV334" s="741">
        <v>0</v>
      </c>
      <c r="BW334" s="741"/>
      <c r="BX334" s="741">
        <v>0</v>
      </c>
      <c r="BY334" s="741">
        <v>0</v>
      </c>
      <c r="BZ334" s="741">
        <f t="shared" si="154"/>
        <v>0</v>
      </c>
      <c r="CA334" s="741">
        <v>0</v>
      </c>
      <c r="CB334" s="741"/>
      <c r="CC334" s="741">
        <f t="shared" si="170"/>
        <v>0</v>
      </c>
      <c r="CD334" s="751"/>
      <c r="CE334" s="748">
        <f>11+2</f>
        <v>13</v>
      </c>
      <c r="CF334" s="748">
        <f>4+1</f>
        <v>5</v>
      </c>
      <c r="CG334" s="748">
        <f t="shared" si="171"/>
        <v>18</v>
      </c>
      <c r="CH334" s="759">
        <v>18</v>
      </c>
      <c r="CI334" s="742"/>
      <c r="CJ334" s="591">
        <f t="shared" si="179"/>
        <v>0</v>
      </c>
    </row>
    <row r="335" spans="1:88" ht="21.6" customHeight="1" x14ac:dyDescent="0.25">
      <c r="A335" s="596"/>
      <c r="B335" s="596" t="s">
        <v>189</v>
      </c>
      <c r="C335" s="597" t="s">
        <v>230</v>
      </c>
      <c r="D335" s="134" t="s">
        <v>437</v>
      </c>
      <c r="E335" s="598">
        <v>11</v>
      </c>
      <c r="F335" s="596">
        <v>0</v>
      </c>
      <c r="G335" s="598">
        <v>11</v>
      </c>
      <c r="H335" s="596"/>
      <c r="I335" s="596">
        <f t="shared" si="158"/>
        <v>0</v>
      </c>
      <c r="J335" s="728">
        <f>11</f>
        <v>11</v>
      </c>
      <c r="K335" s="728"/>
      <c r="L335" s="731">
        <f t="shared" si="151"/>
        <v>11</v>
      </c>
      <c r="M335" s="947"/>
      <c r="N335" s="617">
        <v>165</v>
      </c>
      <c r="O335" s="602">
        <f t="shared" si="173"/>
        <v>11</v>
      </c>
      <c r="P335" s="940"/>
      <c r="Q335" s="600">
        <f t="shared" si="174"/>
        <v>0</v>
      </c>
      <c r="R335" s="940"/>
      <c r="S335" s="596">
        <v>0</v>
      </c>
      <c r="T335" s="724"/>
      <c r="U335" s="728"/>
      <c r="V335" s="728"/>
      <c r="W335" s="731">
        <f t="shared" si="152"/>
        <v>0</v>
      </c>
      <c r="X335" s="947"/>
      <c r="Y335" s="616"/>
      <c r="Z335" s="602">
        <f t="shared" si="155"/>
        <v>0</v>
      </c>
      <c r="AA335" s="835"/>
      <c r="AB335" s="602">
        <f t="shared" si="156"/>
        <v>0</v>
      </c>
      <c r="AC335" s="940"/>
      <c r="AD335" s="956"/>
      <c r="AE335" s="956"/>
      <c r="AF335" s="598">
        <v>13</v>
      </c>
      <c r="AG335" s="596"/>
      <c r="AH335" s="728">
        <v>12</v>
      </c>
      <c r="AI335" s="728">
        <v>1</v>
      </c>
      <c r="AJ335" s="729">
        <f t="shared" si="177"/>
        <v>13</v>
      </c>
      <c r="AK335" s="946"/>
      <c r="AL335" s="616">
        <v>195</v>
      </c>
      <c r="AM335" s="602">
        <f t="shared" si="160"/>
        <v>13</v>
      </c>
      <c r="AN335" s="835"/>
      <c r="AO335" s="835">
        <f t="shared" si="175"/>
        <v>0</v>
      </c>
      <c r="AP335" s="940"/>
      <c r="AQ335" s="722">
        <v>0</v>
      </c>
      <c r="AR335" s="728"/>
      <c r="AS335" s="728"/>
      <c r="AT335" s="729">
        <f t="shared" si="167"/>
        <v>0</v>
      </c>
      <c r="AU335" s="946"/>
      <c r="AV335" s="616"/>
      <c r="AW335" s="602">
        <f t="shared" si="157"/>
        <v>0</v>
      </c>
      <c r="AX335" s="940"/>
      <c r="AY335" s="602">
        <f t="shared" si="159"/>
        <v>0</v>
      </c>
      <c r="AZ335" s="940"/>
      <c r="BA335" s="962"/>
      <c r="BB335" s="962"/>
      <c r="BC335" s="611"/>
      <c r="BD335" s="712">
        <v>24</v>
      </c>
      <c r="BE335" s="596">
        <v>13</v>
      </c>
      <c r="BF335" s="596">
        <f t="shared" si="162"/>
        <v>11</v>
      </c>
      <c r="BG335" s="728">
        <f>13+11</f>
        <v>24</v>
      </c>
      <c r="BH335" s="728"/>
      <c r="BI335" s="729">
        <f t="shared" si="153"/>
        <v>24</v>
      </c>
      <c r="BJ335" s="729"/>
      <c r="BK335" s="616">
        <f>650+550</f>
        <v>1200</v>
      </c>
      <c r="BL335" s="603">
        <f t="shared" si="161"/>
        <v>24</v>
      </c>
      <c r="BM335" s="964"/>
      <c r="BN335" s="602">
        <f t="shared" si="176"/>
        <v>0</v>
      </c>
      <c r="BO335" s="940"/>
      <c r="BP335" s="593">
        <f t="shared" si="178"/>
        <v>0</v>
      </c>
      <c r="BS335" s="741">
        <v>0</v>
      </c>
      <c r="BT335" s="741">
        <v>0</v>
      </c>
      <c r="BU335" s="741">
        <f t="shared" si="169"/>
        <v>0</v>
      </c>
      <c r="BV335" s="741">
        <v>0</v>
      </c>
      <c r="BW335" s="741"/>
      <c r="BX335" s="741">
        <v>0</v>
      </c>
      <c r="BY335" s="741">
        <v>0</v>
      </c>
      <c r="BZ335" s="741">
        <f t="shared" si="154"/>
        <v>0</v>
      </c>
      <c r="CA335" s="741">
        <v>0</v>
      </c>
      <c r="CB335" s="741"/>
      <c r="CC335" s="741">
        <f t="shared" si="170"/>
        <v>0</v>
      </c>
      <c r="CD335" s="751"/>
      <c r="CE335" s="748"/>
      <c r="CF335" s="748"/>
      <c r="CG335" s="748">
        <f t="shared" si="171"/>
        <v>0</v>
      </c>
      <c r="CH335" s="759"/>
      <c r="CI335" s="742"/>
      <c r="CJ335" s="591">
        <f t="shared" si="179"/>
        <v>0</v>
      </c>
    </row>
    <row r="336" spans="1:88" ht="21.6" customHeight="1" x14ac:dyDescent="0.25">
      <c r="A336" s="596"/>
      <c r="B336" s="596" t="s">
        <v>189</v>
      </c>
      <c r="C336" s="597" t="s">
        <v>475</v>
      </c>
      <c r="D336" s="134" t="s">
        <v>431</v>
      </c>
      <c r="E336" s="598">
        <v>29</v>
      </c>
      <c r="F336" s="596">
        <v>0</v>
      </c>
      <c r="G336" s="598">
        <v>29</v>
      </c>
      <c r="H336" s="596"/>
      <c r="I336" s="596">
        <f t="shared" si="158"/>
        <v>0</v>
      </c>
      <c r="J336" s="728">
        <f>14+11</f>
        <v>25</v>
      </c>
      <c r="K336" s="728">
        <f>1+3</f>
        <v>4</v>
      </c>
      <c r="L336" s="731">
        <f t="shared" ref="L336:L399" si="180">J336+K336</f>
        <v>29</v>
      </c>
      <c r="M336" s="947"/>
      <c r="N336" s="617">
        <v>435</v>
      </c>
      <c r="O336" s="602">
        <f t="shared" si="173"/>
        <v>29</v>
      </c>
      <c r="P336" s="940"/>
      <c r="Q336" s="600">
        <f t="shared" si="174"/>
        <v>0</v>
      </c>
      <c r="R336" s="940"/>
      <c r="S336" s="596">
        <v>0</v>
      </c>
      <c r="T336" s="724"/>
      <c r="U336" s="728"/>
      <c r="V336" s="728"/>
      <c r="W336" s="731">
        <f t="shared" ref="W336:W399" si="181">U336+V336</f>
        <v>0</v>
      </c>
      <c r="X336" s="947"/>
      <c r="Y336" s="616"/>
      <c r="Z336" s="602">
        <f t="shared" si="155"/>
        <v>0</v>
      </c>
      <c r="AA336" s="835"/>
      <c r="AB336" s="602">
        <f t="shared" si="156"/>
        <v>0</v>
      </c>
      <c r="AC336" s="940"/>
      <c r="AD336" s="956"/>
      <c r="AE336" s="956"/>
      <c r="AF336" s="598">
        <v>0</v>
      </c>
      <c r="AG336" s="596"/>
      <c r="AH336" s="728"/>
      <c r="AI336" s="728"/>
      <c r="AJ336" s="729">
        <f t="shared" si="177"/>
        <v>0</v>
      </c>
      <c r="AK336" s="946"/>
      <c r="AL336" s="616"/>
      <c r="AM336" s="602">
        <f t="shared" si="160"/>
        <v>0</v>
      </c>
      <c r="AN336" s="835"/>
      <c r="AO336" s="835">
        <f t="shared" si="175"/>
        <v>0</v>
      </c>
      <c r="AP336" s="940"/>
      <c r="AQ336" s="722">
        <v>0</v>
      </c>
      <c r="AR336" s="728"/>
      <c r="AS336" s="728"/>
      <c r="AT336" s="729">
        <f t="shared" si="167"/>
        <v>0</v>
      </c>
      <c r="AU336" s="946"/>
      <c r="AV336" s="616"/>
      <c r="AW336" s="602">
        <f t="shared" si="157"/>
        <v>0</v>
      </c>
      <c r="AX336" s="940"/>
      <c r="AY336" s="602">
        <f t="shared" si="159"/>
        <v>0</v>
      </c>
      <c r="AZ336" s="940"/>
      <c r="BA336" s="962"/>
      <c r="BB336" s="962"/>
      <c r="BC336" s="611"/>
      <c r="BD336" s="712">
        <v>29</v>
      </c>
      <c r="BE336" s="596">
        <v>0</v>
      </c>
      <c r="BF336" s="596">
        <f t="shared" si="162"/>
        <v>29</v>
      </c>
      <c r="BG336" s="728">
        <f>12+13</f>
        <v>25</v>
      </c>
      <c r="BH336" s="728">
        <f>3+1</f>
        <v>4</v>
      </c>
      <c r="BI336" s="729">
        <f t="shared" ref="BI336:BI399" si="182">BG336+BH336</f>
        <v>29</v>
      </c>
      <c r="BJ336" s="729"/>
      <c r="BK336" s="616">
        <f>750+700</f>
        <v>1450</v>
      </c>
      <c r="BL336" s="603">
        <f t="shared" si="161"/>
        <v>29</v>
      </c>
      <c r="BM336" s="964"/>
      <c r="BN336" s="602">
        <f t="shared" si="176"/>
        <v>0</v>
      </c>
      <c r="BO336" s="940"/>
      <c r="BP336" s="593">
        <f t="shared" si="178"/>
        <v>0</v>
      </c>
      <c r="BS336" s="741">
        <v>0</v>
      </c>
      <c r="BT336" s="741">
        <v>0</v>
      </c>
      <c r="BU336" s="741">
        <f t="shared" si="169"/>
        <v>0</v>
      </c>
      <c r="BV336" s="741">
        <v>0</v>
      </c>
      <c r="BW336" s="741"/>
      <c r="BX336" s="741">
        <v>0</v>
      </c>
      <c r="BY336" s="741">
        <v>0</v>
      </c>
      <c r="BZ336" s="741">
        <f t="shared" ref="BZ336:BZ399" si="183">BX336+BY336</f>
        <v>0</v>
      </c>
      <c r="CA336" s="741">
        <v>0</v>
      </c>
      <c r="CB336" s="741"/>
      <c r="CC336" s="741">
        <f t="shared" si="170"/>
        <v>0</v>
      </c>
      <c r="CD336" s="751"/>
      <c r="CE336" s="748"/>
      <c r="CF336" s="748"/>
      <c r="CG336" s="748">
        <f t="shared" si="171"/>
        <v>0</v>
      </c>
      <c r="CH336" s="759"/>
      <c r="CI336" s="742"/>
      <c r="CJ336" s="591">
        <f t="shared" si="179"/>
        <v>0</v>
      </c>
    </row>
    <row r="337" spans="1:88" ht="30" customHeight="1" x14ac:dyDescent="0.25">
      <c r="A337" s="596" t="s">
        <v>130</v>
      </c>
      <c r="B337" s="596" t="s">
        <v>189</v>
      </c>
      <c r="C337" s="597" t="s">
        <v>192</v>
      </c>
      <c r="D337" s="134" t="s">
        <v>431</v>
      </c>
      <c r="E337" s="598">
        <v>2</v>
      </c>
      <c r="F337" s="596">
        <v>0</v>
      </c>
      <c r="G337" s="598">
        <v>2</v>
      </c>
      <c r="H337" s="596"/>
      <c r="I337" s="596">
        <f t="shared" si="158"/>
        <v>0</v>
      </c>
      <c r="J337" s="728">
        <f>1</f>
        <v>1</v>
      </c>
      <c r="K337" s="728">
        <f>1</f>
        <v>1</v>
      </c>
      <c r="L337" s="731">
        <f t="shared" si="180"/>
        <v>2</v>
      </c>
      <c r="M337" s="947"/>
      <c r="N337" s="617">
        <v>30</v>
      </c>
      <c r="O337" s="602">
        <f t="shared" si="173"/>
        <v>2</v>
      </c>
      <c r="P337" s="940"/>
      <c r="Q337" s="600">
        <f t="shared" si="174"/>
        <v>0</v>
      </c>
      <c r="R337" s="940"/>
      <c r="S337" s="596">
        <v>0</v>
      </c>
      <c r="T337" s="724"/>
      <c r="U337" s="728"/>
      <c r="V337" s="728"/>
      <c r="W337" s="731">
        <f t="shared" si="181"/>
        <v>0</v>
      </c>
      <c r="X337" s="947"/>
      <c r="Y337" s="616"/>
      <c r="Z337" s="602">
        <f t="shared" si="155"/>
        <v>0</v>
      </c>
      <c r="AA337" s="835"/>
      <c r="AB337" s="602">
        <f t="shared" si="156"/>
        <v>0</v>
      </c>
      <c r="AC337" s="940"/>
      <c r="AD337" s="956"/>
      <c r="AE337" s="956"/>
      <c r="AF337" s="598">
        <v>45</v>
      </c>
      <c r="AG337" s="596"/>
      <c r="AH337" s="728">
        <f>1+1+14+14+10</f>
        <v>40</v>
      </c>
      <c r="AI337" s="728">
        <f>1+1+2</f>
        <v>4</v>
      </c>
      <c r="AJ337" s="729">
        <f t="shared" si="177"/>
        <v>44</v>
      </c>
      <c r="AK337" s="946"/>
      <c r="AL337" s="616">
        <f>45+15+210+225+180</f>
        <v>675</v>
      </c>
      <c r="AM337" s="602">
        <f t="shared" si="160"/>
        <v>45</v>
      </c>
      <c r="AN337" s="835"/>
      <c r="AO337" s="835">
        <f t="shared" si="175"/>
        <v>0</v>
      </c>
      <c r="AP337" s="940"/>
      <c r="AQ337" s="722">
        <v>0</v>
      </c>
      <c r="AR337" s="728"/>
      <c r="AS337" s="728"/>
      <c r="AT337" s="729">
        <f t="shared" si="167"/>
        <v>0</v>
      </c>
      <c r="AU337" s="946"/>
      <c r="AV337" s="616"/>
      <c r="AW337" s="602">
        <f t="shared" si="157"/>
        <v>0</v>
      </c>
      <c r="AX337" s="940"/>
      <c r="AY337" s="602">
        <f t="shared" si="159"/>
        <v>0</v>
      </c>
      <c r="AZ337" s="940"/>
      <c r="BA337" s="962"/>
      <c r="BB337" s="962"/>
      <c r="BC337" s="611"/>
      <c r="BD337" s="712">
        <v>47</v>
      </c>
      <c r="BE337" s="596">
        <v>44</v>
      </c>
      <c r="BF337" s="596">
        <f t="shared" si="162"/>
        <v>3</v>
      </c>
      <c r="BG337" s="728">
        <f>14+1+14+10+1</f>
        <v>40</v>
      </c>
      <c r="BH337" s="728">
        <f>1+1+2</f>
        <v>4</v>
      </c>
      <c r="BI337" s="729">
        <f t="shared" si="182"/>
        <v>44</v>
      </c>
      <c r="BJ337" s="729"/>
      <c r="BK337" s="616">
        <f>700+200+750+600+100</f>
        <v>2350</v>
      </c>
      <c r="BL337" s="603">
        <f t="shared" si="161"/>
        <v>47</v>
      </c>
      <c r="BM337" s="964"/>
      <c r="BN337" s="602">
        <f t="shared" si="176"/>
        <v>0</v>
      </c>
      <c r="BO337" s="940"/>
      <c r="BP337" s="593">
        <f t="shared" si="178"/>
        <v>0</v>
      </c>
      <c r="BS337" s="741">
        <v>0</v>
      </c>
      <c r="BT337" s="741">
        <v>0</v>
      </c>
      <c r="BU337" s="741">
        <f t="shared" si="169"/>
        <v>0</v>
      </c>
      <c r="BV337" s="741">
        <v>0</v>
      </c>
      <c r="BW337" s="741"/>
      <c r="BX337" s="741">
        <v>0</v>
      </c>
      <c r="BY337" s="741">
        <v>0</v>
      </c>
      <c r="BZ337" s="741">
        <f t="shared" si="183"/>
        <v>0</v>
      </c>
      <c r="CA337" s="741">
        <v>0</v>
      </c>
      <c r="CB337" s="741"/>
      <c r="CC337" s="741">
        <f t="shared" si="170"/>
        <v>0</v>
      </c>
      <c r="CD337" s="751"/>
      <c r="CE337" s="748">
        <f>14+1+14+10+1</f>
        <v>40</v>
      </c>
      <c r="CF337" s="748">
        <f>1+1+2</f>
        <v>4</v>
      </c>
      <c r="CG337" s="748">
        <f t="shared" si="171"/>
        <v>44</v>
      </c>
      <c r="CH337" s="759">
        <v>47</v>
      </c>
      <c r="CI337" s="742"/>
      <c r="CJ337" s="591">
        <f t="shared" si="179"/>
        <v>0</v>
      </c>
    </row>
    <row r="338" spans="1:88" ht="22.5" customHeight="1" x14ac:dyDescent="0.25">
      <c r="A338" s="596" t="s">
        <v>130</v>
      </c>
      <c r="B338" s="596" t="s">
        <v>189</v>
      </c>
      <c r="C338" s="597" t="s">
        <v>193</v>
      </c>
      <c r="D338" s="134" t="s">
        <v>437</v>
      </c>
      <c r="E338" s="598">
        <v>4</v>
      </c>
      <c r="F338" s="596">
        <v>0</v>
      </c>
      <c r="G338" s="598">
        <v>4</v>
      </c>
      <c r="H338" s="596"/>
      <c r="I338" s="596">
        <f t="shared" si="158"/>
        <v>0</v>
      </c>
      <c r="J338" s="728">
        <f>1+3</f>
        <v>4</v>
      </c>
      <c r="K338" s="728"/>
      <c r="L338" s="731">
        <f t="shared" si="180"/>
        <v>4</v>
      </c>
      <c r="M338" s="947"/>
      <c r="N338" s="617">
        <v>60</v>
      </c>
      <c r="O338" s="602">
        <f t="shared" si="173"/>
        <v>4</v>
      </c>
      <c r="P338" s="940"/>
      <c r="Q338" s="600">
        <f t="shared" si="174"/>
        <v>0</v>
      </c>
      <c r="R338" s="940"/>
      <c r="S338" s="596">
        <v>0</v>
      </c>
      <c r="T338" s="724"/>
      <c r="U338" s="728"/>
      <c r="V338" s="728"/>
      <c r="W338" s="731">
        <f t="shared" si="181"/>
        <v>0</v>
      </c>
      <c r="X338" s="947"/>
      <c r="Y338" s="616"/>
      <c r="Z338" s="602">
        <f t="shared" si="155"/>
        <v>0</v>
      </c>
      <c r="AA338" s="835"/>
      <c r="AB338" s="602">
        <f t="shared" si="156"/>
        <v>0</v>
      </c>
      <c r="AC338" s="940"/>
      <c r="AD338" s="956"/>
      <c r="AE338" s="956"/>
      <c r="AF338" s="598">
        <v>6</v>
      </c>
      <c r="AG338" s="596"/>
      <c r="AH338" s="728">
        <f>4+1</f>
        <v>5</v>
      </c>
      <c r="AI338" s="728"/>
      <c r="AJ338" s="729">
        <f t="shared" si="177"/>
        <v>5</v>
      </c>
      <c r="AK338" s="946"/>
      <c r="AL338" s="616">
        <f>60+30</f>
        <v>90</v>
      </c>
      <c r="AM338" s="602">
        <f t="shared" si="160"/>
        <v>6</v>
      </c>
      <c r="AN338" s="835"/>
      <c r="AO338" s="835">
        <f t="shared" si="175"/>
        <v>0</v>
      </c>
      <c r="AP338" s="940"/>
      <c r="AQ338" s="722">
        <v>0</v>
      </c>
      <c r="AR338" s="728"/>
      <c r="AS338" s="728"/>
      <c r="AT338" s="729">
        <f t="shared" si="167"/>
        <v>0</v>
      </c>
      <c r="AU338" s="946"/>
      <c r="AV338" s="616"/>
      <c r="AW338" s="602">
        <f t="shared" si="157"/>
        <v>0</v>
      </c>
      <c r="AX338" s="940"/>
      <c r="AY338" s="602">
        <f t="shared" si="159"/>
        <v>0</v>
      </c>
      <c r="AZ338" s="940"/>
      <c r="BA338" s="962"/>
      <c r="BB338" s="962"/>
      <c r="BC338" s="611"/>
      <c r="BD338" s="712">
        <v>10</v>
      </c>
      <c r="BE338" s="596">
        <v>5</v>
      </c>
      <c r="BF338" s="596">
        <f t="shared" si="162"/>
        <v>5</v>
      </c>
      <c r="BG338" s="728">
        <f>1+3</f>
        <v>4</v>
      </c>
      <c r="BH338" s="728">
        <v>5</v>
      </c>
      <c r="BI338" s="729">
        <f t="shared" si="182"/>
        <v>9</v>
      </c>
      <c r="BJ338" s="729"/>
      <c r="BK338" s="616">
        <f>100+150+250</f>
        <v>500</v>
      </c>
      <c r="BL338" s="603">
        <f t="shared" si="161"/>
        <v>10</v>
      </c>
      <c r="BM338" s="964"/>
      <c r="BN338" s="602">
        <f t="shared" si="176"/>
        <v>0</v>
      </c>
      <c r="BO338" s="940"/>
      <c r="BP338" s="593">
        <f t="shared" si="178"/>
        <v>0</v>
      </c>
      <c r="BS338" s="741">
        <v>0</v>
      </c>
      <c r="BT338" s="741">
        <v>0</v>
      </c>
      <c r="BU338" s="741">
        <f t="shared" si="169"/>
        <v>0</v>
      </c>
      <c r="BV338" s="741">
        <v>0</v>
      </c>
      <c r="BW338" s="741"/>
      <c r="BX338" s="741">
        <v>0</v>
      </c>
      <c r="BY338" s="741">
        <v>0</v>
      </c>
      <c r="BZ338" s="741">
        <f t="shared" si="183"/>
        <v>0</v>
      </c>
      <c r="CA338" s="741">
        <v>0</v>
      </c>
      <c r="CB338" s="741"/>
      <c r="CC338" s="741">
        <f t="shared" si="170"/>
        <v>0</v>
      </c>
      <c r="CD338" s="751"/>
      <c r="CE338" s="748"/>
      <c r="CF338" s="748"/>
      <c r="CG338" s="748">
        <f t="shared" si="171"/>
        <v>0</v>
      </c>
      <c r="CH338" s="759"/>
      <c r="CI338" s="742"/>
      <c r="CJ338" s="591">
        <f t="shared" si="179"/>
        <v>0</v>
      </c>
    </row>
    <row r="339" spans="1:88" ht="43.5" customHeight="1" x14ac:dyDescent="0.25">
      <c r="A339" s="596"/>
      <c r="B339" s="596" t="s">
        <v>189</v>
      </c>
      <c r="C339" s="597" t="s">
        <v>479</v>
      </c>
      <c r="D339" s="134" t="s">
        <v>431</v>
      </c>
      <c r="E339" s="598">
        <v>0</v>
      </c>
      <c r="F339" s="596">
        <v>0</v>
      </c>
      <c r="G339" s="598">
        <v>0</v>
      </c>
      <c r="H339" s="596"/>
      <c r="I339" s="596">
        <f t="shared" si="158"/>
        <v>0</v>
      </c>
      <c r="J339" s="728"/>
      <c r="K339" s="728"/>
      <c r="L339" s="731">
        <f t="shared" si="180"/>
        <v>0</v>
      </c>
      <c r="M339" s="947"/>
      <c r="N339" s="617"/>
      <c r="O339" s="602">
        <f t="shared" si="173"/>
        <v>0</v>
      </c>
      <c r="P339" s="940"/>
      <c r="Q339" s="600">
        <f t="shared" si="174"/>
        <v>0</v>
      </c>
      <c r="R339" s="940"/>
      <c r="S339" s="596">
        <v>0</v>
      </c>
      <c r="T339" s="724"/>
      <c r="U339" s="728"/>
      <c r="V339" s="728"/>
      <c r="W339" s="731">
        <f t="shared" si="181"/>
        <v>0</v>
      </c>
      <c r="X339" s="947"/>
      <c r="Y339" s="616"/>
      <c r="Z339" s="602">
        <f t="shared" ref="Z339:Z402" si="184">Y339/15</f>
        <v>0</v>
      </c>
      <c r="AA339" s="835"/>
      <c r="AB339" s="602">
        <f t="shared" ref="AB339:AB402" si="185">S339-Z339</f>
        <v>0</v>
      </c>
      <c r="AC339" s="940"/>
      <c r="AD339" s="956"/>
      <c r="AE339" s="956"/>
      <c r="AF339" s="598">
        <v>15</v>
      </c>
      <c r="AG339" s="596"/>
      <c r="AH339" s="728">
        <v>15</v>
      </c>
      <c r="AI339" s="728"/>
      <c r="AJ339" s="729">
        <f t="shared" si="177"/>
        <v>15</v>
      </c>
      <c r="AK339" s="946"/>
      <c r="AL339" s="616">
        <v>225</v>
      </c>
      <c r="AM339" s="602">
        <f t="shared" si="160"/>
        <v>15</v>
      </c>
      <c r="AN339" s="835"/>
      <c r="AO339" s="835">
        <f t="shared" si="175"/>
        <v>0</v>
      </c>
      <c r="AP339" s="940"/>
      <c r="AQ339" s="722">
        <v>0</v>
      </c>
      <c r="AR339" s="728"/>
      <c r="AS339" s="728"/>
      <c r="AT339" s="729">
        <f t="shared" si="167"/>
        <v>0</v>
      </c>
      <c r="AU339" s="946"/>
      <c r="AV339" s="616"/>
      <c r="AW339" s="602">
        <f t="shared" ref="AW339:AW402" si="186">AV339/15</f>
        <v>0</v>
      </c>
      <c r="AX339" s="940"/>
      <c r="AY339" s="602">
        <f t="shared" ref="AY339:AY402" si="187">AQ339-AW339</f>
        <v>0</v>
      </c>
      <c r="AZ339" s="940"/>
      <c r="BA339" s="962"/>
      <c r="BB339" s="962"/>
      <c r="BC339" s="611"/>
      <c r="BD339" s="712">
        <v>15</v>
      </c>
      <c r="BE339" s="596">
        <v>15</v>
      </c>
      <c r="BF339" s="596">
        <f t="shared" si="162"/>
        <v>0</v>
      </c>
      <c r="BG339" s="728">
        <v>15</v>
      </c>
      <c r="BH339" s="728"/>
      <c r="BI339" s="729">
        <f t="shared" si="182"/>
        <v>15</v>
      </c>
      <c r="BJ339" s="729"/>
      <c r="BK339" s="616">
        <f>750</f>
        <v>750</v>
      </c>
      <c r="BL339" s="603">
        <f t="shared" si="161"/>
        <v>15</v>
      </c>
      <c r="BM339" s="964"/>
      <c r="BN339" s="602">
        <f t="shared" si="176"/>
        <v>0</v>
      </c>
      <c r="BO339" s="940"/>
      <c r="BP339" s="593">
        <f t="shared" si="178"/>
        <v>0</v>
      </c>
      <c r="BS339" s="741">
        <v>0</v>
      </c>
      <c r="BT339" s="741">
        <v>0</v>
      </c>
      <c r="BU339" s="741">
        <f t="shared" si="169"/>
        <v>0</v>
      </c>
      <c r="BV339" s="741">
        <v>0</v>
      </c>
      <c r="BW339" s="741"/>
      <c r="BX339" s="741">
        <v>0</v>
      </c>
      <c r="BY339" s="741">
        <v>0</v>
      </c>
      <c r="BZ339" s="741">
        <f t="shared" si="183"/>
        <v>0</v>
      </c>
      <c r="CA339" s="741">
        <v>0</v>
      </c>
      <c r="CB339" s="741"/>
      <c r="CC339" s="741">
        <f t="shared" si="170"/>
        <v>0</v>
      </c>
      <c r="CD339" s="751"/>
      <c r="CE339" s="748">
        <v>15</v>
      </c>
      <c r="CF339" s="748"/>
      <c r="CG339" s="748">
        <f t="shared" si="171"/>
        <v>15</v>
      </c>
      <c r="CH339" s="759">
        <v>15</v>
      </c>
      <c r="CI339" s="742"/>
      <c r="CJ339" s="591">
        <f t="shared" si="179"/>
        <v>0</v>
      </c>
    </row>
    <row r="340" spans="1:88" ht="21.6" customHeight="1" x14ac:dyDescent="0.25">
      <c r="A340" s="596"/>
      <c r="B340" s="596" t="s">
        <v>189</v>
      </c>
      <c r="C340" s="597" t="s">
        <v>416</v>
      </c>
      <c r="D340" s="134" t="s">
        <v>431</v>
      </c>
      <c r="E340" s="598">
        <v>0</v>
      </c>
      <c r="F340" s="596">
        <v>0</v>
      </c>
      <c r="G340" s="598">
        <v>0</v>
      </c>
      <c r="H340" s="596"/>
      <c r="I340" s="596">
        <f t="shared" ref="I340:I405" si="188">F340-H340</f>
        <v>0</v>
      </c>
      <c r="J340" s="728"/>
      <c r="K340" s="728"/>
      <c r="L340" s="731">
        <f t="shared" si="180"/>
        <v>0</v>
      </c>
      <c r="M340" s="947"/>
      <c r="N340" s="617"/>
      <c r="O340" s="602">
        <f t="shared" si="173"/>
        <v>0</v>
      </c>
      <c r="P340" s="940"/>
      <c r="Q340" s="600">
        <f t="shared" si="174"/>
        <v>0</v>
      </c>
      <c r="R340" s="940"/>
      <c r="S340" s="596">
        <v>0</v>
      </c>
      <c r="T340" s="724"/>
      <c r="U340" s="728"/>
      <c r="V340" s="728"/>
      <c r="W340" s="731">
        <f t="shared" si="181"/>
        <v>0</v>
      </c>
      <c r="X340" s="947"/>
      <c r="Y340" s="616"/>
      <c r="Z340" s="602">
        <f t="shared" si="184"/>
        <v>0</v>
      </c>
      <c r="AA340" s="835"/>
      <c r="AB340" s="602">
        <f t="shared" si="185"/>
        <v>0</v>
      </c>
      <c r="AC340" s="940"/>
      <c r="AD340" s="956"/>
      <c r="AE340" s="956"/>
      <c r="AF340" s="598">
        <v>15</v>
      </c>
      <c r="AG340" s="596"/>
      <c r="AH340" s="728">
        <v>15</v>
      </c>
      <c r="AI340" s="728"/>
      <c r="AJ340" s="729">
        <f t="shared" si="177"/>
        <v>15</v>
      </c>
      <c r="AK340" s="946"/>
      <c r="AL340" s="616">
        <v>225</v>
      </c>
      <c r="AM340" s="602">
        <f t="shared" si="160"/>
        <v>15</v>
      </c>
      <c r="AN340" s="835"/>
      <c r="AO340" s="835">
        <f t="shared" si="175"/>
        <v>0</v>
      </c>
      <c r="AP340" s="940"/>
      <c r="AQ340" s="722">
        <v>0</v>
      </c>
      <c r="AR340" s="728"/>
      <c r="AS340" s="728"/>
      <c r="AT340" s="729">
        <f t="shared" si="167"/>
        <v>0</v>
      </c>
      <c r="AU340" s="946"/>
      <c r="AV340" s="616"/>
      <c r="AW340" s="602">
        <f t="shared" si="186"/>
        <v>0</v>
      </c>
      <c r="AX340" s="940"/>
      <c r="AY340" s="602">
        <f t="shared" si="187"/>
        <v>0</v>
      </c>
      <c r="AZ340" s="940"/>
      <c r="BA340" s="962"/>
      <c r="BB340" s="962"/>
      <c r="BC340" s="611"/>
      <c r="BD340" s="712">
        <v>15</v>
      </c>
      <c r="BE340" s="596">
        <v>15</v>
      </c>
      <c r="BF340" s="596">
        <f t="shared" si="162"/>
        <v>0</v>
      </c>
      <c r="BG340" s="728">
        <v>15</v>
      </c>
      <c r="BH340" s="728"/>
      <c r="BI340" s="729">
        <f t="shared" si="182"/>
        <v>15</v>
      </c>
      <c r="BJ340" s="729"/>
      <c r="BK340" s="616">
        <v>750</v>
      </c>
      <c r="BL340" s="603">
        <f t="shared" si="161"/>
        <v>15</v>
      </c>
      <c r="BM340" s="964"/>
      <c r="BN340" s="602">
        <f t="shared" si="176"/>
        <v>0</v>
      </c>
      <c r="BO340" s="940"/>
      <c r="BP340" s="593">
        <f t="shared" si="178"/>
        <v>0</v>
      </c>
      <c r="BS340" s="741">
        <v>0</v>
      </c>
      <c r="BT340" s="741">
        <v>0</v>
      </c>
      <c r="BU340" s="741">
        <f t="shared" si="169"/>
        <v>0</v>
      </c>
      <c r="BV340" s="741">
        <v>0</v>
      </c>
      <c r="BW340" s="741"/>
      <c r="BX340" s="741">
        <v>0</v>
      </c>
      <c r="BY340" s="741">
        <v>0</v>
      </c>
      <c r="BZ340" s="741">
        <f t="shared" si="183"/>
        <v>0</v>
      </c>
      <c r="CA340" s="741">
        <v>0</v>
      </c>
      <c r="CB340" s="741"/>
      <c r="CC340" s="741">
        <f t="shared" si="170"/>
        <v>0</v>
      </c>
      <c r="CD340" s="751"/>
      <c r="CE340" s="748"/>
      <c r="CF340" s="748"/>
      <c r="CG340" s="748">
        <f t="shared" si="171"/>
        <v>0</v>
      </c>
      <c r="CH340" s="759"/>
      <c r="CI340" s="742"/>
      <c r="CJ340" s="591">
        <f t="shared" si="179"/>
        <v>0</v>
      </c>
    </row>
    <row r="341" spans="1:88" ht="21.6" customHeight="1" x14ac:dyDescent="0.25">
      <c r="A341" s="596" t="s">
        <v>130</v>
      </c>
      <c r="B341" s="596" t="s">
        <v>189</v>
      </c>
      <c r="C341" s="597" t="s">
        <v>194</v>
      </c>
      <c r="D341" s="153" t="s">
        <v>431</v>
      </c>
      <c r="E341" s="598">
        <v>4</v>
      </c>
      <c r="F341" s="596">
        <v>0</v>
      </c>
      <c r="G341" s="598">
        <v>4</v>
      </c>
      <c r="H341" s="596"/>
      <c r="I341" s="596">
        <f t="shared" si="188"/>
        <v>0</v>
      </c>
      <c r="J341" s="728">
        <f>1+1</f>
        <v>2</v>
      </c>
      <c r="K341" s="728">
        <f>2+0</f>
        <v>2</v>
      </c>
      <c r="L341" s="731">
        <f t="shared" si="180"/>
        <v>4</v>
      </c>
      <c r="M341" s="947"/>
      <c r="N341" s="617">
        <v>60</v>
      </c>
      <c r="O341" s="602">
        <f t="shared" si="173"/>
        <v>4</v>
      </c>
      <c r="P341" s="940"/>
      <c r="Q341" s="600">
        <f t="shared" si="174"/>
        <v>0</v>
      </c>
      <c r="R341" s="940"/>
      <c r="S341" s="596">
        <v>0</v>
      </c>
      <c r="T341" s="724"/>
      <c r="U341" s="728"/>
      <c r="V341" s="728"/>
      <c r="W341" s="731">
        <f t="shared" si="181"/>
        <v>0</v>
      </c>
      <c r="X341" s="947"/>
      <c r="Y341" s="616"/>
      <c r="Z341" s="602">
        <f t="shared" si="184"/>
        <v>0</v>
      </c>
      <c r="AA341" s="835"/>
      <c r="AB341" s="602">
        <f t="shared" si="185"/>
        <v>0</v>
      </c>
      <c r="AC341" s="940"/>
      <c r="AD341" s="956"/>
      <c r="AE341" s="956"/>
      <c r="AF341" s="598">
        <v>6</v>
      </c>
      <c r="AG341" s="596"/>
      <c r="AH341" s="728">
        <v>2</v>
      </c>
      <c r="AI341" s="728">
        <v>4</v>
      </c>
      <c r="AJ341" s="729">
        <f t="shared" si="177"/>
        <v>6</v>
      </c>
      <c r="AK341" s="946"/>
      <c r="AL341" s="616">
        <f>60+30</f>
        <v>90</v>
      </c>
      <c r="AM341" s="602">
        <f t="shared" si="160"/>
        <v>6</v>
      </c>
      <c r="AN341" s="835"/>
      <c r="AO341" s="835">
        <f t="shared" si="175"/>
        <v>0</v>
      </c>
      <c r="AP341" s="940"/>
      <c r="AQ341" s="722">
        <v>0</v>
      </c>
      <c r="AR341" s="728"/>
      <c r="AS341" s="728"/>
      <c r="AT341" s="729">
        <f t="shared" si="167"/>
        <v>0</v>
      </c>
      <c r="AU341" s="946"/>
      <c r="AV341" s="616"/>
      <c r="AW341" s="602">
        <f t="shared" si="186"/>
        <v>0</v>
      </c>
      <c r="AX341" s="940"/>
      <c r="AY341" s="602">
        <f t="shared" si="187"/>
        <v>0</v>
      </c>
      <c r="AZ341" s="940"/>
      <c r="BA341" s="962"/>
      <c r="BB341" s="962"/>
      <c r="BC341" s="611"/>
      <c r="BD341" s="712">
        <v>10</v>
      </c>
      <c r="BE341" s="596">
        <v>5</v>
      </c>
      <c r="BF341" s="596">
        <f t="shared" si="162"/>
        <v>5</v>
      </c>
      <c r="BG341" s="728">
        <f>2+1+3</f>
        <v>6</v>
      </c>
      <c r="BH341" s="728">
        <f>2+2</f>
        <v>4</v>
      </c>
      <c r="BI341" s="729">
        <f t="shared" si="182"/>
        <v>10</v>
      </c>
      <c r="BJ341" s="729"/>
      <c r="BK341" s="616">
        <f>100+150+250</f>
        <v>500</v>
      </c>
      <c r="BL341" s="603">
        <f t="shared" si="161"/>
        <v>10</v>
      </c>
      <c r="BM341" s="964"/>
      <c r="BN341" s="602">
        <f t="shared" si="176"/>
        <v>0</v>
      </c>
      <c r="BO341" s="940"/>
      <c r="BP341" s="593">
        <f t="shared" si="178"/>
        <v>0</v>
      </c>
      <c r="BS341" s="741">
        <v>0</v>
      </c>
      <c r="BT341" s="741">
        <v>0</v>
      </c>
      <c r="BU341" s="741">
        <f t="shared" si="169"/>
        <v>0</v>
      </c>
      <c r="BV341" s="741">
        <v>0</v>
      </c>
      <c r="BW341" s="741"/>
      <c r="BX341" s="741">
        <v>0</v>
      </c>
      <c r="BY341" s="741">
        <v>0</v>
      </c>
      <c r="BZ341" s="741">
        <f t="shared" si="183"/>
        <v>0</v>
      </c>
      <c r="CA341" s="741">
        <v>0</v>
      </c>
      <c r="CB341" s="741"/>
      <c r="CC341" s="741">
        <f t="shared" si="170"/>
        <v>0</v>
      </c>
      <c r="CD341" s="751"/>
      <c r="CE341" s="748">
        <f>2+1</f>
        <v>3</v>
      </c>
      <c r="CF341" s="748">
        <v>2</v>
      </c>
      <c r="CG341" s="748">
        <f t="shared" si="171"/>
        <v>5</v>
      </c>
      <c r="CH341" s="759">
        <v>5</v>
      </c>
      <c r="CI341" s="742"/>
      <c r="CJ341" s="591">
        <f t="shared" si="179"/>
        <v>0</v>
      </c>
    </row>
    <row r="342" spans="1:88" ht="21.6" customHeight="1" x14ac:dyDescent="0.25">
      <c r="A342" s="596" t="s">
        <v>130</v>
      </c>
      <c r="B342" s="596" t="s">
        <v>189</v>
      </c>
      <c r="C342" s="597" t="s">
        <v>195</v>
      </c>
      <c r="D342" s="153" t="s">
        <v>437</v>
      </c>
      <c r="E342" s="598">
        <v>4</v>
      </c>
      <c r="F342" s="596">
        <v>0</v>
      </c>
      <c r="G342" s="598">
        <v>4</v>
      </c>
      <c r="H342" s="596"/>
      <c r="I342" s="596">
        <f t="shared" si="188"/>
        <v>0</v>
      </c>
      <c r="J342" s="728">
        <f>1+3</f>
        <v>4</v>
      </c>
      <c r="K342" s="728">
        <f>0</f>
        <v>0</v>
      </c>
      <c r="L342" s="731">
        <f t="shared" si="180"/>
        <v>4</v>
      </c>
      <c r="M342" s="947"/>
      <c r="N342" s="617">
        <v>60</v>
      </c>
      <c r="O342" s="602">
        <f t="shared" si="173"/>
        <v>4</v>
      </c>
      <c r="P342" s="940"/>
      <c r="Q342" s="600">
        <f t="shared" si="174"/>
        <v>0</v>
      </c>
      <c r="R342" s="940"/>
      <c r="S342" s="596">
        <v>0</v>
      </c>
      <c r="T342" s="724"/>
      <c r="U342" s="728"/>
      <c r="V342" s="728"/>
      <c r="W342" s="731">
        <f t="shared" si="181"/>
        <v>0</v>
      </c>
      <c r="X342" s="947"/>
      <c r="Y342" s="616"/>
      <c r="Z342" s="602">
        <f t="shared" si="184"/>
        <v>0</v>
      </c>
      <c r="AA342" s="835"/>
      <c r="AB342" s="602">
        <f t="shared" si="185"/>
        <v>0</v>
      </c>
      <c r="AC342" s="940"/>
      <c r="AD342" s="956"/>
      <c r="AE342" s="956"/>
      <c r="AF342" s="598">
        <v>9</v>
      </c>
      <c r="AG342" s="596"/>
      <c r="AH342" s="728">
        <f>6+3</f>
        <v>9</v>
      </c>
      <c r="AI342" s="728"/>
      <c r="AJ342" s="729">
        <f t="shared" si="177"/>
        <v>9</v>
      </c>
      <c r="AK342" s="946"/>
      <c r="AL342" s="616">
        <f>90+45</f>
        <v>135</v>
      </c>
      <c r="AM342" s="602">
        <f t="shared" ref="AM342:AM406" si="189">AL342/15</f>
        <v>9</v>
      </c>
      <c r="AN342" s="835"/>
      <c r="AO342" s="835">
        <f t="shared" si="175"/>
        <v>0</v>
      </c>
      <c r="AP342" s="940"/>
      <c r="AQ342" s="722">
        <v>0</v>
      </c>
      <c r="AR342" s="728"/>
      <c r="AS342" s="728"/>
      <c r="AT342" s="729">
        <f t="shared" si="167"/>
        <v>0</v>
      </c>
      <c r="AU342" s="946"/>
      <c r="AV342" s="616"/>
      <c r="AW342" s="602">
        <f t="shared" si="186"/>
        <v>0</v>
      </c>
      <c r="AX342" s="940"/>
      <c r="AY342" s="602">
        <f t="shared" si="187"/>
        <v>0</v>
      </c>
      <c r="AZ342" s="940"/>
      <c r="BA342" s="962"/>
      <c r="BB342" s="962"/>
      <c r="BC342" s="611"/>
      <c r="BD342" s="712">
        <v>13</v>
      </c>
      <c r="BE342" s="596">
        <v>6</v>
      </c>
      <c r="BF342" s="596">
        <f t="shared" si="162"/>
        <v>7</v>
      </c>
      <c r="BG342" s="728">
        <f>3+3+7</f>
        <v>13</v>
      </c>
      <c r="BH342" s="728"/>
      <c r="BI342" s="729">
        <f t="shared" si="182"/>
        <v>13</v>
      </c>
      <c r="BJ342" s="729"/>
      <c r="BK342" s="616">
        <f>150+150+350</f>
        <v>650</v>
      </c>
      <c r="BL342" s="603">
        <f t="shared" ref="BL342:BL406" si="190">BK342/50</f>
        <v>13</v>
      </c>
      <c r="BM342" s="964"/>
      <c r="BN342" s="602">
        <f t="shared" si="176"/>
        <v>0</v>
      </c>
      <c r="BO342" s="940"/>
      <c r="BP342" s="593">
        <f t="shared" si="178"/>
        <v>0</v>
      </c>
      <c r="BS342" s="741">
        <v>0</v>
      </c>
      <c r="BT342" s="741">
        <v>0</v>
      </c>
      <c r="BU342" s="741">
        <f t="shared" si="169"/>
        <v>0</v>
      </c>
      <c r="BV342" s="741">
        <v>0</v>
      </c>
      <c r="BW342" s="741"/>
      <c r="BX342" s="741">
        <v>0</v>
      </c>
      <c r="BY342" s="741">
        <v>0</v>
      </c>
      <c r="BZ342" s="741">
        <f t="shared" si="183"/>
        <v>0</v>
      </c>
      <c r="CA342" s="741">
        <v>0</v>
      </c>
      <c r="CB342" s="741"/>
      <c r="CC342" s="741">
        <f t="shared" si="170"/>
        <v>0</v>
      </c>
      <c r="CD342" s="751"/>
      <c r="CE342" s="748">
        <f>3+3</f>
        <v>6</v>
      </c>
      <c r="CF342" s="748"/>
      <c r="CG342" s="748">
        <f t="shared" si="171"/>
        <v>6</v>
      </c>
      <c r="CH342" s="759">
        <v>6</v>
      </c>
      <c r="CI342" s="742"/>
      <c r="CJ342" s="591">
        <f t="shared" si="179"/>
        <v>0</v>
      </c>
    </row>
    <row r="343" spans="1:88" ht="21.6" customHeight="1" x14ac:dyDescent="0.25">
      <c r="A343" s="596"/>
      <c r="B343" s="596"/>
      <c r="C343" s="597"/>
      <c r="D343" s="143"/>
      <c r="E343" s="598">
        <v>0</v>
      </c>
      <c r="F343" s="596">
        <v>0</v>
      </c>
      <c r="G343" s="598"/>
      <c r="H343" s="596"/>
      <c r="I343" s="596">
        <f t="shared" si="188"/>
        <v>0</v>
      </c>
      <c r="J343" s="728"/>
      <c r="K343" s="728"/>
      <c r="L343" s="731">
        <f t="shared" si="180"/>
        <v>0</v>
      </c>
      <c r="M343" s="947"/>
      <c r="N343" s="617"/>
      <c r="O343" s="602">
        <f t="shared" si="173"/>
        <v>0</v>
      </c>
      <c r="P343" s="940"/>
      <c r="Q343" s="600">
        <f t="shared" si="174"/>
        <v>0</v>
      </c>
      <c r="R343" s="940"/>
      <c r="S343" s="596">
        <v>0</v>
      </c>
      <c r="T343" s="724"/>
      <c r="U343" s="728"/>
      <c r="V343" s="728"/>
      <c r="W343" s="731">
        <f t="shared" si="181"/>
        <v>0</v>
      </c>
      <c r="X343" s="947"/>
      <c r="Y343" s="616"/>
      <c r="Z343" s="602">
        <f t="shared" si="184"/>
        <v>0</v>
      </c>
      <c r="AA343" s="835"/>
      <c r="AB343" s="602">
        <f t="shared" si="185"/>
        <v>0</v>
      </c>
      <c r="AC343" s="940"/>
      <c r="AD343" s="956"/>
      <c r="AE343" s="956"/>
      <c r="AF343" s="598"/>
      <c r="AG343" s="596"/>
      <c r="AH343" s="728"/>
      <c r="AI343" s="728"/>
      <c r="AJ343" s="729">
        <f t="shared" si="177"/>
        <v>0</v>
      </c>
      <c r="AK343" s="946"/>
      <c r="AL343" s="616"/>
      <c r="AM343" s="602">
        <f t="shared" si="189"/>
        <v>0</v>
      </c>
      <c r="AN343" s="835"/>
      <c r="AO343" s="835">
        <f t="shared" si="175"/>
        <v>0</v>
      </c>
      <c r="AP343" s="940"/>
      <c r="AQ343" s="722">
        <v>0</v>
      </c>
      <c r="AR343" s="728"/>
      <c r="AS343" s="728"/>
      <c r="AT343" s="729">
        <f t="shared" si="167"/>
        <v>0</v>
      </c>
      <c r="AU343" s="946"/>
      <c r="AV343" s="616"/>
      <c r="AW343" s="602">
        <f t="shared" si="186"/>
        <v>0</v>
      </c>
      <c r="AX343" s="940"/>
      <c r="AY343" s="602">
        <f t="shared" si="187"/>
        <v>0</v>
      </c>
      <c r="AZ343" s="940"/>
      <c r="BA343" s="962"/>
      <c r="BB343" s="962"/>
      <c r="BC343" s="611"/>
      <c r="BD343" s="712"/>
      <c r="BE343" s="596"/>
      <c r="BF343" s="596">
        <f t="shared" ref="BF343:BF405" si="191">BD343-BE343</f>
        <v>0</v>
      </c>
      <c r="BG343" s="728"/>
      <c r="BH343" s="728"/>
      <c r="BI343" s="729">
        <f t="shared" si="182"/>
        <v>0</v>
      </c>
      <c r="BJ343" s="729"/>
      <c r="BK343" s="616"/>
      <c r="BL343" s="603">
        <f t="shared" si="190"/>
        <v>0</v>
      </c>
      <c r="BM343" s="964"/>
      <c r="BN343" s="602">
        <f t="shared" si="176"/>
        <v>0</v>
      </c>
      <c r="BO343" s="940"/>
      <c r="BP343" s="593">
        <f t="shared" si="178"/>
        <v>0</v>
      </c>
      <c r="BS343" s="741">
        <v>0</v>
      </c>
      <c r="BT343" s="741">
        <v>0</v>
      </c>
      <c r="BU343" s="741">
        <f t="shared" si="169"/>
        <v>0</v>
      </c>
      <c r="BV343" s="741">
        <v>0</v>
      </c>
      <c r="BW343" s="741"/>
      <c r="BX343" s="741">
        <v>0</v>
      </c>
      <c r="BY343" s="741">
        <v>0</v>
      </c>
      <c r="BZ343" s="741">
        <f t="shared" si="183"/>
        <v>0</v>
      </c>
      <c r="CA343" s="741">
        <v>0</v>
      </c>
      <c r="CB343" s="741"/>
      <c r="CC343" s="741">
        <f t="shared" si="170"/>
        <v>0</v>
      </c>
      <c r="CD343" s="751"/>
      <c r="CE343" s="748"/>
      <c r="CF343" s="748"/>
      <c r="CG343" s="748">
        <f t="shared" si="171"/>
        <v>0</v>
      </c>
      <c r="CH343" s="759"/>
      <c r="CI343" s="742"/>
      <c r="CJ343" s="591">
        <f t="shared" si="179"/>
        <v>0</v>
      </c>
    </row>
    <row r="344" spans="1:88" s="594" customFormat="1" ht="27" customHeight="1" x14ac:dyDescent="0.25">
      <c r="A344" s="612"/>
      <c r="B344" s="612" t="s">
        <v>196</v>
      </c>
      <c r="C344" s="613" t="s">
        <v>296</v>
      </c>
      <c r="D344" s="134" t="s">
        <v>431</v>
      </c>
      <c r="E344" s="614">
        <v>2.3333333333333335</v>
      </c>
      <c r="F344" s="612">
        <v>48.999999999999993</v>
      </c>
      <c r="G344" s="614">
        <v>2.3333333333333335</v>
      </c>
      <c r="H344" s="612">
        <v>48.999999999999993</v>
      </c>
      <c r="I344" s="612">
        <f t="shared" si="188"/>
        <v>0</v>
      </c>
      <c r="J344" s="728">
        <f>2</f>
        <v>2</v>
      </c>
      <c r="K344" s="728">
        <f>0</f>
        <v>0</v>
      </c>
      <c r="L344" s="731">
        <f t="shared" si="180"/>
        <v>2</v>
      </c>
      <c r="M344" s="947">
        <f>SUM(L344:L360)</f>
        <v>105</v>
      </c>
      <c r="N344" s="617">
        <v>35</v>
      </c>
      <c r="O344" s="602">
        <f t="shared" si="173"/>
        <v>2.3333333333333335</v>
      </c>
      <c r="P344" s="940">
        <f>SUM(O344:O360)</f>
        <v>48.999999999999993</v>
      </c>
      <c r="Q344" s="600">
        <f t="shared" si="174"/>
        <v>0</v>
      </c>
      <c r="R344" s="940">
        <f>SUM(Q344:Q360)</f>
        <v>0</v>
      </c>
      <c r="S344" s="596">
        <v>0</v>
      </c>
      <c r="T344" s="724">
        <f>SUM(S344:S360)</f>
        <v>4</v>
      </c>
      <c r="U344" s="728"/>
      <c r="V344" s="728"/>
      <c r="W344" s="731">
        <f t="shared" si="181"/>
        <v>0</v>
      </c>
      <c r="X344" s="947">
        <f>SUM(W344:W360)</f>
        <v>10</v>
      </c>
      <c r="Y344" s="616"/>
      <c r="Z344" s="602">
        <f t="shared" si="184"/>
        <v>0</v>
      </c>
      <c r="AA344" s="835">
        <f>SUM(Z344:Z360)</f>
        <v>4</v>
      </c>
      <c r="AB344" s="602">
        <f t="shared" si="185"/>
        <v>0</v>
      </c>
      <c r="AC344" s="940">
        <f>SUM(AB344:AB360)</f>
        <v>-2.2204460492503131E-16</v>
      </c>
      <c r="AD344" s="955">
        <f>M344+X344</f>
        <v>115</v>
      </c>
      <c r="AE344" s="955">
        <f>R344+AC344</f>
        <v>-2.2204460492503131E-16</v>
      </c>
      <c r="AF344" s="614">
        <v>4.666666666666667</v>
      </c>
      <c r="AG344" s="612">
        <v>50</v>
      </c>
      <c r="AH344" s="728">
        <f>4+3</f>
        <v>7</v>
      </c>
      <c r="AI344" s="728">
        <v>2</v>
      </c>
      <c r="AJ344" s="729">
        <f t="shared" si="177"/>
        <v>9</v>
      </c>
      <c r="AK344" s="946">
        <f>SUM(AJ344:AJ360)</f>
        <v>74</v>
      </c>
      <c r="AL344" s="616">
        <f>55+15</f>
        <v>70</v>
      </c>
      <c r="AM344" s="602">
        <f t="shared" si="189"/>
        <v>4.666666666666667</v>
      </c>
      <c r="AN344" s="835">
        <f>SUM(AM344:AM360)</f>
        <v>50</v>
      </c>
      <c r="AO344" s="835">
        <f t="shared" si="175"/>
        <v>0</v>
      </c>
      <c r="AP344" s="940">
        <f>SUM(AO344:AO360)</f>
        <v>0</v>
      </c>
      <c r="AQ344" s="722">
        <v>0</v>
      </c>
      <c r="AR344" s="728"/>
      <c r="AS344" s="728"/>
      <c r="AT344" s="729">
        <f t="shared" si="167"/>
        <v>0</v>
      </c>
      <c r="AU344" s="946">
        <f>SUM(AT344:AT360)</f>
        <v>0</v>
      </c>
      <c r="AV344" s="616"/>
      <c r="AW344" s="602">
        <f t="shared" si="186"/>
        <v>0</v>
      </c>
      <c r="AX344" s="940">
        <f>SUM(AW344:AW360)</f>
        <v>0</v>
      </c>
      <c r="AY344" s="602">
        <f t="shared" si="187"/>
        <v>0</v>
      </c>
      <c r="AZ344" s="940">
        <f>SUM(AY344:AY360)</f>
        <v>0</v>
      </c>
      <c r="BA344" s="961">
        <f>AK344+AU344</f>
        <v>74</v>
      </c>
      <c r="BB344" s="961">
        <f>AP344+AZ344</f>
        <v>0</v>
      </c>
      <c r="BC344" s="614">
        <f>SUM(BD344:BD360)</f>
        <v>100</v>
      </c>
      <c r="BD344" s="716">
        <v>7</v>
      </c>
      <c r="BE344" s="612">
        <v>3</v>
      </c>
      <c r="BF344" s="596">
        <f t="shared" si="191"/>
        <v>4</v>
      </c>
      <c r="BG344" s="728">
        <v>4</v>
      </c>
      <c r="BH344" s="728">
        <v>2</v>
      </c>
      <c r="BI344" s="729">
        <f t="shared" si="182"/>
        <v>6</v>
      </c>
      <c r="BJ344" s="729">
        <f>SUM(BI344:BI360)</f>
        <v>181</v>
      </c>
      <c r="BK344" s="616">
        <v>350</v>
      </c>
      <c r="BL344" s="603">
        <f t="shared" si="190"/>
        <v>7</v>
      </c>
      <c r="BM344" s="964">
        <f>SUM(BL344:BL360)</f>
        <v>100</v>
      </c>
      <c r="BN344" s="602">
        <f t="shared" si="176"/>
        <v>0</v>
      </c>
      <c r="BO344" s="940">
        <f>SUM(BN344:BN360)</f>
        <v>0</v>
      </c>
      <c r="BP344" s="593">
        <f t="shared" si="178"/>
        <v>-2.2204460492503131E-16</v>
      </c>
      <c r="BS344" s="745">
        <v>0</v>
      </c>
      <c r="BT344" s="745">
        <v>0</v>
      </c>
      <c r="BU344" s="741">
        <f t="shared" si="169"/>
        <v>0</v>
      </c>
      <c r="BV344" s="745">
        <v>0</v>
      </c>
      <c r="BW344" s="745">
        <f>SUM(BV344:BV360)</f>
        <v>0</v>
      </c>
      <c r="BX344" s="745">
        <v>7</v>
      </c>
      <c r="BY344" s="745">
        <v>2</v>
      </c>
      <c r="BZ344" s="741">
        <f t="shared" si="183"/>
        <v>9</v>
      </c>
      <c r="CA344" s="745">
        <v>4.666666666666667</v>
      </c>
      <c r="CB344" s="745">
        <f>SUM(CA344:CA360)</f>
        <v>50</v>
      </c>
      <c r="CC344" s="741">
        <f t="shared" si="170"/>
        <v>4.666666666666667</v>
      </c>
      <c r="CD344" s="756">
        <f>SUM(CC344:CC360)</f>
        <v>50</v>
      </c>
      <c r="CE344" s="748">
        <v>4</v>
      </c>
      <c r="CF344" s="748">
        <v>2</v>
      </c>
      <c r="CG344" s="748">
        <f t="shared" si="171"/>
        <v>6</v>
      </c>
      <c r="CH344" s="766">
        <v>7</v>
      </c>
      <c r="CI344" s="745">
        <f>SUM(CH344:CH360)</f>
        <v>97</v>
      </c>
      <c r="CJ344" s="594">
        <f t="shared" si="179"/>
        <v>0</v>
      </c>
    </row>
    <row r="345" spans="1:88" ht="21.6" customHeight="1" x14ac:dyDescent="0.25">
      <c r="A345" s="596" t="s">
        <v>130</v>
      </c>
      <c r="B345" s="596" t="s">
        <v>196</v>
      </c>
      <c r="C345" s="597" t="s">
        <v>197</v>
      </c>
      <c r="D345" s="153"/>
      <c r="E345" s="598">
        <v>0</v>
      </c>
      <c r="F345" s="596">
        <v>0</v>
      </c>
      <c r="G345" s="598">
        <v>0</v>
      </c>
      <c r="H345" s="596"/>
      <c r="I345" s="596">
        <f t="shared" si="188"/>
        <v>0</v>
      </c>
      <c r="J345" s="728"/>
      <c r="K345" s="728"/>
      <c r="L345" s="731">
        <f t="shared" si="180"/>
        <v>0</v>
      </c>
      <c r="M345" s="947"/>
      <c r="N345" s="617"/>
      <c r="O345" s="602">
        <f t="shared" si="173"/>
        <v>0</v>
      </c>
      <c r="P345" s="940"/>
      <c r="Q345" s="600">
        <f t="shared" si="174"/>
        <v>0</v>
      </c>
      <c r="R345" s="940"/>
      <c r="S345" s="596">
        <v>0</v>
      </c>
      <c r="T345" s="724"/>
      <c r="U345" s="728"/>
      <c r="V345" s="728"/>
      <c r="W345" s="731">
        <f t="shared" si="181"/>
        <v>0</v>
      </c>
      <c r="X345" s="947"/>
      <c r="Y345" s="616"/>
      <c r="Z345" s="602">
        <f t="shared" si="184"/>
        <v>0</v>
      </c>
      <c r="AA345" s="835"/>
      <c r="AB345" s="602">
        <f t="shared" si="185"/>
        <v>0</v>
      </c>
      <c r="AC345" s="940"/>
      <c r="AD345" s="956"/>
      <c r="AE345" s="956"/>
      <c r="AF345" s="598">
        <v>0</v>
      </c>
      <c r="AG345" s="596"/>
      <c r="AH345" s="728"/>
      <c r="AI345" s="728"/>
      <c r="AJ345" s="729">
        <f t="shared" si="177"/>
        <v>0</v>
      </c>
      <c r="AK345" s="946"/>
      <c r="AL345" s="616"/>
      <c r="AM345" s="602">
        <f t="shared" si="189"/>
        <v>0</v>
      </c>
      <c r="AN345" s="835"/>
      <c r="AO345" s="835">
        <f t="shared" si="175"/>
        <v>0</v>
      </c>
      <c r="AP345" s="940"/>
      <c r="AQ345" s="722">
        <v>0</v>
      </c>
      <c r="AR345" s="728"/>
      <c r="AS345" s="728"/>
      <c r="AT345" s="729">
        <f t="shared" si="167"/>
        <v>0</v>
      </c>
      <c r="AU345" s="946"/>
      <c r="AV345" s="616"/>
      <c r="AW345" s="602">
        <f t="shared" si="186"/>
        <v>0</v>
      </c>
      <c r="AX345" s="940"/>
      <c r="AY345" s="602">
        <f t="shared" si="187"/>
        <v>0</v>
      </c>
      <c r="AZ345" s="940"/>
      <c r="BA345" s="962"/>
      <c r="BB345" s="962"/>
      <c r="BC345" s="611"/>
      <c r="BD345" s="712">
        <v>0</v>
      </c>
      <c r="BE345" s="596">
        <v>0</v>
      </c>
      <c r="BF345" s="596">
        <f t="shared" si="191"/>
        <v>0</v>
      </c>
      <c r="BG345" s="728"/>
      <c r="BH345" s="728"/>
      <c r="BI345" s="729">
        <f t="shared" si="182"/>
        <v>0</v>
      </c>
      <c r="BJ345" s="729"/>
      <c r="BK345" s="616"/>
      <c r="BL345" s="603">
        <f t="shared" si="190"/>
        <v>0</v>
      </c>
      <c r="BM345" s="964"/>
      <c r="BN345" s="602">
        <f t="shared" si="176"/>
        <v>0</v>
      </c>
      <c r="BO345" s="940"/>
      <c r="BP345" s="593">
        <f t="shared" si="178"/>
        <v>0</v>
      </c>
      <c r="BS345" s="741">
        <v>0</v>
      </c>
      <c r="BT345" s="741">
        <v>0</v>
      </c>
      <c r="BU345" s="741">
        <f t="shared" si="169"/>
        <v>0</v>
      </c>
      <c r="BV345" s="741">
        <v>0</v>
      </c>
      <c r="BW345" s="741"/>
      <c r="BX345" s="741">
        <v>0</v>
      </c>
      <c r="BY345" s="741">
        <v>0</v>
      </c>
      <c r="BZ345" s="741">
        <f t="shared" si="183"/>
        <v>0</v>
      </c>
      <c r="CA345" s="741">
        <v>0</v>
      </c>
      <c r="CB345" s="741"/>
      <c r="CC345" s="741">
        <f t="shared" si="170"/>
        <v>0</v>
      </c>
      <c r="CD345" s="751"/>
      <c r="CE345" s="748"/>
      <c r="CF345" s="748"/>
      <c r="CG345" s="748">
        <f t="shared" si="171"/>
        <v>0</v>
      </c>
      <c r="CH345" s="759"/>
      <c r="CI345" s="742"/>
      <c r="CJ345" s="591">
        <f t="shared" si="179"/>
        <v>0</v>
      </c>
    </row>
    <row r="346" spans="1:88" ht="21.6" customHeight="1" x14ac:dyDescent="0.25">
      <c r="A346" s="596" t="s">
        <v>130</v>
      </c>
      <c r="B346" s="596" t="s">
        <v>196</v>
      </c>
      <c r="C346" s="597" t="s">
        <v>198</v>
      </c>
      <c r="D346" s="153" t="s">
        <v>431</v>
      </c>
      <c r="E346" s="598">
        <v>0</v>
      </c>
      <c r="F346" s="596">
        <v>0</v>
      </c>
      <c r="G346" s="598">
        <v>0</v>
      </c>
      <c r="H346" s="596"/>
      <c r="I346" s="596">
        <f t="shared" si="188"/>
        <v>0</v>
      </c>
      <c r="J346" s="728"/>
      <c r="K346" s="728"/>
      <c r="L346" s="731">
        <f t="shared" si="180"/>
        <v>0</v>
      </c>
      <c r="M346" s="947"/>
      <c r="N346" s="617"/>
      <c r="O346" s="602">
        <f t="shared" si="173"/>
        <v>0</v>
      </c>
      <c r="P346" s="940"/>
      <c r="Q346" s="600">
        <f t="shared" ref="Q346:Q370" si="192">E346-O346</f>
        <v>0</v>
      </c>
      <c r="R346" s="940"/>
      <c r="S346" s="596">
        <v>2.33</v>
      </c>
      <c r="T346" s="724"/>
      <c r="U346" s="728">
        <v>6</v>
      </c>
      <c r="V346" s="728">
        <v>1</v>
      </c>
      <c r="W346" s="731">
        <f t="shared" si="181"/>
        <v>7</v>
      </c>
      <c r="X346" s="947"/>
      <c r="Y346" s="616">
        <v>35</v>
      </c>
      <c r="Z346" s="602">
        <f t="shared" si="184"/>
        <v>2.3333333333333335</v>
      </c>
      <c r="AA346" s="835"/>
      <c r="AB346" s="602">
        <f t="shared" si="185"/>
        <v>-3.3333333333334103E-3</v>
      </c>
      <c r="AC346" s="940"/>
      <c r="AD346" s="956"/>
      <c r="AE346" s="956"/>
      <c r="AF346" s="598">
        <v>0</v>
      </c>
      <c r="AG346" s="596"/>
      <c r="AH346" s="728"/>
      <c r="AI346" s="728"/>
      <c r="AJ346" s="729">
        <f t="shared" si="177"/>
        <v>0</v>
      </c>
      <c r="AK346" s="946"/>
      <c r="AL346" s="616"/>
      <c r="AM346" s="602">
        <f t="shared" si="189"/>
        <v>0</v>
      </c>
      <c r="AN346" s="835"/>
      <c r="AO346" s="835">
        <f t="shared" ref="AO346:AO370" si="193">AF346-AM346</f>
        <v>0</v>
      </c>
      <c r="AP346" s="940"/>
      <c r="AQ346" s="722">
        <v>0</v>
      </c>
      <c r="AR346" s="728"/>
      <c r="AS346" s="728"/>
      <c r="AT346" s="729">
        <f t="shared" si="167"/>
        <v>0</v>
      </c>
      <c r="AU346" s="946"/>
      <c r="AV346" s="616"/>
      <c r="AW346" s="602">
        <f t="shared" si="186"/>
        <v>0</v>
      </c>
      <c r="AX346" s="940"/>
      <c r="AY346" s="602">
        <f t="shared" si="187"/>
        <v>0</v>
      </c>
      <c r="AZ346" s="940"/>
      <c r="BA346" s="962"/>
      <c r="BB346" s="962"/>
      <c r="BC346" s="611"/>
      <c r="BD346" s="712">
        <v>0</v>
      </c>
      <c r="BE346" s="596">
        <v>0</v>
      </c>
      <c r="BF346" s="596">
        <f t="shared" si="191"/>
        <v>0</v>
      </c>
      <c r="BG346" s="728"/>
      <c r="BH346" s="728"/>
      <c r="BI346" s="729">
        <f t="shared" si="182"/>
        <v>0</v>
      </c>
      <c r="BJ346" s="729"/>
      <c r="BK346" s="616"/>
      <c r="BL346" s="603">
        <f t="shared" si="190"/>
        <v>0</v>
      </c>
      <c r="BM346" s="964"/>
      <c r="BN346" s="602">
        <f t="shared" ref="BN346:BN370" si="194">BD346-BL346</f>
        <v>0</v>
      </c>
      <c r="BO346" s="940"/>
      <c r="BP346" s="593">
        <f t="shared" si="178"/>
        <v>0</v>
      </c>
      <c r="BS346" s="741">
        <v>0</v>
      </c>
      <c r="BT346" s="741">
        <v>0</v>
      </c>
      <c r="BU346" s="741">
        <f t="shared" si="169"/>
        <v>0</v>
      </c>
      <c r="BV346" s="741">
        <v>0</v>
      </c>
      <c r="BW346" s="741"/>
      <c r="BX346" s="741">
        <v>0</v>
      </c>
      <c r="BY346" s="741">
        <v>0</v>
      </c>
      <c r="BZ346" s="741">
        <f t="shared" si="183"/>
        <v>0</v>
      </c>
      <c r="CA346" s="741">
        <v>0</v>
      </c>
      <c r="CB346" s="741"/>
      <c r="CC346" s="741">
        <f t="shared" si="170"/>
        <v>0</v>
      </c>
      <c r="CD346" s="751"/>
      <c r="CE346" s="748"/>
      <c r="CF346" s="748"/>
      <c r="CG346" s="748">
        <f t="shared" si="171"/>
        <v>0</v>
      </c>
      <c r="CH346" s="759"/>
      <c r="CI346" s="742"/>
      <c r="CJ346" s="591">
        <f t="shared" si="179"/>
        <v>-3.3333333333334103E-3</v>
      </c>
    </row>
    <row r="347" spans="1:88" ht="21.6" customHeight="1" x14ac:dyDescent="0.25">
      <c r="A347" s="596" t="s">
        <v>130</v>
      </c>
      <c r="B347" s="596" t="s">
        <v>196</v>
      </c>
      <c r="C347" s="597" t="s">
        <v>199</v>
      </c>
      <c r="D347" s="134" t="s">
        <v>431</v>
      </c>
      <c r="E347" s="598">
        <v>6.333333333333333</v>
      </c>
      <c r="F347" s="596">
        <v>0</v>
      </c>
      <c r="G347" s="598">
        <v>6.333333333333333</v>
      </c>
      <c r="H347" s="596"/>
      <c r="I347" s="596">
        <f t="shared" si="188"/>
        <v>0</v>
      </c>
      <c r="J347" s="728">
        <f>10</f>
        <v>10</v>
      </c>
      <c r="K347" s="728">
        <f>4</f>
        <v>4</v>
      </c>
      <c r="L347" s="731">
        <f t="shared" si="180"/>
        <v>14</v>
      </c>
      <c r="M347" s="947"/>
      <c r="N347" s="617">
        <v>95</v>
      </c>
      <c r="O347" s="602">
        <f t="shared" si="173"/>
        <v>6.333333333333333</v>
      </c>
      <c r="P347" s="940"/>
      <c r="Q347" s="600">
        <f t="shared" si="192"/>
        <v>0</v>
      </c>
      <c r="R347" s="940"/>
      <c r="S347" s="596">
        <v>0</v>
      </c>
      <c r="T347" s="724"/>
      <c r="U347" s="728"/>
      <c r="V347" s="728"/>
      <c r="W347" s="731">
        <f t="shared" si="181"/>
        <v>0</v>
      </c>
      <c r="X347" s="947"/>
      <c r="Y347" s="616"/>
      <c r="Z347" s="602">
        <f t="shared" si="184"/>
        <v>0</v>
      </c>
      <c r="AA347" s="835"/>
      <c r="AB347" s="602">
        <f t="shared" si="185"/>
        <v>0</v>
      </c>
      <c r="AC347" s="940"/>
      <c r="AD347" s="956"/>
      <c r="AE347" s="956"/>
      <c r="AF347" s="598">
        <v>3.6666666666666665</v>
      </c>
      <c r="AG347" s="596"/>
      <c r="AH347" s="728">
        <v>8</v>
      </c>
      <c r="AI347" s="728"/>
      <c r="AJ347" s="729">
        <f t="shared" si="177"/>
        <v>8</v>
      </c>
      <c r="AK347" s="946"/>
      <c r="AL347" s="616">
        <v>55</v>
      </c>
      <c r="AM347" s="602">
        <f t="shared" si="189"/>
        <v>3.6666666666666665</v>
      </c>
      <c r="AN347" s="835"/>
      <c r="AO347" s="835">
        <f t="shared" si="193"/>
        <v>0</v>
      </c>
      <c r="AP347" s="940"/>
      <c r="AQ347" s="722">
        <v>0</v>
      </c>
      <c r="AR347" s="728"/>
      <c r="AS347" s="728"/>
      <c r="AT347" s="729">
        <f t="shared" si="167"/>
        <v>0</v>
      </c>
      <c r="AU347" s="946"/>
      <c r="AV347" s="616"/>
      <c r="AW347" s="602">
        <f t="shared" si="186"/>
        <v>0</v>
      </c>
      <c r="AX347" s="940"/>
      <c r="AY347" s="602">
        <f t="shared" si="187"/>
        <v>0</v>
      </c>
      <c r="AZ347" s="940"/>
      <c r="BA347" s="962"/>
      <c r="BB347" s="962"/>
      <c r="BC347" s="611"/>
      <c r="BD347" s="712">
        <v>10</v>
      </c>
      <c r="BE347" s="596">
        <v>10</v>
      </c>
      <c r="BF347" s="596">
        <f t="shared" si="191"/>
        <v>0</v>
      </c>
      <c r="BG347" s="728">
        <v>18</v>
      </c>
      <c r="BH347" s="728">
        <v>5</v>
      </c>
      <c r="BI347" s="729">
        <f t="shared" si="182"/>
        <v>23</v>
      </c>
      <c r="BJ347" s="729"/>
      <c r="BK347" s="616">
        <v>500</v>
      </c>
      <c r="BL347" s="603">
        <f t="shared" si="190"/>
        <v>10</v>
      </c>
      <c r="BM347" s="964"/>
      <c r="BN347" s="602">
        <f t="shared" si="194"/>
        <v>0</v>
      </c>
      <c r="BO347" s="940"/>
      <c r="BP347" s="593">
        <f t="shared" si="178"/>
        <v>0</v>
      </c>
      <c r="BS347" s="741">
        <v>0</v>
      </c>
      <c r="BT347" s="741">
        <v>0</v>
      </c>
      <c r="BU347" s="741">
        <f t="shared" si="169"/>
        <v>0</v>
      </c>
      <c r="BV347" s="741">
        <v>0</v>
      </c>
      <c r="BW347" s="741"/>
      <c r="BX347" s="741">
        <v>8</v>
      </c>
      <c r="BY347" s="741">
        <v>0</v>
      </c>
      <c r="BZ347" s="741">
        <f t="shared" si="183"/>
        <v>8</v>
      </c>
      <c r="CA347" s="741">
        <v>3.6666666666666665</v>
      </c>
      <c r="CB347" s="741"/>
      <c r="CC347" s="741">
        <f t="shared" si="170"/>
        <v>3.6666666666666665</v>
      </c>
      <c r="CD347" s="751"/>
      <c r="CE347" s="748">
        <v>18</v>
      </c>
      <c r="CF347" s="748">
        <v>5</v>
      </c>
      <c r="CG347" s="748">
        <f t="shared" si="171"/>
        <v>23</v>
      </c>
      <c r="CH347" s="759">
        <v>10</v>
      </c>
      <c r="CI347" s="742"/>
      <c r="CJ347" s="591">
        <f t="shared" si="179"/>
        <v>0</v>
      </c>
    </row>
    <row r="348" spans="1:88" ht="21.6" customHeight="1" x14ac:dyDescent="0.25">
      <c r="A348" s="596" t="s">
        <v>130</v>
      </c>
      <c r="B348" s="596" t="s">
        <v>196</v>
      </c>
      <c r="C348" s="597" t="s">
        <v>200</v>
      </c>
      <c r="D348" s="134" t="s">
        <v>431</v>
      </c>
      <c r="E348" s="598">
        <v>1</v>
      </c>
      <c r="F348" s="596">
        <v>0</v>
      </c>
      <c r="G348" s="598">
        <v>1</v>
      </c>
      <c r="H348" s="596"/>
      <c r="I348" s="596">
        <f t="shared" si="188"/>
        <v>0</v>
      </c>
      <c r="J348" s="728">
        <f>0</f>
        <v>0</v>
      </c>
      <c r="K348" s="728">
        <f>3</f>
        <v>3</v>
      </c>
      <c r="L348" s="731">
        <f t="shared" si="180"/>
        <v>3</v>
      </c>
      <c r="M348" s="947"/>
      <c r="N348" s="617">
        <v>15</v>
      </c>
      <c r="O348" s="602">
        <f t="shared" si="173"/>
        <v>1</v>
      </c>
      <c r="P348" s="940"/>
      <c r="Q348" s="600">
        <f t="shared" si="192"/>
        <v>0</v>
      </c>
      <c r="R348" s="940"/>
      <c r="S348" s="596">
        <v>0</v>
      </c>
      <c r="T348" s="724"/>
      <c r="U348" s="728"/>
      <c r="V348" s="728"/>
      <c r="W348" s="731">
        <f t="shared" si="181"/>
        <v>0</v>
      </c>
      <c r="X348" s="947"/>
      <c r="Y348" s="616"/>
      <c r="Z348" s="602">
        <f t="shared" si="184"/>
        <v>0</v>
      </c>
      <c r="AA348" s="835"/>
      <c r="AB348" s="602">
        <f t="shared" si="185"/>
        <v>0</v>
      </c>
      <c r="AC348" s="940"/>
      <c r="AD348" s="956"/>
      <c r="AE348" s="956"/>
      <c r="AF348" s="598">
        <v>0</v>
      </c>
      <c r="AG348" s="596"/>
      <c r="AH348" s="728"/>
      <c r="AI348" s="728"/>
      <c r="AJ348" s="729">
        <f t="shared" si="177"/>
        <v>0</v>
      </c>
      <c r="AK348" s="946"/>
      <c r="AL348" s="616"/>
      <c r="AM348" s="602">
        <f t="shared" si="189"/>
        <v>0</v>
      </c>
      <c r="AN348" s="835"/>
      <c r="AO348" s="835">
        <f t="shared" si="193"/>
        <v>0</v>
      </c>
      <c r="AP348" s="940"/>
      <c r="AQ348" s="722">
        <v>0</v>
      </c>
      <c r="AR348" s="728"/>
      <c r="AS348" s="728"/>
      <c r="AT348" s="729">
        <f t="shared" si="167"/>
        <v>0</v>
      </c>
      <c r="AU348" s="946"/>
      <c r="AV348" s="616"/>
      <c r="AW348" s="602">
        <f t="shared" si="186"/>
        <v>0</v>
      </c>
      <c r="AX348" s="940"/>
      <c r="AY348" s="602">
        <f t="shared" si="187"/>
        <v>0</v>
      </c>
      <c r="AZ348" s="940"/>
      <c r="BA348" s="962"/>
      <c r="BB348" s="962"/>
      <c r="BC348" s="611"/>
      <c r="BD348" s="712">
        <v>1</v>
      </c>
      <c r="BE348" s="596">
        <v>1</v>
      </c>
      <c r="BF348" s="596">
        <f t="shared" si="191"/>
        <v>0</v>
      </c>
      <c r="BG348" s="728"/>
      <c r="BH348" s="728">
        <v>3</v>
      </c>
      <c r="BI348" s="729">
        <f t="shared" si="182"/>
        <v>3</v>
      </c>
      <c r="BJ348" s="729"/>
      <c r="BK348" s="616">
        <v>50</v>
      </c>
      <c r="BL348" s="603">
        <f t="shared" si="190"/>
        <v>1</v>
      </c>
      <c r="BM348" s="964"/>
      <c r="BN348" s="602">
        <f t="shared" si="194"/>
        <v>0</v>
      </c>
      <c r="BO348" s="940"/>
      <c r="BP348" s="593">
        <f t="shared" si="178"/>
        <v>0</v>
      </c>
      <c r="BS348" s="741">
        <v>0</v>
      </c>
      <c r="BT348" s="741">
        <v>0</v>
      </c>
      <c r="BU348" s="741">
        <f t="shared" si="169"/>
        <v>0</v>
      </c>
      <c r="BV348" s="741">
        <v>0</v>
      </c>
      <c r="BW348" s="741"/>
      <c r="BX348" s="741">
        <v>0</v>
      </c>
      <c r="BY348" s="741">
        <v>0</v>
      </c>
      <c r="BZ348" s="741">
        <f t="shared" si="183"/>
        <v>0</v>
      </c>
      <c r="CA348" s="741">
        <v>0</v>
      </c>
      <c r="CB348" s="741"/>
      <c r="CC348" s="741">
        <f t="shared" si="170"/>
        <v>0</v>
      </c>
      <c r="CD348" s="751"/>
      <c r="CE348" s="748"/>
      <c r="CF348" s="748">
        <v>3</v>
      </c>
      <c r="CG348" s="748">
        <f t="shared" si="171"/>
        <v>3</v>
      </c>
      <c r="CH348" s="759">
        <v>1</v>
      </c>
      <c r="CI348" s="742"/>
      <c r="CJ348" s="591">
        <f t="shared" si="179"/>
        <v>0</v>
      </c>
    </row>
    <row r="349" spans="1:88" ht="21.6" customHeight="1" x14ac:dyDescent="0.25">
      <c r="A349" s="596" t="s">
        <v>130</v>
      </c>
      <c r="B349" s="596" t="s">
        <v>196</v>
      </c>
      <c r="C349" s="597" t="s">
        <v>201</v>
      </c>
      <c r="D349" s="134"/>
      <c r="E349" s="598">
        <v>0</v>
      </c>
      <c r="F349" s="596">
        <v>0</v>
      </c>
      <c r="G349" s="598">
        <v>0</v>
      </c>
      <c r="H349" s="596"/>
      <c r="I349" s="596">
        <f t="shared" si="188"/>
        <v>0</v>
      </c>
      <c r="J349" s="728"/>
      <c r="K349" s="728"/>
      <c r="L349" s="731">
        <f t="shared" si="180"/>
        <v>0</v>
      </c>
      <c r="M349" s="947"/>
      <c r="N349" s="617"/>
      <c r="O349" s="602">
        <f t="shared" si="173"/>
        <v>0</v>
      </c>
      <c r="P349" s="940"/>
      <c r="Q349" s="600">
        <f t="shared" si="192"/>
        <v>0</v>
      </c>
      <c r="R349" s="940"/>
      <c r="S349" s="596">
        <v>0</v>
      </c>
      <c r="T349" s="724"/>
      <c r="U349" s="728"/>
      <c r="V349" s="728"/>
      <c r="W349" s="731">
        <f t="shared" si="181"/>
        <v>0</v>
      </c>
      <c r="X349" s="947"/>
      <c r="Y349" s="616"/>
      <c r="Z349" s="602">
        <f t="shared" si="184"/>
        <v>0</v>
      </c>
      <c r="AA349" s="835"/>
      <c r="AB349" s="602">
        <f t="shared" si="185"/>
        <v>0</v>
      </c>
      <c r="AC349" s="940"/>
      <c r="AD349" s="956"/>
      <c r="AE349" s="956"/>
      <c r="AF349" s="598">
        <v>0</v>
      </c>
      <c r="AG349" s="596"/>
      <c r="AH349" s="728"/>
      <c r="AI349" s="728"/>
      <c r="AJ349" s="729">
        <f t="shared" si="177"/>
        <v>0</v>
      </c>
      <c r="AK349" s="946"/>
      <c r="AL349" s="616"/>
      <c r="AM349" s="602">
        <f t="shared" si="189"/>
        <v>0</v>
      </c>
      <c r="AN349" s="835"/>
      <c r="AO349" s="835">
        <f t="shared" si="193"/>
        <v>0</v>
      </c>
      <c r="AP349" s="940"/>
      <c r="AQ349" s="722">
        <v>0</v>
      </c>
      <c r="AR349" s="728"/>
      <c r="AS349" s="728"/>
      <c r="AT349" s="729">
        <f t="shared" si="167"/>
        <v>0</v>
      </c>
      <c r="AU349" s="946"/>
      <c r="AV349" s="616"/>
      <c r="AW349" s="602">
        <f t="shared" si="186"/>
        <v>0</v>
      </c>
      <c r="AX349" s="940"/>
      <c r="AY349" s="602">
        <f t="shared" si="187"/>
        <v>0</v>
      </c>
      <c r="AZ349" s="940"/>
      <c r="BA349" s="962"/>
      <c r="BB349" s="962"/>
      <c r="BC349" s="611"/>
      <c r="BD349" s="712">
        <v>0</v>
      </c>
      <c r="BE349" s="596">
        <v>0</v>
      </c>
      <c r="BF349" s="596">
        <f t="shared" si="191"/>
        <v>0</v>
      </c>
      <c r="BG349" s="728"/>
      <c r="BH349" s="728"/>
      <c r="BI349" s="729">
        <f t="shared" si="182"/>
        <v>0</v>
      </c>
      <c r="BJ349" s="729"/>
      <c r="BK349" s="616"/>
      <c r="BL349" s="603">
        <f t="shared" si="190"/>
        <v>0</v>
      </c>
      <c r="BM349" s="964"/>
      <c r="BN349" s="602">
        <f t="shared" si="194"/>
        <v>0</v>
      </c>
      <c r="BO349" s="940"/>
      <c r="BP349" s="593">
        <f t="shared" si="178"/>
        <v>0</v>
      </c>
      <c r="BS349" s="741">
        <v>0</v>
      </c>
      <c r="BT349" s="741">
        <v>0</v>
      </c>
      <c r="BU349" s="741">
        <f t="shared" si="169"/>
        <v>0</v>
      </c>
      <c r="BV349" s="741">
        <v>0</v>
      </c>
      <c r="BW349" s="741"/>
      <c r="BX349" s="741">
        <v>0</v>
      </c>
      <c r="BY349" s="741">
        <v>0</v>
      </c>
      <c r="BZ349" s="741">
        <f t="shared" si="183"/>
        <v>0</v>
      </c>
      <c r="CA349" s="741">
        <v>0</v>
      </c>
      <c r="CB349" s="741"/>
      <c r="CC349" s="741">
        <f t="shared" si="170"/>
        <v>0</v>
      </c>
      <c r="CD349" s="751"/>
      <c r="CE349" s="748"/>
      <c r="CF349" s="748"/>
      <c r="CG349" s="748">
        <f t="shared" si="171"/>
        <v>0</v>
      </c>
      <c r="CH349" s="759"/>
      <c r="CI349" s="742"/>
      <c r="CJ349" s="591">
        <f t="shared" si="179"/>
        <v>0</v>
      </c>
    </row>
    <row r="350" spans="1:88" ht="21.6" customHeight="1" x14ac:dyDescent="0.25">
      <c r="A350" s="596" t="s">
        <v>130</v>
      </c>
      <c r="B350" s="596" t="s">
        <v>196</v>
      </c>
      <c r="C350" s="597" t="s">
        <v>202</v>
      </c>
      <c r="D350" s="176" t="s">
        <v>431</v>
      </c>
      <c r="E350" s="598">
        <v>6.666666666666667</v>
      </c>
      <c r="F350" s="596">
        <v>0</v>
      </c>
      <c r="G350" s="598">
        <v>6.666666666666667</v>
      </c>
      <c r="H350" s="596"/>
      <c r="I350" s="596">
        <f t="shared" si="188"/>
        <v>0</v>
      </c>
      <c r="J350" s="728">
        <f>15</f>
        <v>15</v>
      </c>
      <c r="K350" s="728">
        <v>0</v>
      </c>
      <c r="L350" s="731">
        <f t="shared" si="180"/>
        <v>15</v>
      </c>
      <c r="M350" s="947"/>
      <c r="N350" s="617">
        <v>100</v>
      </c>
      <c r="O350" s="602">
        <f t="shared" si="173"/>
        <v>6.666666666666667</v>
      </c>
      <c r="P350" s="940"/>
      <c r="Q350" s="600">
        <f t="shared" si="192"/>
        <v>0</v>
      </c>
      <c r="R350" s="940"/>
      <c r="S350" s="596">
        <v>1.67</v>
      </c>
      <c r="T350" s="724"/>
      <c r="U350" s="728">
        <v>3</v>
      </c>
      <c r="V350" s="728"/>
      <c r="W350" s="731">
        <f t="shared" si="181"/>
        <v>3</v>
      </c>
      <c r="X350" s="947"/>
      <c r="Y350" s="616">
        <v>25</v>
      </c>
      <c r="Z350" s="602">
        <f t="shared" si="184"/>
        <v>1.6666666666666667</v>
      </c>
      <c r="AA350" s="835"/>
      <c r="AB350" s="602">
        <f t="shared" si="185"/>
        <v>3.3333333333331883E-3</v>
      </c>
      <c r="AC350" s="940"/>
      <c r="AD350" s="956"/>
      <c r="AE350" s="956"/>
      <c r="AF350" s="598">
        <v>0</v>
      </c>
      <c r="AG350" s="596"/>
      <c r="AH350" s="728"/>
      <c r="AI350" s="728"/>
      <c r="AJ350" s="729">
        <f t="shared" si="177"/>
        <v>0</v>
      </c>
      <c r="AK350" s="946"/>
      <c r="AL350" s="616"/>
      <c r="AM350" s="602">
        <f t="shared" si="189"/>
        <v>0</v>
      </c>
      <c r="AN350" s="835"/>
      <c r="AO350" s="835">
        <f t="shared" si="193"/>
        <v>0</v>
      </c>
      <c r="AP350" s="940"/>
      <c r="AQ350" s="722">
        <v>0</v>
      </c>
      <c r="AR350" s="728"/>
      <c r="AS350" s="728"/>
      <c r="AT350" s="729">
        <f t="shared" si="167"/>
        <v>0</v>
      </c>
      <c r="AU350" s="946"/>
      <c r="AV350" s="616"/>
      <c r="AW350" s="602">
        <f t="shared" si="186"/>
        <v>0</v>
      </c>
      <c r="AX350" s="940"/>
      <c r="AY350" s="602">
        <f t="shared" si="187"/>
        <v>0</v>
      </c>
      <c r="AZ350" s="940"/>
      <c r="BA350" s="962"/>
      <c r="BB350" s="962"/>
      <c r="BC350" s="611"/>
      <c r="BD350" s="712">
        <v>6</v>
      </c>
      <c r="BE350" s="596">
        <v>6</v>
      </c>
      <c r="BF350" s="596">
        <f t="shared" si="191"/>
        <v>0</v>
      </c>
      <c r="BG350" s="728">
        <v>15</v>
      </c>
      <c r="BH350" s="728"/>
      <c r="BI350" s="729">
        <f t="shared" si="182"/>
        <v>15</v>
      </c>
      <c r="BJ350" s="729"/>
      <c r="BK350" s="616">
        <v>300</v>
      </c>
      <c r="BL350" s="603">
        <f t="shared" si="190"/>
        <v>6</v>
      </c>
      <c r="BM350" s="964"/>
      <c r="BN350" s="602">
        <f t="shared" si="194"/>
        <v>0</v>
      </c>
      <c r="BO350" s="940"/>
      <c r="BP350" s="593">
        <f t="shared" si="178"/>
        <v>0</v>
      </c>
      <c r="BS350" s="741">
        <v>0</v>
      </c>
      <c r="BT350" s="741">
        <v>0</v>
      </c>
      <c r="BU350" s="741">
        <f t="shared" si="169"/>
        <v>0</v>
      </c>
      <c r="BV350" s="741">
        <v>0</v>
      </c>
      <c r="BW350" s="741"/>
      <c r="BX350" s="741">
        <v>0</v>
      </c>
      <c r="BY350" s="741">
        <v>0</v>
      </c>
      <c r="BZ350" s="741">
        <f t="shared" si="183"/>
        <v>0</v>
      </c>
      <c r="CA350" s="741">
        <v>0</v>
      </c>
      <c r="CB350" s="741"/>
      <c r="CC350" s="741">
        <f t="shared" si="170"/>
        <v>0</v>
      </c>
      <c r="CD350" s="751"/>
      <c r="CE350" s="748">
        <v>15</v>
      </c>
      <c r="CF350" s="748"/>
      <c r="CG350" s="748">
        <f t="shared" si="171"/>
        <v>15</v>
      </c>
      <c r="CH350" s="759">
        <v>6</v>
      </c>
      <c r="CI350" s="742"/>
      <c r="CJ350" s="591">
        <f t="shared" si="179"/>
        <v>3.3333333333331883E-3</v>
      </c>
    </row>
    <row r="351" spans="1:88" ht="21.6" customHeight="1" x14ac:dyDescent="0.25">
      <c r="A351" s="596" t="s">
        <v>130</v>
      </c>
      <c r="B351" s="596" t="s">
        <v>196</v>
      </c>
      <c r="C351" s="597" t="s">
        <v>203</v>
      </c>
      <c r="D351" s="166"/>
      <c r="E351" s="598">
        <v>0</v>
      </c>
      <c r="F351" s="596">
        <v>0</v>
      </c>
      <c r="G351" s="598">
        <v>0</v>
      </c>
      <c r="H351" s="596"/>
      <c r="I351" s="596">
        <f t="shared" si="188"/>
        <v>0</v>
      </c>
      <c r="J351" s="728"/>
      <c r="K351" s="728"/>
      <c r="L351" s="731">
        <f t="shared" si="180"/>
        <v>0</v>
      </c>
      <c r="M351" s="947"/>
      <c r="N351" s="617"/>
      <c r="O351" s="602">
        <f t="shared" si="173"/>
        <v>0</v>
      </c>
      <c r="P351" s="940"/>
      <c r="Q351" s="600">
        <f t="shared" si="192"/>
        <v>0</v>
      </c>
      <c r="R351" s="940"/>
      <c r="S351" s="596">
        <v>0</v>
      </c>
      <c r="T351" s="724"/>
      <c r="U351" s="728"/>
      <c r="V351" s="728"/>
      <c r="W351" s="731">
        <f t="shared" si="181"/>
        <v>0</v>
      </c>
      <c r="X351" s="947"/>
      <c r="Y351" s="616"/>
      <c r="Z351" s="602">
        <f t="shared" si="184"/>
        <v>0</v>
      </c>
      <c r="AA351" s="835"/>
      <c r="AB351" s="602">
        <f t="shared" si="185"/>
        <v>0</v>
      </c>
      <c r="AC351" s="940"/>
      <c r="AD351" s="956"/>
      <c r="AE351" s="956"/>
      <c r="AF351" s="598">
        <v>0</v>
      </c>
      <c r="AG351" s="596"/>
      <c r="AH351" s="728"/>
      <c r="AI351" s="728"/>
      <c r="AJ351" s="729">
        <f t="shared" si="177"/>
        <v>0</v>
      </c>
      <c r="AK351" s="946"/>
      <c r="AL351" s="616"/>
      <c r="AM351" s="602">
        <f t="shared" si="189"/>
        <v>0</v>
      </c>
      <c r="AN351" s="835"/>
      <c r="AO351" s="835">
        <f t="shared" si="193"/>
        <v>0</v>
      </c>
      <c r="AP351" s="940"/>
      <c r="AQ351" s="722">
        <v>0</v>
      </c>
      <c r="AR351" s="728"/>
      <c r="AS351" s="728"/>
      <c r="AT351" s="729">
        <f t="shared" si="167"/>
        <v>0</v>
      </c>
      <c r="AU351" s="946"/>
      <c r="AV351" s="616"/>
      <c r="AW351" s="602">
        <f t="shared" si="186"/>
        <v>0</v>
      </c>
      <c r="AX351" s="940"/>
      <c r="AY351" s="602">
        <f t="shared" si="187"/>
        <v>0</v>
      </c>
      <c r="AZ351" s="940"/>
      <c r="BA351" s="962"/>
      <c r="BB351" s="962"/>
      <c r="BC351" s="611"/>
      <c r="BD351" s="712">
        <v>0</v>
      </c>
      <c r="BE351" s="596">
        <v>0</v>
      </c>
      <c r="BF351" s="596">
        <f t="shared" si="191"/>
        <v>0</v>
      </c>
      <c r="BG351" s="728"/>
      <c r="BH351" s="728"/>
      <c r="BI351" s="729">
        <f t="shared" si="182"/>
        <v>0</v>
      </c>
      <c r="BJ351" s="729"/>
      <c r="BK351" s="616"/>
      <c r="BL351" s="603">
        <f t="shared" si="190"/>
        <v>0</v>
      </c>
      <c r="BM351" s="964"/>
      <c r="BN351" s="602">
        <f t="shared" si="194"/>
        <v>0</v>
      </c>
      <c r="BO351" s="940"/>
      <c r="BP351" s="593">
        <f t="shared" si="178"/>
        <v>0</v>
      </c>
      <c r="BS351" s="741">
        <v>0</v>
      </c>
      <c r="BT351" s="741">
        <v>0</v>
      </c>
      <c r="BU351" s="741">
        <f t="shared" si="169"/>
        <v>0</v>
      </c>
      <c r="BV351" s="741">
        <v>0</v>
      </c>
      <c r="BW351" s="741"/>
      <c r="BX351" s="741">
        <v>0</v>
      </c>
      <c r="BY351" s="741">
        <v>0</v>
      </c>
      <c r="BZ351" s="741">
        <f t="shared" si="183"/>
        <v>0</v>
      </c>
      <c r="CA351" s="741">
        <v>0</v>
      </c>
      <c r="CB351" s="741"/>
      <c r="CC351" s="741">
        <f t="shared" si="170"/>
        <v>0</v>
      </c>
      <c r="CD351" s="751"/>
      <c r="CE351" s="748"/>
      <c r="CF351" s="748"/>
      <c r="CG351" s="748">
        <f t="shared" si="171"/>
        <v>0</v>
      </c>
      <c r="CH351" s="759"/>
      <c r="CI351" s="742"/>
      <c r="CJ351" s="591">
        <f t="shared" si="179"/>
        <v>0</v>
      </c>
    </row>
    <row r="352" spans="1:88" ht="21.6" customHeight="1" x14ac:dyDescent="0.25">
      <c r="A352" s="596" t="s">
        <v>130</v>
      </c>
      <c r="B352" s="596" t="s">
        <v>196</v>
      </c>
      <c r="C352" s="597" t="s">
        <v>204</v>
      </c>
      <c r="D352" s="182" t="s">
        <v>431</v>
      </c>
      <c r="E352" s="598">
        <v>4</v>
      </c>
      <c r="F352" s="596">
        <v>0</v>
      </c>
      <c r="G352" s="598">
        <v>4</v>
      </c>
      <c r="H352" s="596"/>
      <c r="I352" s="596">
        <f t="shared" si="188"/>
        <v>0</v>
      </c>
      <c r="J352" s="728">
        <f>8</f>
        <v>8</v>
      </c>
      <c r="K352" s="728">
        <f>3</f>
        <v>3</v>
      </c>
      <c r="L352" s="731">
        <f t="shared" si="180"/>
        <v>11</v>
      </c>
      <c r="M352" s="947"/>
      <c r="N352" s="617">
        <v>60</v>
      </c>
      <c r="O352" s="602">
        <f t="shared" si="173"/>
        <v>4</v>
      </c>
      <c r="P352" s="940"/>
      <c r="Q352" s="600">
        <f t="shared" si="192"/>
        <v>0</v>
      </c>
      <c r="R352" s="940"/>
      <c r="S352" s="596">
        <v>0</v>
      </c>
      <c r="T352" s="724"/>
      <c r="U352" s="728"/>
      <c r="V352" s="728"/>
      <c r="W352" s="731">
        <f t="shared" si="181"/>
        <v>0</v>
      </c>
      <c r="X352" s="947"/>
      <c r="Y352" s="616"/>
      <c r="Z352" s="602">
        <f t="shared" si="184"/>
        <v>0</v>
      </c>
      <c r="AA352" s="835"/>
      <c r="AB352" s="602">
        <f t="shared" si="185"/>
        <v>0</v>
      </c>
      <c r="AC352" s="940"/>
      <c r="AD352" s="956"/>
      <c r="AE352" s="956"/>
      <c r="AF352" s="598">
        <v>4.333333333333333</v>
      </c>
      <c r="AG352" s="596"/>
      <c r="AH352" s="728">
        <v>7</v>
      </c>
      <c r="AI352" s="728"/>
      <c r="AJ352" s="729">
        <f t="shared" si="177"/>
        <v>7</v>
      </c>
      <c r="AK352" s="946"/>
      <c r="AL352" s="616">
        <f>65</f>
        <v>65</v>
      </c>
      <c r="AM352" s="602">
        <f t="shared" si="189"/>
        <v>4.333333333333333</v>
      </c>
      <c r="AN352" s="835"/>
      <c r="AO352" s="835">
        <f t="shared" si="193"/>
        <v>0</v>
      </c>
      <c r="AP352" s="940"/>
      <c r="AQ352" s="722">
        <v>0</v>
      </c>
      <c r="AR352" s="728"/>
      <c r="AS352" s="728"/>
      <c r="AT352" s="729">
        <f t="shared" si="167"/>
        <v>0</v>
      </c>
      <c r="AU352" s="946"/>
      <c r="AV352" s="616"/>
      <c r="AW352" s="602">
        <f t="shared" si="186"/>
        <v>0</v>
      </c>
      <c r="AX352" s="940"/>
      <c r="AY352" s="602">
        <f t="shared" si="187"/>
        <v>0</v>
      </c>
      <c r="AZ352" s="940"/>
      <c r="BA352" s="962"/>
      <c r="BB352" s="962"/>
      <c r="BC352" s="611"/>
      <c r="BD352" s="712">
        <v>8</v>
      </c>
      <c r="BE352" s="596">
        <v>8</v>
      </c>
      <c r="BF352" s="596">
        <f t="shared" si="191"/>
        <v>0</v>
      </c>
      <c r="BG352" s="728">
        <v>15</v>
      </c>
      <c r="BH352" s="728">
        <v>7</v>
      </c>
      <c r="BI352" s="729">
        <f t="shared" si="182"/>
        <v>22</v>
      </c>
      <c r="BJ352" s="729"/>
      <c r="BK352" s="616">
        <v>400</v>
      </c>
      <c r="BL352" s="603">
        <f t="shared" si="190"/>
        <v>8</v>
      </c>
      <c r="BM352" s="964"/>
      <c r="BN352" s="602">
        <f t="shared" si="194"/>
        <v>0</v>
      </c>
      <c r="BO352" s="940"/>
      <c r="BP352" s="593">
        <f t="shared" si="178"/>
        <v>0</v>
      </c>
      <c r="BS352" s="741">
        <v>0</v>
      </c>
      <c r="BT352" s="741">
        <v>0</v>
      </c>
      <c r="BU352" s="741">
        <f t="shared" si="169"/>
        <v>0</v>
      </c>
      <c r="BV352" s="741">
        <v>0</v>
      </c>
      <c r="BW352" s="741"/>
      <c r="BX352" s="741">
        <v>7</v>
      </c>
      <c r="BY352" s="741">
        <v>0</v>
      </c>
      <c r="BZ352" s="741">
        <f t="shared" si="183"/>
        <v>7</v>
      </c>
      <c r="CA352" s="741">
        <v>4.333333333333333</v>
      </c>
      <c r="CB352" s="741"/>
      <c r="CC352" s="741">
        <f t="shared" si="170"/>
        <v>4.333333333333333</v>
      </c>
      <c r="CD352" s="751"/>
      <c r="CE352" s="748">
        <v>15</v>
      </c>
      <c r="CF352" s="748">
        <v>7</v>
      </c>
      <c r="CG352" s="748">
        <f t="shared" si="171"/>
        <v>22</v>
      </c>
      <c r="CH352" s="759">
        <v>8</v>
      </c>
      <c r="CI352" s="742"/>
      <c r="CJ352" s="591">
        <f t="shared" si="179"/>
        <v>0</v>
      </c>
    </row>
    <row r="353" spans="1:88" ht="21.6" customHeight="1" x14ac:dyDescent="0.25">
      <c r="A353" s="596" t="s">
        <v>130</v>
      </c>
      <c r="B353" s="596" t="s">
        <v>196</v>
      </c>
      <c r="C353" s="597" t="s">
        <v>205</v>
      </c>
      <c r="D353" s="182" t="s">
        <v>431</v>
      </c>
      <c r="E353" s="598">
        <v>3</v>
      </c>
      <c r="F353" s="596">
        <v>0</v>
      </c>
      <c r="G353" s="598">
        <v>3</v>
      </c>
      <c r="H353" s="596"/>
      <c r="I353" s="596">
        <f t="shared" si="188"/>
        <v>0</v>
      </c>
      <c r="J353" s="728">
        <f>4</f>
        <v>4</v>
      </c>
      <c r="K353" s="728">
        <f>1</f>
        <v>1</v>
      </c>
      <c r="L353" s="731">
        <f t="shared" si="180"/>
        <v>5</v>
      </c>
      <c r="M353" s="947"/>
      <c r="N353" s="617">
        <v>45</v>
      </c>
      <c r="O353" s="602">
        <f t="shared" si="173"/>
        <v>3</v>
      </c>
      <c r="P353" s="940"/>
      <c r="Q353" s="600">
        <f t="shared" si="192"/>
        <v>0</v>
      </c>
      <c r="R353" s="940"/>
      <c r="S353" s="596">
        <v>0</v>
      </c>
      <c r="T353" s="724"/>
      <c r="U353" s="728"/>
      <c r="V353" s="728"/>
      <c r="W353" s="731">
        <f t="shared" si="181"/>
        <v>0</v>
      </c>
      <c r="X353" s="947"/>
      <c r="Y353" s="616"/>
      <c r="Z353" s="602">
        <f t="shared" si="184"/>
        <v>0</v>
      </c>
      <c r="AA353" s="835"/>
      <c r="AB353" s="602">
        <f t="shared" si="185"/>
        <v>0</v>
      </c>
      <c r="AC353" s="940"/>
      <c r="AD353" s="956"/>
      <c r="AE353" s="956"/>
      <c r="AF353" s="598">
        <v>0.33333333333333331</v>
      </c>
      <c r="AG353" s="596"/>
      <c r="AH353" s="728">
        <v>1</v>
      </c>
      <c r="AI353" s="728"/>
      <c r="AJ353" s="729">
        <f t="shared" si="177"/>
        <v>1</v>
      </c>
      <c r="AK353" s="946"/>
      <c r="AL353" s="616">
        <v>5</v>
      </c>
      <c r="AM353" s="602">
        <f t="shared" si="189"/>
        <v>0.33333333333333331</v>
      </c>
      <c r="AN353" s="835"/>
      <c r="AO353" s="835">
        <f t="shared" si="193"/>
        <v>0</v>
      </c>
      <c r="AP353" s="940"/>
      <c r="AQ353" s="722">
        <v>0</v>
      </c>
      <c r="AR353" s="728"/>
      <c r="AS353" s="728"/>
      <c r="AT353" s="729">
        <f t="shared" si="167"/>
        <v>0</v>
      </c>
      <c r="AU353" s="946"/>
      <c r="AV353" s="616"/>
      <c r="AW353" s="602">
        <f t="shared" si="186"/>
        <v>0</v>
      </c>
      <c r="AX353" s="940"/>
      <c r="AY353" s="602">
        <f t="shared" si="187"/>
        <v>0</v>
      </c>
      <c r="AZ353" s="940"/>
      <c r="BA353" s="962"/>
      <c r="BB353" s="962"/>
      <c r="BC353" s="611"/>
      <c r="BD353" s="712">
        <v>3</v>
      </c>
      <c r="BE353" s="596">
        <v>3</v>
      </c>
      <c r="BF353" s="596">
        <f t="shared" si="191"/>
        <v>0</v>
      </c>
      <c r="BG353" s="728">
        <v>5</v>
      </c>
      <c r="BH353" s="728">
        <v>1</v>
      </c>
      <c r="BI353" s="729">
        <f t="shared" si="182"/>
        <v>6</v>
      </c>
      <c r="BJ353" s="729"/>
      <c r="BK353" s="616">
        <v>150</v>
      </c>
      <c r="BL353" s="603">
        <f t="shared" si="190"/>
        <v>3</v>
      </c>
      <c r="BM353" s="964"/>
      <c r="BN353" s="602">
        <f t="shared" si="194"/>
        <v>0</v>
      </c>
      <c r="BO353" s="940"/>
      <c r="BP353" s="593">
        <f t="shared" si="178"/>
        <v>0</v>
      </c>
      <c r="BS353" s="741">
        <v>0</v>
      </c>
      <c r="BT353" s="741">
        <v>0</v>
      </c>
      <c r="BU353" s="741">
        <f t="shared" si="169"/>
        <v>0</v>
      </c>
      <c r="BV353" s="741">
        <v>0</v>
      </c>
      <c r="BW353" s="741"/>
      <c r="BX353" s="741">
        <v>1</v>
      </c>
      <c r="BY353" s="741">
        <v>0</v>
      </c>
      <c r="BZ353" s="741">
        <f t="shared" si="183"/>
        <v>1</v>
      </c>
      <c r="CA353" s="741">
        <v>0.33333333333333331</v>
      </c>
      <c r="CB353" s="741"/>
      <c r="CC353" s="741">
        <f t="shared" si="170"/>
        <v>0.33333333333333331</v>
      </c>
      <c r="CD353" s="751"/>
      <c r="CE353" s="748">
        <v>5</v>
      </c>
      <c r="CF353" s="748">
        <v>1</v>
      </c>
      <c r="CG353" s="748">
        <f t="shared" si="171"/>
        <v>6</v>
      </c>
      <c r="CH353" s="759">
        <v>3</v>
      </c>
      <c r="CI353" s="742"/>
      <c r="CJ353" s="591">
        <f t="shared" si="179"/>
        <v>0</v>
      </c>
    </row>
    <row r="354" spans="1:88" ht="34.5" customHeight="1" x14ac:dyDescent="0.25">
      <c r="A354" s="596" t="s">
        <v>130</v>
      </c>
      <c r="B354" s="596" t="s">
        <v>196</v>
      </c>
      <c r="C354" s="597" t="s">
        <v>206</v>
      </c>
      <c r="D354" s="134" t="s">
        <v>431</v>
      </c>
      <c r="E354" s="598">
        <v>9.3333333333333339</v>
      </c>
      <c r="F354" s="596">
        <v>0</v>
      </c>
      <c r="G354" s="598">
        <v>9.3333333333333339</v>
      </c>
      <c r="H354" s="596"/>
      <c r="I354" s="596">
        <f t="shared" si="188"/>
        <v>0</v>
      </c>
      <c r="J354" s="728">
        <f>19</f>
        <v>19</v>
      </c>
      <c r="K354" s="728">
        <f>1</f>
        <v>1</v>
      </c>
      <c r="L354" s="731">
        <f t="shared" si="180"/>
        <v>20</v>
      </c>
      <c r="M354" s="947"/>
      <c r="N354" s="617">
        <v>140</v>
      </c>
      <c r="O354" s="602">
        <f t="shared" si="173"/>
        <v>9.3333333333333339</v>
      </c>
      <c r="P354" s="940"/>
      <c r="Q354" s="600">
        <f t="shared" si="192"/>
        <v>0</v>
      </c>
      <c r="R354" s="940"/>
      <c r="S354" s="596">
        <v>0</v>
      </c>
      <c r="T354" s="724"/>
      <c r="U354" s="728"/>
      <c r="V354" s="728"/>
      <c r="W354" s="731">
        <f t="shared" si="181"/>
        <v>0</v>
      </c>
      <c r="X354" s="947"/>
      <c r="Y354" s="616"/>
      <c r="Z354" s="602">
        <f t="shared" si="184"/>
        <v>0</v>
      </c>
      <c r="AA354" s="835"/>
      <c r="AB354" s="602">
        <f t="shared" si="185"/>
        <v>0</v>
      </c>
      <c r="AC354" s="940"/>
      <c r="AD354" s="956"/>
      <c r="AE354" s="956"/>
      <c r="AF354" s="598">
        <v>0</v>
      </c>
      <c r="AG354" s="596"/>
      <c r="AH354" s="728"/>
      <c r="AI354" s="728"/>
      <c r="AJ354" s="729">
        <f t="shared" si="177"/>
        <v>0</v>
      </c>
      <c r="AK354" s="946"/>
      <c r="AL354" s="616"/>
      <c r="AM354" s="602">
        <f t="shared" si="189"/>
        <v>0</v>
      </c>
      <c r="AN354" s="835"/>
      <c r="AO354" s="835">
        <f t="shared" si="193"/>
        <v>0</v>
      </c>
      <c r="AP354" s="940"/>
      <c r="AQ354" s="722">
        <v>0</v>
      </c>
      <c r="AR354" s="728"/>
      <c r="AS354" s="728"/>
      <c r="AT354" s="729">
        <f t="shared" si="167"/>
        <v>0</v>
      </c>
      <c r="AU354" s="946"/>
      <c r="AV354" s="616"/>
      <c r="AW354" s="602">
        <f t="shared" si="186"/>
        <v>0</v>
      </c>
      <c r="AX354" s="940"/>
      <c r="AY354" s="602">
        <f t="shared" si="187"/>
        <v>0</v>
      </c>
      <c r="AZ354" s="940"/>
      <c r="BA354" s="962"/>
      <c r="BB354" s="962"/>
      <c r="BC354" s="611"/>
      <c r="BD354" s="712">
        <v>9</v>
      </c>
      <c r="BE354" s="596">
        <v>9</v>
      </c>
      <c r="BF354" s="596">
        <f t="shared" si="191"/>
        <v>0</v>
      </c>
      <c r="BG354" s="728">
        <v>19</v>
      </c>
      <c r="BH354" s="728">
        <v>1</v>
      </c>
      <c r="BI354" s="729">
        <f t="shared" si="182"/>
        <v>20</v>
      </c>
      <c r="BJ354" s="729"/>
      <c r="BK354" s="616">
        <v>450</v>
      </c>
      <c r="BL354" s="603">
        <f t="shared" si="190"/>
        <v>9</v>
      </c>
      <c r="BM354" s="964"/>
      <c r="BN354" s="602">
        <f t="shared" si="194"/>
        <v>0</v>
      </c>
      <c r="BO354" s="940"/>
      <c r="BP354" s="593">
        <f t="shared" si="178"/>
        <v>0</v>
      </c>
      <c r="BS354" s="741">
        <v>0</v>
      </c>
      <c r="BT354" s="741">
        <v>0</v>
      </c>
      <c r="BU354" s="741">
        <f t="shared" si="169"/>
        <v>0</v>
      </c>
      <c r="BV354" s="741">
        <v>0</v>
      </c>
      <c r="BW354" s="741"/>
      <c r="BX354" s="741">
        <v>0</v>
      </c>
      <c r="BY354" s="741">
        <v>0</v>
      </c>
      <c r="BZ354" s="741">
        <f t="shared" si="183"/>
        <v>0</v>
      </c>
      <c r="CA354" s="741">
        <v>0</v>
      </c>
      <c r="CB354" s="741"/>
      <c r="CC354" s="741">
        <f t="shared" si="170"/>
        <v>0</v>
      </c>
      <c r="CD354" s="751"/>
      <c r="CE354" s="748">
        <v>19</v>
      </c>
      <c r="CF354" s="748">
        <v>1</v>
      </c>
      <c r="CG354" s="748">
        <f t="shared" si="171"/>
        <v>20</v>
      </c>
      <c r="CH354" s="759">
        <v>9</v>
      </c>
      <c r="CI354" s="742"/>
      <c r="CJ354" s="591">
        <f t="shared" si="179"/>
        <v>0</v>
      </c>
    </row>
    <row r="355" spans="1:88" ht="36.75" customHeight="1" x14ac:dyDescent="0.25">
      <c r="A355" s="596"/>
      <c r="B355" s="596" t="s">
        <v>196</v>
      </c>
      <c r="C355" s="597" t="s">
        <v>298</v>
      </c>
      <c r="D355" s="134" t="s">
        <v>437</v>
      </c>
      <c r="E355" s="598">
        <v>5.666666666666667</v>
      </c>
      <c r="F355" s="596">
        <v>0</v>
      </c>
      <c r="G355" s="598">
        <v>5.666666666666667</v>
      </c>
      <c r="H355" s="596"/>
      <c r="I355" s="596">
        <f t="shared" si="188"/>
        <v>0</v>
      </c>
      <c r="J355" s="728">
        <f>11</f>
        <v>11</v>
      </c>
      <c r="K355" s="728">
        <f>1</f>
        <v>1</v>
      </c>
      <c r="L355" s="731">
        <f t="shared" si="180"/>
        <v>12</v>
      </c>
      <c r="M355" s="947"/>
      <c r="N355" s="617">
        <v>85</v>
      </c>
      <c r="O355" s="602">
        <f t="shared" si="173"/>
        <v>5.666666666666667</v>
      </c>
      <c r="P355" s="940"/>
      <c r="Q355" s="600">
        <f t="shared" si="192"/>
        <v>0</v>
      </c>
      <c r="R355" s="940"/>
      <c r="S355" s="596">
        <v>0</v>
      </c>
      <c r="T355" s="724"/>
      <c r="U355" s="728"/>
      <c r="V355" s="728"/>
      <c r="W355" s="731">
        <f t="shared" si="181"/>
        <v>0</v>
      </c>
      <c r="X355" s="947"/>
      <c r="Y355" s="616"/>
      <c r="Z355" s="602">
        <f t="shared" si="184"/>
        <v>0</v>
      </c>
      <c r="AA355" s="835"/>
      <c r="AB355" s="602">
        <f t="shared" si="185"/>
        <v>0</v>
      </c>
      <c r="AC355" s="940"/>
      <c r="AD355" s="956"/>
      <c r="AE355" s="956"/>
      <c r="AF355" s="598">
        <v>1.3333333333333333</v>
      </c>
      <c r="AG355" s="596"/>
      <c r="AH355" s="728">
        <v>4</v>
      </c>
      <c r="AI355" s="728"/>
      <c r="AJ355" s="729">
        <f t="shared" ref="AJ355:AJ386" si="195">AH355+AI355</f>
        <v>4</v>
      </c>
      <c r="AK355" s="946"/>
      <c r="AL355" s="616">
        <v>20</v>
      </c>
      <c r="AM355" s="602">
        <f t="shared" si="189"/>
        <v>1.3333333333333333</v>
      </c>
      <c r="AN355" s="835"/>
      <c r="AO355" s="835">
        <f t="shared" si="193"/>
        <v>0</v>
      </c>
      <c r="AP355" s="940"/>
      <c r="AQ355" s="722">
        <v>0</v>
      </c>
      <c r="AR355" s="728"/>
      <c r="AS355" s="728"/>
      <c r="AT355" s="729">
        <f t="shared" ref="AT355:AT420" si="196">AR355+AS355</f>
        <v>0</v>
      </c>
      <c r="AU355" s="946"/>
      <c r="AV355" s="616"/>
      <c r="AW355" s="602">
        <f t="shared" si="186"/>
        <v>0</v>
      </c>
      <c r="AX355" s="940"/>
      <c r="AY355" s="602">
        <f t="shared" si="187"/>
        <v>0</v>
      </c>
      <c r="AZ355" s="940"/>
      <c r="BA355" s="962"/>
      <c r="BB355" s="962"/>
      <c r="BC355" s="611"/>
      <c r="BD355" s="712">
        <v>7</v>
      </c>
      <c r="BE355" s="596">
        <v>7</v>
      </c>
      <c r="BF355" s="596">
        <f t="shared" si="191"/>
        <v>0</v>
      </c>
      <c r="BG355" s="728">
        <v>15</v>
      </c>
      <c r="BH355" s="728">
        <v>1</v>
      </c>
      <c r="BI355" s="729">
        <f t="shared" si="182"/>
        <v>16</v>
      </c>
      <c r="BJ355" s="729"/>
      <c r="BK355" s="616">
        <v>350</v>
      </c>
      <c r="BL355" s="603">
        <f t="shared" si="190"/>
        <v>7</v>
      </c>
      <c r="BM355" s="964"/>
      <c r="BN355" s="602">
        <f t="shared" si="194"/>
        <v>0</v>
      </c>
      <c r="BO355" s="940"/>
      <c r="BP355" s="593">
        <f t="shared" ref="BP355:BP386" si="197">BO355+AZ355+AP355+AC355+R355</f>
        <v>0</v>
      </c>
      <c r="BS355" s="741">
        <v>0</v>
      </c>
      <c r="BT355" s="741">
        <v>0</v>
      </c>
      <c r="BU355" s="741">
        <f t="shared" ref="BU355:BU420" si="198">BS355+BT355</f>
        <v>0</v>
      </c>
      <c r="BV355" s="741">
        <v>0</v>
      </c>
      <c r="BW355" s="741"/>
      <c r="BX355" s="741">
        <v>4</v>
      </c>
      <c r="BY355" s="741">
        <v>0</v>
      </c>
      <c r="BZ355" s="741">
        <f t="shared" si="183"/>
        <v>4</v>
      </c>
      <c r="CA355" s="741">
        <v>1.3333333333333333</v>
      </c>
      <c r="CB355" s="741"/>
      <c r="CC355" s="741">
        <f t="shared" ref="CC355:CC420" si="199">BV355+CA355</f>
        <v>1.3333333333333333</v>
      </c>
      <c r="CD355" s="751"/>
      <c r="CE355" s="748">
        <v>15</v>
      </c>
      <c r="CF355" s="748">
        <v>1</v>
      </c>
      <c r="CG355" s="748">
        <f t="shared" ref="CG355:CG420" si="200">CE355+CF355</f>
        <v>16</v>
      </c>
      <c r="CH355" s="759">
        <v>7</v>
      </c>
      <c r="CI355" s="742"/>
      <c r="CJ355" s="591">
        <f t="shared" ref="CJ355:CJ386" si="201">BN355+AY355+AO355+AB355+Q355</f>
        <v>0</v>
      </c>
    </row>
    <row r="356" spans="1:88" ht="21.6" customHeight="1" x14ac:dyDescent="0.25">
      <c r="A356" s="596" t="s">
        <v>130</v>
      </c>
      <c r="B356" s="596" t="s">
        <v>196</v>
      </c>
      <c r="C356" s="597" t="s">
        <v>207</v>
      </c>
      <c r="D356" s="153" t="s">
        <v>431</v>
      </c>
      <c r="E356" s="598">
        <v>2.6666666666666665</v>
      </c>
      <c r="F356" s="596">
        <v>0</v>
      </c>
      <c r="G356" s="598">
        <v>2.6666666666666665</v>
      </c>
      <c r="H356" s="596"/>
      <c r="I356" s="596">
        <f t="shared" si="188"/>
        <v>0</v>
      </c>
      <c r="J356" s="728">
        <f>4</f>
        <v>4</v>
      </c>
      <c r="K356" s="728">
        <f>0</f>
        <v>0</v>
      </c>
      <c r="L356" s="731">
        <f t="shared" si="180"/>
        <v>4</v>
      </c>
      <c r="M356" s="947"/>
      <c r="N356" s="617">
        <v>40</v>
      </c>
      <c r="O356" s="602">
        <f t="shared" si="173"/>
        <v>2.6666666666666665</v>
      </c>
      <c r="P356" s="940"/>
      <c r="Q356" s="600">
        <f t="shared" si="192"/>
        <v>0</v>
      </c>
      <c r="R356" s="940"/>
      <c r="S356" s="596">
        <v>0</v>
      </c>
      <c r="T356" s="724"/>
      <c r="U356" s="728"/>
      <c r="V356" s="728"/>
      <c r="W356" s="731">
        <f t="shared" si="181"/>
        <v>0</v>
      </c>
      <c r="X356" s="947"/>
      <c r="Y356" s="616"/>
      <c r="Z356" s="602">
        <f t="shared" si="184"/>
        <v>0</v>
      </c>
      <c r="AA356" s="835"/>
      <c r="AB356" s="602">
        <f t="shared" si="185"/>
        <v>0</v>
      </c>
      <c r="AC356" s="940"/>
      <c r="AD356" s="956"/>
      <c r="AE356" s="956"/>
      <c r="AF356" s="598">
        <v>1.3333333333333333</v>
      </c>
      <c r="AG356" s="596"/>
      <c r="AH356" s="728">
        <v>2</v>
      </c>
      <c r="AI356" s="728"/>
      <c r="AJ356" s="729">
        <f t="shared" si="195"/>
        <v>2</v>
      </c>
      <c r="AK356" s="946"/>
      <c r="AL356" s="616">
        <v>20</v>
      </c>
      <c r="AM356" s="602">
        <f t="shared" si="189"/>
        <v>1.3333333333333333</v>
      </c>
      <c r="AN356" s="835"/>
      <c r="AO356" s="835">
        <f t="shared" si="193"/>
        <v>0</v>
      </c>
      <c r="AP356" s="940"/>
      <c r="AQ356" s="722">
        <v>0</v>
      </c>
      <c r="AR356" s="728"/>
      <c r="AS356" s="728"/>
      <c r="AT356" s="729">
        <f t="shared" si="196"/>
        <v>0</v>
      </c>
      <c r="AU356" s="946"/>
      <c r="AV356" s="616"/>
      <c r="AW356" s="602">
        <f t="shared" si="186"/>
        <v>0</v>
      </c>
      <c r="AX356" s="940"/>
      <c r="AY356" s="602">
        <f t="shared" si="187"/>
        <v>0</v>
      </c>
      <c r="AZ356" s="940"/>
      <c r="BA356" s="962"/>
      <c r="BB356" s="962"/>
      <c r="BC356" s="611"/>
      <c r="BD356" s="712">
        <v>4</v>
      </c>
      <c r="BE356" s="596">
        <v>4</v>
      </c>
      <c r="BF356" s="596">
        <f t="shared" si="191"/>
        <v>0</v>
      </c>
      <c r="BG356" s="728">
        <v>6</v>
      </c>
      <c r="BH356" s="728"/>
      <c r="BI356" s="729">
        <f t="shared" si="182"/>
        <v>6</v>
      </c>
      <c r="BJ356" s="729"/>
      <c r="BK356" s="616">
        <v>200</v>
      </c>
      <c r="BL356" s="603">
        <f t="shared" si="190"/>
        <v>4</v>
      </c>
      <c r="BM356" s="964"/>
      <c r="BN356" s="602">
        <f t="shared" si="194"/>
        <v>0</v>
      </c>
      <c r="BO356" s="940"/>
      <c r="BP356" s="593">
        <f t="shared" si="197"/>
        <v>0</v>
      </c>
      <c r="BS356" s="741">
        <v>0</v>
      </c>
      <c r="BT356" s="741">
        <v>0</v>
      </c>
      <c r="BU356" s="741">
        <f t="shared" si="198"/>
        <v>0</v>
      </c>
      <c r="BV356" s="741">
        <v>0</v>
      </c>
      <c r="BW356" s="741"/>
      <c r="BX356" s="741">
        <v>2</v>
      </c>
      <c r="BY356" s="741">
        <v>0</v>
      </c>
      <c r="BZ356" s="741">
        <f t="shared" si="183"/>
        <v>2</v>
      </c>
      <c r="CA356" s="741">
        <v>1.3333333333333333</v>
      </c>
      <c r="CB356" s="741"/>
      <c r="CC356" s="741">
        <f t="shared" si="199"/>
        <v>1.3333333333333333</v>
      </c>
      <c r="CD356" s="751"/>
      <c r="CE356" s="748">
        <v>6</v>
      </c>
      <c r="CF356" s="748"/>
      <c r="CG356" s="748">
        <f t="shared" si="200"/>
        <v>6</v>
      </c>
      <c r="CH356" s="759">
        <v>4</v>
      </c>
      <c r="CI356" s="742"/>
      <c r="CJ356" s="591">
        <f t="shared" si="201"/>
        <v>0</v>
      </c>
    </row>
    <row r="357" spans="1:88" ht="21.6" customHeight="1" x14ac:dyDescent="0.25">
      <c r="A357" s="596"/>
      <c r="B357" s="596" t="s">
        <v>196</v>
      </c>
      <c r="C357" s="597" t="s">
        <v>617</v>
      </c>
      <c r="D357" s="134" t="s">
        <v>437</v>
      </c>
      <c r="E357" s="598">
        <v>0</v>
      </c>
      <c r="F357" s="596">
        <v>0</v>
      </c>
      <c r="G357" s="598">
        <v>0</v>
      </c>
      <c r="H357" s="596"/>
      <c r="I357" s="596">
        <f t="shared" si="188"/>
        <v>0</v>
      </c>
      <c r="J357" s="728"/>
      <c r="K357" s="728"/>
      <c r="L357" s="731">
        <f t="shared" si="180"/>
        <v>0</v>
      </c>
      <c r="M357" s="947"/>
      <c r="N357" s="617"/>
      <c r="O357" s="602">
        <f t="shared" si="173"/>
        <v>0</v>
      </c>
      <c r="P357" s="940"/>
      <c r="Q357" s="600">
        <f t="shared" si="192"/>
        <v>0</v>
      </c>
      <c r="R357" s="940"/>
      <c r="S357" s="596">
        <v>0</v>
      </c>
      <c r="T357" s="724"/>
      <c r="U357" s="728"/>
      <c r="V357" s="728"/>
      <c r="W357" s="731">
        <f t="shared" si="181"/>
        <v>0</v>
      </c>
      <c r="X357" s="947"/>
      <c r="Y357" s="616"/>
      <c r="Z357" s="602">
        <f t="shared" si="184"/>
        <v>0</v>
      </c>
      <c r="AA357" s="835"/>
      <c r="AB357" s="602">
        <f t="shared" si="185"/>
        <v>0</v>
      </c>
      <c r="AC357" s="940"/>
      <c r="AD357" s="956"/>
      <c r="AE357" s="956"/>
      <c r="AF357" s="598">
        <v>28</v>
      </c>
      <c r="AG357" s="596"/>
      <c r="AH357" s="728">
        <v>28</v>
      </c>
      <c r="AI357" s="728"/>
      <c r="AJ357" s="729">
        <f t="shared" si="195"/>
        <v>28</v>
      </c>
      <c r="AK357" s="946"/>
      <c r="AL357" s="616">
        <v>420</v>
      </c>
      <c r="AM357" s="602">
        <f t="shared" si="189"/>
        <v>28</v>
      </c>
      <c r="AN357" s="835"/>
      <c r="AO357" s="835">
        <f t="shared" si="193"/>
        <v>0</v>
      </c>
      <c r="AP357" s="940"/>
      <c r="AQ357" s="722">
        <v>0</v>
      </c>
      <c r="AR357" s="728"/>
      <c r="AS357" s="728"/>
      <c r="AT357" s="729">
        <f t="shared" si="196"/>
        <v>0</v>
      </c>
      <c r="AU357" s="946"/>
      <c r="AV357" s="616"/>
      <c r="AW357" s="602">
        <f t="shared" si="186"/>
        <v>0</v>
      </c>
      <c r="AX357" s="940"/>
      <c r="AY357" s="602">
        <f t="shared" si="187"/>
        <v>0</v>
      </c>
      <c r="AZ357" s="940"/>
      <c r="BA357" s="962"/>
      <c r="BB357" s="962"/>
      <c r="BC357" s="611"/>
      <c r="BD357" s="712">
        <v>28</v>
      </c>
      <c r="BE357" s="596">
        <v>0</v>
      </c>
      <c r="BF357" s="596">
        <f t="shared" si="191"/>
        <v>28</v>
      </c>
      <c r="BG357" s="728">
        <v>28</v>
      </c>
      <c r="BH357" s="728"/>
      <c r="BI357" s="729">
        <f t="shared" si="182"/>
        <v>28</v>
      </c>
      <c r="BJ357" s="729"/>
      <c r="BK357" s="616">
        <v>1400</v>
      </c>
      <c r="BL357" s="603">
        <f t="shared" si="190"/>
        <v>28</v>
      </c>
      <c r="BM357" s="964"/>
      <c r="BN357" s="602">
        <f t="shared" si="194"/>
        <v>0</v>
      </c>
      <c r="BO357" s="940"/>
      <c r="BP357" s="593">
        <f t="shared" si="197"/>
        <v>0</v>
      </c>
      <c r="BS357" s="741">
        <v>0</v>
      </c>
      <c r="BT357" s="741">
        <v>0</v>
      </c>
      <c r="BU357" s="741">
        <f t="shared" si="198"/>
        <v>0</v>
      </c>
      <c r="BV357" s="741">
        <v>0</v>
      </c>
      <c r="BW357" s="741"/>
      <c r="BX357" s="741">
        <v>28</v>
      </c>
      <c r="BY357" s="741">
        <v>0</v>
      </c>
      <c r="BZ357" s="741">
        <f t="shared" si="183"/>
        <v>28</v>
      </c>
      <c r="CA357" s="741">
        <v>28</v>
      </c>
      <c r="CB357" s="741"/>
      <c r="CC357" s="741">
        <f t="shared" si="199"/>
        <v>28</v>
      </c>
      <c r="CD357" s="751"/>
      <c r="CE357" s="748">
        <v>28</v>
      </c>
      <c r="CF357" s="748"/>
      <c r="CG357" s="748">
        <f t="shared" si="200"/>
        <v>28</v>
      </c>
      <c r="CH357" s="759">
        <v>28</v>
      </c>
      <c r="CI357" s="742"/>
      <c r="CJ357" s="591">
        <f t="shared" si="201"/>
        <v>0</v>
      </c>
    </row>
    <row r="358" spans="1:88" ht="21.6" customHeight="1" x14ac:dyDescent="0.25">
      <c r="A358" s="596"/>
      <c r="B358" s="596" t="s">
        <v>196</v>
      </c>
      <c r="C358" s="597" t="s">
        <v>297</v>
      </c>
      <c r="D358" s="134" t="s">
        <v>431</v>
      </c>
      <c r="E358" s="598">
        <v>1.6666666666666667</v>
      </c>
      <c r="F358" s="596">
        <v>0</v>
      </c>
      <c r="G358" s="598">
        <v>1.6666666666666667</v>
      </c>
      <c r="H358" s="596"/>
      <c r="I358" s="596">
        <f t="shared" si="188"/>
        <v>0</v>
      </c>
      <c r="J358" s="728">
        <f>5</f>
        <v>5</v>
      </c>
      <c r="K358" s="728">
        <f>0</f>
        <v>0</v>
      </c>
      <c r="L358" s="731">
        <f t="shared" si="180"/>
        <v>5</v>
      </c>
      <c r="M358" s="947"/>
      <c r="N358" s="617">
        <v>25</v>
      </c>
      <c r="O358" s="602">
        <f t="shared" si="173"/>
        <v>1.6666666666666667</v>
      </c>
      <c r="P358" s="940"/>
      <c r="Q358" s="600">
        <f t="shared" si="192"/>
        <v>0</v>
      </c>
      <c r="R358" s="940"/>
      <c r="S358" s="596">
        <v>0</v>
      </c>
      <c r="T358" s="724"/>
      <c r="U358" s="728"/>
      <c r="V358" s="728"/>
      <c r="W358" s="731">
        <f t="shared" si="181"/>
        <v>0</v>
      </c>
      <c r="X358" s="947"/>
      <c r="Y358" s="616"/>
      <c r="Z358" s="602">
        <f t="shared" si="184"/>
        <v>0</v>
      </c>
      <c r="AA358" s="835"/>
      <c r="AB358" s="602">
        <f t="shared" si="185"/>
        <v>0</v>
      </c>
      <c r="AC358" s="940"/>
      <c r="AD358" s="956"/>
      <c r="AE358" s="956"/>
      <c r="AF358" s="598">
        <v>2</v>
      </c>
      <c r="AG358" s="596"/>
      <c r="AH358" s="728">
        <v>6</v>
      </c>
      <c r="AI358" s="728"/>
      <c r="AJ358" s="729">
        <f t="shared" si="195"/>
        <v>6</v>
      </c>
      <c r="AK358" s="946"/>
      <c r="AL358" s="616">
        <v>30</v>
      </c>
      <c r="AM358" s="602">
        <f t="shared" si="189"/>
        <v>2</v>
      </c>
      <c r="AN358" s="835"/>
      <c r="AO358" s="835">
        <f t="shared" si="193"/>
        <v>0</v>
      </c>
      <c r="AP358" s="940"/>
      <c r="AQ358" s="722">
        <v>0</v>
      </c>
      <c r="AR358" s="728"/>
      <c r="AS358" s="728"/>
      <c r="AT358" s="729">
        <f t="shared" si="196"/>
        <v>0</v>
      </c>
      <c r="AU358" s="946"/>
      <c r="AV358" s="616"/>
      <c r="AW358" s="602">
        <f t="shared" si="186"/>
        <v>0</v>
      </c>
      <c r="AX358" s="940"/>
      <c r="AY358" s="602">
        <f t="shared" si="187"/>
        <v>0</v>
      </c>
      <c r="AZ358" s="940"/>
      <c r="BA358" s="962"/>
      <c r="BB358" s="962"/>
      <c r="BC358" s="611"/>
      <c r="BD358" s="712">
        <v>3</v>
      </c>
      <c r="BE358" s="596">
        <v>3</v>
      </c>
      <c r="BF358" s="596">
        <f t="shared" si="191"/>
        <v>0</v>
      </c>
      <c r="BG358" s="728">
        <v>11</v>
      </c>
      <c r="BH358" s="728"/>
      <c r="BI358" s="729">
        <f t="shared" si="182"/>
        <v>11</v>
      </c>
      <c r="BJ358" s="729"/>
      <c r="BK358" s="616">
        <v>150</v>
      </c>
      <c r="BL358" s="603">
        <f t="shared" si="190"/>
        <v>3</v>
      </c>
      <c r="BM358" s="964"/>
      <c r="BN358" s="602">
        <f t="shared" si="194"/>
        <v>0</v>
      </c>
      <c r="BO358" s="940"/>
      <c r="BP358" s="593">
        <f t="shared" si="197"/>
        <v>0</v>
      </c>
      <c r="BS358" s="741">
        <v>0</v>
      </c>
      <c r="BT358" s="741">
        <v>0</v>
      </c>
      <c r="BU358" s="741">
        <f t="shared" si="198"/>
        <v>0</v>
      </c>
      <c r="BV358" s="741">
        <v>0</v>
      </c>
      <c r="BW358" s="741"/>
      <c r="BX358" s="741">
        <v>6</v>
      </c>
      <c r="BY358" s="741">
        <v>0</v>
      </c>
      <c r="BZ358" s="741">
        <f t="shared" si="183"/>
        <v>6</v>
      </c>
      <c r="CA358" s="741">
        <v>2</v>
      </c>
      <c r="CB358" s="741"/>
      <c r="CC358" s="741">
        <f t="shared" si="199"/>
        <v>2</v>
      </c>
      <c r="CD358" s="751"/>
      <c r="CE358" s="748">
        <v>11</v>
      </c>
      <c r="CF358" s="748"/>
      <c r="CG358" s="748">
        <f t="shared" si="200"/>
        <v>11</v>
      </c>
      <c r="CH358" s="759">
        <v>3</v>
      </c>
      <c r="CI358" s="742"/>
      <c r="CJ358" s="591">
        <f t="shared" si="201"/>
        <v>0</v>
      </c>
    </row>
    <row r="359" spans="1:88" ht="21.6" customHeight="1" x14ac:dyDescent="0.25">
      <c r="A359" s="596" t="s">
        <v>130</v>
      </c>
      <c r="B359" s="596" t="s">
        <v>196</v>
      </c>
      <c r="C359" s="597" t="s">
        <v>208</v>
      </c>
      <c r="D359" s="182" t="s">
        <v>431</v>
      </c>
      <c r="E359" s="598">
        <v>2.3333333333333335</v>
      </c>
      <c r="F359" s="596">
        <v>0</v>
      </c>
      <c r="G359" s="598">
        <v>2.3333333333333335</v>
      </c>
      <c r="H359" s="596"/>
      <c r="I359" s="596">
        <f t="shared" si="188"/>
        <v>0</v>
      </c>
      <c r="J359" s="728">
        <f>3</f>
        <v>3</v>
      </c>
      <c r="K359" s="728">
        <f>2</f>
        <v>2</v>
      </c>
      <c r="L359" s="731">
        <f t="shared" si="180"/>
        <v>5</v>
      </c>
      <c r="M359" s="947"/>
      <c r="N359" s="617">
        <v>35</v>
      </c>
      <c r="O359" s="602">
        <f t="shared" ref="O359:O425" si="202">N359/15</f>
        <v>2.3333333333333335</v>
      </c>
      <c r="P359" s="940"/>
      <c r="Q359" s="600">
        <f t="shared" si="192"/>
        <v>0</v>
      </c>
      <c r="R359" s="940"/>
      <c r="S359" s="596">
        <v>0</v>
      </c>
      <c r="T359" s="724"/>
      <c r="U359" s="728"/>
      <c r="V359" s="728"/>
      <c r="W359" s="731">
        <f t="shared" si="181"/>
        <v>0</v>
      </c>
      <c r="X359" s="947"/>
      <c r="Y359" s="616"/>
      <c r="Z359" s="602">
        <f t="shared" si="184"/>
        <v>0</v>
      </c>
      <c r="AA359" s="835"/>
      <c r="AB359" s="602">
        <f t="shared" si="185"/>
        <v>0</v>
      </c>
      <c r="AC359" s="940"/>
      <c r="AD359" s="956"/>
      <c r="AE359" s="956"/>
      <c r="AF359" s="598">
        <v>0.66666666666666663</v>
      </c>
      <c r="AG359" s="596"/>
      <c r="AH359" s="728">
        <v>2</v>
      </c>
      <c r="AI359" s="728"/>
      <c r="AJ359" s="729">
        <f t="shared" si="195"/>
        <v>2</v>
      </c>
      <c r="AK359" s="946"/>
      <c r="AL359" s="616">
        <v>10</v>
      </c>
      <c r="AM359" s="602">
        <f t="shared" si="189"/>
        <v>0.66666666666666663</v>
      </c>
      <c r="AN359" s="835"/>
      <c r="AO359" s="835">
        <f t="shared" si="193"/>
        <v>0</v>
      </c>
      <c r="AP359" s="940"/>
      <c r="AQ359" s="722">
        <v>0</v>
      </c>
      <c r="AR359" s="728"/>
      <c r="AS359" s="728"/>
      <c r="AT359" s="729">
        <f t="shared" si="196"/>
        <v>0</v>
      </c>
      <c r="AU359" s="946"/>
      <c r="AV359" s="616"/>
      <c r="AW359" s="602">
        <f t="shared" si="186"/>
        <v>0</v>
      </c>
      <c r="AX359" s="940"/>
      <c r="AY359" s="602">
        <f t="shared" si="187"/>
        <v>0</v>
      </c>
      <c r="AZ359" s="940"/>
      <c r="BA359" s="962"/>
      <c r="BB359" s="962"/>
      <c r="BC359" s="611"/>
      <c r="BD359" s="712">
        <v>3</v>
      </c>
      <c r="BE359" s="596">
        <v>3</v>
      </c>
      <c r="BF359" s="596">
        <f t="shared" si="191"/>
        <v>0</v>
      </c>
      <c r="BG359" s="728">
        <v>5</v>
      </c>
      <c r="BH359" s="728">
        <v>2</v>
      </c>
      <c r="BI359" s="729">
        <f t="shared" si="182"/>
        <v>7</v>
      </c>
      <c r="BJ359" s="729"/>
      <c r="BK359" s="616">
        <v>150</v>
      </c>
      <c r="BL359" s="603">
        <f t="shared" si="190"/>
        <v>3</v>
      </c>
      <c r="BM359" s="964"/>
      <c r="BN359" s="602">
        <f t="shared" si="194"/>
        <v>0</v>
      </c>
      <c r="BO359" s="940"/>
      <c r="BP359" s="593">
        <f t="shared" si="197"/>
        <v>0</v>
      </c>
      <c r="BS359" s="741">
        <v>0</v>
      </c>
      <c r="BT359" s="741">
        <v>0</v>
      </c>
      <c r="BU359" s="741">
        <f t="shared" si="198"/>
        <v>0</v>
      </c>
      <c r="BV359" s="741">
        <v>0</v>
      </c>
      <c r="BW359" s="741"/>
      <c r="BX359" s="741">
        <v>2</v>
      </c>
      <c r="BY359" s="741">
        <v>0</v>
      </c>
      <c r="BZ359" s="741">
        <f t="shared" si="183"/>
        <v>2</v>
      </c>
      <c r="CA359" s="741">
        <v>0.66666666666666663</v>
      </c>
      <c r="CB359" s="741"/>
      <c r="CC359" s="741">
        <f t="shared" si="199"/>
        <v>0.66666666666666663</v>
      </c>
      <c r="CD359" s="751"/>
      <c r="CE359" s="748">
        <v>5</v>
      </c>
      <c r="CF359" s="748">
        <v>2</v>
      </c>
      <c r="CG359" s="748">
        <f t="shared" si="200"/>
        <v>7</v>
      </c>
      <c r="CH359" s="759">
        <v>3</v>
      </c>
      <c r="CI359" s="742"/>
      <c r="CJ359" s="591">
        <f t="shared" si="201"/>
        <v>0</v>
      </c>
    </row>
    <row r="360" spans="1:88" ht="21.6" customHeight="1" x14ac:dyDescent="0.25">
      <c r="A360" s="596" t="s">
        <v>130</v>
      </c>
      <c r="B360" s="596" t="s">
        <v>196</v>
      </c>
      <c r="C360" s="597" t="s">
        <v>209</v>
      </c>
      <c r="D360" s="134" t="s">
        <v>431</v>
      </c>
      <c r="E360" s="598">
        <v>4</v>
      </c>
      <c r="F360" s="596">
        <v>0</v>
      </c>
      <c r="G360" s="598">
        <v>4</v>
      </c>
      <c r="H360" s="596"/>
      <c r="I360" s="596">
        <f t="shared" si="188"/>
        <v>0</v>
      </c>
      <c r="J360" s="728">
        <f>9</f>
        <v>9</v>
      </c>
      <c r="K360" s="728">
        <f>0</f>
        <v>0</v>
      </c>
      <c r="L360" s="731">
        <f t="shared" si="180"/>
        <v>9</v>
      </c>
      <c r="M360" s="947"/>
      <c r="N360" s="617">
        <v>60</v>
      </c>
      <c r="O360" s="602">
        <f t="shared" si="202"/>
        <v>4</v>
      </c>
      <c r="P360" s="940"/>
      <c r="Q360" s="600">
        <f t="shared" si="192"/>
        <v>0</v>
      </c>
      <c r="R360" s="940"/>
      <c r="S360" s="596">
        <v>0</v>
      </c>
      <c r="T360" s="724"/>
      <c r="U360" s="728"/>
      <c r="V360" s="728"/>
      <c r="W360" s="731">
        <f t="shared" si="181"/>
        <v>0</v>
      </c>
      <c r="X360" s="947"/>
      <c r="Y360" s="616"/>
      <c r="Z360" s="602">
        <f t="shared" si="184"/>
        <v>0</v>
      </c>
      <c r="AA360" s="835"/>
      <c r="AB360" s="602">
        <f t="shared" si="185"/>
        <v>0</v>
      </c>
      <c r="AC360" s="940"/>
      <c r="AD360" s="956"/>
      <c r="AE360" s="956"/>
      <c r="AF360" s="598">
        <v>3.6666666666666665</v>
      </c>
      <c r="AG360" s="596"/>
      <c r="AH360" s="728">
        <v>7</v>
      </c>
      <c r="AI360" s="728"/>
      <c r="AJ360" s="729">
        <f t="shared" si="195"/>
        <v>7</v>
      </c>
      <c r="AK360" s="946"/>
      <c r="AL360" s="616">
        <v>55</v>
      </c>
      <c r="AM360" s="602">
        <f t="shared" si="189"/>
        <v>3.6666666666666665</v>
      </c>
      <c r="AN360" s="835"/>
      <c r="AO360" s="835">
        <f t="shared" si="193"/>
        <v>0</v>
      </c>
      <c r="AP360" s="940"/>
      <c r="AQ360" s="722">
        <v>0</v>
      </c>
      <c r="AR360" s="728"/>
      <c r="AS360" s="728"/>
      <c r="AT360" s="729">
        <f t="shared" si="196"/>
        <v>0</v>
      </c>
      <c r="AU360" s="946"/>
      <c r="AV360" s="616"/>
      <c r="AW360" s="602">
        <f t="shared" si="186"/>
        <v>0</v>
      </c>
      <c r="AX360" s="940"/>
      <c r="AY360" s="602">
        <f t="shared" si="187"/>
        <v>0</v>
      </c>
      <c r="AZ360" s="940"/>
      <c r="BA360" s="962"/>
      <c r="BB360" s="962"/>
      <c r="BC360" s="611"/>
      <c r="BD360" s="712">
        <v>11</v>
      </c>
      <c r="BE360" s="596">
        <v>8</v>
      </c>
      <c r="BF360" s="596">
        <f t="shared" si="191"/>
        <v>3</v>
      </c>
      <c r="BG360" s="728">
        <f>16+1</f>
        <v>17</v>
      </c>
      <c r="BH360" s="728">
        <v>1</v>
      </c>
      <c r="BI360" s="729">
        <f t="shared" si="182"/>
        <v>18</v>
      </c>
      <c r="BJ360" s="729"/>
      <c r="BK360" s="616">
        <f>400+150</f>
        <v>550</v>
      </c>
      <c r="BL360" s="603">
        <f t="shared" si="190"/>
        <v>11</v>
      </c>
      <c r="BM360" s="964"/>
      <c r="BN360" s="602">
        <f t="shared" si="194"/>
        <v>0</v>
      </c>
      <c r="BO360" s="940"/>
      <c r="BP360" s="593">
        <f t="shared" si="197"/>
        <v>0</v>
      </c>
      <c r="BS360" s="741">
        <v>0</v>
      </c>
      <c r="BT360" s="741">
        <v>0</v>
      </c>
      <c r="BU360" s="741">
        <f t="shared" si="198"/>
        <v>0</v>
      </c>
      <c r="BV360" s="741">
        <v>0</v>
      </c>
      <c r="BW360" s="741"/>
      <c r="BX360" s="741">
        <v>7</v>
      </c>
      <c r="BY360" s="741">
        <v>0</v>
      </c>
      <c r="BZ360" s="741">
        <f t="shared" si="183"/>
        <v>7</v>
      </c>
      <c r="CA360" s="741">
        <v>3.6666666666666665</v>
      </c>
      <c r="CB360" s="741"/>
      <c r="CC360" s="741">
        <f t="shared" si="199"/>
        <v>3.6666666666666665</v>
      </c>
      <c r="CD360" s="751"/>
      <c r="CE360" s="748">
        <v>16</v>
      </c>
      <c r="CF360" s="748"/>
      <c r="CG360" s="748">
        <f t="shared" si="200"/>
        <v>16</v>
      </c>
      <c r="CH360" s="759">
        <v>8</v>
      </c>
      <c r="CI360" s="742"/>
      <c r="CJ360" s="591">
        <f t="shared" si="201"/>
        <v>0</v>
      </c>
    </row>
    <row r="361" spans="1:88" ht="21.6" customHeight="1" x14ac:dyDescent="0.25">
      <c r="A361" s="596"/>
      <c r="B361" s="596"/>
      <c r="C361" s="597"/>
      <c r="D361" s="143"/>
      <c r="E361" s="598">
        <v>0</v>
      </c>
      <c r="F361" s="596">
        <v>0</v>
      </c>
      <c r="G361" s="598"/>
      <c r="H361" s="596"/>
      <c r="I361" s="596">
        <f t="shared" si="188"/>
        <v>0</v>
      </c>
      <c r="J361" s="728"/>
      <c r="K361" s="728"/>
      <c r="L361" s="731">
        <f t="shared" si="180"/>
        <v>0</v>
      </c>
      <c r="M361" s="947"/>
      <c r="N361" s="617"/>
      <c r="O361" s="602">
        <f t="shared" si="202"/>
        <v>0</v>
      </c>
      <c r="P361" s="940"/>
      <c r="Q361" s="600">
        <f t="shared" si="192"/>
        <v>0</v>
      </c>
      <c r="R361" s="940"/>
      <c r="S361" s="596">
        <v>0</v>
      </c>
      <c r="T361" s="724"/>
      <c r="U361" s="728"/>
      <c r="V361" s="728"/>
      <c r="W361" s="731">
        <f t="shared" si="181"/>
        <v>0</v>
      </c>
      <c r="X361" s="947"/>
      <c r="Y361" s="616"/>
      <c r="Z361" s="602">
        <f t="shared" si="184"/>
        <v>0</v>
      </c>
      <c r="AA361" s="835"/>
      <c r="AB361" s="602">
        <f t="shared" si="185"/>
        <v>0</v>
      </c>
      <c r="AC361" s="940"/>
      <c r="AD361" s="956"/>
      <c r="AE361" s="956"/>
      <c r="AF361" s="598"/>
      <c r="AG361" s="596"/>
      <c r="AH361" s="728"/>
      <c r="AI361" s="728"/>
      <c r="AJ361" s="729">
        <f t="shared" si="195"/>
        <v>0</v>
      </c>
      <c r="AK361" s="946"/>
      <c r="AL361" s="616"/>
      <c r="AM361" s="602">
        <f t="shared" si="189"/>
        <v>0</v>
      </c>
      <c r="AN361" s="835"/>
      <c r="AO361" s="835">
        <f t="shared" si="193"/>
        <v>0</v>
      </c>
      <c r="AP361" s="940"/>
      <c r="AQ361" s="722">
        <v>0</v>
      </c>
      <c r="AR361" s="728"/>
      <c r="AS361" s="728"/>
      <c r="AT361" s="729">
        <f t="shared" si="196"/>
        <v>0</v>
      </c>
      <c r="AU361" s="946"/>
      <c r="AV361" s="616"/>
      <c r="AW361" s="602">
        <f t="shared" si="186"/>
        <v>0</v>
      </c>
      <c r="AX361" s="940"/>
      <c r="AY361" s="602">
        <f t="shared" si="187"/>
        <v>0</v>
      </c>
      <c r="AZ361" s="940"/>
      <c r="BA361" s="962"/>
      <c r="BB361" s="962"/>
      <c r="BC361" s="611"/>
      <c r="BD361" s="712"/>
      <c r="BE361" s="596"/>
      <c r="BF361" s="596">
        <f t="shared" si="191"/>
        <v>0</v>
      </c>
      <c r="BG361" s="728"/>
      <c r="BH361" s="728"/>
      <c r="BI361" s="729">
        <f t="shared" si="182"/>
        <v>0</v>
      </c>
      <c r="BJ361" s="729"/>
      <c r="BK361" s="616"/>
      <c r="BL361" s="603">
        <f t="shared" si="190"/>
        <v>0</v>
      </c>
      <c r="BM361" s="964"/>
      <c r="BN361" s="602">
        <f t="shared" si="194"/>
        <v>0</v>
      </c>
      <c r="BO361" s="940"/>
      <c r="BP361" s="593">
        <f t="shared" si="197"/>
        <v>0</v>
      </c>
      <c r="BS361" s="741">
        <v>0</v>
      </c>
      <c r="BT361" s="741">
        <v>0</v>
      </c>
      <c r="BU361" s="741">
        <f t="shared" si="198"/>
        <v>0</v>
      </c>
      <c r="BV361" s="741">
        <v>0</v>
      </c>
      <c r="BW361" s="741"/>
      <c r="BX361" s="741">
        <v>0</v>
      </c>
      <c r="BY361" s="741">
        <v>0</v>
      </c>
      <c r="BZ361" s="741">
        <f t="shared" si="183"/>
        <v>0</v>
      </c>
      <c r="CA361" s="741">
        <v>0</v>
      </c>
      <c r="CB361" s="741"/>
      <c r="CC361" s="741">
        <f t="shared" si="199"/>
        <v>0</v>
      </c>
      <c r="CD361" s="751"/>
      <c r="CE361" s="748"/>
      <c r="CF361" s="748"/>
      <c r="CG361" s="748">
        <f t="shared" si="200"/>
        <v>0</v>
      </c>
      <c r="CH361" s="759"/>
      <c r="CI361" s="742"/>
      <c r="CJ361" s="591">
        <f t="shared" si="201"/>
        <v>0</v>
      </c>
    </row>
    <row r="362" spans="1:88" s="594" customFormat="1" ht="21.6" customHeight="1" x14ac:dyDescent="0.25">
      <c r="A362" s="612" t="s">
        <v>130</v>
      </c>
      <c r="B362" s="612" t="s">
        <v>752</v>
      </c>
      <c r="C362" s="613" t="s">
        <v>529</v>
      </c>
      <c r="D362" s="167" t="s">
        <v>431</v>
      </c>
      <c r="E362" s="614">
        <v>20.333333333333332</v>
      </c>
      <c r="F362" s="612">
        <v>42.333333333333329</v>
      </c>
      <c r="G362" s="614">
        <v>0</v>
      </c>
      <c r="H362" s="612">
        <v>0</v>
      </c>
      <c r="I362" s="612">
        <f t="shared" si="188"/>
        <v>42.333333333333329</v>
      </c>
      <c r="J362" s="728">
        <f>4+6</f>
        <v>10</v>
      </c>
      <c r="K362" s="728">
        <f>4+8</f>
        <v>12</v>
      </c>
      <c r="L362" s="731">
        <f t="shared" si="180"/>
        <v>22</v>
      </c>
      <c r="M362" s="947">
        <f>SUM(L362:L365)</f>
        <v>59</v>
      </c>
      <c r="N362" s="617">
        <f>95+190</f>
        <v>285</v>
      </c>
      <c r="O362" s="602">
        <f t="shared" si="202"/>
        <v>19</v>
      </c>
      <c r="P362" s="940">
        <f>SUM(O362:O365)</f>
        <v>42.333333333333336</v>
      </c>
      <c r="Q362" s="600">
        <f t="shared" si="192"/>
        <v>1.3333333333333321</v>
      </c>
      <c r="R362" s="940">
        <f>SUM(Q362:Q365)</f>
        <v>-1.7763568394002505E-15</v>
      </c>
      <c r="S362" s="596">
        <v>0</v>
      </c>
      <c r="T362" s="724">
        <f>SUM(S362:S365)</f>
        <v>0</v>
      </c>
      <c r="U362" s="728"/>
      <c r="V362" s="728"/>
      <c r="W362" s="731">
        <f t="shared" si="181"/>
        <v>0</v>
      </c>
      <c r="X362" s="947">
        <f>SUM(W362:W365)</f>
        <v>0</v>
      </c>
      <c r="Y362" s="616"/>
      <c r="Z362" s="602">
        <f t="shared" si="184"/>
        <v>0</v>
      </c>
      <c r="AA362" s="835">
        <f>SUM(Z362:Z365)</f>
        <v>0</v>
      </c>
      <c r="AB362" s="602">
        <f t="shared" si="185"/>
        <v>0</v>
      </c>
      <c r="AC362" s="940">
        <f>SUM(AB362:AB365)</f>
        <v>0</v>
      </c>
      <c r="AD362" s="955">
        <f>M362+X362</f>
        <v>59</v>
      </c>
      <c r="AE362" s="955">
        <f>R362+AC362</f>
        <v>-1.7763568394002505E-15</v>
      </c>
      <c r="AF362" s="614">
        <v>0</v>
      </c>
      <c r="AG362" s="612">
        <v>2</v>
      </c>
      <c r="AH362" s="728"/>
      <c r="AI362" s="728"/>
      <c r="AJ362" s="729">
        <f t="shared" si="195"/>
        <v>0</v>
      </c>
      <c r="AK362" s="946">
        <f>SUM(AJ362:AJ365)</f>
        <v>3</v>
      </c>
      <c r="AL362" s="616"/>
      <c r="AM362" s="602">
        <f t="shared" si="189"/>
        <v>0</v>
      </c>
      <c r="AN362" s="835">
        <f>SUM(AM362:AM365)</f>
        <v>2</v>
      </c>
      <c r="AO362" s="835">
        <f t="shared" si="193"/>
        <v>0</v>
      </c>
      <c r="AP362" s="940">
        <f>SUM(AO362:AO365)</f>
        <v>0</v>
      </c>
      <c r="AQ362" s="722">
        <v>0</v>
      </c>
      <c r="AR362" s="728"/>
      <c r="AS362" s="728"/>
      <c r="AT362" s="729">
        <f t="shared" si="196"/>
        <v>0</v>
      </c>
      <c r="AU362" s="946">
        <f>SUM(AT362:AT365)</f>
        <v>13</v>
      </c>
      <c r="AV362" s="616"/>
      <c r="AW362" s="602">
        <f t="shared" si="186"/>
        <v>0</v>
      </c>
      <c r="AX362" s="940">
        <f>SUM(AW362:AW365)</f>
        <v>12</v>
      </c>
      <c r="AY362" s="602">
        <f t="shared" si="187"/>
        <v>0</v>
      </c>
      <c r="AZ362" s="940">
        <f>SUM(AY362:AY365)</f>
        <v>0</v>
      </c>
      <c r="BA362" s="961">
        <f>AK362+AU362</f>
        <v>16</v>
      </c>
      <c r="BB362" s="961">
        <f>AP362+AZ362</f>
        <v>0</v>
      </c>
      <c r="BC362" s="614">
        <f>SUM(BD362:BD365)</f>
        <v>44</v>
      </c>
      <c r="BD362" s="716">
        <v>20</v>
      </c>
      <c r="BE362" s="612">
        <v>0</v>
      </c>
      <c r="BF362" s="596">
        <f t="shared" si="191"/>
        <v>20</v>
      </c>
      <c r="BG362" s="728">
        <f>4+6</f>
        <v>10</v>
      </c>
      <c r="BH362" s="728">
        <f>4+8</f>
        <v>12</v>
      </c>
      <c r="BI362" s="729">
        <f t="shared" si="182"/>
        <v>22</v>
      </c>
      <c r="BJ362" s="729">
        <f>SUM(BI362:BI365)</f>
        <v>66</v>
      </c>
      <c r="BK362" s="616">
        <v>1000</v>
      </c>
      <c r="BL362" s="603">
        <f t="shared" si="190"/>
        <v>20</v>
      </c>
      <c r="BM362" s="964">
        <f>SUM(BL362:BL365)</f>
        <v>51</v>
      </c>
      <c r="BN362" s="602">
        <f t="shared" si="194"/>
        <v>0</v>
      </c>
      <c r="BO362" s="940">
        <f>SUM(BN362:BN365)</f>
        <v>-7</v>
      </c>
      <c r="BP362" s="593">
        <f t="shared" si="197"/>
        <v>-7.0000000000000018</v>
      </c>
      <c r="BS362" s="745">
        <v>0</v>
      </c>
      <c r="BT362" s="745">
        <v>0</v>
      </c>
      <c r="BU362" s="741">
        <f t="shared" si="198"/>
        <v>0</v>
      </c>
      <c r="BV362" s="745">
        <v>0</v>
      </c>
      <c r="BW362" s="745">
        <f>SUM(BV362:BV365)</f>
        <v>0</v>
      </c>
      <c r="BX362" s="745">
        <v>0</v>
      </c>
      <c r="BY362" s="745">
        <v>0</v>
      </c>
      <c r="BZ362" s="741">
        <f t="shared" si="183"/>
        <v>0</v>
      </c>
      <c r="CA362" s="745">
        <v>0</v>
      </c>
      <c r="CB362" s="745">
        <f>SUM(CA362:CA365)</f>
        <v>0</v>
      </c>
      <c r="CC362" s="741">
        <f t="shared" si="199"/>
        <v>0</v>
      </c>
      <c r="CD362" s="756">
        <f>SUM(CC362:CC365)</f>
        <v>0</v>
      </c>
      <c r="CE362" s="748"/>
      <c r="CF362" s="748"/>
      <c r="CG362" s="748">
        <f t="shared" si="200"/>
        <v>0</v>
      </c>
      <c r="CH362" s="766"/>
      <c r="CI362" s="745">
        <f>SUM(CH362:CH365)</f>
        <v>0</v>
      </c>
      <c r="CJ362" s="594">
        <f t="shared" si="201"/>
        <v>1.3333333333333321</v>
      </c>
    </row>
    <row r="363" spans="1:88" ht="21.6" customHeight="1" x14ac:dyDescent="0.25">
      <c r="A363" s="596"/>
      <c r="B363" s="596" t="s">
        <v>752</v>
      </c>
      <c r="C363" s="597" t="s">
        <v>530</v>
      </c>
      <c r="D363" s="167" t="s">
        <v>431</v>
      </c>
      <c r="E363" s="598">
        <v>10</v>
      </c>
      <c r="F363" s="596">
        <v>0</v>
      </c>
      <c r="G363" s="598"/>
      <c r="H363" s="596"/>
      <c r="I363" s="596">
        <f t="shared" si="188"/>
        <v>0</v>
      </c>
      <c r="J363" s="728">
        <v>5</v>
      </c>
      <c r="K363" s="728">
        <v>9</v>
      </c>
      <c r="L363" s="731">
        <f t="shared" si="180"/>
        <v>14</v>
      </c>
      <c r="M363" s="947"/>
      <c r="N363" s="617">
        <v>150</v>
      </c>
      <c r="O363" s="602">
        <f t="shared" si="202"/>
        <v>10</v>
      </c>
      <c r="P363" s="940"/>
      <c r="Q363" s="600">
        <f t="shared" si="192"/>
        <v>0</v>
      </c>
      <c r="R363" s="940"/>
      <c r="S363" s="596">
        <v>0</v>
      </c>
      <c r="T363" s="724"/>
      <c r="U363" s="728"/>
      <c r="V363" s="728"/>
      <c r="W363" s="731">
        <f t="shared" si="181"/>
        <v>0</v>
      </c>
      <c r="X363" s="947"/>
      <c r="Y363" s="616"/>
      <c r="Z363" s="602">
        <f t="shared" si="184"/>
        <v>0</v>
      </c>
      <c r="AA363" s="835"/>
      <c r="AB363" s="602">
        <f t="shared" si="185"/>
        <v>0</v>
      </c>
      <c r="AC363" s="940"/>
      <c r="AD363" s="956"/>
      <c r="AE363" s="956"/>
      <c r="AF363" s="598">
        <v>0</v>
      </c>
      <c r="AG363" s="596"/>
      <c r="AH363" s="728"/>
      <c r="AI363" s="728"/>
      <c r="AJ363" s="729">
        <f t="shared" si="195"/>
        <v>0</v>
      </c>
      <c r="AK363" s="946"/>
      <c r="AL363" s="616"/>
      <c r="AM363" s="602">
        <f t="shared" si="189"/>
        <v>0</v>
      </c>
      <c r="AN363" s="835"/>
      <c r="AO363" s="835">
        <f t="shared" si="193"/>
        <v>0</v>
      </c>
      <c r="AP363" s="940"/>
      <c r="AQ363" s="722">
        <v>0</v>
      </c>
      <c r="AR363" s="728"/>
      <c r="AS363" s="728"/>
      <c r="AT363" s="729">
        <f t="shared" si="196"/>
        <v>0</v>
      </c>
      <c r="AU363" s="946"/>
      <c r="AV363" s="616"/>
      <c r="AW363" s="602">
        <f t="shared" si="186"/>
        <v>0</v>
      </c>
      <c r="AX363" s="940"/>
      <c r="AY363" s="602">
        <f t="shared" si="187"/>
        <v>0</v>
      </c>
      <c r="AZ363" s="940"/>
      <c r="BA363" s="962"/>
      <c r="BB363" s="962"/>
      <c r="BC363" s="598"/>
      <c r="BD363" s="665">
        <v>10</v>
      </c>
      <c r="BE363" s="596">
        <v>0</v>
      </c>
      <c r="BF363" s="596">
        <f t="shared" si="191"/>
        <v>10</v>
      </c>
      <c r="BG363" s="728">
        <v>5</v>
      </c>
      <c r="BH363" s="728">
        <v>9</v>
      </c>
      <c r="BI363" s="729">
        <f t="shared" si="182"/>
        <v>14</v>
      </c>
      <c r="BJ363" s="729"/>
      <c r="BK363" s="616">
        <v>500</v>
      </c>
      <c r="BL363" s="603">
        <f t="shared" si="190"/>
        <v>10</v>
      </c>
      <c r="BM363" s="964"/>
      <c r="BN363" s="602">
        <f t="shared" si="194"/>
        <v>0</v>
      </c>
      <c r="BO363" s="940"/>
      <c r="BP363" s="593">
        <f t="shared" si="197"/>
        <v>0</v>
      </c>
      <c r="BS363" s="741">
        <v>0</v>
      </c>
      <c r="BT363" s="741">
        <v>0</v>
      </c>
      <c r="BU363" s="741">
        <f t="shared" si="198"/>
        <v>0</v>
      </c>
      <c r="BV363" s="741">
        <v>0</v>
      </c>
      <c r="BW363" s="741"/>
      <c r="BX363" s="741">
        <v>0</v>
      </c>
      <c r="BY363" s="741">
        <v>0</v>
      </c>
      <c r="BZ363" s="741">
        <f t="shared" si="183"/>
        <v>0</v>
      </c>
      <c r="CA363" s="741">
        <v>0</v>
      </c>
      <c r="CB363" s="741"/>
      <c r="CC363" s="741">
        <f t="shared" si="199"/>
        <v>0</v>
      </c>
      <c r="CD363" s="751"/>
      <c r="CE363" s="748"/>
      <c r="CF363" s="748"/>
      <c r="CG363" s="748">
        <f t="shared" si="200"/>
        <v>0</v>
      </c>
      <c r="CH363" s="759"/>
      <c r="CI363" s="742"/>
      <c r="CJ363" s="591">
        <f t="shared" si="201"/>
        <v>0</v>
      </c>
    </row>
    <row r="364" spans="1:88" ht="21.6" customHeight="1" x14ac:dyDescent="0.25">
      <c r="A364" s="596"/>
      <c r="B364" s="596" t="s">
        <v>752</v>
      </c>
      <c r="C364" s="597" t="s">
        <v>531</v>
      </c>
      <c r="D364" s="167" t="s">
        <v>747</v>
      </c>
      <c r="E364" s="598">
        <v>12</v>
      </c>
      <c r="F364" s="596">
        <v>0</v>
      </c>
      <c r="G364" s="598"/>
      <c r="H364" s="596"/>
      <c r="I364" s="596">
        <f t="shared" si="188"/>
        <v>0</v>
      </c>
      <c r="J364" s="728">
        <f>5+12</f>
        <v>17</v>
      </c>
      <c r="K364" s="728">
        <f>2+1</f>
        <v>3</v>
      </c>
      <c r="L364" s="731">
        <f t="shared" si="180"/>
        <v>20</v>
      </c>
      <c r="M364" s="947"/>
      <c r="N364" s="617">
        <f>70+100</f>
        <v>170</v>
      </c>
      <c r="O364" s="602">
        <f t="shared" si="202"/>
        <v>11.333333333333334</v>
      </c>
      <c r="P364" s="940"/>
      <c r="Q364" s="600">
        <f t="shared" si="192"/>
        <v>0.66666666666666607</v>
      </c>
      <c r="R364" s="940"/>
      <c r="S364" s="596">
        <v>0</v>
      </c>
      <c r="T364" s="724"/>
      <c r="U364" s="728"/>
      <c r="V364" s="728"/>
      <c r="W364" s="731">
        <f t="shared" si="181"/>
        <v>0</v>
      </c>
      <c r="X364" s="947"/>
      <c r="Y364" s="616"/>
      <c r="Z364" s="602">
        <f t="shared" si="184"/>
        <v>0</v>
      </c>
      <c r="AA364" s="835"/>
      <c r="AB364" s="602">
        <f t="shared" si="185"/>
        <v>0</v>
      </c>
      <c r="AC364" s="940"/>
      <c r="AD364" s="956"/>
      <c r="AE364" s="956"/>
      <c r="AF364" s="598">
        <v>0</v>
      </c>
      <c r="AG364" s="596"/>
      <c r="AH364" s="728"/>
      <c r="AI364" s="728"/>
      <c r="AJ364" s="729">
        <f t="shared" si="195"/>
        <v>0</v>
      </c>
      <c r="AK364" s="946"/>
      <c r="AL364" s="616"/>
      <c r="AM364" s="602">
        <f t="shared" si="189"/>
        <v>0</v>
      </c>
      <c r="AN364" s="835"/>
      <c r="AO364" s="835">
        <f t="shared" si="193"/>
        <v>0</v>
      </c>
      <c r="AP364" s="940"/>
      <c r="AQ364" s="722">
        <v>0</v>
      </c>
      <c r="AR364" s="728"/>
      <c r="AS364" s="728"/>
      <c r="AT364" s="729">
        <f t="shared" si="196"/>
        <v>0</v>
      </c>
      <c r="AU364" s="946"/>
      <c r="AV364" s="616"/>
      <c r="AW364" s="602">
        <f t="shared" si="186"/>
        <v>0</v>
      </c>
      <c r="AX364" s="940"/>
      <c r="AY364" s="602">
        <f t="shared" si="187"/>
        <v>0</v>
      </c>
      <c r="AZ364" s="940"/>
      <c r="BA364" s="962"/>
      <c r="BB364" s="962"/>
      <c r="BC364" s="598"/>
      <c r="BD364" s="665">
        <v>7</v>
      </c>
      <c r="BE364" s="596">
        <v>0</v>
      </c>
      <c r="BF364" s="596">
        <f t="shared" si="191"/>
        <v>7</v>
      </c>
      <c r="BG364" s="728">
        <v>13</v>
      </c>
      <c r="BH364" s="728">
        <v>1</v>
      </c>
      <c r="BI364" s="729">
        <f t="shared" si="182"/>
        <v>14</v>
      </c>
      <c r="BJ364" s="729"/>
      <c r="BK364" s="616">
        <f>350</f>
        <v>350</v>
      </c>
      <c r="BL364" s="603">
        <f t="shared" si="190"/>
        <v>7</v>
      </c>
      <c r="BM364" s="964"/>
      <c r="BN364" s="602">
        <f t="shared" si="194"/>
        <v>0</v>
      </c>
      <c r="BO364" s="940"/>
      <c r="BP364" s="593">
        <f t="shared" si="197"/>
        <v>0</v>
      </c>
      <c r="BS364" s="741">
        <v>0</v>
      </c>
      <c r="BT364" s="741">
        <v>0</v>
      </c>
      <c r="BU364" s="741">
        <f t="shared" si="198"/>
        <v>0</v>
      </c>
      <c r="BV364" s="741">
        <v>0</v>
      </c>
      <c r="BW364" s="741"/>
      <c r="BX364" s="741">
        <v>0</v>
      </c>
      <c r="BY364" s="741">
        <v>0</v>
      </c>
      <c r="BZ364" s="741">
        <f t="shared" si="183"/>
        <v>0</v>
      </c>
      <c r="CA364" s="741">
        <v>0</v>
      </c>
      <c r="CB364" s="741"/>
      <c r="CC364" s="741">
        <f t="shared" si="199"/>
        <v>0</v>
      </c>
      <c r="CD364" s="751"/>
      <c r="CE364" s="748"/>
      <c r="CF364" s="748"/>
      <c r="CG364" s="748">
        <f t="shared" si="200"/>
        <v>0</v>
      </c>
      <c r="CH364" s="759"/>
      <c r="CI364" s="742"/>
      <c r="CJ364" s="591">
        <f t="shared" si="201"/>
        <v>0.66666666666666607</v>
      </c>
    </row>
    <row r="365" spans="1:88" ht="21.6" customHeight="1" x14ac:dyDescent="0.25">
      <c r="A365" s="596" t="s">
        <v>130</v>
      </c>
      <c r="B365" s="596" t="s">
        <v>752</v>
      </c>
      <c r="C365" s="597" t="s">
        <v>211</v>
      </c>
      <c r="D365" s="182" t="s">
        <v>437</v>
      </c>
      <c r="E365" s="598">
        <v>0</v>
      </c>
      <c r="F365" s="596">
        <v>0</v>
      </c>
      <c r="G365" s="598">
        <v>0</v>
      </c>
      <c r="H365" s="596"/>
      <c r="I365" s="596">
        <f t="shared" si="188"/>
        <v>0</v>
      </c>
      <c r="J365" s="728">
        <v>3</v>
      </c>
      <c r="K365" s="728">
        <v>0</v>
      </c>
      <c r="L365" s="731">
        <f t="shared" si="180"/>
        <v>3</v>
      </c>
      <c r="M365" s="947"/>
      <c r="N365" s="617">
        <v>30</v>
      </c>
      <c r="O365" s="602">
        <f t="shared" si="202"/>
        <v>2</v>
      </c>
      <c r="P365" s="940"/>
      <c r="Q365" s="600">
        <f t="shared" si="192"/>
        <v>-2</v>
      </c>
      <c r="R365" s="940"/>
      <c r="S365" s="596">
        <v>0</v>
      </c>
      <c r="T365" s="724"/>
      <c r="U365" s="728"/>
      <c r="V365" s="728"/>
      <c r="W365" s="731">
        <f t="shared" si="181"/>
        <v>0</v>
      </c>
      <c r="X365" s="947"/>
      <c r="Y365" s="616"/>
      <c r="Z365" s="602">
        <f t="shared" si="184"/>
        <v>0</v>
      </c>
      <c r="AA365" s="835"/>
      <c r="AB365" s="602">
        <f t="shared" si="185"/>
        <v>0</v>
      </c>
      <c r="AC365" s="940"/>
      <c r="AD365" s="956"/>
      <c r="AE365" s="956"/>
      <c r="AF365" s="598">
        <v>2</v>
      </c>
      <c r="AG365" s="596"/>
      <c r="AH365" s="728">
        <v>3</v>
      </c>
      <c r="AI365" s="728"/>
      <c r="AJ365" s="729">
        <f t="shared" si="195"/>
        <v>3</v>
      </c>
      <c r="AK365" s="946"/>
      <c r="AL365" s="616">
        <v>30</v>
      </c>
      <c r="AM365" s="602">
        <f t="shared" si="189"/>
        <v>2</v>
      </c>
      <c r="AN365" s="835"/>
      <c r="AO365" s="835">
        <f t="shared" si="193"/>
        <v>0</v>
      </c>
      <c r="AP365" s="940"/>
      <c r="AQ365" s="722">
        <v>12</v>
      </c>
      <c r="AR365" s="728">
        <v>7</v>
      </c>
      <c r="AS365" s="728">
        <v>6</v>
      </c>
      <c r="AT365" s="729">
        <f t="shared" si="196"/>
        <v>13</v>
      </c>
      <c r="AU365" s="946"/>
      <c r="AV365" s="616">
        <v>180</v>
      </c>
      <c r="AW365" s="602">
        <f t="shared" si="186"/>
        <v>12</v>
      </c>
      <c r="AX365" s="940"/>
      <c r="AY365" s="602">
        <f t="shared" si="187"/>
        <v>0</v>
      </c>
      <c r="AZ365" s="940"/>
      <c r="BA365" s="962"/>
      <c r="BB365" s="962"/>
      <c r="BC365" s="611"/>
      <c r="BD365" s="712">
        <v>7</v>
      </c>
      <c r="BE365" s="596">
        <v>0</v>
      </c>
      <c r="BF365" s="596">
        <f t="shared" si="191"/>
        <v>7</v>
      </c>
      <c r="BG365" s="728">
        <f>3+7</f>
        <v>10</v>
      </c>
      <c r="BH365" s="728">
        <v>6</v>
      </c>
      <c r="BI365" s="729">
        <f t="shared" si="182"/>
        <v>16</v>
      </c>
      <c r="BJ365" s="729"/>
      <c r="BK365" s="616">
        <f>100+600</f>
        <v>700</v>
      </c>
      <c r="BL365" s="603">
        <f t="shared" si="190"/>
        <v>14</v>
      </c>
      <c r="BM365" s="964"/>
      <c r="BN365" s="602">
        <f t="shared" si="194"/>
        <v>-7</v>
      </c>
      <c r="BO365" s="940"/>
      <c r="BP365" s="593">
        <f t="shared" si="197"/>
        <v>0</v>
      </c>
      <c r="BS365" s="741">
        <v>0</v>
      </c>
      <c r="BT365" s="741">
        <v>0</v>
      </c>
      <c r="BU365" s="741">
        <f t="shared" si="198"/>
        <v>0</v>
      </c>
      <c r="BV365" s="741">
        <v>0</v>
      </c>
      <c r="BW365" s="741"/>
      <c r="BX365" s="741">
        <v>0</v>
      </c>
      <c r="BY365" s="741">
        <v>0</v>
      </c>
      <c r="BZ365" s="741">
        <f t="shared" si="183"/>
        <v>0</v>
      </c>
      <c r="CA365" s="741">
        <v>0</v>
      </c>
      <c r="CB365" s="741"/>
      <c r="CC365" s="741">
        <f t="shared" si="199"/>
        <v>0</v>
      </c>
      <c r="CD365" s="751"/>
      <c r="CE365" s="748"/>
      <c r="CF365" s="748"/>
      <c r="CG365" s="748">
        <f t="shared" si="200"/>
        <v>0</v>
      </c>
      <c r="CH365" s="759"/>
      <c r="CI365" s="742"/>
      <c r="CJ365" s="591">
        <f t="shared" si="201"/>
        <v>-9</v>
      </c>
    </row>
    <row r="366" spans="1:88" ht="21.6" customHeight="1" x14ac:dyDescent="0.25">
      <c r="A366" s="596"/>
      <c r="B366" s="596"/>
      <c r="C366" s="597"/>
      <c r="D366" s="143"/>
      <c r="E366" s="598">
        <v>0</v>
      </c>
      <c r="F366" s="596">
        <v>0</v>
      </c>
      <c r="G366" s="598"/>
      <c r="H366" s="596"/>
      <c r="I366" s="596">
        <f t="shared" si="188"/>
        <v>0</v>
      </c>
      <c r="J366" s="728"/>
      <c r="K366" s="728"/>
      <c r="L366" s="731">
        <f t="shared" si="180"/>
        <v>0</v>
      </c>
      <c r="M366" s="947"/>
      <c r="N366" s="617"/>
      <c r="O366" s="602">
        <f t="shared" si="202"/>
        <v>0</v>
      </c>
      <c r="P366" s="940"/>
      <c r="Q366" s="600">
        <f t="shared" si="192"/>
        <v>0</v>
      </c>
      <c r="R366" s="940"/>
      <c r="S366" s="596">
        <v>0</v>
      </c>
      <c r="T366" s="724"/>
      <c r="U366" s="728"/>
      <c r="V366" s="728"/>
      <c r="W366" s="731">
        <f t="shared" si="181"/>
        <v>0</v>
      </c>
      <c r="X366" s="947"/>
      <c r="Y366" s="616"/>
      <c r="Z366" s="602">
        <f t="shared" si="184"/>
        <v>0</v>
      </c>
      <c r="AA366" s="835"/>
      <c r="AB366" s="602">
        <f t="shared" si="185"/>
        <v>0</v>
      </c>
      <c r="AC366" s="940"/>
      <c r="AD366" s="956"/>
      <c r="AE366" s="956"/>
      <c r="AF366" s="598"/>
      <c r="AG366" s="596"/>
      <c r="AH366" s="728"/>
      <c r="AI366" s="728"/>
      <c r="AJ366" s="729">
        <f t="shared" si="195"/>
        <v>0</v>
      </c>
      <c r="AK366" s="946"/>
      <c r="AL366" s="616"/>
      <c r="AM366" s="602">
        <f t="shared" si="189"/>
        <v>0</v>
      </c>
      <c r="AN366" s="835"/>
      <c r="AO366" s="835">
        <f t="shared" si="193"/>
        <v>0</v>
      </c>
      <c r="AP366" s="940"/>
      <c r="AQ366" s="722">
        <v>0</v>
      </c>
      <c r="AR366" s="728"/>
      <c r="AS366" s="728"/>
      <c r="AT366" s="729">
        <f t="shared" si="196"/>
        <v>0</v>
      </c>
      <c r="AU366" s="946"/>
      <c r="AV366" s="616"/>
      <c r="AW366" s="602">
        <f t="shared" si="186"/>
        <v>0</v>
      </c>
      <c r="AX366" s="940"/>
      <c r="AY366" s="602">
        <f t="shared" si="187"/>
        <v>0</v>
      </c>
      <c r="AZ366" s="940"/>
      <c r="BA366" s="962"/>
      <c r="BB366" s="962"/>
      <c r="BC366" s="611"/>
      <c r="BD366" s="712"/>
      <c r="BE366" s="596"/>
      <c r="BF366" s="596">
        <f t="shared" si="191"/>
        <v>0</v>
      </c>
      <c r="BG366" s="728"/>
      <c r="BH366" s="728"/>
      <c r="BI366" s="729">
        <f t="shared" si="182"/>
        <v>0</v>
      </c>
      <c r="BJ366" s="729"/>
      <c r="BK366" s="616"/>
      <c r="BL366" s="603">
        <f t="shared" si="190"/>
        <v>0</v>
      </c>
      <c r="BM366" s="964"/>
      <c r="BN366" s="602">
        <f t="shared" si="194"/>
        <v>0</v>
      </c>
      <c r="BO366" s="940"/>
      <c r="BP366" s="593">
        <f t="shared" si="197"/>
        <v>0</v>
      </c>
      <c r="BS366" s="741">
        <v>0</v>
      </c>
      <c r="BT366" s="741">
        <v>0</v>
      </c>
      <c r="BU366" s="741">
        <f t="shared" si="198"/>
        <v>0</v>
      </c>
      <c r="BV366" s="741">
        <v>0</v>
      </c>
      <c r="BW366" s="741"/>
      <c r="BX366" s="741">
        <v>0</v>
      </c>
      <c r="BY366" s="741">
        <v>0</v>
      </c>
      <c r="BZ366" s="741">
        <f t="shared" si="183"/>
        <v>0</v>
      </c>
      <c r="CA366" s="741">
        <v>0</v>
      </c>
      <c r="CB366" s="741"/>
      <c r="CC366" s="741">
        <f t="shared" si="199"/>
        <v>0</v>
      </c>
      <c r="CD366" s="751"/>
      <c r="CE366" s="748"/>
      <c r="CF366" s="748"/>
      <c r="CG366" s="748">
        <f t="shared" si="200"/>
        <v>0</v>
      </c>
      <c r="CH366" s="759"/>
      <c r="CI366" s="742"/>
      <c r="CJ366" s="591">
        <f t="shared" si="201"/>
        <v>0</v>
      </c>
    </row>
    <row r="367" spans="1:88" s="594" customFormat="1" ht="21.6" customHeight="1" x14ac:dyDescent="0.25">
      <c r="A367" s="612" t="s">
        <v>130</v>
      </c>
      <c r="B367" s="612" t="s">
        <v>212</v>
      </c>
      <c r="C367" s="613" t="s">
        <v>213</v>
      </c>
      <c r="D367" s="167"/>
      <c r="E367" s="614">
        <v>0</v>
      </c>
      <c r="F367" s="612">
        <v>36.666666666666664</v>
      </c>
      <c r="G367" s="614">
        <v>0</v>
      </c>
      <c r="H367" s="612">
        <v>0</v>
      </c>
      <c r="I367" s="612">
        <f t="shared" si="188"/>
        <v>36.666666666666664</v>
      </c>
      <c r="J367" s="728"/>
      <c r="K367" s="728"/>
      <c r="L367" s="731">
        <f t="shared" si="180"/>
        <v>0</v>
      </c>
      <c r="M367" s="947">
        <f>SUM(L367:L375)</f>
        <v>80</v>
      </c>
      <c r="N367" s="617"/>
      <c r="O367" s="602">
        <f t="shared" si="202"/>
        <v>0</v>
      </c>
      <c r="P367" s="940">
        <f>SUM(O367:O375)</f>
        <v>36.666666666666664</v>
      </c>
      <c r="Q367" s="600">
        <f t="shared" si="192"/>
        <v>0</v>
      </c>
      <c r="R367" s="940">
        <f>SUM(Q367:Q375)</f>
        <v>0</v>
      </c>
      <c r="S367" s="596">
        <v>0</v>
      </c>
      <c r="T367" s="724">
        <f>SUM(S367:S375)</f>
        <v>7.333333333333333</v>
      </c>
      <c r="U367" s="728"/>
      <c r="V367" s="728"/>
      <c r="W367" s="731">
        <f t="shared" si="181"/>
        <v>0</v>
      </c>
      <c r="X367" s="947">
        <f>SUM(W367:W375)</f>
        <v>17</v>
      </c>
      <c r="Y367" s="616"/>
      <c r="Z367" s="602">
        <f t="shared" si="184"/>
        <v>0</v>
      </c>
      <c r="AA367" s="835">
        <f>SUM(Z367:Z375)</f>
        <v>7.333333333333333</v>
      </c>
      <c r="AB367" s="602">
        <f t="shared" si="185"/>
        <v>0</v>
      </c>
      <c r="AC367" s="940">
        <f>SUM(AB367:AB375)</f>
        <v>0</v>
      </c>
      <c r="AD367" s="955">
        <f>M367+X367</f>
        <v>97</v>
      </c>
      <c r="AE367" s="955">
        <f>R367+AC367</f>
        <v>0</v>
      </c>
      <c r="AF367" s="614">
        <v>0</v>
      </c>
      <c r="AG367" s="612">
        <v>0</v>
      </c>
      <c r="AH367" s="728"/>
      <c r="AI367" s="728"/>
      <c r="AJ367" s="729">
        <f t="shared" si="195"/>
        <v>0</v>
      </c>
      <c r="AK367" s="946">
        <f>SUM(AJ367:AJ375)</f>
        <v>0</v>
      </c>
      <c r="AL367" s="616"/>
      <c r="AM367" s="602">
        <f t="shared" si="189"/>
        <v>0</v>
      </c>
      <c r="AN367" s="835">
        <f>SUM(AM367:AM375)</f>
        <v>0</v>
      </c>
      <c r="AO367" s="835">
        <f t="shared" si="193"/>
        <v>0</v>
      </c>
      <c r="AP367" s="940">
        <f>SUM(AO367:AO375)</f>
        <v>0</v>
      </c>
      <c r="AQ367" s="722">
        <v>0</v>
      </c>
      <c r="AR367" s="728"/>
      <c r="AS367" s="728"/>
      <c r="AT367" s="729">
        <f t="shared" si="196"/>
        <v>0</v>
      </c>
      <c r="AU367" s="946">
        <f>SUM(AT367:AT375)</f>
        <v>0</v>
      </c>
      <c r="AV367" s="616"/>
      <c r="AW367" s="602">
        <f t="shared" si="186"/>
        <v>0</v>
      </c>
      <c r="AX367" s="940">
        <f>SUM(AW367:AW375)</f>
        <v>0</v>
      </c>
      <c r="AY367" s="602">
        <f t="shared" si="187"/>
        <v>0</v>
      </c>
      <c r="AZ367" s="940">
        <f>SUM(AY367:AY375)</f>
        <v>0</v>
      </c>
      <c r="BA367" s="961">
        <f>AK367+AU367</f>
        <v>0</v>
      </c>
      <c r="BB367" s="961">
        <f>AP367+AZ367</f>
        <v>0</v>
      </c>
      <c r="BC367" s="614">
        <f>SUM(BD367:BD375)</f>
        <v>36</v>
      </c>
      <c r="BD367" s="716">
        <v>0</v>
      </c>
      <c r="BE367" s="612">
        <v>0</v>
      </c>
      <c r="BF367" s="596">
        <f t="shared" si="191"/>
        <v>0</v>
      </c>
      <c r="BG367" s="728"/>
      <c r="BH367" s="728"/>
      <c r="BI367" s="729">
        <f t="shared" si="182"/>
        <v>0</v>
      </c>
      <c r="BJ367" s="729">
        <f>SUM(BI367:BI375)</f>
        <v>76</v>
      </c>
      <c r="BK367" s="616"/>
      <c r="BL367" s="603">
        <f t="shared" si="190"/>
        <v>0</v>
      </c>
      <c r="BM367" s="964">
        <f>SUM(BL367:BL375)</f>
        <v>37.1</v>
      </c>
      <c r="BN367" s="602">
        <f t="shared" si="194"/>
        <v>0</v>
      </c>
      <c r="BO367" s="940">
        <f>SUM(BN367:BN375)</f>
        <v>-1.0999999999999996</v>
      </c>
      <c r="BP367" s="593">
        <f t="shared" si="197"/>
        <v>-1.0999999999999996</v>
      </c>
      <c r="BS367" s="745">
        <v>0</v>
      </c>
      <c r="BT367" s="745">
        <v>0</v>
      </c>
      <c r="BU367" s="741">
        <f t="shared" si="198"/>
        <v>0</v>
      </c>
      <c r="BV367" s="745">
        <v>0</v>
      </c>
      <c r="BW367" s="745">
        <f>SUM(BV367:BV375)</f>
        <v>25.666666666666664</v>
      </c>
      <c r="BX367" s="745">
        <v>0</v>
      </c>
      <c r="BY367" s="745">
        <v>0</v>
      </c>
      <c r="BZ367" s="741">
        <f t="shared" si="183"/>
        <v>0</v>
      </c>
      <c r="CA367" s="745">
        <v>0</v>
      </c>
      <c r="CB367" s="745">
        <f>SUM(CA367:CA375)</f>
        <v>0</v>
      </c>
      <c r="CC367" s="741">
        <f t="shared" si="199"/>
        <v>0</v>
      </c>
      <c r="CD367" s="756">
        <f>SUM(CC367:CC375)</f>
        <v>25.666666666666664</v>
      </c>
      <c r="CE367" s="748"/>
      <c r="CF367" s="748"/>
      <c r="CG367" s="748">
        <f t="shared" si="200"/>
        <v>0</v>
      </c>
      <c r="CH367" s="766"/>
      <c r="CI367" s="745">
        <f>SUM(CH367:CH375)</f>
        <v>25</v>
      </c>
      <c r="CJ367" s="594">
        <f t="shared" si="201"/>
        <v>0</v>
      </c>
    </row>
    <row r="368" spans="1:88" ht="21.6" customHeight="1" x14ac:dyDescent="0.25">
      <c r="A368" s="596" t="s">
        <v>130</v>
      </c>
      <c r="B368" s="596" t="s">
        <v>212</v>
      </c>
      <c r="C368" s="597" t="s">
        <v>620</v>
      </c>
      <c r="D368" s="167" t="s">
        <v>431</v>
      </c>
      <c r="E368" s="598">
        <v>11</v>
      </c>
      <c r="F368" s="596">
        <v>0</v>
      </c>
      <c r="G368" s="598">
        <v>0</v>
      </c>
      <c r="H368" s="596"/>
      <c r="I368" s="596">
        <f t="shared" si="188"/>
        <v>0</v>
      </c>
      <c r="J368" s="728">
        <v>25</v>
      </c>
      <c r="K368" s="728">
        <v>7</v>
      </c>
      <c r="L368" s="731">
        <f t="shared" si="180"/>
        <v>32</v>
      </c>
      <c r="M368" s="947"/>
      <c r="N368" s="617">
        <v>165</v>
      </c>
      <c r="O368" s="602">
        <f t="shared" si="202"/>
        <v>11</v>
      </c>
      <c r="P368" s="940"/>
      <c r="Q368" s="600">
        <f t="shared" si="192"/>
        <v>0</v>
      </c>
      <c r="R368" s="940"/>
      <c r="S368" s="596">
        <v>0</v>
      </c>
      <c r="T368" s="724"/>
      <c r="U368" s="728"/>
      <c r="V368" s="728"/>
      <c r="W368" s="731">
        <f t="shared" si="181"/>
        <v>0</v>
      </c>
      <c r="X368" s="947"/>
      <c r="Y368" s="616"/>
      <c r="Z368" s="602">
        <f t="shared" si="184"/>
        <v>0</v>
      </c>
      <c r="AA368" s="835"/>
      <c r="AB368" s="602">
        <f t="shared" si="185"/>
        <v>0</v>
      </c>
      <c r="AC368" s="940"/>
      <c r="AD368" s="956"/>
      <c r="AE368" s="956"/>
      <c r="AF368" s="598">
        <v>0</v>
      </c>
      <c r="AG368" s="596"/>
      <c r="AH368" s="728"/>
      <c r="AI368" s="728"/>
      <c r="AJ368" s="729">
        <f t="shared" si="195"/>
        <v>0</v>
      </c>
      <c r="AK368" s="946"/>
      <c r="AL368" s="616"/>
      <c r="AM368" s="602">
        <f t="shared" si="189"/>
        <v>0</v>
      </c>
      <c r="AN368" s="835"/>
      <c r="AO368" s="835">
        <f t="shared" si="193"/>
        <v>0</v>
      </c>
      <c r="AP368" s="940"/>
      <c r="AQ368" s="722">
        <v>0</v>
      </c>
      <c r="AR368" s="728"/>
      <c r="AS368" s="728"/>
      <c r="AT368" s="729">
        <f t="shared" si="196"/>
        <v>0</v>
      </c>
      <c r="AU368" s="946"/>
      <c r="AV368" s="616"/>
      <c r="AW368" s="602">
        <f t="shared" si="186"/>
        <v>0</v>
      </c>
      <c r="AX368" s="940"/>
      <c r="AY368" s="602">
        <f t="shared" si="187"/>
        <v>0</v>
      </c>
      <c r="AZ368" s="940"/>
      <c r="BA368" s="962"/>
      <c r="BB368" s="962"/>
      <c r="BC368" s="611"/>
      <c r="BD368" s="712">
        <v>11</v>
      </c>
      <c r="BE368" s="596">
        <v>0</v>
      </c>
      <c r="BF368" s="596">
        <f t="shared" si="191"/>
        <v>11</v>
      </c>
      <c r="BG368" s="728">
        <v>26</v>
      </c>
      <c r="BH368" s="728">
        <v>6</v>
      </c>
      <c r="BI368" s="729">
        <f t="shared" si="182"/>
        <v>32</v>
      </c>
      <c r="BJ368" s="729"/>
      <c r="BK368" s="616">
        <v>561</v>
      </c>
      <c r="BL368" s="603">
        <f t="shared" si="190"/>
        <v>11.22</v>
      </c>
      <c r="BM368" s="964"/>
      <c r="BN368" s="602">
        <f t="shared" si="194"/>
        <v>-0.22000000000000064</v>
      </c>
      <c r="BO368" s="940"/>
      <c r="BP368" s="593">
        <f t="shared" si="197"/>
        <v>0</v>
      </c>
      <c r="BS368" s="741">
        <v>25</v>
      </c>
      <c r="BT368" s="741">
        <v>7</v>
      </c>
      <c r="BU368" s="741">
        <f t="shared" si="198"/>
        <v>32</v>
      </c>
      <c r="BV368" s="741">
        <v>11</v>
      </c>
      <c r="BW368" s="741"/>
      <c r="BX368" s="741">
        <v>0</v>
      </c>
      <c r="BY368" s="741">
        <v>0</v>
      </c>
      <c r="BZ368" s="741">
        <f t="shared" si="183"/>
        <v>0</v>
      </c>
      <c r="CA368" s="741">
        <v>0</v>
      </c>
      <c r="CB368" s="741"/>
      <c r="CC368" s="741">
        <f t="shared" si="199"/>
        <v>11</v>
      </c>
      <c r="CD368" s="751"/>
      <c r="CE368" s="748">
        <v>26</v>
      </c>
      <c r="CF368" s="748">
        <v>6</v>
      </c>
      <c r="CG368" s="748">
        <f t="shared" si="200"/>
        <v>32</v>
      </c>
      <c r="CH368" s="759">
        <v>11</v>
      </c>
      <c r="CI368" s="742"/>
      <c r="CJ368" s="591">
        <f t="shared" si="201"/>
        <v>-0.22000000000000064</v>
      </c>
    </row>
    <row r="369" spans="1:88" ht="21.6" customHeight="1" x14ac:dyDescent="0.25">
      <c r="A369" s="596" t="s">
        <v>130</v>
      </c>
      <c r="B369" s="596" t="s">
        <v>212</v>
      </c>
      <c r="C369" s="597" t="s">
        <v>658</v>
      </c>
      <c r="D369" s="167" t="s">
        <v>431</v>
      </c>
      <c r="E369" s="598">
        <v>0</v>
      </c>
      <c r="F369" s="596">
        <v>0</v>
      </c>
      <c r="G369" s="598">
        <v>0</v>
      </c>
      <c r="H369" s="596"/>
      <c r="I369" s="596">
        <f t="shared" si="188"/>
        <v>0</v>
      </c>
      <c r="J369" s="728"/>
      <c r="K369" s="728"/>
      <c r="L369" s="731">
        <f t="shared" si="180"/>
        <v>0</v>
      </c>
      <c r="M369" s="947"/>
      <c r="N369" s="617"/>
      <c r="O369" s="602">
        <f t="shared" si="202"/>
        <v>0</v>
      </c>
      <c r="P369" s="940"/>
      <c r="Q369" s="600">
        <f t="shared" si="192"/>
        <v>0</v>
      </c>
      <c r="R369" s="940"/>
      <c r="S369" s="596">
        <v>7.333333333333333</v>
      </c>
      <c r="T369" s="724"/>
      <c r="U369" s="728">
        <v>13</v>
      </c>
      <c r="V369" s="728">
        <v>4</v>
      </c>
      <c r="W369" s="731">
        <f t="shared" si="181"/>
        <v>17</v>
      </c>
      <c r="X369" s="947"/>
      <c r="Y369" s="616">
        <v>110</v>
      </c>
      <c r="Z369" s="602">
        <f t="shared" si="184"/>
        <v>7.333333333333333</v>
      </c>
      <c r="AA369" s="835"/>
      <c r="AB369" s="602">
        <f t="shared" si="185"/>
        <v>0</v>
      </c>
      <c r="AC369" s="940"/>
      <c r="AD369" s="956"/>
      <c r="AE369" s="956"/>
      <c r="AF369" s="598">
        <v>0</v>
      </c>
      <c r="AG369" s="596"/>
      <c r="AH369" s="728"/>
      <c r="AI369" s="728"/>
      <c r="AJ369" s="729">
        <f t="shared" si="195"/>
        <v>0</v>
      </c>
      <c r="AK369" s="946"/>
      <c r="AL369" s="616"/>
      <c r="AM369" s="602">
        <f t="shared" si="189"/>
        <v>0</v>
      </c>
      <c r="AN369" s="835"/>
      <c r="AO369" s="835">
        <f t="shared" si="193"/>
        <v>0</v>
      </c>
      <c r="AP369" s="940"/>
      <c r="AQ369" s="722">
        <v>0</v>
      </c>
      <c r="AR369" s="728"/>
      <c r="AS369" s="728"/>
      <c r="AT369" s="729">
        <f t="shared" si="196"/>
        <v>0</v>
      </c>
      <c r="AU369" s="946"/>
      <c r="AV369" s="616"/>
      <c r="AW369" s="602">
        <f t="shared" si="186"/>
        <v>0</v>
      </c>
      <c r="AX369" s="940"/>
      <c r="AY369" s="602">
        <f t="shared" si="187"/>
        <v>0</v>
      </c>
      <c r="AZ369" s="940"/>
      <c r="BA369" s="962"/>
      <c r="BB369" s="962"/>
      <c r="BC369" s="611"/>
      <c r="BD369" s="712">
        <v>0</v>
      </c>
      <c r="BE369" s="596">
        <v>0</v>
      </c>
      <c r="BF369" s="596">
        <f t="shared" si="191"/>
        <v>0</v>
      </c>
      <c r="BG369" s="728"/>
      <c r="BH369" s="728"/>
      <c r="BI369" s="729">
        <f t="shared" si="182"/>
        <v>0</v>
      </c>
      <c r="BJ369" s="729"/>
      <c r="BK369" s="616"/>
      <c r="BL369" s="603">
        <f t="shared" si="190"/>
        <v>0</v>
      </c>
      <c r="BM369" s="964"/>
      <c r="BN369" s="602">
        <f t="shared" si="194"/>
        <v>0</v>
      </c>
      <c r="BO369" s="940"/>
      <c r="BP369" s="593">
        <f t="shared" si="197"/>
        <v>0</v>
      </c>
      <c r="BS369" s="741">
        <v>0</v>
      </c>
      <c r="BT369" s="741">
        <v>0</v>
      </c>
      <c r="BU369" s="741">
        <f t="shared" si="198"/>
        <v>0</v>
      </c>
      <c r="BV369" s="741">
        <v>0</v>
      </c>
      <c r="BW369" s="741"/>
      <c r="BX369" s="741">
        <v>0</v>
      </c>
      <c r="BY369" s="741">
        <v>0</v>
      </c>
      <c r="BZ369" s="741">
        <f t="shared" si="183"/>
        <v>0</v>
      </c>
      <c r="CA369" s="741">
        <v>0</v>
      </c>
      <c r="CB369" s="741"/>
      <c r="CC369" s="741">
        <f t="shared" si="199"/>
        <v>0</v>
      </c>
      <c r="CD369" s="751"/>
      <c r="CE369" s="748"/>
      <c r="CF369" s="748"/>
      <c r="CG369" s="748">
        <f t="shared" si="200"/>
        <v>0</v>
      </c>
      <c r="CH369" s="759"/>
      <c r="CI369" s="742"/>
      <c r="CJ369" s="591">
        <f t="shared" si="201"/>
        <v>0</v>
      </c>
    </row>
    <row r="370" spans="1:88" ht="21.6" customHeight="1" x14ac:dyDescent="0.25">
      <c r="A370" s="596" t="s">
        <v>130</v>
      </c>
      <c r="B370" s="596" t="s">
        <v>212</v>
      </c>
      <c r="C370" s="597" t="s">
        <v>214</v>
      </c>
      <c r="D370" s="171"/>
      <c r="E370" s="598">
        <v>0</v>
      </c>
      <c r="F370" s="596">
        <v>0</v>
      </c>
      <c r="G370" s="598">
        <v>0</v>
      </c>
      <c r="H370" s="596"/>
      <c r="I370" s="596">
        <f t="shared" si="188"/>
        <v>0</v>
      </c>
      <c r="J370" s="728"/>
      <c r="K370" s="728"/>
      <c r="L370" s="731">
        <f t="shared" si="180"/>
        <v>0</v>
      </c>
      <c r="M370" s="947"/>
      <c r="N370" s="617"/>
      <c r="O370" s="602">
        <f t="shared" si="202"/>
        <v>0</v>
      </c>
      <c r="P370" s="940"/>
      <c r="Q370" s="600">
        <f t="shared" si="192"/>
        <v>0</v>
      </c>
      <c r="R370" s="940"/>
      <c r="S370" s="596">
        <v>0</v>
      </c>
      <c r="T370" s="724"/>
      <c r="U370" s="728"/>
      <c r="V370" s="728"/>
      <c r="W370" s="731">
        <f t="shared" si="181"/>
        <v>0</v>
      </c>
      <c r="X370" s="947"/>
      <c r="Y370" s="616"/>
      <c r="Z370" s="602">
        <f t="shared" si="184"/>
        <v>0</v>
      </c>
      <c r="AA370" s="835"/>
      <c r="AB370" s="602">
        <f t="shared" si="185"/>
        <v>0</v>
      </c>
      <c r="AC370" s="940"/>
      <c r="AD370" s="956"/>
      <c r="AE370" s="956"/>
      <c r="AF370" s="598">
        <v>0</v>
      </c>
      <c r="AG370" s="596"/>
      <c r="AH370" s="728"/>
      <c r="AI370" s="728"/>
      <c r="AJ370" s="729">
        <f t="shared" si="195"/>
        <v>0</v>
      </c>
      <c r="AK370" s="946"/>
      <c r="AL370" s="616"/>
      <c r="AM370" s="602">
        <f t="shared" si="189"/>
        <v>0</v>
      </c>
      <c r="AN370" s="835"/>
      <c r="AO370" s="835">
        <f t="shared" si="193"/>
        <v>0</v>
      </c>
      <c r="AP370" s="940"/>
      <c r="AQ370" s="722">
        <v>0</v>
      </c>
      <c r="AR370" s="728"/>
      <c r="AS370" s="728"/>
      <c r="AT370" s="729">
        <f t="shared" si="196"/>
        <v>0</v>
      </c>
      <c r="AU370" s="946"/>
      <c r="AV370" s="616"/>
      <c r="AW370" s="602">
        <f t="shared" si="186"/>
        <v>0</v>
      </c>
      <c r="AX370" s="940"/>
      <c r="AY370" s="602">
        <f t="shared" si="187"/>
        <v>0</v>
      </c>
      <c r="AZ370" s="940"/>
      <c r="BA370" s="962"/>
      <c r="BB370" s="962"/>
      <c r="BC370" s="611"/>
      <c r="BD370" s="712">
        <v>0</v>
      </c>
      <c r="BE370" s="596">
        <v>0</v>
      </c>
      <c r="BF370" s="596">
        <f t="shared" si="191"/>
        <v>0</v>
      </c>
      <c r="BG370" s="728"/>
      <c r="BH370" s="728"/>
      <c r="BI370" s="729">
        <f t="shared" si="182"/>
        <v>0</v>
      </c>
      <c r="BJ370" s="729"/>
      <c r="BK370" s="616"/>
      <c r="BL370" s="603">
        <f t="shared" si="190"/>
        <v>0</v>
      </c>
      <c r="BM370" s="964"/>
      <c r="BN370" s="602">
        <f t="shared" si="194"/>
        <v>0</v>
      </c>
      <c r="BO370" s="940"/>
      <c r="BP370" s="593">
        <f t="shared" si="197"/>
        <v>0</v>
      </c>
      <c r="BS370" s="741">
        <v>0</v>
      </c>
      <c r="BT370" s="741">
        <v>0</v>
      </c>
      <c r="BU370" s="741">
        <f t="shared" si="198"/>
        <v>0</v>
      </c>
      <c r="BV370" s="741">
        <v>0</v>
      </c>
      <c r="BW370" s="741"/>
      <c r="BX370" s="741">
        <v>0</v>
      </c>
      <c r="BY370" s="741">
        <v>0</v>
      </c>
      <c r="BZ370" s="741">
        <f t="shared" si="183"/>
        <v>0</v>
      </c>
      <c r="CA370" s="741">
        <v>0</v>
      </c>
      <c r="CB370" s="741"/>
      <c r="CC370" s="741">
        <f t="shared" si="199"/>
        <v>0</v>
      </c>
      <c r="CD370" s="751"/>
      <c r="CE370" s="748"/>
      <c r="CF370" s="748"/>
      <c r="CG370" s="748">
        <f t="shared" si="200"/>
        <v>0</v>
      </c>
      <c r="CH370" s="759"/>
      <c r="CI370" s="742"/>
      <c r="CJ370" s="591">
        <f t="shared" si="201"/>
        <v>0</v>
      </c>
    </row>
    <row r="371" spans="1:88" ht="33.75" customHeight="1" x14ac:dyDescent="0.25">
      <c r="A371" s="596"/>
      <c r="B371" s="596" t="s">
        <v>212</v>
      </c>
      <c r="C371" s="2" t="s">
        <v>707</v>
      </c>
      <c r="D371" s="171"/>
      <c r="E371" s="598"/>
      <c r="F371" s="596"/>
      <c r="G371" s="598"/>
      <c r="H371" s="596"/>
      <c r="I371" s="596"/>
      <c r="J371" s="728"/>
      <c r="K371" s="728"/>
      <c r="L371" s="731">
        <f t="shared" si="180"/>
        <v>0</v>
      </c>
      <c r="M371" s="947"/>
      <c r="N371" s="617"/>
      <c r="O371" s="602"/>
      <c r="P371" s="940"/>
      <c r="Q371" s="600"/>
      <c r="R371" s="940"/>
      <c r="S371" s="596">
        <v>0</v>
      </c>
      <c r="T371" s="724"/>
      <c r="U371" s="728"/>
      <c r="V371" s="728"/>
      <c r="W371" s="731">
        <f t="shared" si="181"/>
        <v>0</v>
      </c>
      <c r="X371" s="947"/>
      <c r="Y371" s="616"/>
      <c r="Z371" s="602">
        <f t="shared" si="184"/>
        <v>0</v>
      </c>
      <c r="AA371" s="835"/>
      <c r="AB371" s="602">
        <f t="shared" si="185"/>
        <v>0</v>
      </c>
      <c r="AC371" s="940"/>
      <c r="AD371" s="956"/>
      <c r="AE371" s="956"/>
      <c r="AF371" s="598"/>
      <c r="AG371" s="596"/>
      <c r="AH371" s="728"/>
      <c r="AI371" s="728"/>
      <c r="AJ371" s="729">
        <f t="shared" si="195"/>
        <v>0</v>
      </c>
      <c r="AK371" s="946"/>
      <c r="AL371" s="616"/>
      <c r="AM371" s="602"/>
      <c r="AN371" s="835"/>
      <c r="AO371" s="835"/>
      <c r="AP371" s="940"/>
      <c r="AQ371" s="722">
        <v>0</v>
      </c>
      <c r="AR371" s="728"/>
      <c r="AS371" s="728"/>
      <c r="AT371" s="729">
        <f t="shared" si="196"/>
        <v>0</v>
      </c>
      <c r="AU371" s="946"/>
      <c r="AV371" s="616"/>
      <c r="AW371" s="602">
        <f t="shared" si="186"/>
        <v>0</v>
      </c>
      <c r="AX371" s="940"/>
      <c r="AY371" s="602">
        <f t="shared" si="187"/>
        <v>0</v>
      </c>
      <c r="AZ371" s="940"/>
      <c r="BA371" s="962"/>
      <c r="BB371" s="962"/>
      <c r="BC371" s="611"/>
      <c r="BD371" s="712"/>
      <c r="BE371" s="596"/>
      <c r="BF371" s="596"/>
      <c r="BG371" s="728"/>
      <c r="BH371" s="728"/>
      <c r="BI371" s="729">
        <f t="shared" si="182"/>
        <v>0</v>
      </c>
      <c r="BJ371" s="729"/>
      <c r="BK371" s="616"/>
      <c r="BL371" s="603"/>
      <c r="BM371" s="964"/>
      <c r="BN371" s="602"/>
      <c r="BO371" s="940"/>
      <c r="BP371" s="593">
        <f t="shared" si="197"/>
        <v>0</v>
      </c>
      <c r="BS371" s="741">
        <v>0</v>
      </c>
      <c r="BT371" s="741">
        <v>0</v>
      </c>
      <c r="BU371" s="741">
        <f t="shared" si="198"/>
        <v>0</v>
      </c>
      <c r="BV371" s="741">
        <v>0</v>
      </c>
      <c r="BW371" s="741"/>
      <c r="BX371" s="741">
        <v>0</v>
      </c>
      <c r="BY371" s="741">
        <v>0</v>
      </c>
      <c r="BZ371" s="741">
        <f t="shared" si="183"/>
        <v>0</v>
      </c>
      <c r="CA371" s="741">
        <v>0</v>
      </c>
      <c r="CB371" s="741"/>
      <c r="CC371" s="741">
        <f t="shared" si="199"/>
        <v>0</v>
      </c>
      <c r="CD371" s="751"/>
      <c r="CE371" s="748"/>
      <c r="CF371" s="748"/>
      <c r="CG371" s="748">
        <f t="shared" si="200"/>
        <v>0</v>
      </c>
      <c r="CH371" s="759"/>
      <c r="CI371" s="742"/>
      <c r="CJ371" s="591">
        <f t="shared" si="201"/>
        <v>0</v>
      </c>
    </row>
    <row r="372" spans="1:88" ht="21.6" customHeight="1" x14ac:dyDescent="0.25">
      <c r="A372" s="596" t="s">
        <v>130</v>
      </c>
      <c r="B372" s="596" t="s">
        <v>212</v>
      </c>
      <c r="C372" s="597" t="s">
        <v>215</v>
      </c>
      <c r="D372" s="167" t="s">
        <v>431</v>
      </c>
      <c r="E372" s="598">
        <v>14.666666666666666</v>
      </c>
      <c r="F372" s="596">
        <v>0</v>
      </c>
      <c r="G372" s="598">
        <v>0</v>
      </c>
      <c r="H372" s="596"/>
      <c r="I372" s="596">
        <f t="shared" si="188"/>
        <v>0</v>
      </c>
      <c r="J372" s="728">
        <v>20</v>
      </c>
      <c r="K372" s="728">
        <v>2</v>
      </c>
      <c r="L372" s="731">
        <f t="shared" si="180"/>
        <v>22</v>
      </c>
      <c r="M372" s="947"/>
      <c r="N372" s="617">
        <v>220</v>
      </c>
      <c r="O372" s="602">
        <f t="shared" si="202"/>
        <v>14.666666666666666</v>
      </c>
      <c r="P372" s="940"/>
      <c r="Q372" s="600">
        <f t="shared" ref="Q372:Q402" si="203">E372-O372</f>
        <v>0</v>
      </c>
      <c r="R372" s="940"/>
      <c r="S372" s="596">
        <v>0</v>
      </c>
      <c r="T372" s="724"/>
      <c r="U372" s="728"/>
      <c r="V372" s="728"/>
      <c r="W372" s="731">
        <f t="shared" si="181"/>
        <v>0</v>
      </c>
      <c r="X372" s="947"/>
      <c r="Y372" s="616"/>
      <c r="Z372" s="602">
        <f t="shared" si="184"/>
        <v>0</v>
      </c>
      <c r="AA372" s="835"/>
      <c r="AB372" s="602">
        <f t="shared" si="185"/>
        <v>0</v>
      </c>
      <c r="AC372" s="940"/>
      <c r="AD372" s="956"/>
      <c r="AE372" s="956"/>
      <c r="AF372" s="598">
        <v>0</v>
      </c>
      <c r="AG372" s="596"/>
      <c r="AH372" s="728"/>
      <c r="AI372" s="728"/>
      <c r="AJ372" s="729">
        <f t="shared" si="195"/>
        <v>0</v>
      </c>
      <c r="AK372" s="946"/>
      <c r="AL372" s="616"/>
      <c r="AM372" s="602">
        <f t="shared" si="189"/>
        <v>0</v>
      </c>
      <c r="AN372" s="835"/>
      <c r="AO372" s="835">
        <f t="shared" ref="AO372:AO402" si="204">AF372-AM372</f>
        <v>0</v>
      </c>
      <c r="AP372" s="940"/>
      <c r="AQ372" s="722">
        <v>0</v>
      </c>
      <c r="AR372" s="728"/>
      <c r="AS372" s="728"/>
      <c r="AT372" s="729">
        <f t="shared" si="196"/>
        <v>0</v>
      </c>
      <c r="AU372" s="946"/>
      <c r="AV372" s="616"/>
      <c r="AW372" s="602">
        <f t="shared" si="186"/>
        <v>0</v>
      </c>
      <c r="AX372" s="940"/>
      <c r="AY372" s="602">
        <f t="shared" si="187"/>
        <v>0</v>
      </c>
      <c r="AZ372" s="940"/>
      <c r="BA372" s="962"/>
      <c r="BB372" s="962"/>
      <c r="BC372" s="611"/>
      <c r="BD372" s="712">
        <v>14</v>
      </c>
      <c r="BE372" s="596">
        <v>0</v>
      </c>
      <c r="BF372" s="596">
        <f t="shared" si="191"/>
        <v>14</v>
      </c>
      <c r="BG372" s="728">
        <v>20</v>
      </c>
      <c r="BH372" s="728">
        <v>2</v>
      </c>
      <c r="BI372" s="729">
        <f t="shared" si="182"/>
        <v>22</v>
      </c>
      <c r="BJ372" s="729"/>
      <c r="BK372" s="616">
        <v>735</v>
      </c>
      <c r="BL372" s="603">
        <f t="shared" si="190"/>
        <v>14.7</v>
      </c>
      <c r="BM372" s="964"/>
      <c r="BN372" s="602">
        <f t="shared" ref="BN372:BN417" si="205">BD372-BL372</f>
        <v>-0.69999999999999929</v>
      </c>
      <c r="BO372" s="940"/>
      <c r="BP372" s="593">
        <f t="shared" si="197"/>
        <v>0</v>
      </c>
      <c r="BS372" s="741">
        <v>20</v>
      </c>
      <c r="BT372" s="741">
        <v>2</v>
      </c>
      <c r="BU372" s="741">
        <f t="shared" si="198"/>
        <v>22</v>
      </c>
      <c r="BV372" s="741">
        <v>14.666666666666666</v>
      </c>
      <c r="BW372" s="741"/>
      <c r="BX372" s="741">
        <v>0</v>
      </c>
      <c r="BY372" s="741">
        <v>0</v>
      </c>
      <c r="BZ372" s="741">
        <f t="shared" si="183"/>
        <v>0</v>
      </c>
      <c r="CA372" s="741">
        <v>0</v>
      </c>
      <c r="CB372" s="741"/>
      <c r="CC372" s="741">
        <f t="shared" si="199"/>
        <v>14.666666666666666</v>
      </c>
      <c r="CD372" s="751"/>
      <c r="CE372" s="748">
        <v>20</v>
      </c>
      <c r="CF372" s="748">
        <v>2</v>
      </c>
      <c r="CG372" s="748">
        <f t="shared" si="200"/>
        <v>22</v>
      </c>
      <c r="CH372" s="759">
        <v>14</v>
      </c>
      <c r="CI372" s="742"/>
      <c r="CJ372" s="591">
        <f t="shared" si="201"/>
        <v>-0.69999999999999929</v>
      </c>
    </row>
    <row r="373" spans="1:88" ht="21.6" customHeight="1" x14ac:dyDescent="0.25">
      <c r="A373" s="596" t="s">
        <v>130</v>
      </c>
      <c r="B373" s="596" t="s">
        <v>212</v>
      </c>
      <c r="C373" s="597" t="s">
        <v>216</v>
      </c>
      <c r="D373" s="167"/>
      <c r="E373" s="598">
        <v>0</v>
      </c>
      <c r="F373" s="596">
        <v>0</v>
      </c>
      <c r="G373" s="598">
        <v>0</v>
      </c>
      <c r="H373" s="596"/>
      <c r="I373" s="596">
        <f t="shared" si="188"/>
        <v>0</v>
      </c>
      <c r="J373" s="728"/>
      <c r="K373" s="728"/>
      <c r="L373" s="731">
        <f t="shared" si="180"/>
        <v>0</v>
      </c>
      <c r="M373" s="947"/>
      <c r="N373" s="617"/>
      <c r="O373" s="602">
        <f t="shared" si="202"/>
        <v>0</v>
      </c>
      <c r="P373" s="940"/>
      <c r="Q373" s="600">
        <f t="shared" si="203"/>
        <v>0</v>
      </c>
      <c r="R373" s="940"/>
      <c r="S373" s="596">
        <v>0</v>
      </c>
      <c r="T373" s="724"/>
      <c r="U373" s="728"/>
      <c r="V373" s="728"/>
      <c r="W373" s="731">
        <f t="shared" si="181"/>
        <v>0</v>
      </c>
      <c r="X373" s="947"/>
      <c r="Y373" s="616"/>
      <c r="Z373" s="602">
        <f t="shared" si="184"/>
        <v>0</v>
      </c>
      <c r="AA373" s="835"/>
      <c r="AB373" s="602">
        <f t="shared" si="185"/>
        <v>0</v>
      </c>
      <c r="AC373" s="940"/>
      <c r="AD373" s="956"/>
      <c r="AE373" s="956"/>
      <c r="AF373" s="598">
        <v>0</v>
      </c>
      <c r="AG373" s="596"/>
      <c r="AH373" s="728"/>
      <c r="AI373" s="728"/>
      <c r="AJ373" s="729">
        <f t="shared" si="195"/>
        <v>0</v>
      </c>
      <c r="AK373" s="946"/>
      <c r="AL373" s="616"/>
      <c r="AM373" s="602">
        <f t="shared" si="189"/>
        <v>0</v>
      </c>
      <c r="AN373" s="835"/>
      <c r="AO373" s="835">
        <f t="shared" si="204"/>
        <v>0</v>
      </c>
      <c r="AP373" s="940"/>
      <c r="AQ373" s="722">
        <v>0</v>
      </c>
      <c r="AR373" s="728"/>
      <c r="AS373" s="728"/>
      <c r="AT373" s="729">
        <f t="shared" si="196"/>
        <v>0</v>
      </c>
      <c r="AU373" s="946"/>
      <c r="AV373" s="616"/>
      <c r="AW373" s="602">
        <f t="shared" si="186"/>
        <v>0</v>
      </c>
      <c r="AX373" s="940"/>
      <c r="AY373" s="602">
        <f t="shared" si="187"/>
        <v>0</v>
      </c>
      <c r="AZ373" s="940"/>
      <c r="BA373" s="962"/>
      <c r="BB373" s="962"/>
      <c r="BC373" s="611"/>
      <c r="BD373" s="712">
        <v>0</v>
      </c>
      <c r="BE373" s="596">
        <v>0</v>
      </c>
      <c r="BF373" s="596">
        <f t="shared" si="191"/>
        <v>0</v>
      </c>
      <c r="BG373" s="728"/>
      <c r="BH373" s="728"/>
      <c r="BI373" s="729">
        <f t="shared" si="182"/>
        <v>0</v>
      </c>
      <c r="BJ373" s="729"/>
      <c r="BK373" s="616"/>
      <c r="BL373" s="603">
        <f t="shared" si="190"/>
        <v>0</v>
      </c>
      <c r="BM373" s="964"/>
      <c r="BN373" s="602">
        <f t="shared" si="205"/>
        <v>0</v>
      </c>
      <c r="BO373" s="940"/>
      <c r="BP373" s="593">
        <f t="shared" si="197"/>
        <v>0</v>
      </c>
      <c r="BS373" s="741">
        <v>0</v>
      </c>
      <c r="BT373" s="741">
        <v>0</v>
      </c>
      <c r="BU373" s="741">
        <f t="shared" si="198"/>
        <v>0</v>
      </c>
      <c r="BV373" s="741">
        <v>0</v>
      </c>
      <c r="BW373" s="741"/>
      <c r="BX373" s="741">
        <v>0</v>
      </c>
      <c r="BY373" s="741">
        <v>0</v>
      </c>
      <c r="BZ373" s="741">
        <f t="shared" si="183"/>
        <v>0</v>
      </c>
      <c r="CA373" s="741">
        <v>0</v>
      </c>
      <c r="CB373" s="741"/>
      <c r="CC373" s="741">
        <f t="shared" si="199"/>
        <v>0</v>
      </c>
      <c r="CD373" s="751"/>
      <c r="CE373" s="748"/>
      <c r="CF373" s="748"/>
      <c r="CG373" s="748">
        <f t="shared" si="200"/>
        <v>0</v>
      </c>
      <c r="CH373" s="759"/>
      <c r="CI373" s="742"/>
      <c r="CJ373" s="591">
        <f t="shared" si="201"/>
        <v>0</v>
      </c>
    </row>
    <row r="374" spans="1:88" ht="27" customHeight="1" x14ac:dyDescent="0.25">
      <c r="A374" s="596" t="s">
        <v>130</v>
      </c>
      <c r="B374" s="596" t="s">
        <v>212</v>
      </c>
      <c r="C374" s="597" t="s">
        <v>607</v>
      </c>
      <c r="D374" s="167" t="s">
        <v>431</v>
      </c>
      <c r="E374" s="598">
        <v>11</v>
      </c>
      <c r="F374" s="596">
        <v>0</v>
      </c>
      <c r="G374" s="598">
        <v>0</v>
      </c>
      <c r="H374" s="596"/>
      <c r="I374" s="596">
        <f t="shared" si="188"/>
        <v>0</v>
      </c>
      <c r="J374" s="728">
        <v>21</v>
      </c>
      <c r="K374" s="728">
        <v>5</v>
      </c>
      <c r="L374" s="731">
        <f t="shared" si="180"/>
        <v>26</v>
      </c>
      <c r="M374" s="947"/>
      <c r="N374" s="617">
        <v>165</v>
      </c>
      <c r="O374" s="602">
        <f t="shared" si="202"/>
        <v>11</v>
      </c>
      <c r="P374" s="940"/>
      <c r="Q374" s="600">
        <f t="shared" si="203"/>
        <v>0</v>
      </c>
      <c r="R374" s="940"/>
      <c r="S374" s="596">
        <v>0</v>
      </c>
      <c r="T374" s="724"/>
      <c r="U374" s="728"/>
      <c r="V374" s="728"/>
      <c r="W374" s="731">
        <f t="shared" si="181"/>
        <v>0</v>
      </c>
      <c r="X374" s="947"/>
      <c r="Y374" s="616"/>
      <c r="Z374" s="602">
        <f t="shared" si="184"/>
        <v>0</v>
      </c>
      <c r="AA374" s="835"/>
      <c r="AB374" s="602">
        <f t="shared" si="185"/>
        <v>0</v>
      </c>
      <c r="AC374" s="940"/>
      <c r="AD374" s="956"/>
      <c r="AE374" s="956"/>
      <c r="AF374" s="598">
        <v>0</v>
      </c>
      <c r="AG374" s="596"/>
      <c r="AH374" s="728"/>
      <c r="AI374" s="728"/>
      <c r="AJ374" s="729">
        <f t="shared" si="195"/>
        <v>0</v>
      </c>
      <c r="AK374" s="946"/>
      <c r="AL374" s="616"/>
      <c r="AM374" s="602">
        <f t="shared" si="189"/>
        <v>0</v>
      </c>
      <c r="AN374" s="835"/>
      <c r="AO374" s="835">
        <f t="shared" si="204"/>
        <v>0</v>
      </c>
      <c r="AP374" s="940"/>
      <c r="AQ374" s="722">
        <v>0</v>
      </c>
      <c r="AR374" s="728"/>
      <c r="AS374" s="728"/>
      <c r="AT374" s="729">
        <f t="shared" si="196"/>
        <v>0</v>
      </c>
      <c r="AU374" s="946"/>
      <c r="AV374" s="616"/>
      <c r="AW374" s="602">
        <f t="shared" si="186"/>
        <v>0</v>
      </c>
      <c r="AX374" s="940"/>
      <c r="AY374" s="602">
        <f t="shared" si="187"/>
        <v>0</v>
      </c>
      <c r="AZ374" s="940"/>
      <c r="BA374" s="962"/>
      <c r="BB374" s="962"/>
      <c r="BC374" s="611"/>
      <c r="BD374" s="712">
        <v>11</v>
      </c>
      <c r="BE374" s="596">
        <v>0</v>
      </c>
      <c r="BF374" s="596">
        <f t="shared" si="191"/>
        <v>11</v>
      </c>
      <c r="BG374" s="728">
        <v>17</v>
      </c>
      <c r="BH374" s="728">
        <v>5</v>
      </c>
      <c r="BI374" s="729">
        <f t="shared" si="182"/>
        <v>22</v>
      </c>
      <c r="BJ374" s="729"/>
      <c r="BK374" s="616">
        <v>559</v>
      </c>
      <c r="BL374" s="603">
        <f t="shared" si="190"/>
        <v>11.18</v>
      </c>
      <c r="BM374" s="964"/>
      <c r="BN374" s="602">
        <f t="shared" si="205"/>
        <v>-0.17999999999999972</v>
      </c>
      <c r="BO374" s="940"/>
      <c r="BP374" s="593">
        <f t="shared" si="197"/>
        <v>0</v>
      </c>
      <c r="BS374" s="741">
        <v>0</v>
      </c>
      <c r="BT374" s="741">
        <v>0</v>
      </c>
      <c r="BU374" s="741">
        <f t="shared" si="198"/>
        <v>0</v>
      </c>
      <c r="BV374" s="741">
        <v>0</v>
      </c>
      <c r="BW374" s="741"/>
      <c r="BX374" s="741">
        <v>0</v>
      </c>
      <c r="BY374" s="741">
        <v>0</v>
      </c>
      <c r="BZ374" s="741">
        <f t="shared" si="183"/>
        <v>0</v>
      </c>
      <c r="CA374" s="741">
        <v>0</v>
      </c>
      <c r="CB374" s="741"/>
      <c r="CC374" s="741">
        <f t="shared" si="199"/>
        <v>0</v>
      </c>
      <c r="CD374" s="751"/>
      <c r="CE374" s="748"/>
      <c r="CF374" s="748"/>
      <c r="CG374" s="748">
        <f t="shared" si="200"/>
        <v>0</v>
      </c>
      <c r="CH374" s="759"/>
      <c r="CI374" s="742"/>
      <c r="CJ374" s="591">
        <f t="shared" si="201"/>
        <v>-0.17999999999999972</v>
      </c>
    </row>
    <row r="375" spans="1:88" ht="21.6" customHeight="1" x14ac:dyDescent="0.25">
      <c r="A375" s="596" t="s">
        <v>130</v>
      </c>
      <c r="B375" s="596" t="s">
        <v>212</v>
      </c>
      <c r="C375" s="597" t="s">
        <v>217</v>
      </c>
      <c r="D375" s="167"/>
      <c r="E375" s="598">
        <v>0</v>
      </c>
      <c r="F375" s="596">
        <v>0</v>
      </c>
      <c r="G375" s="598">
        <v>0</v>
      </c>
      <c r="H375" s="596"/>
      <c r="I375" s="596">
        <f t="shared" si="188"/>
        <v>0</v>
      </c>
      <c r="J375" s="728"/>
      <c r="K375" s="728"/>
      <c r="L375" s="731">
        <f t="shared" si="180"/>
        <v>0</v>
      </c>
      <c r="M375" s="947"/>
      <c r="N375" s="617"/>
      <c r="O375" s="602">
        <f t="shared" si="202"/>
        <v>0</v>
      </c>
      <c r="P375" s="940"/>
      <c r="Q375" s="600">
        <f t="shared" si="203"/>
        <v>0</v>
      </c>
      <c r="R375" s="940"/>
      <c r="S375" s="596">
        <v>0</v>
      </c>
      <c r="T375" s="724"/>
      <c r="U375" s="728"/>
      <c r="V375" s="728"/>
      <c r="W375" s="731">
        <f t="shared" si="181"/>
        <v>0</v>
      </c>
      <c r="X375" s="947"/>
      <c r="Y375" s="616"/>
      <c r="Z375" s="602">
        <f t="shared" si="184"/>
        <v>0</v>
      </c>
      <c r="AA375" s="835"/>
      <c r="AB375" s="602">
        <f t="shared" si="185"/>
        <v>0</v>
      </c>
      <c r="AC375" s="940"/>
      <c r="AD375" s="956"/>
      <c r="AE375" s="956"/>
      <c r="AF375" s="598">
        <v>0</v>
      </c>
      <c r="AG375" s="596"/>
      <c r="AH375" s="728"/>
      <c r="AI375" s="728"/>
      <c r="AJ375" s="729">
        <f t="shared" si="195"/>
        <v>0</v>
      </c>
      <c r="AK375" s="946"/>
      <c r="AL375" s="616"/>
      <c r="AM375" s="602">
        <f t="shared" si="189"/>
        <v>0</v>
      </c>
      <c r="AN375" s="835"/>
      <c r="AO375" s="835">
        <f t="shared" si="204"/>
        <v>0</v>
      </c>
      <c r="AP375" s="940"/>
      <c r="AQ375" s="722">
        <v>0</v>
      </c>
      <c r="AR375" s="728"/>
      <c r="AS375" s="728"/>
      <c r="AT375" s="729">
        <f t="shared" si="196"/>
        <v>0</v>
      </c>
      <c r="AU375" s="946"/>
      <c r="AV375" s="616"/>
      <c r="AW375" s="602">
        <f t="shared" si="186"/>
        <v>0</v>
      </c>
      <c r="AX375" s="940"/>
      <c r="AY375" s="602">
        <f t="shared" si="187"/>
        <v>0</v>
      </c>
      <c r="AZ375" s="940"/>
      <c r="BA375" s="962"/>
      <c r="BB375" s="962"/>
      <c r="BC375" s="611"/>
      <c r="BD375" s="712">
        <v>0</v>
      </c>
      <c r="BE375" s="596">
        <v>0</v>
      </c>
      <c r="BF375" s="596">
        <f t="shared" si="191"/>
        <v>0</v>
      </c>
      <c r="BG375" s="728"/>
      <c r="BH375" s="728"/>
      <c r="BI375" s="729">
        <f t="shared" si="182"/>
        <v>0</v>
      </c>
      <c r="BJ375" s="729"/>
      <c r="BK375" s="616"/>
      <c r="BL375" s="603">
        <f t="shared" si="190"/>
        <v>0</v>
      </c>
      <c r="BM375" s="964"/>
      <c r="BN375" s="602">
        <f t="shared" si="205"/>
        <v>0</v>
      </c>
      <c r="BO375" s="940"/>
      <c r="BP375" s="593">
        <f t="shared" si="197"/>
        <v>0</v>
      </c>
      <c r="BS375" s="741">
        <v>0</v>
      </c>
      <c r="BT375" s="741">
        <v>0</v>
      </c>
      <c r="BU375" s="741">
        <f t="shared" si="198"/>
        <v>0</v>
      </c>
      <c r="BV375" s="741">
        <v>0</v>
      </c>
      <c r="BW375" s="741"/>
      <c r="BX375" s="741">
        <v>0</v>
      </c>
      <c r="BY375" s="741">
        <v>0</v>
      </c>
      <c r="BZ375" s="741">
        <f t="shared" si="183"/>
        <v>0</v>
      </c>
      <c r="CA375" s="741">
        <v>0</v>
      </c>
      <c r="CB375" s="741"/>
      <c r="CC375" s="741">
        <f t="shared" si="199"/>
        <v>0</v>
      </c>
      <c r="CD375" s="751"/>
      <c r="CE375" s="748"/>
      <c r="CF375" s="748"/>
      <c r="CG375" s="748">
        <f t="shared" si="200"/>
        <v>0</v>
      </c>
      <c r="CH375" s="759"/>
      <c r="CI375" s="742"/>
      <c r="CJ375" s="591">
        <f t="shared" si="201"/>
        <v>0</v>
      </c>
    </row>
    <row r="376" spans="1:88" ht="21.6" customHeight="1" x14ac:dyDescent="0.25">
      <c r="A376" s="596"/>
      <c r="B376" s="596"/>
      <c r="C376" s="597"/>
      <c r="D376" s="143"/>
      <c r="E376" s="598">
        <v>0</v>
      </c>
      <c r="F376" s="596">
        <v>0</v>
      </c>
      <c r="G376" s="598"/>
      <c r="H376" s="596"/>
      <c r="I376" s="596">
        <f t="shared" si="188"/>
        <v>0</v>
      </c>
      <c r="J376" s="728"/>
      <c r="K376" s="728"/>
      <c r="L376" s="731">
        <f t="shared" si="180"/>
        <v>0</v>
      </c>
      <c r="M376" s="947"/>
      <c r="N376" s="617"/>
      <c r="O376" s="602">
        <f t="shared" si="202"/>
        <v>0</v>
      </c>
      <c r="P376" s="940"/>
      <c r="Q376" s="600">
        <f t="shared" si="203"/>
        <v>0</v>
      </c>
      <c r="R376" s="940"/>
      <c r="S376" s="596">
        <v>0</v>
      </c>
      <c r="T376" s="724"/>
      <c r="U376" s="728"/>
      <c r="V376" s="728"/>
      <c r="W376" s="731">
        <f t="shared" si="181"/>
        <v>0</v>
      </c>
      <c r="X376" s="947"/>
      <c r="Y376" s="616"/>
      <c r="Z376" s="602">
        <f t="shared" si="184"/>
        <v>0</v>
      </c>
      <c r="AA376" s="835"/>
      <c r="AB376" s="602">
        <f t="shared" si="185"/>
        <v>0</v>
      </c>
      <c r="AC376" s="940"/>
      <c r="AD376" s="956"/>
      <c r="AE376" s="956"/>
      <c r="AF376" s="598"/>
      <c r="AG376" s="596"/>
      <c r="AH376" s="728"/>
      <c r="AI376" s="728"/>
      <c r="AJ376" s="729">
        <f t="shared" si="195"/>
        <v>0</v>
      </c>
      <c r="AK376" s="946"/>
      <c r="AL376" s="616"/>
      <c r="AM376" s="602">
        <f t="shared" si="189"/>
        <v>0</v>
      </c>
      <c r="AN376" s="835"/>
      <c r="AO376" s="835">
        <f t="shared" si="204"/>
        <v>0</v>
      </c>
      <c r="AP376" s="940"/>
      <c r="AQ376" s="722">
        <v>0</v>
      </c>
      <c r="AR376" s="728"/>
      <c r="AS376" s="728"/>
      <c r="AT376" s="729">
        <f t="shared" si="196"/>
        <v>0</v>
      </c>
      <c r="AU376" s="946"/>
      <c r="AV376" s="616"/>
      <c r="AW376" s="602">
        <f t="shared" si="186"/>
        <v>0</v>
      </c>
      <c r="AX376" s="940"/>
      <c r="AY376" s="602">
        <f t="shared" si="187"/>
        <v>0</v>
      </c>
      <c r="AZ376" s="940"/>
      <c r="BA376" s="962"/>
      <c r="BB376" s="962"/>
      <c r="BC376" s="611"/>
      <c r="BD376" s="712"/>
      <c r="BE376" s="596"/>
      <c r="BF376" s="596">
        <f t="shared" si="191"/>
        <v>0</v>
      </c>
      <c r="BG376" s="728"/>
      <c r="BH376" s="728"/>
      <c r="BI376" s="729">
        <f t="shared" si="182"/>
        <v>0</v>
      </c>
      <c r="BJ376" s="729"/>
      <c r="BK376" s="616"/>
      <c r="BL376" s="603">
        <f t="shared" si="190"/>
        <v>0</v>
      </c>
      <c r="BM376" s="964"/>
      <c r="BN376" s="602">
        <f t="shared" si="205"/>
        <v>0</v>
      </c>
      <c r="BO376" s="940"/>
      <c r="BP376" s="593">
        <f t="shared" si="197"/>
        <v>0</v>
      </c>
      <c r="BS376" s="741">
        <v>0</v>
      </c>
      <c r="BT376" s="741">
        <v>0</v>
      </c>
      <c r="BU376" s="741">
        <f t="shared" si="198"/>
        <v>0</v>
      </c>
      <c r="BV376" s="741">
        <v>0</v>
      </c>
      <c r="BW376" s="741"/>
      <c r="BX376" s="741">
        <v>0</v>
      </c>
      <c r="BY376" s="741">
        <v>0</v>
      </c>
      <c r="BZ376" s="741">
        <f t="shared" si="183"/>
        <v>0</v>
      </c>
      <c r="CA376" s="741">
        <v>0</v>
      </c>
      <c r="CB376" s="741"/>
      <c r="CC376" s="741">
        <f t="shared" si="199"/>
        <v>0</v>
      </c>
      <c r="CD376" s="751"/>
      <c r="CE376" s="748"/>
      <c r="CF376" s="748"/>
      <c r="CG376" s="748">
        <f t="shared" si="200"/>
        <v>0</v>
      </c>
      <c r="CH376" s="759"/>
      <c r="CI376" s="742"/>
      <c r="CJ376" s="591">
        <f t="shared" si="201"/>
        <v>0</v>
      </c>
    </row>
    <row r="377" spans="1:88" s="594" customFormat="1" ht="21.6" customHeight="1" x14ac:dyDescent="0.25">
      <c r="A377" s="612" t="s">
        <v>130</v>
      </c>
      <c r="B377" s="612" t="s">
        <v>218</v>
      </c>
      <c r="C377" s="613" t="s">
        <v>219</v>
      </c>
      <c r="D377" s="182" t="s">
        <v>437</v>
      </c>
      <c r="E377" s="614">
        <v>15.666666666666666</v>
      </c>
      <c r="F377" s="612">
        <v>99.666666666666657</v>
      </c>
      <c r="G377" s="614">
        <v>0</v>
      </c>
      <c r="H377" s="612">
        <v>66</v>
      </c>
      <c r="I377" s="612">
        <f t="shared" ref="I377:I395" si="206">F377-H377</f>
        <v>33.666666666666657</v>
      </c>
      <c r="J377" s="728">
        <v>14</v>
      </c>
      <c r="K377" s="728"/>
      <c r="L377" s="731">
        <f t="shared" ref="L377:L395" si="207">J377+K377</f>
        <v>14</v>
      </c>
      <c r="M377" s="947">
        <f>SUM(L377:L395)</f>
        <v>196</v>
      </c>
      <c r="N377" s="617">
        <v>235</v>
      </c>
      <c r="O377" s="602">
        <f t="shared" ref="O377:O395" si="208">N377/15</f>
        <v>15.666666666666666</v>
      </c>
      <c r="P377" s="940">
        <f>SUM(O377:O395)</f>
        <v>99.666666666666671</v>
      </c>
      <c r="Q377" s="600">
        <f t="shared" si="203"/>
        <v>0</v>
      </c>
      <c r="R377" s="940">
        <f>SUM(Q377:Q395)</f>
        <v>0</v>
      </c>
      <c r="S377" s="596">
        <v>0</v>
      </c>
      <c r="T377" s="724">
        <f>SUM(S377:S395)</f>
        <v>0</v>
      </c>
      <c r="U377" s="728"/>
      <c r="V377" s="728"/>
      <c r="W377" s="731">
        <f t="shared" ref="W377:W395" si="209">U377+V377</f>
        <v>0</v>
      </c>
      <c r="X377" s="947">
        <f>SUM(W377:W395)</f>
        <v>0</v>
      </c>
      <c r="Y377" s="616"/>
      <c r="Z377" s="602">
        <f t="shared" ref="Z377:Z395" si="210">Y377/15</f>
        <v>0</v>
      </c>
      <c r="AA377" s="835">
        <f>SUM(Z377:Z395)</f>
        <v>0</v>
      </c>
      <c r="AB377" s="602">
        <f t="shared" ref="AB377:AB395" si="211">S377-Z377</f>
        <v>0</v>
      </c>
      <c r="AC377" s="940">
        <f>SUM(AB377:AB395)</f>
        <v>0</v>
      </c>
      <c r="AD377" s="955">
        <f>M377+X377</f>
        <v>196</v>
      </c>
      <c r="AE377" s="955">
        <f>R377+AC377</f>
        <v>0</v>
      </c>
      <c r="AF377" s="614">
        <v>10</v>
      </c>
      <c r="AG377" s="612">
        <v>37.333333333333343</v>
      </c>
      <c r="AH377" s="728">
        <v>10</v>
      </c>
      <c r="AI377" s="728"/>
      <c r="AJ377" s="729">
        <f t="shared" si="195"/>
        <v>10</v>
      </c>
      <c r="AK377" s="946">
        <f>SUM(AJ377:AJ395)</f>
        <v>80</v>
      </c>
      <c r="AL377" s="616">
        <v>150</v>
      </c>
      <c r="AM377" s="602">
        <f t="shared" ref="AM377:AM395" si="212">AL377/15</f>
        <v>10</v>
      </c>
      <c r="AN377" s="835">
        <f>SUM(AM377:AM395)</f>
        <v>37.333333333333336</v>
      </c>
      <c r="AO377" s="835">
        <f t="shared" si="204"/>
        <v>0</v>
      </c>
      <c r="AP377" s="940">
        <f>SUM(AO377:AO395)</f>
        <v>0</v>
      </c>
      <c r="AQ377" s="722">
        <v>0</v>
      </c>
      <c r="AR377" s="728"/>
      <c r="AS377" s="728"/>
      <c r="AT377" s="729">
        <f t="shared" ref="AT377:AT395" si="213">AR377+AS377</f>
        <v>0</v>
      </c>
      <c r="AU377" s="946">
        <f>SUM(AT377:AT395)</f>
        <v>4</v>
      </c>
      <c r="AV377" s="616"/>
      <c r="AW377" s="602">
        <f t="shared" ref="AW377:AW395" si="214">AV377/15</f>
        <v>0</v>
      </c>
      <c r="AX377" s="940">
        <f>SUM(AW377:AW395)</f>
        <v>6.333333333333333</v>
      </c>
      <c r="AY377" s="602">
        <f>AQ377-AW377</f>
        <v>0</v>
      </c>
      <c r="AZ377" s="940">
        <f>SUM(AY377:AY395)</f>
        <v>-1.333333333333333</v>
      </c>
      <c r="BA377" s="961">
        <f>AK377+AU377</f>
        <v>84</v>
      </c>
      <c r="BB377" s="961">
        <f>AP377+AZ377</f>
        <v>-1.333333333333333</v>
      </c>
      <c r="BC377" s="614">
        <f>SUM(BD377:BD395)</f>
        <v>133</v>
      </c>
      <c r="BD377" s="716">
        <v>25</v>
      </c>
      <c r="BE377" s="612">
        <v>0</v>
      </c>
      <c r="BF377" s="596">
        <f t="shared" ref="BF377:BF395" si="215">BD377-BE377</f>
        <v>25</v>
      </c>
      <c r="BG377" s="728">
        <v>24</v>
      </c>
      <c r="BH377" s="728"/>
      <c r="BI377" s="729">
        <f t="shared" ref="BI377:BI395" si="216">BG377+BH377</f>
        <v>24</v>
      </c>
      <c r="BJ377" s="729">
        <f>SUM(BI377:BI395)</f>
        <v>282</v>
      </c>
      <c r="BK377" s="616">
        <v>1287</v>
      </c>
      <c r="BL377" s="603">
        <f t="shared" ref="BL377:BL395" si="217">BK377/50</f>
        <v>25.74</v>
      </c>
      <c r="BM377" s="964">
        <f>SUM(BL377:BL395)</f>
        <v>134.5</v>
      </c>
      <c r="BN377" s="602">
        <f t="shared" si="205"/>
        <v>-0.73999999999999844</v>
      </c>
      <c r="BO377" s="940">
        <f>SUM(BN377:BN395)</f>
        <v>-1.4999999999999982</v>
      </c>
      <c r="BP377" s="593">
        <f t="shared" si="197"/>
        <v>-2.8333333333333313</v>
      </c>
      <c r="BS377" s="745">
        <v>14</v>
      </c>
      <c r="BT377" s="745">
        <v>0</v>
      </c>
      <c r="BU377" s="741">
        <f t="shared" ref="BU377:BU395" si="218">BS377+BT377</f>
        <v>14</v>
      </c>
      <c r="BV377" s="745">
        <v>15.666666666666666</v>
      </c>
      <c r="BW377" s="745">
        <f>SUM(BV377:BV395)</f>
        <v>33.666666666666664</v>
      </c>
      <c r="BX377" s="745">
        <v>10</v>
      </c>
      <c r="BY377" s="745">
        <v>0</v>
      </c>
      <c r="BZ377" s="741">
        <f t="shared" ref="BZ377:BZ395" si="219">BX377+BY377</f>
        <v>10</v>
      </c>
      <c r="CA377" s="745">
        <v>10</v>
      </c>
      <c r="CB377" s="745">
        <f>SUM(CA377:CA395)</f>
        <v>37.333333333333336</v>
      </c>
      <c r="CC377" s="741">
        <f t="shared" ref="CC377:CC395" si="220">BV377+CA377</f>
        <v>25.666666666666664</v>
      </c>
      <c r="CD377" s="756">
        <f>SUM(CC377:CC395)</f>
        <v>70.999999999999986</v>
      </c>
      <c r="CE377" s="748">
        <v>24</v>
      </c>
      <c r="CF377" s="748"/>
      <c r="CG377" s="748">
        <f t="shared" ref="CG377:CG395" si="221">CE377+CF377</f>
        <v>24</v>
      </c>
      <c r="CH377" s="766">
        <v>25</v>
      </c>
      <c r="CI377" s="745">
        <f>SUM(CH377:CH395)</f>
        <v>58</v>
      </c>
      <c r="CJ377" s="594">
        <f t="shared" si="201"/>
        <v>-0.73999999999999844</v>
      </c>
    </row>
    <row r="378" spans="1:88" ht="21.6" customHeight="1" x14ac:dyDescent="0.25">
      <c r="A378" s="596" t="s">
        <v>130</v>
      </c>
      <c r="B378" s="596" t="s">
        <v>218</v>
      </c>
      <c r="C378" s="597" t="s">
        <v>220</v>
      </c>
      <c r="D378" s="182" t="s">
        <v>437</v>
      </c>
      <c r="E378" s="598">
        <v>7.333333333333333</v>
      </c>
      <c r="F378" s="596">
        <v>0</v>
      </c>
      <c r="G378" s="598">
        <v>7.333333333333333</v>
      </c>
      <c r="H378" s="596"/>
      <c r="I378" s="596">
        <f t="shared" si="206"/>
        <v>0</v>
      </c>
      <c r="J378" s="728">
        <f>17</f>
        <v>17</v>
      </c>
      <c r="K378" s="728">
        <f>2</f>
        <v>2</v>
      </c>
      <c r="L378" s="731">
        <f t="shared" si="207"/>
        <v>19</v>
      </c>
      <c r="M378" s="947"/>
      <c r="N378" s="617">
        <v>110</v>
      </c>
      <c r="O378" s="602">
        <f t="shared" si="208"/>
        <v>7.333333333333333</v>
      </c>
      <c r="P378" s="940"/>
      <c r="Q378" s="600">
        <f t="shared" si="203"/>
        <v>0</v>
      </c>
      <c r="R378" s="940"/>
      <c r="S378" s="596">
        <v>0</v>
      </c>
      <c r="T378" s="724"/>
      <c r="U378" s="728"/>
      <c r="V378" s="728"/>
      <c r="W378" s="731">
        <f t="shared" si="209"/>
        <v>0</v>
      </c>
      <c r="X378" s="947"/>
      <c r="Y378" s="616"/>
      <c r="Z378" s="602">
        <f t="shared" si="210"/>
        <v>0</v>
      </c>
      <c r="AA378" s="835"/>
      <c r="AB378" s="602">
        <f t="shared" si="211"/>
        <v>0</v>
      </c>
      <c r="AC378" s="940"/>
      <c r="AD378" s="956"/>
      <c r="AE378" s="956"/>
      <c r="AF378" s="598">
        <v>0</v>
      </c>
      <c r="AG378" s="596"/>
      <c r="AH378" s="728"/>
      <c r="AI378" s="728"/>
      <c r="AJ378" s="729">
        <f t="shared" si="195"/>
        <v>0</v>
      </c>
      <c r="AK378" s="946"/>
      <c r="AL378" s="616"/>
      <c r="AM378" s="602">
        <f t="shared" si="212"/>
        <v>0</v>
      </c>
      <c r="AN378" s="835"/>
      <c r="AO378" s="835">
        <f t="shared" si="204"/>
        <v>0</v>
      </c>
      <c r="AP378" s="940"/>
      <c r="AQ378" s="722">
        <v>0</v>
      </c>
      <c r="AR378" s="728"/>
      <c r="AS378" s="728"/>
      <c r="AT378" s="729">
        <f t="shared" si="213"/>
        <v>0</v>
      </c>
      <c r="AU378" s="946"/>
      <c r="AV378" s="616"/>
      <c r="AW378" s="602">
        <f t="shared" si="214"/>
        <v>0</v>
      </c>
      <c r="AX378" s="940"/>
      <c r="AY378" s="602">
        <f t="shared" ref="AY378:AY395" si="222">AQ378-AW378</f>
        <v>0</v>
      </c>
      <c r="AZ378" s="940"/>
      <c r="BA378" s="962"/>
      <c r="BB378" s="962"/>
      <c r="BC378" s="611"/>
      <c r="BD378" s="712">
        <v>7</v>
      </c>
      <c r="BE378" s="596">
        <v>0</v>
      </c>
      <c r="BF378" s="596">
        <f t="shared" si="215"/>
        <v>7</v>
      </c>
      <c r="BG378" s="728">
        <v>17</v>
      </c>
      <c r="BH378" s="728">
        <v>2</v>
      </c>
      <c r="BI378" s="729">
        <f t="shared" si="216"/>
        <v>19</v>
      </c>
      <c r="BJ378" s="729"/>
      <c r="BK378" s="616">
        <v>356</v>
      </c>
      <c r="BL378" s="603">
        <f t="shared" si="217"/>
        <v>7.12</v>
      </c>
      <c r="BM378" s="964"/>
      <c r="BN378" s="602">
        <f t="shared" si="205"/>
        <v>-0.12000000000000011</v>
      </c>
      <c r="BO378" s="940"/>
      <c r="BP378" s="593">
        <f t="shared" si="197"/>
        <v>0</v>
      </c>
      <c r="BS378" s="741">
        <v>0</v>
      </c>
      <c r="BT378" s="741">
        <v>0</v>
      </c>
      <c r="BU378" s="741">
        <f t="shared" si="218"/>
        <v>0</v>
      </c>
      <c r="BV378" s="741">
        <v>0</v>
      </c>
      <c r="BW378" s="741"/>
      <c r="BX378" s="741">
        <v>0</v>
      </c>
      <c r="BY378" s="741">
        <v>0</v>
      </c>
      <c r="BZ378" s="741">
        <f t="shared" si="219"/>
        <v>0</v>
      </c>
      <c r="CA378" s="741">
        <v>0</v>
      </c>
      <c r="CB378" s="741"/>
      <c r="CC378" s="741">
        <f t="shared" si="220"/>
        <v>0</v>
      </c>
      <c r="CD378" s="751"/>
      <c r="CE378" s="748"/>
      <c r="CF378" s="748"/>
      <c r="CG378" s="748">
        <f t="shared" si="221"/>
        <v>0</v>
      </c>
      <c r="CH378" s="759"/>
      <c r="CI378" s="742"/>
      <c r="CJ378" s="591">
        <f t="shared" si="201"/>
        <v>-0.12000000000000011</v>
      </c>
    </row>
    <row r="379" spans="1:88" ht="21.6" customHeight="1" x14ac:dyDescent="0.25">
      <c r="A379" s="596"/>
      <c r="B379" s="596" t="s">
        <v>218</v>
      </c>
      <c r="C379" s="597" t="s">
        <v>527</v>
      </c>
      <c r="D379" s="182" t="s">
        <v>431</v>
      </c>
      <c r="E379" s="598">
        <v>0</v>
      </c>
      <c r="F379" s="596">
        <v>0</v>
      </c>
      <c r="G379" s="598"/>
      <c r="H379" s="596"/>
      <c r="I379" s="596">
        <f t="shared" si="206"/>
        <v>0</v>
      </c>
      <c r="J379" s="728"/>
      <c r="K379" s="728"/>
      <c r="L379" s="731">
        <f t="shared" si="207"/>
        <v>0</v>
      </c>
      <c r="M379" s="947"/>
      <c r="N379" s="617"/>
      <c r="O379" s="602">
        <f t="shared" si="208"/>
        <v>0</v>
      </c>
      <c r="P379" s="940"/>
      <c r="Q379" s="600">
        <f t="shared" si="203"/>
        <v>0</v>
      </c>
      <c r="R379" s="940"/>
      <c r="S379" s="596">
        <v>0</v>
      </c>
      <c r="T379" s="724"/>
      <c r="U379" s="728"/>
      <c r="V379" s="728"/>
      <c r="W379" s="731">
        <f t="shared" si="209"/>
        <v>0</v>
      </c>
      <c r="X379" s="947"/>
      <c r="Y379" s="616"/>
      <c r="Z379" s="602">
        <f t="shared" si="210"/>
        <v>0</v>
      </c>
      <c r="AA379" s="835"/>
      <c r="AB379" s="602">
        <f t="shared" si="211"/>
        <v>0</v>
      </c>
      <c r="AC379" s="940"/>
      <c r="AD379" s="956"/>
      <c r="AE379" s="956"/>
      <c r="AF379" s="598">
        <v>3.3333333333333335</v>
      </c>
      <c r="AG379" s="596"/>
      <c r="AH379" s="728">
        <v>8</v>
      </c>
      <c r="AI379" s="728"/>
      <c r="AJ379" s="729">
        <f t="shared" si="195"/>
        <v>8</v>
      </c>
      <c r="AK379" s="946"/>
      <c r="AL379" s="616">
        <v>50</v>
      </c>
      <c r="AM379" s="602">
        <f t="shared" si="212"/>
        <v>3.3333333333333335</v>
      </c>
      <c r="AN379" s="835"/>
      <c r="AO379" s="835">
        <f t="shared" si="204"/>
        <v>0</v>
      </c>
      <c r="AP379" s="940"/>
      <c r="AQ379" s="722">
        <v>0</v>
      </c>
      <c r="AR379" s="728"/>
      <c r="AS379" s="728"/>
      <c r="AT379" s="729">
        <f t="shared" si="213"/>
        <v>0</v>
      </c>
      <c r="AU379" s="946"/>
      <c r="AV379" s="616"/>
      <c r="AW379" s="602">
        <f t="shared" si="214"/>
        <v>0</v>
      </c>
      <c r="AX379" s="940"/>
      <c r="AY379" s="602">
        <f t="shared" si="222"/>
        <v>0</v>
      </c>
      <c r="AZ379" s="940"/>
      <c r="BA379" s="962"/>
      <c r="BB379" s="962"/>
      <c r="BC379" s="611"/>
      <c r="BD379" s="712">
        <v>3</v>
      </c>
      <c r="BE379" s="596">
        <v>3</v>
      </c>
      <c r="BF379" s="596">
        <f t="shared" si="215"/>
        <v>0</v>
      </c>
      <c r="BG379" s="728">
        <v>8</v>
      </c>
      <c r="BH379" s="728">
        <v>0</v>
      </c>
      <c r="BI379" s="729">
        <f t="shared" si="216"/>
        <v>8</v>
      </c>
      <c r="BJ379" s="729"/>
      <c r="BK379" s="616">
        <v>185.5</v>
      </c>
      <c r="BL379" s="603">
        <f t="shared" si="217"/>
        <v>3.71</v>
      </c>
      <c r="BM379" s="964"/>
      <c r="BN379" s="602">
        <f t="shared" si="205"/>
        <v>-0.71</v>
      </c>
      <c r="BO379" s="940"/>
      <c r="BP379" s="593">
        <f t="shared" si="197"/>
        <v>0</v>
      </c>
      <c r="BS379" s="741">
        <v>0</v>
      </c>
      <c r="BT379" s="741">
        <v>0</v>
      </c>
      <c r="BU379" s="741">
        <f t="shared" si="218"/>
        <v>0</v>
      </c>
      <c r="BV379" s="741">
        <v>0</v>
      </c>
      <c r="BW379" s="741"/>
      <c r="BX379" s="741">
        <v>8</v>
      </c>
      <c r="BY379" s="741">
        <v>0</v>
      </c>
      <c r="BZ379" s="741">
        <f t="shared" si="219"/>
        <v>8</v>
      </c>
      <c r="CA379" s="741">
        <v>3.3333333333333335</v>
      </c>
      <c r="CB379" s="741"/>
      <c r="CC379" s="741">
        <f t="shared" si="220"/>
        <v>3.3333333333333335</v>
      </c>
      <c r="CD379" s="751"/>
      <c r="CE379" s="748">
        <v>8</v>
      </c>
      <c r="CF379" s="748"/>
      <c r="CG379" s="748">
        <f t="shared" si="221"/>
        <v>8</v>
      </c>
      <c r="CH379" s="759">
        <v>3</v>
      </c>
      <c r="CI379" s="742"/>
      <c r="CJ379" s="591">
        <f t="shared" si="201"/>
        <v>-0.71</v>
      </c>
    </row>
    <row r="380" spans="1:88" ht="23.25" customHeight="1" x14ac:dyDescent="0.25">
      <c r="A380" s="1109"/>
      <c r="B380" s="1109" t="s">
        <v>218</v>
      </c>
      <c r="C380" s="597" t="s">
        <v>527</v>
      </c>
      <c r="D380" s="182" t="s">
        <v>431</v>
      </c>
      <c r="E380" s="598">
        <v>3.3333333333333335</v>
      </c>
      <c r="F380" s="1109">
        <v>0</v>
      </c>
      <c r="G380" s="598">
        <v>3.3333333333333335</v>
      </c>
      <c r="H380" s="1109"/>
      <c r="I380" s="1109">
        <f t="shared" si="206"/>
        <v>0</v>
      </c>
      <c r="J380" s="1110">
        <f>8</f>
        <v>8</v>
      </c>
      <c r="K380" s="1110">
        <f>2</f>
        <v>2</v>
      </c>
      <c r="L380" s="1111">
        <f t="shared" si="207"/>
        <v>10</v>
      </c>
      <c r="M380" s="1112"/>
      <c r="N380" s="604">
        <v>50</v>
      </c>
      <c r="O380" s="604">
        <f t="shared" si="208"/>
        <v>3.3333333333333335</v>
      </c>
      <c r="P380" s="722"/>
      <c r="Q380" s="598">
        <f t="shared" si="203"/>
        <v>0</v>
      </c>
      <c r="R380" s="722"/>
      <c r="S380" s="1109">
        <v>0</v>
      </c>
      <c r="T380" s="1109"/>
      <c r="U380" s="1110"/>
      <c r="V380" s="1110"/>
      <c r="W380" s="1111">
        <f t="shared" si="209"/>
        <v>0</v>
      </c>
      <c r="X380" s="1112"/>
      <c r="Y380" s="1109"/>
      <c r="Z380" s="604">
        <f t="shared" si="210"/>
        <v>0</v>
      </c>
      <c r="AA380" s="1109"/>
      <c r="AB380" s="604">
        <f t="shared" si="211"/>
        <v>0</v>
      </c>
      <c r="AC380" s="722"/>
      <c r="AD380" s="722"/>
      <c r="AE380" s="722"/>
      <c r="AF380" s="598"/>
      <c r="AG380" s="1109"/>
      <c r="AH380" s="1110"/>
      <c r="AI380" s="1110"/>
      <c r="AJ380" s="1110">
        <f t="shared" si="195"/>
        <v>0</v>
      </c>
      <c r="AK380" s="1113"/>
      <c r="AL380" s="1109"/>
      <c r="AM380" s="604">
        <f t="shared" si="212"/>
        <v>0</v>
      </c>
      <c r="AN380" s="1109"/>
      <c r="AO380" s="1109">
        <f t="shared" si="204"/>
        <v>0</v>
      </c>
      <c r="AP380" s="722"/>
      <c r="AQ380" s="722">
        <v>0</v>
      </c>
      <c r="AR380" s="1110"/>
      <c r="AS380" s="1110"/>
      <c r="AT380" s="1110">
        <f t="shared" si="213"/>
        <v>0</v>
      </c>
      <c r="AU380" s="1113"/>
      <c r="AV380" s="1109"/>
      <c r="AW380" s="604">
        <f t="shared" si="214"/>
        <v>0</v>
      </c>
      <c r="AX380" s="722"/>
      <c r="AY380" s="604">
        <f t="shared" si="222"/>
        <v>0</v>
      </c>
      <c r="AZ380" s="722"/>
      <c r="BA380" s="722"/>
      <c r="BB380" s="722"/>
      <c r="BC380" s="611"/>
      <c r="BD380" s="712">
        <v>3</v>
      </c>
      <c r="BE380" s="1109">
        <v>0</v>
      </c>
      <c r="BF380" s="1109">
        <f t="shared" si="215"/>
        <v>3</v>
      </c>
      <c r="BG380" s="1110">
        <v>8</v>
      </c>
      <c r="BH380" s="1110">
        <v>2</v>
      </c>
      <c r="BI380" s="1110">
        <f t="shared" si="216"/>
        <v>10</v>
      </c>
      <c r="BJ380" s="1110"/>
      <c r="BK380" s="1109">
        <v>170</v>
      </c>
      <c r="BL380" s="611">
        <f t="shared" si="217"/>
        <v>3.4</v>
      </c>
      <c r="BM380" s="1109"/>
      <c r="BN380" s="604">
        <f t="shared" si="205"/>
        <v>-0.39999999999999991</v>
      </c>
      <c r="BO380" s="722"/>
      <c r="BP380" s="591">
        <f t="shared" si="197"/>
        <v>0</v>
      </c>
      <c r="BS380" s="1108">
        <v>0</v>
      </c>
      <c r="BT380" s="1108">
        <v>0</v>
      </c>
      <c r="BU380" s="1108">
        <f t="shared" si="218"/>
        <v>0</v>
      </c>
      <c r="BV380" s="1108">
        <v>0</v>
      </c>
      <c r="BW380" s="1108"/>
      <c r="BX380" s="1108">
        <v>0</v>
      </c>
      <c r="BY380" s="1108">
        <v>0</v>
      </c>
      <c r="BZ380" s="1108">
        <f t="shared" si="219"/>
        <v>0</v>
      </c>
      <c r="CA380" s="1108">
        <v>0</v>
      </c>
      <c r="CB380" s="1108"/>
      <c r="CC380" s="1108">
        <f t="shared" si="220"/>
        <v>0</v>
      </c>
      <c r="CD380" s="751"/>
      <c r="CE380" s="849"/>
      <c r="CF380" s="849"/>
      <c r="CG380" s="849">
        <f t="shared" si="221"/>
        <v>0</v>
      </c>
      <c r="CH380" s="759"/>
      <c r="CI380" s="1108"/>
      <c r="CJ380" s="591">
        <f t="shared" si="201"/>
        <v>-0.39999999999999991</v>
      </c>
    </row>
    <row r="381" spans="1:88" ht="21.6" customHeight="1" x14ac:dyDescent="0.25">
      <c r="A381" s="596" t="s">
        <v>130</v>
      </c>
      <c r="B381" s="596" t="s">
        <v>218</v>
      </c>
      <c r="C381" s="597" t="s">
        <v>67</v>
      </c>
      <c r="D381" s="167" t="s">
        <v>431</v>
      </c>
      <c r="E381" s="598">
        <v>4.666666666666667</v>
      </c>
      <c r="F381" s="596">
        <v>0</v>
      </c>
      <c r="G381" s="598">
        <v>4.666666666666667</v>
      </c>
      <c r="H381" s="596"/>
      <c r="I381" s="596">
        <f t="shared" si="206"/>
        <v>0</v>
      </c>
      <c r="J381" s="728">
        <f>7</f>
        <v>7</v>
      </c>
      <c r="K381" s="728">
        <f>3</f>
        <v>3</v>
      </c>
      <c r="L381" s="731">
        <f t="shared" si="207"/>
        <v>10</v>
      </c>
      <c r="M381" s="947"/>
      <c r="N381" s="617">
        <v>70</v>
      </c>
      <c r="O381" s="602">
        <f t="shared" si="208"/>
        <v>4.666666666666667</v>
      </c>
      <c r="P381" s="940"/>
      <c r="Q381" s="600">
        <f t="shared" si="203"/>
        <v>0</v>
      </c>
      <c r="R381" s="940"/>
      <c r="S381" s="596">
        <v>0</v>
      </c>
      <c r="T381" s="724"/>
      <c r="U381" s="728"/>
      <c r="V381" s="728"/>
      <c r="W381" s="731">
        <f t="shared" si="209"/>
        <v>0</v>
      </c>
      <c r="X381" s="947"/>
      <c r="Y381" s="616"/>
      <c r="Z381" s="602">
        <f t="shared" si="210"/>
        <v>0</v>
      </c>
      <c r="AA381" s="835"/>
      <c r="AB381" s="602">
        <f t="shared" si="211"/>
        <v>0</v>
      </c>
      <c r="AC381" s="940"/>
      <c r="AD381" s="956"/>
      <c r="AE381" s="956"/>
      <c r="AF381" s="598">
        <v>1.3333333333333333</v>
      </c>
      <c r="AG381" s="596"/>
      <c r="AH381" s="728">
        <v>3</v>
      </c>
      <c r="AI381" s="728">
        <v>1</v>
      </c>
      <c r="AJ381" s="729">
        <f t="shared" si="195"/>
        <v>4</v>
      </c>
      <c r="AK381" s="946"/>
      <c r="AL381" s="616">
        <v>20</v>
      </c>
      <c r="AM381" s="602">
        <f t="shared" si="212"/>
        <v>1.3333333333333333</v>
      </c>
      <c r="AN381" s="835"/>
      <c r="AO381" s="835">
        <f t="shared" si="204"/>
        <v>0</v>
      </c>
      <c r="AP381" s="940"/>
      <c r="AQ381" s="722">
        <v>0</v>
      </c>
      <c r="AR381" s="728"/>
      <c r="AS381" s="728"/>
      <c r="AT381" s="729">
        <f t="shared" si="213"/>
        <v>0</v>
      </c>
      <c r="AU381" s="946"/>
      <c r="AV381" s="616"/>
      <c r="AW381" s="602">
        <f t="shared" si="214"/>
        <v>0</v>
      </c>
      <c r="AX381" s="940"/>
      <c r="AY381" s="602">
        <f t="shared" si="222"/>
        <v>0</v>
      </c>
      <c r="AZ381" s="940"/>
      <c r="BA381" s="962"/>
      <c r="BB381" s="962"/>
      <c r="BC381" s="611"/>
      <c r="BD381" s="712">
        <v>6</v>
      </c>
      <c r="BE381" s="596">
        <v>6</v>
      </c>
      <c r="BF381" s="596">
        <f t="shared" si="215"/>
        <v>0</v>
      </c>
      <c r="BG381" s="728">
        <v>10</v>
      </c>
      <c r="BH381" s="728">
        <v>3</v>
      </c>
      <c r="BI381" s="729">
        <f t="shared" si="216"/>
        <v>13</v>
      </c>
      <c r="BJ381" s="729"/>
      <c r="BK381" s="616">
        <v>304</v>
      </c>
      <c r="BL381" s="603">
        <f t="shared" si="217"/>
        <v>6.08</v>
      </c>
      <c r="BM381" s="964"/>
      <c r="BN381" s="602">
        <f t="shared" si="205"/>
        <v>-8.0000000000000071E-2</v>
      </c>
      <c r="BO381" s="940"/>
      <c r="BP381" s="593">
        <f t="shared" si="197"/>
        <v>0</v>
      </c>
      <c r="BS381" s="741">
        <v>0</v>
      </c>
      <c r="BT381" s="741">
        <v>0</v>
      </c>
      <c r="BU381" s="741">
        <f t="shared" si="218"/>
        <v>0</v>
      </c>
      <c r="BV381" s="741">
        <v>0</v>
      </c>
      <c r="BW381" s="741"/>
      <c r="BX381" s="741">
        <v>3</v>
      </c>
      <c r="BY381" s="741">
        <v>1</v>
      </c>
      <c r="BZ381" s="741">
        <f t="shared" si="219"/>
        <v>4</v>
      </c>
      <c r="CA381" s="741">
        <v>1.3333333333333333</v>
      </c>
      <c r="CB381" s="741"/>
      <c r="CC381" s="741">
        <f t="shared" si="220"/>
        <v>1.3333333333333333</v>
      </c>
      <c r="CD381" s="751"/>
      <c r="CE381" s="748">
        <v>10</v>
      </c>
      <c r="CF381" s="748">
        <v>3</v>
      </c>
      <c r="CG381" s="748">
        <f t="shared" si="221"/>
        <v>13</v>
      </c>
      <c r="CH381" s="759">
        <v>6</v>
      </c>
      <c r="CI381" s="742"/>
      <c r="CJ381" s="591">
        <f t="shared" si="201"/>
        <v>-8.0000000000000071E-2</v>
      </c>
    </row>
    <row r="382" spans="1:88" ht="21.6" customHeight="1" x14ac:dyDescent="0.25">
      <c r="A382" s="596" t="s">
        <v>130</v>
      </c>
      <c r="B382" s="596" t="s">
        <v>218</v>
      </c>
      <c r="C382" s="597" t="s">
        <v>337</v>
      </c>
      <c r="D382" s="167" t="s">
        <v>437</v>
      </c>
      <c r="E382" s="598">
        <v>6.666666666666667</v>
      </c>
      <c r="F382" s="596">
        <v>0</v>
      </c>
      <c r="G382" s="598">
        <v>6.666666666666667</v>
      </c>
      <c r="H382" s="596"/>
      <c r="I382" s="596">
        <f t="shared" si="206"/>
        <v>0</v>
      </c>
      <c r="J382" s="728">
        <f>12</f>
        <v>12</v>
      </c>
      <c r="K382" s="728">
        <f>2</f>
        <v>2</v>
      </c>
      <c r="L382" s="731">
        <f t="shared" si="207"/>
        <v>14</v>
      </c>
      <c r="M382" s="947"/>
      <c r="N382" s="617">
        <v>100</v>
      </c>
      <c r="O382" s="602">
        <f t="shared" si="208"/>
        <v>6.666666666666667</v>
      </c>
      <c r="P382" s="940"/>
      <c r="Q382" s="600">
        <f t="shared" si="203"/>
        <v>0</v>
      </c>
      <c r="R382" s="940"/>
      <c r="S382" s="596">
        <v>0</v>
      </c>
      <c r="T382" s="724"/>
      <c r="U382" s="728"/>
      <c r="V382" s="728"/>
      <c r="W382" s="731">
        <f t="shared" si="209"/>
        <v>0</v>
      </c>
      <c r="X382" s="947"/>
      <c r="Y382" s="616"/>
      <c r="Z382" s="602">
        <f t="shared" si="210"/>
        <v>0</v>
      </c>
      <c r="AA382" s="835"/>
      <c r="AB382" s="602">
        <f t="shared" si="211"/>
        <v>0</v>
      </c>
      <c r="AC382" s="940"/>
      <c r="AD382" s="956"/>
      <c r="AE382" s="956"/>
      <c r="AF382" s="598">
        <v>5.333333333333333</v>
      </c>
      <c r="AG382" s="596"/>
      <c r="AH382" s="728">
        <v>10</v>
      </c>
      <c r="AI382" s="728">
        <v>3</v>
      </c>
      <c r="AJ382" s="729">
        <f t="shared" si="195"/>
        <v>13</v>
      </c>
      <c r="AK382" s="946"/>
      <c r="AL382" s="616">
        <v>80</v>
      </c>
      <c r="AM382" s="602">
        <f t="shared" si="212"/>
        <v>5.333333333333333</v>
      </c>
      <c r="AN382" s="835"/>
      <c r="AO382" s="835">
        <f t="shared" si="204"/>
        <v>0</v>
      </c>
      <c r="AP382" s="940"/>
      <c r="AQ382" s="722">
        <v>0</v>
      </c>
      <c r="AR382" s="728"/>
      <c r="AS382" s="728"/>
      <c r="AT382" s="729">
        <f t="shared" si="213"/>
        <v>0</v>
      </c>
      <c r="AU382" s="946"/>
      <c r="AV382" s="616"/>
      <c r="AW382" s="602">
        <f t="shared" si="214"/>
        <v>0</v>
      </c>
      <c r="AX382" s="940"/>
      <c r="AY382" s="602">
        <f t="shared" si="222"/>
        <v>0</v>
      </c>
      <c r="AZ382" s="940"/>
      <c r="BA382" s="962"/>
      <c r="BB382" s="962"/>
      <c r="BC382" s="611"/>
      <c r="BD382" s="712">
        <v>12</v>
      </c>
      <c r="BE382" s="596">
        <v>0</v>
      </c>
      <c r="BF382" s="596">
        <f t="shared" si="215"/>
        <v>12</v>
      </c>
      <c r="BG382" s="728">
        <v>22</v>
      </c>
      <c r="BH382" s="728">
        <v>5</v>
      </c>
      <c r="BI382" s="729">
        <f t="shared" si="216"/>
        <v>27</v>
      </c>
      <c r="BJ382" s="729"/>
      <c r="BK382" s="616">
        <v>607.5</v>
      </c>
      <c r="BL382" s="603">
        <f t="shared" si="217"/>
        <v>12.15</v>
      </c>
      <c r="BM382" s="964"/>
      <c r="BN382" s="602">
        <f t="shared" si="205"/>
        <v>-0.15000000000000036</v>
      </c>
      <c r="BO382" s="940"/>
      <c r="BP382" s="593">
        <f t="shared" si="197"/>
        <v>0</v>
      </c>
      <c r="BS382" s="741">
        <v>0</v>
      </c>
      <c r="BT382" s="741">
        <v>0</v>
      </c>
      <c r="BU382" s="741">
        <f t="shared" si="218"/>
        <v>0</v>
      </c>
      <c r="BV382" s="741">
        <v>0</v>
      </c>
      <c r="BW382" s="741"/>
      <c r="BX382" s="741">
        <v>10</v>
      </c>
      <c r="BY382" s="741">
        <v>3</v>
      </c>
      <c r="BZ382" s="741">
        <f t="shared" si="219"/>
        <v>13</v>
      </c>
      <c r="CA382" s="741">
        <v>5.333333333333333</v>
      </c>
      <c r="CB382" s="741"/>
      <c r="CC382" s="741">
        <f t="shared" si="220"/>
        <v>5.333333333333333</v>
      </c>
      <c r="CD382" s="751"/>
      <c r="CE382" s="748">
        <v>22</v>
      </c>
      <c r="CF382" s="748">
        <v>5</v>
      </c>
      <c r="CG382" s="748">
        <f t="shared" si="221"/>
        <v>27</v>
      </c>
      <c r="CH382" s="759">
        <v>12</v>
      </c>
      <c r="CI382" s="742"/>
      <c r="CJ382" s="591">
        <f t="shared" si="201"/>
        <v>-0.15000000000000036</v>
      </c>
    </row>
    <row r="383" spans="1:88" ht="40.5" customHeight="1" x14ac:dyDescent="0.25">
      <c r="A383" s="596" t="s">
        <v>130</v>
      </c>
      <c r="B383" s="596" t="s">
        <v>218</v>
      </c>
      <c r="C383" s="597" t="s">
        <v>525</v>
      </c>
      <c r="D383" s="182"/>
      <c r="E383" s="598">
        <v>0</v>
      </c>
      <c r="F383" s="596">
        <v>0</v>
      </c>
      <c r="G383" s="598">
        <v>0</v>
      </c>
      <c r="H383" s="596"/>
      <c r="I383" s="596">
        <f t="shared" si="206"/>
        <v>0</v>
      </c>
      <c r="J383" s="728"/>
      <c r="K383" s="728"/>
      <c r="L383" s="731">
        <f t="shared" si="207"/>
        <v>0</v>
      </c>
      <c r="M383" s="947"/>
      <c r="N383" s="617"/>
      <c r="O383" s="602">
        <f t="shared" si="208"/>
        <v>0</v>
      </c>
      <c r="P383" s="940"/>
      <c r="Q383" s="600">
        <f t="shared" si="203"/>
        <v>0</v>
      </c>
      <c r="R383" s="940"/>
      <c r="S383" s="596">
        <v>0</v>
      </c>
      <c r="T383" s="724"/>
      <c r="U383" s="728"/>
      <c r="V383" s="728"/>
      <c r="W383" s="731">
        <f t="shared" si="209"/>
        <v>0</v>
      </c>
      <c r="X383" s="947"/>
      <c r="Y383" s="616"/>
      <c r="Z383" s="602">
        <f t="shared" si="210"/>
        <v>0</v>
      </c>
      <c r="AA383" s="835"/>
      <c r="AB383" s="602">
        <f t="shared" si="211"/>
        <v>0</v>
      </c>
      <c r="AC383" s="940"/>
      <c r="AD383" s="956"/>
      <c r="AE383" s="956"/>
      <c r="AF383" s="598">
        <v>0</v>
      </c>
      <c r="AG383" s="596"/>
      <c r="AH383" s="728"/>
      <c r="AI383" s="728"/>
      <c r="AJ383" s="729">
        <f t="shared" si="195"/>
        <v>0</v>
      </c>
      <c r="AK383" s="946"/>
      <c r="AL383" s="616"/>
      <c r="AM383" s="602">
        <f t="shared" si="212"/>
        <v>0</v>
      </c>
      <c r="AN383" s="835"/>
      <c r="AO383" s="835">
        <f t="shared" si="204"/>
        <v>0</v>
      </c>
      <c r="AP383" s="940"/>
      <c r="AQ383" s="722">
        <f>2.33+2.67</f>
        <v>5</v>
      </c>
      <c r="AR383" s="728">
        <f>2+2</f>
        <v>4</v>
      </c>
      <c r="AS383" s="728"/>
      <c r="AT383" s="729">
        <f t="shared" si="213"/>
        <v>4</v>
      </c>
      <c r="AU383" s="946"/>
      <c r="AV383" s="616">
        <f>35+60</f>
        <v>95</v>
      </c>
      <c r="AW383" s="602">
        <f t="shared" si="214"/>
        <v>6.333333333333333</v>
      </c>
      <c r="AX383" s="940"/>
      <c r="AY383" s="602">
        <f t="shared" si="222"/>
        <v>-1.333333333333333</v>
      </c>
      <c r="AZ383" s="940"/>
      <c r="BA383" s="962"/>
      <c r="BB383" s="962"/>
      <c r="BC383" s="611"/>
      <c r="BD383" s="712">
        <v>0</v>
      </c>
      <c r="BE383" s="596">
        <v>0</v>
      </c>
      <c r="BF383" s="596">
        <f t="shared" si="215"/>
        <v>0</v>
      </c>
      <c r="BG383" s="728"/>
      <c r="BH383" s="728"/>
      <c r="BI383" s="729">
        <f t="shared" si="216"/>
        <v>0</v>
      </c>
      <c r="BJ383" s="729"/>
      <c r="BK383" s="616"/>
      <c r="BL383" s="603">
        <f t="shared" si="217"/>
        <v>0</v>
      </c>
      <c r="BM383" s="964"/>
      <c r="BN383" s="602">
        <f t="shared" si="205"/>
        <v>0</v>
      </c>
      <c r="BO383" s="940"/>
      <c r="BP383" s="593">
        <f t="shared" si="197"/>
        <v>0</v>
      </c>
      <c r="BS383" s="741">
        <v>0</v>
      </c>
      <c r="BT383" s="741">
        <v>0</v>
      </c>
      <c r="BU383" s="741">
        <f t="shared" si="218"/>
        <v>0</v>
      </c>
      <c r="BV383" s="741">
        <v>0</v>
      </c>
      <c r="BW383" s="741"/>
      <c r="BX383" s="741">
        <v>0</v>
      </c>
      <c r="BY383" s="741">
        <v>0</v>
      </c>
      <c r="BZ383" s="741">
        <f t="shared" si="219"/>
        <v>0</v>
      </c>
      <c r="CA383" s="741">
        <v>0</v>
      </c>
      <c r="CB383" s="741"/>
      <c r="CC383" s="741">
        <f t="shared" si="220"/>
        <v>0</v>
      </c>
      <c r="CD383" s="751"/>
      <c r="CE383" s="748"/>
      <c r="CF383" s="748"/>
      <c r="CG383" s="748">
        <f t="shared" si="221"/>
        <v>0</v>
      </c>
      <c r="CH383" s="759"/>
      <c r="CI383" s="742"/>
      <c r="CJ383" s="591">
        <f t="shared" si="201"/>
        <v>-1.333333333333333</v>
      </c>
    </row>
    <row r="384" spans="1:88" ht="21.6" customHeight="1" x14ac:dyDescent="0.25">
      <c r="A384" s="596" t="s">
        <v>130</v>
      </c>
      <c r="B384" s="596" t="s">
        <v>218</v>
      </c>
      <c r="C384" s="597" t="s">
        <v>221</v>
      </c>
      <c r="D384" s="182" t="s">
        <v>437</v>
      </c>
      <c r="E384" s="598">
        <v>4</v>
      </c>
      <c r="F384" s="596">
        <v>0</v>
      </c>
      <c r="G384" s="598">
        <v>0</v>
      </c>
      <c r="H384" s="596"/>
      <c r="I384" s="596">
        <f t="shared" si="206"/>
        <v>0</v>
      </c>
      <c r="J384" s="728">
        <v>8</v>
      </c>
      <c r="K384" s="728">
        <v>4</v>
      </c>
      <c r="L384" s="731">
        <f t="shared" si="207"/>
        <v>12</v>
      </c>
      <c r="M384" s="947"/>
      <c r="N384" s="617">
        <v>60</v>
      </c>
      <c r="O384" s="602">
        <f t="shared" si="208"/>
        <v>4</v>
      </c>
      <c r="P384" s="940"/>
      <c r="Q384" s="600">
        <f t="shared" si="203"/>
        <v>0</v>
      </c>
      <c r="R384" s="940"/>
      <c r="S384" s="596">
        <v>0</v>
      </c>
      <c r="T384" s="724"/>
      <c r="U384" s="728"/>
      <c r="V384" s="728"/>
      <c r="W384" s="731">
        <f t="shared" si="209"/>
        <v>0</v>
      </c>
      <c r="X384" s="947"/>
      <c r="Y384" s="616"/>
      <c r="Z384" s="602">
        <f t="shared" si="210"/>
        <v>0</v>
      </c>
      <c r="AA384" s="835"/>
      <c r="AB384" s="602">
        <f t="shared" si="211"/>
        <v>0</v>
      </c>
      <c r="AC384" s="940"/>
      <c r="AD384" s="956"/>
      <c r="AE384" s="956"/>
      <c r="AF384" s="598">
        <v>0</v>
      </c>
      <c r="AG384" s="596"/>
      <c r="AH384" s="728"/>
      <c r="AI384" s="728"/>
      <c r="AJ384" s="729">
        <f t="shared" si="195"/>
        <v>0</v>
      </c>
      <c r="AK384" s="946"/>
      <c r="AL384" s="616"/>
      <c r="AM384" s="602">
        <f t="shared" si="212"/>
        <v>0</v>
      </c>
      <c r="AN384" s="835"/>
      <c r="AO384" s="835">
        <f t="shared" si="204"/>
        <v>0</v>
      </c>
      <c r="AP384" s="940"/>
      <c r="AQ384" s="722">
        <v>0</v>
      </c>
      <c r="AR384" s="728"/>
      <c r="AS384" s="728"/>
      <c r="AT384" s="729">
        <f t="shared" si="213"/>
        <v>0</v>
      </c>
      <c r="AU384" s="946"/>
      <c r="AV384" s="616"/>
      <c r="AW384" s="602">
        <f t="shared" si="214"/>
        <v>0</v>
      </c>
      <c r="AX384" s="940"/>
      <c r="AY384" s="602">
        <f t="shared" si="222"/>
        <v>0</v>
      </c>
      <c r="AZ384" s="940"/>
      <c r="BA384" s="962"/>
      <c r="BB384" s="962"/>
      <c r="BC384" s="611"/>
      <c r="BD384" s="712">
        <v>4</v>
      </c>
      <c r="BE384" s="596">
        <v>4</v>
      </c>
      <c r="BF384" s="596">
        <f t="shared" si="215"/>
        <v>0</v>
      </c>
      <c r="BG384" s="728">
        <v>8</v>
      </c>
      <c r="BH384" s="728">
        <v>4</v>
      </c>
      <c r="BI384" s="729">
        <f t="shared" si="216"/>
        <v>12</v>
      </c>
      <c r="BJ384" s="729"/>
      <c r="BK384" s="616">
        <v>204</v>
      </c>
      <c r="BL384" s="603">
        <f t="shared" si="217"/>
        <v>4.08</v>
      </c>
      <c r="BM384" s="964"/>
      <c r="BN384" s="602">
        <f t="shared" si="205"/>
        <v>-8.0000000000000071E-2</v>
      </c>
      <c r="BO384" s="940"/>
      <c r="BP384" s="593">
        <f t="shared" si="197"/>
        <v>0</v>
      </c>
      <c r="BS384" s="741">
        <v>8</v>
      </c>
      <c r="BT384" s="741">
        <v>4</v>
      </c>
      <c r="BU384" s="741">
        <f t="shared" si="218"/>
        <v>12</v>
      </c>
      <c r="BV384" s="741">
        <v>4</v>
      </c>
      <c r="BW384" s="741"/>
      <c r="BX384" s="741">
        <v>0</v>
      </c>
      <c r="BY384" s="741">
        <v>0</v>
      </c>
      <c r="BZ384" s="741">
        <f t="shared" si="219"/>
        <v>0</v>
      </c>
      <c r="CA384" s="741">
        <v>0</v>
      </c>
      <c r="CB384" s="741"/>
      <c r="CC384" s="741">
        <f t="shared" si="220"/>
        <v>4</v>
      </c>
      <c r="CD384" s="751"/>
      <c r="CE384" s="748">
        <v>8</v>
      </c>
      <c r="CF384" s="748">
        <v>4</v>
      </c>
      <c r="CG384" s="748">
        <f t="shared" si="221"/>
        <v>12</v>
      </c>
      <c r="CH384" s="759"/>
      <c r="CI384" s="742"/>
      <c r="CJ384" s="591">
        <f t="shared" si="201"/>
        <v>-8.0000000000000071E-2</v>
      </c>
    </row>
    <row r="385" spans="1:90" ht="35.450000000000003" customHeight="1" x14ac:dyDescent="0.25">
      <c r="A385" s="596"/>
      <c r="B385" s="596" t="s">
        <v>218</v>
      </c>
      <c r="C385" s="597" t="s">
        <v>338</v>
      </c>
      <c r="D385" s="176" t="s">
        <v>437</v>
      </c>
      <c r="E385" s="598">
        <v>7</v>
      </c>
      <c r="F385" s="596">
        <v>0</v>
      </c>
      <c r="G385" s="598">
        <v>7</v>
      </c>
      <c r="H385" s="596"/>
      <c r="I385" s="596">
        <f t="shared" si="206"/>
        <v>0</v>
      </c>
      <c r="J385" s="728">
        <f>16</f>
        <v>16</v>
      </c>
      <c r="K385" s="728">
        <f>0</f>
        <v>0</v>
      </c>
      <c r="L385" s="731">
        <f t="shared" si="207"/>
        <v>16</v>
      </c>
      <c r="M385" s="947"/>
      <c r="N385" s="617">
        <v>105</v>
      </c>
      <c r="O385" s="602">
        <f t="shared" si="208"/>
        <v>7</v>
      </c>
      <c r="P385" s="940"/>
      <c r="Q385" s="600">
        <f t="shared" si="203"/>
        <v>0</v>
      </c>
      <c r="R385" s="940"/>
      <c r="S385" s="596">
        <v>0</v>
      </c>
      <c r="T385" s="724"/>
      <c r="U385" s="728"/>
      <c r="V385" s="728"/>
      <c r="W385" s="731">
        <f t="shared" si="209"/>
        <v>0</v>
      </c>
      <c r="X385" s="947"/>
      <c r="Y385" s="616"/>
      <c r="Z385" s="602">
        <f t="shared" si="210"/>
        <v>0</v>
      </c>
      <c r="AA385" s="835"/>
      <c r="AB385" s="602">
        <f t="shared" si="211"/>
        <v>0</v>
      </c>
      <c r="AC385" s="940"/>
      <c r="AD385" s="956"/>
      <c r="AE385" s="956"/>
      <c r="AF385" s="598">
        <v>1.6666666666666667</v>
      </c>
      <c r="AG385" s="596"/>
      <c r="AH385" s="728">
        <v>4</v>
      </c>
      <c r="AI385" s="728"/>
      <c r="AJ385" s="729">
        <f t="shared" si="195"/>
        <v>4</v>
      </c>
      <c r="AK385" s="946"/>
      <c r="AL385" s="616">
        <v>25</v>
      </c>
      <c r="AM385" s="602">
        <f t="shared" si="212"/>
        <v>1.6666666666666667</v>
      </c>
      <c r="AN385" s="835"/>
      <c r="AO385" s="835">
        <f t="shared" si="204"/>
        <v>0</v>
      </c>
      <c r="AP385" s="940"/>
      <c r="AQ385" s="722">
        <v>0</v>
      </c>
      <c r="AR385" s="728"/>
      <c r="AS385" s="728"/>
      <c r="AT385" s="729">
        <f t="shared" si="213"/>
        <v>0</v>
      </c>
      <c r="AU385" s="946"/>
      <c r="AV385" s="616"/>
      <c r="AW385" s="602">
        <f t="shared" si="214"/>
        <v>0</v>
      </c>
      <c r="AX385" s="940"/>
      <c r="AY385" s="602">
        <f t="shared" si="222"/>
        <v>0</v>
      </c>
      <c r="AZ385" s="940"/>
      <c r="BA385" s="962"/>
      <c r="BB385" s="962"/>
      <c r="BC385" s="611"/>
      <c r="BD385" s="712">
        <v>8</v>
      </c>
      <c r="BE385" s="596">
        <v>8</v>
      </c>
      <c r="BF385" s="596">
        <f t="shared" si="215"/>
        <v>0</v>
      </c>
      <c r="BG385" s="728">
        <v>16</v>
      </c>
      <c r="BH385" s="728">
        <v>0</v>
      </c>
      <c r="BI385" s="729">
        <f t="shared" si="216"/>
        <v>16</v>
      </c>
      <c r="BJ385" s="729"/>
      <c r="BK385" s="616">
        <v>371</v>
      </c>
      <c r="BL385" s="603">
        <f t="shared" si="217"/>
        <v>7.42</v>
      </c>
      <c r="BM385" s="964"/>
      <c r="BN385" s="602">
        <f t="shared" si="205"/>
        <v>0.58000000000000007</v>
      </c>
      <c r="BO385" s="940"/>
      <c r="BP385" s="593">
        <f t="shared" si="197"/>
        <v>0</v>
      </c>
      <c r="BS385" s="741">
        <v>0</v>
      </c>
      <c r="BT385" s="741">
        <v>0</v>
      </c>
      <c r="BU385" s="741">
        <f t="shared" si="218"/>
        <v>0</v>
      </c>
      <c r="BV385" s="741">
        <v>0</v>
      </c>
      <c r="BW385" s="741"/>
      <c r="BX385" s="741">
        <v>4</v>
      </c>
      <c r="BY385" s="741">
        <v>0</v>
      </c>
      <c r="BZ385" s="741">
        <f t="shared" si="219"/>
        <v>4</v>
      </c>
      <c r="CA385" s="741">
        <v>1.6666666666666667</v>
      </c>
      <c r="CB385" s="741"/>
      <c r="CC385" s="741">
        <f t="shared" si="220"/>
        <v>1.6666666666666667</v>
      </c>
      <c r="CD385" s="751"/>
      <c r="CE385" s="748"/>
      <c r="CF385" s="748"/>
      <c r="CG385" s="748">
        <f t="shared" si="221"/>
        <v>0</v>
      </c>
      <c r="CH385" s="759"/>
      <c r="CI385" s="742"/>
      <c r="CJ385" s="591">
        <f t="shared" si="201"/>
        <v>0.58000000000000007</v>
      </c>
    </row>
    <row r="386" spans="1:90" ht="21.6" customHeight="1" x14ac:dyDescent="0.25">
      <c r="A386" s="596" t="s">
        <v>130</v>
      </c>
      <c r="B386" s="596" t="s">
        <v>218</v>
      </c>
      <c r="C386" s="597" t="s">
        <v>222</v>
      </c>
      <c r="D386" s="182" t="s">
        <v>437</v>
      </c>
      <c r="E386" s="598">
        <v>12.333333333333334</v>
      </c>
      <c r="F386" s="596">
        <v>0</v>
      </c>
      <c r="G386" s="598">
        <v>12.333333333333334</v>
      </c>
      <c r="H386" s="596"/>
      <c r="I386" s="596">
        <f t="shared" si="206"/>
        <v>0</v>
      </c>
      <c r="J386" s="728">
        <f>18+1</f>
        <v>19</v>
      </c>
      <c r="K386" s="728">
        <f>1+0</f>
        <v>1</v>
      </c>
      <c r="L386" s="731">
        <f t="shared" si="207"/>
        <v>20</v>
      </c>
      <c r="M386" s="947"/>
      <c r="N386" s="617">
        <v>185</v>
      </c>
      <c r="O386" s="602">
        <f t="shared" si="208"/>
        <v>12.333333333333334</v>
      </c>
      <c r="P386" s="940"/>
      <c r="Q386" s="600">
        <f t="shared" si="203"/>
        <v>0</v>
      </c>
      <c r="R386" s="940"/>
      <c r="S386" s="596">
        <v>0</v>
      </c>
      <c r="T386" s="724"/>
      <c r="U386" s="728"/>
      <c r="V386" s="728"/>
      <c r="W386" s="731">
        <f t="shared" si="209"/>
        <v>0</v>
      </c>
      <c r="X386" s="947"/>
      <c r="Y386" s="616"/>
      <c r="Z386" s="602">
        <f t="shared" si="210"/>
        <v>0</v>
      </c>
      <c r="AA386" s="835"/>
      <c r="AB386" s="602">
        <f t="shared" si="211"/>
        <v>0</v>
      </c>
      <c r="AC386" s="940"/>
      <c r="AD386" s="956"/>
      <c r="AE386" s="956"/>
      <c r="AF386" s="598">
        <v>0</v>
      </c>
      <c r="AG386" s="596"/>
      <c r="AH386" s="728"/>
      <c r="AI386" s="728"/>
      <c r="AJ386" s="729">
        <f t="shared" si="195"/>
        <v>0</v>
      </c>
      <c r="AK386" s="946"/>
      <c r="AL386" s="616"/>
      <c r="AM386" s="602">
        <f t="shared" si="212"/>
        <v>0</v>
      </c>
      <c r="AN386" s="835"/>
      <c r="AO386" s="835">
        <f t="shared" si="204"/>
        <v>0</v>
      </c>
      <c r="AP386" s="940"/>
      <c r="AQ386" s="722">
        <v>0</v>
      </c>
      <c r="AR386" s="728"/>
      <c r="AS386" s="728"/>
      <c r="AT386" s="729">
        <f t="shared" si="213"/>
        <v>0</v>
      </c>
      <c r="AU386" s="946"/>
      <c r="AV386" s="616"/>
      <c r="AW386" s="602">
        <f t="shared" si="214"/>
        <v>0</v>
      </c>
      <c r="AX386" s="940"/>
      <c r="AY386" s="602">
        <f t="shared" si="222"/>
        <v>0</v>
      </c>
      <c r="AZ386" s="940"/>
      <c r="BA386" s="962"/>
      <c r="BB386" s="962"/>
      <c r="BC386" s="611"/>
      <c r="BD386" s="712">
        <v>12</v>
      </c>
      <c r="BE386" s="596">
        <v>12</v>
      </c>
      <c r="BF386" s="596">
        <f t="shared" si="215"/>
        <v>0</v>
      </c>
      <c r="BG386" s="728">
        <v>18</v>
      </c>
      <c r="BH386" s="728">
        <v>1</v>
      </c>
      <c r="BI386" s="729">
        <f t="shared" si="216"/>
        <v>19</v>
      </c>
      <c r="BJ386" s="729"/>
      <c r="BK386" s="616">
        <v>487.5</v>
      </c>
      <c r="BL386" s="603">
        <f t="shared" si="217"/>
        <v>9.75</v>
      </c>
      <c r="BM386" s="964"/>
      <c r="BN386" s="602">
        <f t="shared" si="205"/>
        <v>2.25</v>
      </c>
      <c r="BO386" s="940"/>
      <c r="BP386" s="593">
        <f t="shared" si="197"/>
        <v>0</v>
      </c>
      <c r="BS386" s="741">
        <v>0</v>
      </c>
      <c r="BT386" s="741">
        <v>0</v>
      </c>
      <c r="BU386" s="741">
        <f t="shared" si="218"/>
        <v>0</v>
      </c>
      <c r="BV386" s="741">
        <v>0</v>
      </c>
      <c r="BW386" s="741"/>
      <c r="BX386" s="741">
        <v>0</v>
      </c>
      <c r="BY386" s="741">
        <v>0</v>
      </c>
      <c r="BZ386" s="741">
        <f t="shared" si="219"/>
        <v>0</v>
      </c>
      <c r="CA386" s="741">
        <v>0</v>
      </c>
      <c r="CB386" s="741"/>
      <c r="CC386" s="741">
        <f t="shared" si="220"/>
        <v>0</v>
      </c>
      <c r="CD386" s="751"/>
      <c r="CE386" s="748"/>
      <c r="CF386" s="748"/>
      <c r="CG386" s="748">
        <f t="shared" si="221"/>
        <v>0</v>
      </c>
      <c r="CH386" s="759"/>
      <c r="CI386" s="742"/>
      <c r="CJ386" s="591">
        <f t="shared" si="201"/>
        <v>2.25</v>
      </c>
    </row>
    <row r="387" spans="1:90" ht="21.6" customHeight="1" x14ac:dyDescent="0.25">
      <c r="A387" s="596" t="s">
        <v>130</v>
      </c>
      <c r="B387" s="596" t="s">
        <v>218</v>
      </c>
      <c r="C387" s="597" t="s">
        <v>340</v>
      </c>
      <c r="D387" s="182" t="s">
        <v>437</v>
      </c>
      <c r="E387" s="598">
        <v>14</v>
      </c>
      <c r="F387" s="596">
        <v>0</v>
      </c>
      <c r="G387" s="598">
        <v>0</v>
      </c>
      <c r="H387" s="596"/>
      <c r="I387" s="596">
        <f t="shared" si="206"/>
        <v>0</v>
      </c>
      <c r="J387" s="728">
        <f>12+11</f>
        <v>23</v>
      </c>
      <c r="K387" s="728">
        <f>8+2</f>
        <v>10</v>
      </c>
      <c r="L387" s="731">
        <f t="shared" si="207"/>
        <v>33</v>
      </c>
      <c r="M387" s="947"/>
      <c r="N387" s="617">
        <f>95+115</f>
        <v>210</v>
      </c>
      <c r="O387" s="602">
        <f t="shared" si="208"/>
        <v>14</v>
      </c>
      <c r="P387" s="940"/>
      <c r="Q387" s="600">
        <f t="shared" si="203"/>
        <v>0</v>
      </c>
      <c r="R387" s="940"/>
      <c r="S387" s="596">
        <v>0</v>
      </c>
      <c r="T387" s="724"/>
      <c r="U387" s="728"/>
      <c r="V387" s="728"/>
      <c r="W387" s="731">
        <f t="shared" si="209"/>
        <v>0</v>
      </c>
      <c r="X387" s="947"/>
      <c r="Y387" s="616"/>
      <c r="Z387" s="602">
        <f t="shared" si="210"/>
        <v>0</v>
      </c>
      <c r="AA387" s="835"/>
      <c r="AB387" s="602">
        <f t="shared" si="211"/>
        <v>0</v>
      </c>
      <c r="AC387" s="940"/>
      <c r="AD387" s="956"/>
      <c r="AE387" s="956"/>
      <c r="AF387" s="598">
        <v>1.6666666666666667</v>
      </c>
      <c r="AG387" s="596"/>
      <c r="AH387" s="728">
        <v>2</v>
      </c>
      <c r="AI387" s="728">
        <v>3</v>
      </c>
      <c r="AJ387" s="729">
        <f t="shared" ref="AJ387:AJ416" si="223">AH387+AI387</f>
        <v>5</v>
      </c>
      <c r="AK387" s="946"/>
      <c r="AL387" s="616">
        <v>25</v>
      </c>
      <c r="AM387" s="602">
        <f t="shared" si="212"/>
        <v>1.6666666666666667</v>
      </c>
      <c r="AN387" s="835"/>
      <c r="AO387" s="835">
        <f t="shared" si="204"/>
        <v>0</v>
      </c>
      <c r="AP387" s="940"/>
      <c r="AQ387" s="722">
        <v>0</v>
      </c>
      <c r="AR387" s="728"/>
      <c r="AS387" s="728"/>
      <c r="AT387" s="729">
        <f t="shared" si="213"/>
        <v>0</v>
      </c>
      <c r="AU387" s="946"/>
      <c r="AV387" s="616"/>
      <c r="AW387" s="602">
        <f t="shared" si="214"/>
        <v>0</v>
      </c>
      <c r="AX387" s="940"/>
      <c r="AY387" s="602">
        <f t="shared" si="222"/>
        <v>0</v>
      </c>
      <c r="AZ387" s="940"/>
      <c r="BA387" s="962"/>
      <c r="BB387" s="962"/>
      <c r="BC387" s="611"/>
      <c r="BD387" s="712">
        <v>15</v>
      </c>
      <c r="BE387" s="596">
        <v>0</v>
      </c>
      <c r="BF387" s="596">
        <f t="shared" si="215"/>
        <v>15</v>
      </c>
      <c r="BG387" s="728">
        <f>18+11+12</f>
        <v>41</v>
      </c>
      <c r="BH387" s="728">
        <f>1+2+7</f>
        <v>10</v>
      </c>
      <c r="BI387" s="729">
        <f t="shared" si="216"/>
        <v>51</v>
      </c>
      <c r="BJ387" s="729"/>
      <c r="BK387" s="616">
        <f>320.5+474.5</f>
        <v>795</v>
      </c>
      <c r="BL387" s="603">
        <f t="shared" si="217"/>
        <v>15.9</v>
      </c>
      <c r="BM387" s="964"/>
      <c r="BN387" s="602">
        <f t="shared" si="205"/>
        <v>-0.90000000000000036</v>
      </c>
      <c r="BO387" s="940"/>
      <c r="BP387" s="593">
        <f t="shared" ref="BP387:BP417" si="224">BO387+AZ387+AP387+AC387+R387</f>
        <v>0</v>
      </c>
      <c r="BS387" s="741">
        <v>23</v>
      </c>
      <c r="BT387" s="741">
        <v>10</v>
      </c>
      <c r="BU387" s="741">
        <f t="shared" si="218"/>
        <v>33</v>
      </c>
      <c r="BV387" s="741">
        <v>14</v>
      </c>
      <c r="BW387" s="741"/>
      <c r="BX387" s="741">
        <v>2</v>
      </c>
      <c r="BY387" s="741">
        <v>3</v>
      </c>
      <c r="BZ387" s="741">
        <f t="shared" si="219"/>
        <v>5</v>
      </c>
      <c r="CA387" s="741">
        <v>1.6666666666666667</v>
      </c>
      <c r="CB387" s="741"/>
      <c r="CC387" s="741">
        <f t="shared" si="220"/>
        <v>15.666666666666666</v>
      </c>
      <c r="CD387" s="751"/>
      <c r="CE387" s="748">
        <f>18+11</f>
        <v>29</v>
      </c>
      <c r="CF387" s="748">
        <f>1+2</f>
        <v>3</v>
      </c>
      <c r="CG387" s="748">
        <f t="shared" si="221"/>
        <v>32</v>
      </c>
      <c r="CH387" s="759">
        <v>6</v>
      </c>
      <c r="CI387" s="742"/>
      <c r="CJ387" s="591">
        <f t="shared" ref="CJ387:CJ415" si="225">BN387+AY387+AO387+AB387+Q387</f>
        <v>-0.90000000000000036</v>
      </c>
    </row>
    <row r="388" spans="1:90" ht="21.6" customHeight="1" x14ac:dyDescent="0.25">
      <c r="A388" s="596"/>
      <c r="B388" s="596" t="s">
        <v>218</v>
      </c>
      <c r="C388" s="597" t="s">
        <v>340</v>
      </c>
      <c r="D388" s="176"/>
      <c r="E388" s="598">
        <v>0</v>
      </c>
      <c r="F388" s="596">
        <v>0</v>
      </c>
      <c r="G388" s="598"/>
      <c r="H388" s="596"/>
      <c r="I388" s="596">
        <f t="shared" si="206"/>
        <v>0</v>
      </c>
      <c r="J388" s="728"/>
      <c r="K388" s="728"/>
      <c r="L388" s="731">
        <f t="shared" si="207"/>
        <v>0</v>
      </c>
      <c r="M388" s="947"/>
      <c r="N388" s="617"/>
      <c r="O388" s="602">
        <f t="shared" si="208"/>
        <v>0</v>
      </c>
      <c r="P388" s="940"/>
      <c r="Q388" s="600">
        <f t="shared" si="203"/>
        <v>0</v>
      </c>
      <c r="R388" s="940"/>
      <c r="S388" s="596">
        <v>0</v>
      </c>
      <c r="T388" s="724"/>
      <c r="U388" s="728"/>
      <c r="V388" s="728"/>
      <c r="W388" s="731">
        <f t="shared" si="209"/>
        <v>0</v>
      </c>
      <c r="X388" s="947"/>
      <c r="Y388" s="616"/>
      <c r="Z388" s="602">
        <f t="shared" si="210"/>
        <v>0</v>
      </c>
      <c r="AA388" s="835"/>
      <c r="AB388" s="602">
        <f t="shared" si="211"/>
        <v>0</v>
      </c>
      <c r="AC388" s="940"/>
      <c r="AD388" s="956"/>
      <c r="AE388" s="956"/>
      <c r="AF388" s="598">
        <v>0</v>
      </c>
      <c r="AG388" s="596"/>
      <c r="AH388" s="728"/>
      <c r="AI388" s="728"/>
      <c r="AJ388" s="729">
        <f t="shared" si="223"/>
        <v>0</v>
      </c>
      <c r="AK388" s="946"/>
      <c r="AL388" s="616"/>
      <c r="AM388" s="602">
        <f t="shared" si="212"/>
        <v>0</v>
      </c>
      <c r="AN388" s="835"/>
      <c r="AO388" s="835">
        <f t="shared" si="204"/>
        <v>0</v>
      </c>
      <c r="AP388" s="940"/>
      <c r="AQ388" s="722">
        <v>0</v>
      </c>
      <c r="AR388" s="728"/>
      <c r="AS388" s="728"/>
      <c r="AT388" s="729">
        <f t="shared" si="213"/>
        <v>0</v>
      </c>
      <c r="AU388" s="946"/>
      <c r="AV388" s="616"/>
      <c r="AW388" s="602">
        <f t="shared" si="214"/>
        <v>0</v>
      </c>
      <c r="AX388" s="940"/>
      <c r="AY388" s="602">
        <f t="shared" si="222"/>
        <v>0</v>
      </c>
      <c r="AZ388" s="940"/>
      <c r="BA388" s="962"/>
      <c r="BB388" s="962"/>
      <c r="BC388" s="611"/>
      <c r="BD388" s="712">
        <v>0</v>
      </c>
      <c r="BE388" s="596">
        <v>0</v>
      </c>
      <c r="BF388" s="596">
        <f t="shared" si="215"/>
        <v>0</v>
      </c>
      <c r="BG388" s="728"/>
      <c r="BH388" s="728"/>
      <c r="BI388" s="729">
        <f t="shared" si="216"/>
        <v>0</v>
      </c>
      <c r="BJ388" s="729"/>
      <c r="BK388" s="616"/>
      <c r="BL388" s="603">
        <f t="shared" si="217"/>
        <v>0</v>
      </c>
      <c r="BM388" s="964"/>
      <c r="BN388" s="602">
        <f t="shared" si="205"/>
        <v>0</v>
      </c>
      <c r="BO388" s="940"/>
      <c r="BP388" s="593">
        <f t="shared" si="224"/>
        <v>0</v>
      </c>
      <c r="BS388" s="741">
        <v>0</v>
      </c>
      <c r="BT388" s="741">
        <v>0</v>
      </c>
      <c r="BU388" s="741">
        <f t="shared" si="218"/>
        <v>0</v>
      </c>
      <c r="BV388" s="741">
        <v>0</v>
      </c>
      <c r="BW388" s="741"/>
      <c r="BX388" s="741">
        <v>0</v>
      </c>
      <c r="BY388" s="741">
        <v>0</v>
      </c>
      <c r="BZ388" s="741">
        <f t="shared" si="219"/>
        <v>0</v>
      </c>
      <c r="CA388" s="741">
        <v>0</v>
      </c>
      <c r="CB388" s="741"/>
      <c r="CC388" s="741">
        <f t="shared" si="220"/>
        <v>0</v>
      </c>
      <c r="CD388" s="751"/>
      <c r="CE388" s="748"/>
      <c r="CF388" s="748"/>
      <c r="CG388" s="748">
        <f t="shared" si="221"/>
        <v>0</v>
      </c>
      <c r="CH388" s="759"/>
      <c r="CI388" s="742"/>
      <c r="CJ388" s="591">
        <f t="shared" si="225"/>
        <v>0</v>
      </c>
    </row>
    <row r="389" spans="1:90" ht="21.6" customHeight="1" x14ac:dyDescent="0.25">
      <c r="A389" s="596"/>
      <c r="B389" s="596" t="s">
        <v>218</v>
      </c>
      <c r="C389" s="597" t="s">
        <v>526</v>
      </c>
      <c r="D389" s="176" t="s">
        <v>431</v>
      </c>
      <c r="E389" s="598">
        <v>2</v>
      </c>
      <c r="F389" s="596">
        <v>0</v>
      </c>
      <c r="G389" s="598">
        <v>2</v>
      </c>
      <c r="H389" s="596"/>
      <c r="I389" s="596">
        <f t="shared" si="206"/>
        <v>0</v>
      </c>
      <c r="J389" s="728">
        <f>4</f>
        <v>4</v>
      </c>
      <c r="K389" s="728">
        <f>0</f>
        <v>0</v>
      </c>
      <c r="L389" s="731">
        <f t="shared" si="207"/>
        <v>4</v>
      </c>
      <c r="M389" s="947"/>
      <c r="N389" s="617">
        <v>30</v>
      </c>
      <c r="O389" s="602">
        <f t="shared" si="208"/>
        <v>2</v>
      </c>
      <c r="P389" s="940"/>
      <c r="Q389" s="600">
        <f t="shared" si="203"/>
        <v>0</v>
      </c>
      <c r="R389" s="940"/>
      <c r="S389" s="596">
        <v>0</v>
      </c>
      <c r="T389" s="724"/>
      <c r="U389" s="728"/>
      <c r="V389" s="728"/>
      <c r="W389" s="731">
        <f t="shared" si="209"/>
        <v>0</v>
      </c>
      <c r="X389" s="947"/>
      <c r="Y389" s="616"/>
      <c r="Z389" s="602">
        <f t="shared" si="210"/>
        <v>0</v>
      </c>
      <c r="AA389" s="835"/>
      <c r="AB389" s="602">
        <f t="shared" si="211"/>
        <v>0</v>
      </c>
      <c r="AC389" s="940"/>
      <c r="AD389" s="956"/>
      <c r="AE389" s="956"/>
      <c r="AF389" s="598"/>
      <c r="AG389" s="596"/>
      <c r="AH389" s="728"/>
      <c r="AI389" s="728"/>
      <c r="AJ389" s="729">
        <f t="shared" si="223"/>
        <v>0</v>
      </c>
      <c r="AK389" s="946"/>
      <c r="AL389" s="616"/>
      <c r="AM389" s="602">
        <f t="shared" si="212"/>
        <v>0</v>
      </c>
      <c r="AN389" s="835"/>
      <c r="AO389" s="835">
        <f t="shared" si="204"/>
        <v>0</v>
      </c>
      <c r="AP389" s="940"/>
      <c r="AQ389" s="722">
        <v>0</v>
      </c>
      <c r="AR389" s="728"/>
      <c r="AS389" s="728"/>
      <c r="AT389" s="729">
        <f t="shared" si="213"/>
        <v>0</v>
      </c>
      <c r="AU389" s="946"/>
      <c r="AV389" s="616"/>
      <c r="AW389" s="602">
        <f t="shared" si="214"/>
        <v>0</v>
      </c>
      <c r="AX389" s="940"/>
      <c r="AY389" s="602">
        <f t="shared" si="222"/>
        <v>0</v>
      </c>
      <c r="AZ389" s="940"/>
      <c r="BA389" s="962"/>
      <c r="BB389" s="962"/>
      <c r="BC389" s="611"/>
      <c r="BD389" s="712">
        <v>2</v>
      </c>
      <c r="BE389" s="596">
        <v>0</v>
      </c>
      <c r="BF389" s="596">
        <f t="shared" si="215"/>
        <v>2</v>
      </c>
      <c r="BG389" s="728">
        <v>4</v>
      </c>
      <c r="BH389" s="728"/>
      <c r="BI389" s="729">
        <f t="shared" si="216"/>
        <v>4</v>
      </c>
      <c r="BJ389" s="729"/>
      <c r="BK389" s="616">
        <v>101</v>
      </c>
      <c r="BL389" s="603">
        <f t="shared" si="217"/>
        <v>2.02</v>
      </c>
      <c r="BM389" s="964"/>
      <c r="BN389" s="602">
        <f t="shared" si="205"/>
        <v>-2.0000000000000018E-2</v>
      </c>
      <c r="BO389" s="940"/>
      <c r="BP389" s="593">
        <f t="shared" si="224"/>
        <v>0</v>
      </c>
      <c r="BS389" s="741">
        <v>0</v>
      </c>
      <c r="BT389" s="741">
        <v>0</v>
      </c>
      <c r="BU389" s="741">
        <f t="shared" si="218"/>
        <v>0</v>
      </c>
      <c r="BV389" s="741">
        <v>0</v>
      </c>
      <c r="BW389" s="741"/>
      <c r="BX389" s="741">
        <v>0</v>
      </c>
      <c r="BY389" s="741">
        <v>0</v>
      </c>
      <c r="BZ389" s="741">
        <f t="shared" si="219"/>
        <v>0</v>
      </c>
      <c r="CA389" s="741">
        <v>0</v>
      </c>
      <c r="CB389" s="741"/>
      <c r="CC389" s="741">
        <f t="shared" si="220"/>
        <v>0</v>
      </c>
      <c r="CD389" s="751"/>
      <c r="CE389" s="748"/>
      <c r="CF389" s="748"/>
      <c r="CG389" s="748">
        <f t="shared" si="221"/>
        <v>0</v>
      </c>
      <c r="CH389" s="759"/>
      <c r="CI389" s="742"/>
      <c r="CJ389" s="591">
        <f t="shared" si="225"/>
        <v>-2.0000000000000018E-2</v>
      </c>
    </row>
    <row r="390" spans="1:90" ht="21.6" customHeight="1" x14ac:dyDescent="0.25">
      <c r="A390" s="596" t="s">
        <v>130</v>
      </c>
      <c r="B390" s="596" t="s">
        <v>218</v>
      </c>
      <c r="C390" s="597" t="s">
        <v>223</v>
      </c>
      <c r="D390" s="167" t="s">
        <v>437</v>
      </c>
      <c r="E390" s="598">
        <v>6.666666666666667</v>
      </c>
      <c r="F390" s="596">
        <v>0</v>
      </c>
      <c r="G390" s="598">
        <v>6.666666666666667</v>
      </c>
      <c r="H390" s="596"/>
      <c r="I390" s="596">
        <f t="shared" si="206"/>
        <v>0</v>
      </c>
      <c r="J390" s="728">
        <f>3+12</f>
        <v>15</v>
      </c>
      <c r="K390" s="728">
        <f>1+2</f>
        <v>3</v>
      </c>
      <c r="L390" s="731">
        <f>J390+K390</f>
        <v>18</v>
      </c>
      <c r="M390" s="947"/>
      <c r="N390" s="617">
        <v>100</v>
      </c>
      <c r="O390" s="602">
        <f t="shared" si="208"/>
        <v>6.666666666666667</v>
      </c>
      <c r="P390" s="940"/>
      <c r="Q390" s="600">
        <f t="shared" si="203"/>
        <v>0</v>
      </c>
      <c r="R390" s="940"/>
      <c r="S390" s="596">
        <v>0</v>
      </c>
      <c r="T390" s="724"/>
      <c r="U390" s="728"/>
      <c r="V390" s="728"/>
      <c r="W390" s="731">
        <f t="shared" si="209"/>
        <v>0</v>
      </c>
      <c r="X390" s="947"/>
      <c r="Y390" s="616"/>
      <c r="Z390" s="602">
        <f t="shared" si="210"/>
        <v>0</v>
      </c>
      <c r="AA390" s="835"/>
      <c r="AB390" s="602">
        <f t="shared" si="211"/>
        <v>0</v>
      </c>
      <c r="AC390" s="940"/>
      <c r="AD390" s="956"/>
      <c r="AE390" s="956"/>
      <c r="AF390" s="598">
        <v>1.6666666666666667</v>
      </c>
      <c r="AG390" s="596"/>
      <c r="AH390" s="728">
        <f>2+1</f>
        <v>3</v>
      </c>
      <c r="AI390" s="728"/>
      <c r="AJ390" s="729">
        <f t="shared" si="223"/>
        <v>3</v>
      </c>
      <c r="AK390" s="946"/>
      <c r="AL390" s="616">
        <f>15+10</f>
        <v>25</v>
      </c>
      <c r="AM390" s="602">
        <f t="shared" si="212"/>
        <v>1.6666666666666667</v>
      </c>
      <c r="AN390" s="835"/>
      <c r="AO390" s="835">
        <f t="shared" si="204"/>
        <v>0</v>
      </c>
      <c r="AP390" s="940"/>
      <c r="AQ390" s="722">
        <v>0</v>
      </c>
      <c r="AR390" s="728"/>
      <c r="AS390" s="728"/>
      <c r="AT390" s="729">
        <f t="shared" si="213"/>
        <v>0</v>
      </c>
      <c r="AU390" s="946"/>
      <c r="AV390" s="616"/>
      <c r="AW390" s="602">
        <f t="shared" si="214"/>
        <v>0</v>
      </c>
      <c r="AX390" s="940"/>
      <c r="AY390" s="602">
        <f t="shared" si="222"/>
        <v>0</v>
      </c>
      <c r="AZ390" s="940"/>
      <c r="BA390" s="962"/>
      <c r="BB390" s="962"/>
      <c r="BC390" s="611"/>
      <c r="BD390" s="712">
        <v>8</v>
      </c>
      <c r="BE390" s="596">
        <v>6</v>
      </c>
      <c r="BF390" s="596">
        <f t="shared" si="215"/>
        <v>2</v>
      </c>
      <c r="BG390" s="728">
        <f>13+4</f>
        <v>17</v>
      </c>
      <c r="BH390" s="728">
        <f>2+1</f>
        <v>3</v>
      </c>
      <c r="BI390" s="729">
        <f t="shared" si="216"/>
        <v>20</v>
      </c>
      <c r="BJ390" s="729"/>
      <c r="BK390" s="616">
        <f>304.5+118</f>
        <v>422.5</v>
      </c>
      <c r="BL390" s="603">
        <f t="shared" si="217"/>
        <v>8.4499999999999993</v>
      </c>
      <c r="BM390" s="964"/>
      <c r="BN390" s="602">
        <f t="shared" si="205"/>
        <v>-0.44999999999999929</v>
      </c>
      <c r="BO390" s="940"/>
      <c r="BP390" s="593">
        <f t="shared" si="224"/>
        <v>0</v>
      </c>
      <c r="BS390" s="741">
        <v>0</v>
      </c>
      <c r="BT390" s="741">
        <v>0</v>
      </c>
      <c r="BU390" s="741">
        <f t="shared" si="218"/>
        <v>0</v>
      </c>
      <c r="BV390" s="741">
        <v>0</v>
      </c>
      <c r="BW390" s="741"/>
      <c r="BX390" s="741">
        <v>3</v>
      </c>
      <c r="BY390" s="741">
        <v>0</v>
      </c>
      <c r="BZ390" s="741">
        <f t="shared" si="219"/>
        <v>3</v>
      </c>
      <c r="CA390" s="741">
        <v>1.6666666666666667</v>
      </c>
      <c r="CB390" s="741"/>
      <c r="CC390" s="741">
        <f t="shared" si="220"/>
        <v>1.6666666666666667</v>
      </c>
      <c r="CD390" s="751"/>
      <c r="CE390" s="748">
        <v>13</v>
      </c>
      <c r="CF390" s="748">
        <v>2</v>
      </c>
      <c r="CG390" s="748">
        <f t="shared" si="221"/>
        <v>15</v>
      </c>
      <c r="CH390" s="759">
        <v>6</v>
      </c>
      <c r="CI390" s="742"/>
      <c r="CJ390" s="591">
        <f t="shared" si="225"/>
        <v>-0.44999999999999929</v>
      </c>
    </row>
    <row r="391" spans="1:90" ht="21.6" customHeight="1" x14ac:dyDescent="0.25">
      <c r="A391" s="596" t="s">
        <v>130</v>
      </c>
      <c r="B391" s="596" t="s">
        <v>218</v>
      </c>
      <c r="C391" s="597" t="s">
        <v>224</v>
      </c>
      <c r="D391" s="167"/>
      <c r="E391" s="598">
        <v>0</v>
      </c>
      <c r="F391" s="596">
        <v>0</v>
      </c>
      <c r="G391" s="598">
        <v>0</v>
      </c>
      <c r="H391" s="596"/>
      <c r="I391" s="596">
        <f t="shared" si="206"/>
        <v>0</v>
      </c>
      <c r="J391" s="728"/>
      <c r="K391" s="728"/>
      <c r="L391" s="731">
        <f t="shared" si="207"/>
        <v>0</v>
      </c>
      <c r="M391" s="947"/>
      <c r="N391" s="617"/>
      <c r="O391" s="602">
        <f t="shared" si="208"/>
        <v>0</v>
      </c>
      <c r="P391" s="940"/>
      <c r="Q391" s="600">
        <f t="shared" si="203"/>
        <v>0</v>
      </c>
      <c r="R391" s="940"/>
      <c r="S391" s="596">
        <v>0</v>
      </c>
      <c r="T391" s="724"/>
      <c r="U391" s="728"/>
      <c r="V391" s="728"/>
      <c r="W391" s="731">
        <f t="shared" si="209"/>
        <v>0</v>
      </c>
      <c r="X391" s="947"/>
      <c r="Y391" s="616"/>
      <c r="Z391" s="602">
        <f t="shared" si="210"/>
        <v>0</v>
      </c>
      <c r="AA391" s="835"/>
      <c r="AB391" s="602">
        <f t="shared" si="211"/>
        <v>0</v>
      </c>
      <c r="AC391" s="940"/>
      <c r="AD391" s="956"/>
      <c r="AE391" s="956"/>
      <c r="AF391" s="598">
        <v>0</v>
      </c>
      <c r="AG391" s="596"/>
      <c r="AH391" s="728"/>
      <c r="AI391" s="728"/>
      <c r="AJ391" s="729">
        <f t="shared" si="223"/>
        <v>0</v>
      </c>
      <c r="AK391" s="946"/>
      <c r="AL391" s="616"/>
      <c r="AM391" s="602">
        <f t="shared" si="212"/>
        <v>0</v>
      </c>
      <c r="AN391" s="835"/>
      <c r="AO391" s="835">
        <f t="shared" si="204"/>
        <v>0</v>
      </c>
      <c r="AP391" s="940"/>
      <c r="AQ391" s="722">
        <v>0</v>
      </c>
      <c r="AR391" s="728"/>
      <c r="AS391" s="728"/>
      <c r="AT391" s="729">
        <f t="shared" si="213"/>
        <v>0</v>
      </c>
      <c r="AU391" s="946"/>
      <c r="AV391" s="616"/>
      <c r="AW391" s="602">
        <f t="shared" si="214"/>
        <v>0</v>
      </c>
      <c r="AX391" s="940"/>
      <c r="AY391" s="602">
        <f t="shared" si="222"/>
        <v>0</v>
      </c>
      <c r="AZ391" s="940"/>
      <c r="BA391" s="962"/>
      <c r="BB391" s="962"/>
      <c r="BC391" s="611"/>
      <c r="BD391" s="712">
        <v>0</v>
      </c>
      <c r="BE391" s="596">
        <v>0</v>
      </c>
      <c r="BF391" s="596">
        <f t="shared" si="215"/>
        <v>0</v>
      </c>
      <c r="BG391" s="728"/>
      <c r="BH391" s="728"/>
      <c r="BI391" s="729">
        <f t="shared" si="216"/>
        <v>0</v>
      </c>
      <c r="BJ391" s="729"/>
      <c r="BK391" s="616"/>
      <c r="BL391" s="603">
        <f t="shared" si="217"/>
        <v>0</v>
      </c>
      <c r="BM391" s="964"/>
      <c r="BN391" s="602">
        <f t="shared" si="205"/>
        <v>0</v>
      </c>
      <c r="BO391" s="940"/>
      <c r="BP391" s="593">
        <f t="shared" si="224"/>
        <v>0</v>
      </c>
      <c r="BS391" s="741">
        <v>0</v>
      </c>
      <c r="BT391" s="741">
        <v>0</v>
      </c>
      <c r="BU391" s="741">
        <f t="shared" si="218"/>
        <v>0</v>
      </c>
      <c r="BV391" s="741">
        <v>0</v>
      </c>
      <c r="BW391" s="741"/>
      <c r="BX391" s="741">
        <v>0</v>
      </c>
      <c r="BY391" s="741">
        <v>0</v>
      </c>
      <c r="BZ391" s="741">
        <f t="shared" si="219"/>
        <v>0</v>
      </c>
      <c r="CA391" s="741">
        <v>0</v>
      </c>
      <c r="CB391" s="741"/>
      <c r="CC391" s="741">
        <f t="shared" si="220"/>
        <v>0</v>
      </c>
      <c r="CD391" s="751"/>
      <c r="CE391" s="748"/>
      <c r="CF391" s="748"/>
      <c r="CG391" s="748">
        <f t="shared" si="221"/>
        <v>0</v>
      </c>
      <c r="CH391" s="759"/>
      <c r="CI391" s="742"/>
      <c r="CJ391" s="591">
        <f t="shared" si="225"/>
        <v>0</v>
      </c>
    </row>
    <row r="392" spans="1:90" ht="33" customHeight="1" x14ac:dyDescent="0.25">
      <c r="A392" s="596" t="s">
        <v>130</v>
      </c>
      <c r="B392" s="596" t="s">
        <v>218</v>
      </c>
      <c r="C392" s="597" t="s">
        <v>225</v>
      </c>
      <c r="D392" s="167"/>
      <c r="E392" s="598">
        <v>0</v>
      </c>
      <c r="F392" s="596">
        <v>0</v>
      </c>
      <c r="G392" s="598">
        <v>0</v>
      </c>
      <c r="H392" s="596"/>
      <c r="I392" s="596">
        <f t="shared" si="206"/>
        <v>0</v>
      </c>
      <c r="J392" s="728"/>
      <c r="K392" s="728"/>
      <c r="L392" s="731">
        <f t="shared" si="207"/>
        <v>0</v>
      </c>
      <c r="M392" s="947"/>
      <c r="N392" s="617"/>
      <c r="O392" s="602">
        <f t="shared" si="208"/>
        <v>0</v>
      </c>
      <c r="P392" s="940"/>
      <c r="Q392" s="600">
        <f t="shared" si="203"/>
        <v>0</v>
      </c>
      <c r="R392" s="940"/>
      <c r="S392" s="596">
        <v>0</v>
      </c>
      <c r="T392" s="724"/>
      <c r="U392" s="728"/>
      <c r="V392" s="728"/>
      <c r="W392" s="731">
        <f t="shared" si="209"/>
        <v>0</v>
      </c>
      <c r="X392" s="947"/>
      <c r="Y392" s="616"/>
      <c r="Z392" s="602">
        <f t="shared" si="210"/>
        <v>0</v>
      </c>
      <c r="AA392" s="835"/>
      <c r="AB392" s="602">
        <f t="shared" si="211"/>
        <v>0</v>
      </c>
      <c r="AC392" s="940"/>
      <c r="AD392" s="956"/>
      <c r="AE392" s="956"/>
      <c r="AF392" s="598">
        <v>0</v>
      </c>
      <c r="AG392" s="596"/>
      <c r="AH392" s="728"/>
      <c r="AI392" s="728"/>
      <c r="AJ392" s="729">
        <f t="shared" si="223"/>
        <v>0</v>
      </c>
      <c r="AK392" s="946"/>
      <c r="AL392" s="616"/>
      <c r="AM392" s="602">
        <f t="shared" si="212"/>
        <v>0</v>
      </c>
      <c r="AN392" s="835"/>
      <c r="AO392" s="835">
        <f t="shared" si="204"/>
        <v>0</v>
      </c>
      <c r="AP392" s="940"/>
      <c r="AQ392" s="722">
        <v>0</v>
      </c>
      <c r="AR392" s="728"/>
      <c r="AS392" s="728"/>
      <c r="AT392" s="729">
        <f t="shared" si="213"/>
        <v>0</v>
      </c>
      <c r="AU392" s="946"/>
      <c r="AV392" s="616"/>
      <c r="AW392" s="602">
        <f t="shared" si="214"/>
        <v>0</v>
      </c>
      <c r="AX392" s="940"/>
      <c r="AY392" s="602">
        <f t="shared" si="222"/>
        <v>0</v>
      </c>
      <c r="AZ392" s="940"/>
      <c r="BA392" s="962"/>
      <c r="BB392" s="962"/>
      <c r="BC392" s="611"/>
      <c r="BD392" s="712">
        <v>0</v>
      </c>
      <c r="BE392" s="596">
        <v>0</v>
      </c>
      <c r="BF392" s="596">
        <f t="shared" si="215"/>
        <v>0</v>
      </c>
      <c r="BG392" s="728"/>
      <c r="BH392" s="728"/>
      <c r="BI392" s="729">
        <f t="shared" si="216"/>
        <v>0</v>
      </c>
      <c r="BJ392" s="729"/>
      <c r="BK392" s="616"/>
      <c r="BL392" s="603">
        <f t="shared" si="217"/>
        <v>0</v>
      </c>
      <c r="BM392" s="964"/>
      <c r="BN392" s="602">
        <f t="shared" si="205"/>
        <v>0</v>
      </c>
      <c r="BO392" s="940"/>
      <c r="BP392" s="593">
        <f t="shared" si="224"/>
        <v>0</v>
      </c>
      <c r="BS392" s="741">
        <v>0</v>
      </c>
      <c r="BT392" s="741">
        <v>0</v>
      </c>
      <c r="BU392" s="741">
        <f t="shared" si="218"/>
        <v>0</v>
      </c>
      <c r="BV392" s="741">
        <v>0</v>
      </c>
      <c r="BW392" s="741"/>
      <c r="BX392" s="741">
        <v>0</v>
      </c>
      <c r="BY392" s="741">
        <v>0</v>
      </c>
      <c r="BZ392" s="741">
        <f t="shared" si="219"/>
        <v>0</v>
      </c>
      <c r="CA392" s="741">
        <v>0</v>
      </c>
      <c r="CB392" s="741"/>
      <c r="CC392" s="741">
        <f t="shared" si="220"/>
        <v>0</v>
      </c>
      <c r="CD392" s="751"/>
      <c r="CE392" s="748"/>
      <c r="CF392" s="748"/>
      <c r="CG392" s="748">
        <f t="shared" si="221"/>
        <v>0</v>
      </c>
      <c r="CH392" s="759"/>
      <c r="CI392" s="742"/>
      <c r="CJ392" s="591">
        <f t="shared" si="225"/>
        <v>0</v>
      </c>
    </row>
    <row r="393" spans="1:90" ht="21.6" customHeight="1" x14ac:dyDescent="0.25">
      <c r="A393" s="596" t="s">
        <v>130</v>
      </c>
      <c r="B393" s="596" t="s">
        <v>218</v>
      </c>
      <c r="C393" s="597" t="s">
        <v>226</v>
      </c>
      <c r="D393" s="167"/>
      <c r="E393" s="598">
        <v>0</v>
      </c>
      <c r="F393" s="596">
        <v>0</v>
      </c>
      <c r="G393" s="598">
        <v>0</v>
      </c>
      <c r="H393" s="596"/>
      <c r="I393" s="596">
        <f t="shared" si="206"/>
        <v>0</v>
      </c>
      <c r="J393" s="728"/>
      <c r="K393" s="728"/>
      <c r="L393" s="731">
        <f t="shared" si="207"/>
        <v>0</v>
      </c>
      <c r="M393" s="947"/>
      <c r="N393" s="617"/>
      <c r="O393" s="602">
        <f t="shared" si="208"/>
        <v>0</v>
      </c>
      <c r="P393" s="940"/>
      <c r="Q393" s="600">
        <f t="shared" si="203"/>
        <v>0</v>
      </c>
      <c r="R393" s="940"/>
      <c r="S393" s="596">
        <v>0</v>
      </c>
      <c r="T393" s="724"/>
      <c r="U393" s="728"/>
      <c r="V393" s="728"/>
      <c r="W393" s="731">
        <f t="shared" si="209"/>
        <v>0</v>
      </c>
      <c r="X393" s="947"/>
      <c r="Y393" s="616"/>
      <c r="Z393" s="602">
        <f t="shared" si="210"/>
        <v>0</v>
      </c>
      <c r="AA393" s="835"/>
      <c r="AB393" s="602">
        <f t="shared" si="211"/>
        <v>0</v>
      </c>
      <c r="AC393" s="940"/>
      <c r="AD393" s="956"/>
      <c r="AE393" s="956"/>
      <c r="AF393" s="598">
        <v>0</v>
      </c>
      <c r="AG393" s="596"/>
      <c r="AH393" s="728"/>
      <c r="AI393" s="728"/>
      <c r="AJ393" s="729">
        <f t="shared" si="223"/>
        <v>0</v>
      </c>
      <c r="AK393" s="946"/>
      <c r="AL393" s="616"/>
      <c r="AM393" s="602">
        <f t="shared" si="212"/>
        <v>0</v>
      </c>
      <c r="AN393" s="835"/>
      <c r="AO393" s="835">
        <f t="shared" si="204"/>
        <v>0</v>
      </c>
      <c r="AP393" s="940"/>
      <c r="AQ393" s="722">
        <v>0</v>
      </c>
      <c r="AR393" s="728"/>
      <c r="AS393" s="728"/>
      <c r="AT393" s="729">
        <f t="shared" si="213"/>
        <v>0</v>
      </c>
      <c r="AU393" s="946"/>
      <c r="AV393" s="616"/>
      <c r="AW393" s="602">
        <f t="shared" si="214"/>
        <v>0</v>
      </c>
      <c r="AX393" s="940"/>
      <c r="AY393" s="602">
        <f t="shared" si="222"/>
        <v>0</v>
      </c>
      <c r="AZ393" s="940"/>
      <c r="BA393" s="962"/>
      <c r="BB393" s="962"/>
      <c r="BC393" s="611"/>
      <c r="BD393" s="712">
        <v>0</v>
      </c>
      <c r="BE393" s="596">
        <v>0</v>
      </c>
      <c r="BF393" s="596">
        <f t="shared" si="215"/>
        <v>0</v>
      </c>
      <c r="BG393" s="728"/>
      <c r="BH393" s="728"/>
      <c r="BI393" s="729">
        <f t="shared" si="216"/>
        <v>0</v>
      </c>
      <c r="BJ393" s="729"/>
      <c r="BK393" s="616"/>
      <c r="BL393" s="603">
        <f t="shared" si="217"/>
        <v>0</v>
      </c>
      <c r="BM393" s="964"/>
      <c r="BN393" s="602">
        <f t="shared" si="205"/>
        <v>0</v>
      </c>
      <c r="BO393" s="940"/>
      <c r="BP393" s="593">
        <f t="shared" si="224"/>
        <v>0</v>
      </c>
      <c r="BS393" s="741">
        <v>0</v>
      </c>
      <c r="BT393" s="741">
        <v>0</v>
      </c>
      <c r="BU393" s="741">
        <f t="shared" si="218"/>
        <v>0</v>
      </c>
      <c r="BV393" s="741">
        <v>0</v>
      </c>
      <c r="BW393" s="741"/>
      <c r="BX393" s="741">
        <v>0</v>
      </c>
      <c r="BY393" s="741">
        <v>0</v>
      </c>
      <c r="BZ393" s="741">
        <f t="shared" si="219"/>
        <v>0</v>
      </c>
      <c r="CA393" s="741">
        <v>0</v>
      </c>
      <c r="CB393" s="741"/>
      <c r="CC393" s="741">
        <f t="shared" si="220"/>
        <v>0</v>
      </c>
      <c r="CD393" s="751"/>
      <c r="CE393" s="748"/>
      <c r="CF393" s="748"/>
      <c r="CG393" s="748">
        <f t="shared" si="221"/>
        <v>0</v>
      </c>
      <c r="CH393" s="759"/>
      <c r="CI393" s="742"/>
      <c r="CJ393" s="591">
        <f t="shared" si="225"/>
        <v>0</v>
      </c>
    </row>
    <row r="394" spans="1:90" ht="21.6" customHeight="1" x14ac:dyDescent="0.25">
      <c r="A394" s="596" t="s">
        <v>130</v>
      </c>
      <c r="B394" s="596" t="s">
        <v>218</v>
      </c>
      <c r="C394" s="597" t="s">
        <v>227</v>
      </c>
      <c r="D394" s="167"/>
      <c r="E394" s="598">
        <v>0</v>
      </c>
      <c r="F394" s="596">
        <v>0</v>
      </c>
      <c r="G394" s="598">
        <v>0</v>
      </c>
      <c r="H394" s="596"/>
      <c r="I394" s="596">
        <f t="shared" si="206"/>
        <v>0</v>
      </c>
      <c r="J394" s="728"/>
      <c r="K394" s="728"/>
      <c r="L394" s="731">
        <f t="shared" si="207"/>
        <v>0</v>
      </c>
      <c r="M394" s="947"/>
      <c r="N394" s="617"/>
      <c r="O394" s="602">
        <f t="shared" si="208"/>
        <v>0</v>
      </c>
      <c r="P394" s="940"/>
      <c r="Q394" s="600">
        <f t="shared" si="203"/>
        <v>0</v>
      </c>
      <c r="R394" s="940"/>
      <c r="S394" s="596">
        <v>0</v>
      </c>
      <c r="T394" s="724"/>
      <c r="U394" s="728"/>
      <c r="V394" s="728"/>
      <c r="W394" s="731">
        <f t="shared" si="209"/>
        <v>0</v>
      </c>
      <c r="X394" s="947"/>
      <c r="Y394" s="616"/>
      <c r="Z394" s="602">
        <f t="shared" si="210"/>
        <v>0</v>
      </c>
      <c r="AA394" s="835"/>
      <c r="AB394" s="602">
        <f t="shared" si="211"/>
        <v>0</v>
      </c>
      <c r="AC394" s="940"/>
      <c r="AD394" s="956"/>
      <c r="AE394" s="956"/>
      <c r="AF394" s="598">
        <v>0</v>
      </c>
      <c r="AG394" s="596"/>
      <c r="AH394" s="728"/>
      <c r="AI394" s="728"/>
      <c r="AJ394" s="729">
        <f t="shared" si="223"/>
        <v>0</v>
      </c>
      <c r="AK394" s="946"/>
      <c r="AL394" s="616"/>
      <c r="AM394" s="602">
        <f t="shared" si="212"/>
        <v>0</v>
      </c>
      <c r="AN394" s="835"/>
      <c r="AO394" s="835">
        <f t="shared" si="204"/>
        <v>0</v>
      </c>
      <c r="AP394" s="940"/>
      <c r="AQ394" s="722">
        <v>0</v>
      </c>
      <c r="AR394" s="728"/>
      <c r="AS394" s="728"/>
      <c r="AT394" s="729">
        <f t="shared" si="213"/>
        <v>0</v>
      </c>
      <c r="AU394" s="946"/>
      <c r="AV394" s="616"/>
      <c r="AW394" s="602">
        <f t="shared" si="214"/>
        <v>0</v>
      </c>
      <c r="AX394" s="940"/>
      <c r="AY394" s="602">
        <f t="shared" si="222"/>
        <v>0</v>
      </c>
      <c r="AZ394" s="940"/>
      <c r="BA394" s="962"/>
      <c r="BB394" s="962"/>
      <c r="BC394" s="611"/>
      <c r="BD394" s="712">
        <v>0</v>
      </c>
      <c r="BE394" s="596">
        <v>0</v>
      </c>
      <c r="BF394" s="596">
        <f t="shared" si="215"/>
        <v>0</v>
      </c>
      <c r="BG394" s="728"/>
      <c r="BH394" s="728"/>
      <c r="BI394" s="729">
        <f t="shared" si="216"/>
        <v>0</v>
      </c>
      <c r="BJ394" s="729"/>
      <c r="BK394" s="616"/>
      <c r="BL394" s="603">
        <f t="shared" si="217"/>
        <v>0</v>
      </c>
      <c r="BM394" s="964"/>
      <c r="BN394" s="602">
        <f t="shared" si="205"/>
        <v>0</v>
      </c>
      <c r="BO394" s="940"/>
      <c r="BP394" s="593">
        <f t="shared" si="224"/>
        <v>0</v>
      </c>
      <c r="BS394" s="741">
        <v>0</v>
      </c>
      <c r="BT394" s="741">
        <v>0</v>
      </c>
      <c r="BU394" s="741">
        <f t="shared" si="218"/>
        <v>0</v>
      </c>
      <c r="BV394" s="741">
        <v>0</v>
      </c>
      <c r="BW394" s="741"/>
      <c r="BX394" s="741">
        <v>0</v>
      </c>
      <c r="BY394" s="741">
        <v>0</v>
      </c>
      <c r="BZ394" s="741">
        <f t="shared" si="219"/>
        <v>0</v>
      </c>
      <c r="CA394" s="741">
        <v>0</v>
      </c>
      <c r="CB394" s="741"/>
      <c r="CC394" s="741">
        <f t="shared" si="220"/>
        <v>0</v>
      </c>
      <c r="CD394" s="751"/>
      <c r="CE394" s="748"/>
      <c r="CF394" s="748"/>
      <c r="CG394" s="748">
        <f t="shared" si="221"/>
        <v>0</v>
      </c>
      <c r="CH394" s="759"/>
      <c r="CI394" s="742"/>
      <c r="CJ394" s="591">
        <f t="shared" si="225"/>
        <v>0</v>
      </c>
    </row>
    <row r="395" spans="1:90" s="719" customFormat="1" ht="21.6" customHeight="1" x14ac:dyDescent="0.25">
      <c r="A395" s="779"/>
      <c r="B395" s="779" t="s">
        <v>218</v>
      </c>
      <c r="C395" s="597" t="s">
        <v>339</v>
      </c>
      <c r="D395" s="182" t="s">
        <v>437</v>
      </c>
      <c r="E395" s="598">
        <v>16</v>
      </c>
      <c r="F395" s="779">
        <v>0</v>
      </c>
      <c r="G395" s="598">
        <v>16</v>
      </c>
      <c r="H395" s="779"/>
      <c r="I395" s="779">
        <f t="shared" si="206"/>
        <v>0</v>
      </c>
      <c r="J395" s="728">
        <v>22</v>
      </c>
      <c r="K395" s="728">
        <v>4</v>
      </c>
      <c r="L395" s="731">
        <f t="shared" si="207"/>
        <v>26</v>
      </c>
      <c r="M395" s="947"/>
      <c r="N395" s="617">
        <v>240</v>
      </c>
      <c r="O395" s="602">
        <f t="shared" si="208"/>
        <v>16</v>
      </c>
      <c r="P395" s="940"/>
      <c r="Q395" s="600">
        <f t="shared" si="203"/>
        <v>0</v>
      </c>
      <c r="R395" s="940"/>
      <c r="S395" s="779">
        <v>0</v>
      </c>
      <c r="T395" s="779"/>
      <c r="U395" s="728"/>
      <c r="V395" s="728"/>
      <c r="W395" s="731">
        <f t="shared" si="209"/>
        <v>0</v>
      </c>
      <c r="X395" s="947"/>
      <c r="Y395" s="616"/>
      <c r="Z395" s="602">
        <f t="shared" si="210"/>
        <v>0</v>
      </c>
      <c r="AA395" s="835"/>
      <c r="AB395" s="602">
        <f t="shared" si="211"/>
        <v>0</v>
      </c>
      <c r="AC395" s="940"/>
      <c r="AD395" s="956"/>
      <c r="AE395" s="956"/>
      <c r="AF395" s="598">
        <v>12.333333333333334</v>
      </c>
      <c r="AG395" s="779"/>
      <c r="AH395" s="728">
        <v>33</v>
      </c>
      <c r="AI395" s="728"/>
      <c r="AJ395" s="729">
        <f t="shared" si="223"/>
        <v>33</v>
      </c>
      <c r="AK395" s="946"/>
      <c r="AL395" s="616">
        <v>185</v>
      </c>
      <c r="AM395" s="602">
        <f t="shared" si="212"/>
        <v>12.333333333333334</v>
      </c>
      <c r="AN395" s="835"/>
      <c r="AO395" s="835">
        <f t="shared" si="204"/>
        <v>0</v>
      </c>
      <c r="AP395" s="940"/>
      <c r="AQ395" s="722">
        <v>0</v>
      </c>
      <c r="AR395" s="728"/>
      <c r="AS395" s="728"/>
      <c r="AT395" s="729">
        <f t="shared" si="213"/>
        <v>0</v>
      </c>
      <c r="AU395" s="946"/>
      <c r="AV395" s="616"/>
      <c r="AW395" s="602">
        <f t="shared" si="214"/>
        <v>0</v>
      </c>
      <c r="AX395" s="940"/>
      <c r="AY395" s="602">
        <f t="shared" si="222"/>
        <v>0</v>
      </c>
      <c r="AZ395" s="940"/>
      <c r="BA395" s="962"/>
      <c r="BB395" s="962"/>
      <c r="BC395" s="611"/>
      <c r="BD395" s="712">
        <v>28</v>
      </c>
      <c r="BE395" s="779">
        <v>28</v>
      </c>
      <c r="BF395" s="779">
        <f t="shared" si="215"/>
        <v>0</v>
      </c>
      <c r="BG395" s="728">
        <v>55</v>
      </c>
      <c r="BH395" s="728">
        <v>4</v>
      </c>
      <c r="BI395" s="729">
        <f t="shared" si="216"/>
        <v>59</v>
      </c>
      <c r="BJ395" s="729"/>
      <c r="BK395" s="616">
        <v>1434</v>
      </c>
      <c r="BL395" s="603">
        <f t="shared" si="217"/>
        <v>28.68</v>
      </c>
      <c r="BM395" s="964"/>
      <c r="BN395" s="602">
        <f t="shared" si="205"/>
        <v>-0.67999999999999972</v>
      </c>
      <c r="BO395" s="940"/>
      <c r="BP395" s="593">
        <f t="shared" si="224"/>
        <v>0</v>
      </c>
      <c r="BQ395" s="591"/>
      <c r="BR395" s="591"/>
      <c r="BS395" s="777">
        <v>0</v>
      </c>
      <c r="BT395" s="777">
        <v>0</v>
      </c>
      <c r="BU395" s="741">
        <f t="shared" si="218"/>
        <v>0</v>
      </c>
      <c r="BV395" s="777">
        <v>0</v>
      </c>
      <c r="BW395" s="777"/>
      <c r="BX395" s="777">
        <v>33</v>
      </c>
      <c r="BY395" s="777">
        <v>0</v>
      </c>
      <c r="BZ395" s="741">
        <f t="shared" si="219"/>
        <v>33</v>
      </c>
      <c r="CA395" s="777">
        <v>12.333333333333334</v>
      </c>
      <c r="CB395" s="777"/>
      <c r="CC395" s="741">
        <f t="shared" si="220"/>
        <v>12.333333333333334</v>
      </c>
      <c r="CD395" s="751"/>
      <c r="CE395" s="748">
        <v>55</v>
      </c>
      <c r="CF395" s="748">
        <v>4</v>
      </c>
      <c r="CG395" s="748">
        <f t="shared" si="221"/>
        <v>59</v>
      </c>
      <c r="CH395" s="759"/>
      <c r="CI395" s="777"/>
      <c r="CJ395" s="591">
        <f t="shared" si="225"/>
        <v>-0.67999999999999972</v>
      </c>
      <c r="CK395" s="591"/>
      <c r="CL395" s="591"/>
    </row>
    <row r="396" spans="1:90" ht="21.6" customHeight="1" x14ac:dyDescent="0.25">
      <c r="A396" s="596"/>
      <c r="B396" s="596"/>
      <c r="C396" s="597"/>
      <c r="D396" s="143"/>
      <c r="E396" s="598">
        <v>0</v>
      </c>
      <c r="F396" s="596">
        <v>0</v>
      </c>
      <c r="G396" s="598"/>
      <c r="H396" s="596"/>
      <c r="I396" s="596">
        <f t="shared" si="188"/>
        <v>0</v>
      </c>
      <c r="J396" s="728"/>
      <c r="K396" s="728"/>
      <c r="L396" s="731">
        <f t="shared" si="180"/>
        <v>0</v>
      </c>
      <c r="M396" s="947"/>
      <c r="N396" s="617"/>
      <c r="O396" s="602">
        <f t="shared" si="202"/>
        <v>0</v>
      </c>
      <c r="P396" s="940"/>
      <c r="Q396" s="600">
        <f t="shared" si="203"/>
        <v>0</v>
      </c>
      <c r="R396" s="940"/>
      <c r="S396" s="596">
        <v>0</v>
      </c>
      <c r="T396" s="724"/>
      <c r="U396" s="728"/>
      <c r="V396" s="728"/>
      <c r="W396" s="731">
        <f t="shared" si="181"/>
        <v>0</v>
      </c>
      <c r="X396" s="947"/>
      <c r="Y396" s="616"/>
      <c r="Z396" s="602">
        <f t="shared" si="184"/>
        <v>0</v>
      </c>
      <c r="AA396" s="835"/>
      <c r="AB396" s="602">
        <f t="shared" si="185"/>
        <v>0</v>
      </c>
      <c r="AC396" s="940"/>
      <c r="AD396" s="956"/>
      <c r="AE396" s="956"/>
      <c r="AF396" s="598"/>
      <c r="AG396" s="596"/>
      <c r="AH396" s="728"/>
      <c r="AI396" s="728"/>
      <c r="AJ396" s="729">
        <f t="shared" si="223"/>
        <v>0</v>
      </c>
      <c r="AK396" s="946"/>
      <c r="AL396" s="616"/>
      <c r="AM396" s="602">
        <f t="shared" si="189"/>
        <v>0</v>
      </c>
      <c r="AN396" s="835"/>
      <c r="AO396" s="835">
        <f t="shared" si="204"/>
        <v>0</v>
      </c>
      <c r="AP396" s="940"/>
      <c r="AQ396" s="722">
        <v>0</v>
      </c>
      <c r="AR396" s="728"/>
      <c r="AS396" s="728"/>
      <c r="AT396" s="729">
        <f t="shared" si="196"/>
        <v>0</v>
      </c>
      <c r="AU396" s="946"/>
      <c r="AV396" s="616"/>
      <c r="AW396" s="602">
        <f t="shared" si="186"/>
        <v>0</v>
      </c>
      <c r="AX396" s="940"/>
      <c r="AY396" s="602">
        <f t="shared" si="187"/>
        <v>0</v>
      </c>
      <c r="AZ396" s="940"/>
      <c r="BA396" s="962"/>
      <c r="BB396" s="962"/>
      <c r="BC396" s="611"/>
      <c r="BD396" s="712"/>
      <c r="BE396" s="596"/>
      <c r="BF396" s="596">
        <f t="shared" si="191"/>
        <v>0</v>
      </c>
      <c r="BG396" s="728"/>
      <c r="BH396" s="728"/>
      <c r="BI396" s="729">
        <f t="shared" si="182"/>
        <v>0</v>
      </c>
      <c r="BJ396" s="729"/>
      <c r="BK396" s="616"/>
      <c r="BL396" s="603">
        <f t="shared" si="190"/>
        <v>0</v>
      </c>
      <c r="BM396" s="964"/>
      <c r="BN396" s="602">
        <f t="shared" si="205"/>
        <v>0</v>
      </c>
      <c r="BO396" s="940"/>
      <c r="BP396" s="593">
        <f t="shared" si="224"/>
        <v>0</v>
      </c>
      <c r="BS396" s="741">
        <v>0</v>
      </c>
      <c r="BT396" s="741">
        <v>0</v>
      </c>
      <c r="BU396" s="741">
        <f t="shared" si="198"/>
        <v>0</v>
      </c>
      <c r="BV396" s="741">
        <v>0</v>
      </c>
      <c r="BW396" s="741"/>
      <c r="BX396" s="741">
        <v>0</v>
      </c>
      <c r="BY396" s="741">
        <v>0</v>
      </c>
      <c r="BZ396" s="741">
        <f t="shared" si="183"/>
        <v>0</v>
      </c>
      <c r="CA396" s="741">
        <v>0</v>
      </c>
      <c r="CB396" s="741"/>
      <c r="CC396" s="741">
        <f t="shared" si="199"/>
        <v>0</v>
      </c>
      <c r="CD396" s="751"/>
      <c r="CE396" s="748"/>
      <c r="CF396" s="748"/>
      <c r="CG396" s="748">
        <f t="shared" si="200"/>
        <v>0</v>
      </c>
      <c r="CH396" s="759"/>
      <c r="CI396" s="742"/>
      <c r="CJ396" s="591">
        <f t="shared" si="225"/>
        <v>0</v>
      </c>
    </row>
    <row r="397" spans="1:90" s="594" customFormat="1" ht="20.45" customHeight="1" x14ac:dyDescent="0.25">
      <c r="A397" s="612"/>
      <c r="B397" s="612" t="s">
        <v>228</v>
      </c>
      <c r="C397" s="613" t="s">
        <v>322</v>
      </c>
      <c r="D397" s="182" t="s">
        <v>437</v>
      </c>
      <c r="E397" s="614">
        <v>16</v>
      </c>
      <c r="F397" s="612">
        <v>71</v>
      </c>
      <c r="G397" s="614">
        <v>0</v>
      </c>
      <c r="H397" s="612">
        <v>0</v>
      </c>
      <c r="I397" s="612">
        <f t="shared" si="188"/>
        <v>71</v>
      </c>
      <c r="J397" s="728">
        <f>36</f>
        <v>36</v>
      </c>
      <c r="K397" s="728">
        <v>2</v>
      </c>
      <c r="L397" s="731">
        <f t="shared" si="180"/>
        <v>38</v>
      </c>
      <c r="M397" s="947">
        <f>SUM(L397:L404)</f>
        <v>146</v>
      </c>
      <c r="N397" s="617">
        <v>240</v>
      </c>
      <c r="O397" s="602">
        <f t="shared" si="202"/>
        <v>16</v>
      </c>
      <c r="P397" s="940">
        <f>SUM(O397:O404)</f>
        <v>71</v>
      </c>
      <c r="Q397" s="600">
        <f t="shared" si="203"/>
        <v>0</v>
      </c>
      <c r="R397" s="940">
        <f>SUM(Q397:Q404)</f>
        <v>0</v>
      </c>
      <c r="S397" s="596">
        <v>0</v>
      </c>
      <c r="T397" s="724">
        <f>SUM(S397:S404)</f>
        <v>0</v>
      </c>
      <c r="U397" s="728"/>
      <c r="V397" s="728"/>
      <c r="W397" s="731">
        <f t="shared" si="181"/>
        <v>0</v>
      </c>
      <c r="X397" s="947">
        <f>SUM(W397:W404)</f>
        <v>0</v>
      </c>
      <c r="Y397" s="616"/>
      <c r="Z397" s="602">
        <f t="shared" si="184"/>
        <v>0</v>
      </c>
      <c r="AA397" s="835">
        <f>SUM(Z397:Z404)</f>
        <v>0</v>
      </c>
      <c r="AB397" s="602">
        <f t="shared" si="185"/>
        <v>0</v>
      </c>
      <c r="AC397" s="940">
        <f>SUM(AB397:AB404)</f>
        <v>0</v>
      </c>
      <c r="AD397" s="955">
        <f>M397+X397</f>
        <v>146</v>
      </c>
      <c r="AE397" s="955">
        <f>R397+AC397</f>
        <v>0</v>
      </c>
      <c r="AF397" s="614">
        <v>0</v>
      </c>
      <c r="AG397" s="612">
        <v>6</v>
      </c>
      <c r="AH397" s="728"/>
      <c r="AI397" s="728"/>
      <c r="AJ397" s="729">
        <f t="shared" si="223"/>
        <v>0</v>
      </c>
      <c r="AK397" s="946">
        <f>SUM(AJ397:AJ404)</f>
        <v>19</v>
      </c>
      <c r="AL397" s="616"/>
      <c r="AM397" s="602">
        <f t="shared" si="189"/>
        <v>0</v>
      </c>
      <c r="AN397" s="835">
        <f>SUM(AM397:AM404)</f>
        <v>6</v>
      </c>
      <c r="AO397" s="835">
        <f t="shared" si="204"/>
        <v>0</v>
      </c>
      <c r="AP397" s="940">
        <f>SUM(AO397:AO404)</f>
        <v>0</v>
      </c>
      <c r="AQ397" s="722">
        <v>0</v>
      </c>
      <c r="AR397" s="728"/>
      <c r="AS397" s="728"/>
      <c r="AT397" s="729">
        <f t="shared" si="196"/>
        <v>0</v>
      </c>
      <c r="AU397" s="946">
        <f>SUM(AT397:AT404)</f>
        <v>24</v>
      </c>
      <c r="AV397" s="616"/>
      <c r="AW397" s="602">
        <f t="shared" si="186"/>
        <v>0</v>
      </c>
      <c r="AX397" s="940">
        <f>SUM(AW397:AW404)</f>
        <v>10</v>
      </c>
      <c r="AY397" s="602">
        <f t="shared" si="187"/>
        <v>0</v>
      </c>
      <c r="AZ397" s="940">
        <f>SUM(AY397:AY404)</f>
        <v>0</v>
      </c>
      <c r="BA397" s="961">
        <f>AK397+AU397</f>
        <v>43</v>
      </c>
      <c r="BB397" s="961">
        <f>AP397+AZ397</f>
        <v>0</v>
      </c>
      <c r="BC397" s="614">
        <f>SUM(BD397:BD405)</f>
        <v>77</v>
      </c>
      <c r="BD397" s="716">
        <v>16</v>
      </c>
      <c r="BE397" s="612">
        <v>0</v>
      </c>
      <c r="BF397" s="596">
        <f t="shared" si="191"/>
        <v>16</v>
      </c>
      <c r="BG397" s="728">
        <v>36</v>
      </c>
      <c r="BH397" s="728">
        <v>2</v>
      </c>
      <c r="BI397" s="729">
        <f t="shared" si="182"/>
        <v>38</v>
      </c>
      <c r="BJ397" s="729">
        <f>SUM(BI397:BI404)</f>
        <v>165</v>
      </c>
      <c r="BK397" s="616">
        <v>800</v>
      </c>
      <c r="BL397" s="603">
        <f t="shared" si="190"/>
        <v>16</v>
      </c>
      <c r="BM397" s="964">
        <f>SUM(BL397:BL404)</f>
        <v>77</v>
      </c>
      <c r="BN397" s="602">
        <f t="shared" si="205"/>
        <v>0</v>
      </c>
      <c r="BO397" s="940">
        <f>SUM(BN397:BN404)</f>
        <v>0</v>
      </c>
      <c r="BP397" s="593">
        <f t="shared" si="224"/>
        <v>0</v>
      </c>
      <c r="BS397" s="745">
        <v>36</v>
      </c>
      <c r="BT397" s="745">
        <v>2</v>
      </c>
      <c r="BU397" s="741">
        <f t="shared" si="198"/>
        <v>38</v>
      </c>
      <c r="BV397" s="745">
        <v>16</v>
      </c>
      <c r="BW397" s="745">
        <f>SUM(BV397:BV404)</f>
        <v>71</v>
      </c>
      <c r="BX397" s="745">
        <v>0</v>
      </c>
      <c r="BY397" s="745">
        <v>0</v>
      </c>
      <c r="BZ397" s="741">
        <f t="shared" si="183"/>
        <v>0</v>
      </c>
      <c r="CA397" s="745">
        <v>0</v>
      </c>
      <c r="CB397" s="745">
        <f>SUM(CA397:CA404)</f>
        <v>13</v>
      </c>
      <c r="CC397" s="741">
        <f t="shared" si="199"/>
        <v>16</v>
      </c>
      <c r="CD397" s="756">
        <f>SUM(CC397:CC404)</f>
        <v>84</v>
      </c>
      <c r="CE397" s="748">
        <v>36</v>
      </c>
      <c r="CF397" s="748">
        <v>2</v>
      </c>
      <c r="CG397" s="748">
        <f t="shared" si="200"/>
        <v>38</v>
      </c>
      <c r="CH397" s="766">
        <v>16</v>
      </c>
      <c r="CI397" s="745">
        <f>SUM(CH397:CH404)</f>
        <v>77</v>
      </c>
      <c r="CJ397" s="594">
        <f t="shared" si="225"/>
        <v>0</v>
      </c>
    </row>
    <row r="398" spans="1:90" ht="21.6" customHeight="1" x14ac:dyDescent="0.25">
      <c r="A398" s="596"/>
      <c r="B398" s="596" t="s">
        <v>228</v>
      </c>
      <c r="C398" s="597" t="s">
        <v>322</v>
      </c>
      <c r="D398" s="182"/>
      <c r="E398" s="598">
        <v>0</v>
      </c>
      <c r="F398" s="596">
        <v>0</v>
      </c>
      <c r="G398" s="598"/>
      <c r="H398" s="596"/>
      <c r="I398" s="596">
        <f t="shared" si="188"/>
        <v>0</v>
      </c>
      <c r="J398" s="728"/>
      <c r="K398" s="728"/>
      <c r="L398" s="731">
        <f t="shared" si="180"/>
        <v>0</v>
      </c>
      <c r="M398" s="947"/>
      <c r="N398" s="617"/>
      <c r="O398" s="602">
        <f t="shared" si="202"/>
        <v>0</v>
      </c>
      <c r="P398" s="940"/>
      <c r="Q398" s="600">
        <f t="shared" si="203"/>
        <v>0</v>
      </c>
      <c r="R398" s="940"/>
      <c r="S398" s="596">
        <v>0</v>
      </c>
      <c r="T398" s="724"/>
      <c r="U398" s="728"/>
      <c r="V398" s="728"/>
      <c r="W398" s="731">
        <f t="shared" si="181"/>
        <v>0</v>
      </c>
      <c r="X398" s="947"/>
      <c r="Y398" s="616"/>
      <c r="Z398" s="602">
        <f t="shared" si="184"/>
        <v>0</v>
      </c>
      <c r="AA398" s="835"/>
      <c r="AB398" s="602">
        <f t="shared" si="185"/>
        <v>0</v>
      </c>
      <c r="AC398" s="940"/>
      <c r="AD398" s="956"/>
      <c r="AE398" s="956"/>
      <c r="AF398" s="598"/>
      <c r="AG398" s="596"/>
      <c r="AH398" s="728"/>
      <c r="AI398" s="728"/>
      <c r="AJ398" s="729">
        <f t="shared" si="223"/>
        <v>0</v>
      </c>
      <c r="AK398" s="946"/>
      <c r="AL398" s="616"/>
      <c r="AM398" s="602">
        <f t="shared" si="189"/>
        <v>0</v>
      </c>
      <c r="AN398" s="835"/>
      <c r="AO398" s="835">
        <f t="shared" si="204"/>
        <v>0</v>
      </c>
      <c r="AP398" s="940"/>
      <c r="AQ398" s="722">
        <v>0</v>
      </c>
      <c r="AR398" s="728"/>
      <c r="AS398" s="728"/>
      <c r="AT398" s="729">
        <f t="shared" si="196"/>
        <v>0</v>
      </c>
      <c r="AU398" s="946"/>
      <c r="AV398" s="616"/>
      <c r="AW398" s="602">
        <f t="shared" si="186"/>
        <v>0</v>
      </c>
      <c r="AX398" s="940"/>
      <c r="AY398" s="602">
        <f t="shared" si="187"/>
        <v>0</v>
      </c>
      <c r="AZ398" s="940"/>
      <c r="BA398" s="962"/>
      <c r="BB398" s="962"/>
      <c r="BC398" s="598"/>
      <c r="BD398" s="665">
        <v>0</v>
      </c>
      <c r="BE398" s="596">
        <v>0</v>
      </c>
      <c r="BF398" s="596">
        <f t="shared" si="191"/>
        <v>0</v>
      </c>
      <c r="BG398" s="728"/>
      <c r="BH398" s="728"/>
      <c r="BI398" s="729">
        <f t="shared" si="182"/>
        <v>0</v>
      </c>
      <c r="BJ398" s="729"/>
      <c r="BK398" s="616"/>
      <c r="BL398" s="603">
        <f t="shared" si="190"/>
        <v>0</v>
      </c>
      <c r="BM398" s="964"/>
      <c r="BN398" s="602">
        <f t="shared" si="205"/>
        <v>0</v>
      </c>
      <c r="BO398" s="940"/>
      <c r="BP398" s="593">
        <f t="shared" si="224"/>
        <v>0</v>
      </c>
      <c r="BS398" s="741">
        <v>0</v>
      </c>
      <c r="BT398" s="741">
        <v>0</v>
      </c>
      <c r="BU398" s="741">
        <f t="shared" si="198"/>
        <v>0</v>
      </c>
      <c r="BV398" s="741">
        <v>0</v>
      </c>
      <c r="BW398" s="741"/>
      <c r="BX398" s="741">
        <v>0</v>
      </c>
      <c r="BY398" s="741">
        <v>0</v>
      </c>
      <c r="BZ398" s="741">
        <f t="shared" si="183"/>
        <v>0</v>
      </c>
      <c r="CA398" s="741">
        <v>0</v>
      </c>
      <c r="CB398" s="741"/>
      <c r="CC398" s="741">
        <f t="shared" si="199"/>
        <v>0</v>
      </c>
      <c r="CD398" s="751"/>
      <c r="CE398" s="748"/>
      <c r="CF398" s="748"/>
      <c r="CG398" s="748">
        <f t="shared" si="200"/>
        <v>0</v>
      </c>
      <c r="CH398" s="759"/>
      <c r="CI398" s="742"/>
      <c r="CJ398" s="591">
        <f t="shared" si="225"/>
        <v>0</v>
      </c>
    </row>
    <row r="399" spans="1:90" ht="21.6" customHeight="1" x14ac:dyDescent="0.25">
      <c r="A399" s="596"/>
      <c r="B399" s="596" t="s">
        <v>228</v>
      </c>
      <c r="C399" s="597" t="s">
        <v>612</v>
      </c>
      <c r="D399" s="182" t="s">
        <v>437</v>
      </c>
      <c r="E399" s="598">
        <v>6</v>
      </c>
      <c r="F399" s="596">
        <v>0</v>
      </c>
      <c r="G399" s="598">
        <v>0</v>
      </c>
      <c r="H399" s="596"/>
      <c r="I399" s="596">
        <f t="shared" si="188"/>
        <v>0</v>
      </c>
      <c r="J399" s="728">
        <v>12</v>
      </c>
      <c r="K399" s="728"/>
      <c r="L399" s="731">
        <f t="shared" si="180"/>
        <v>12</v>
      </c>
      <c r="M399" s="947"/>
      <c r="N399" s="617">
        <v>90</v>
      </c>
      <c r="O399" s="602">
        <f t="shared" si="202"/>
        <v>6</v>
      </c>
      <c r="P399" s="940"/>
      <c r="Q399" s="600">
        <f t="shared" si="203"/>
        <v>0</v>
      </c>
      <c r="R399" s="940"/>
      <c r="S399" s="596">
        <v>0</v>
      </c>
      <c r="T399" s="724"/>
      <c r="U399" s="728"/>
      <c r="V399" s="728"/>
      <c r="W399" s="731">
        <f t="shared" si="181"/>
        <v>0</v>
      </c>
      <c r="X399" s="947"/>
      <c r="Y399" s="616"/>
      <c r="Z399" s="602">
        <f t="shared" si="184"/>
        <v>0</v>
      </c>
      <c r="AA399" s="835"/>
      <c r="AB399" s="602">
        <f t="shared" si="185"/>
        <v>0</v>
      </c>
      <c r="AC399" s="940"/>
      <c r="AD399" s="956"/>
      <c r="AE399" s="956"/>
      <c r="AF399" s="598">
        <v>0</v>
      </c>
      <c r="AG399" s="596"/>
      <c r="AH399" s="728"/>
      <c r="AI399" s="728"/>
      <c r="AJ399" s="729">
        <f t="shared" si="223"/>
        <v>0</v>
      </c>
      <c r="AK399" s="946"/>
      <c r="AL399" s="616"/>
      <c r="AM399" s="602">
        <f t="shared" si="189"/>
        <v>0</v>
      </c>
      <c r="AN399" s="835"/>
      <c r="AO399" s="835">
        <f t="shared" si="204"/>
        <v>0</v>
      </c>
      <c r="AP399" s="940"/>
      <c r="AQ399" s="722">
        <v>0</v>
      </c>
      <c r="AR399" s="728"/>
      <c r="AS399" s="728"/>
      <c r="AT399" s="729">
        <f t="shared" si="196"/>
        <v>0</v>
      </c>
      <c r="AU399" s="946"/>
      <c r="AV399" s="616"/>
      <c r="AW399" s="602">
        <f t="shared" si="186"/>
        <v>0</v>
      </c>
      <c r="AX399" s="940"/>
      <c r="AY399" s="602">
        <f t="shared" si="187"/>
        <v>0</v>
      </c>
      <c r="AZ399" s="940"/>
      <c r="BA399" s="962"/>
      <c r="BB399" s="962"/>
      <c r="BC399" s="598"/>
      <c r="BD399" s="665">
        <v>6</v>
      </c>
      <c r="BE399" s="596">
        <v>0</v>
      </c>
      <c r="BF399" s="596">
        <f t="shared" si="191"/>
        <v>6</v>
      </c>
      <c r="BG399" s="728">
        <v>12</v>
      </c>
      <c r="BH399" s="728"/>
      <c r="BI399" s="729">
        <f t="shared" si="182"/>
        <v>12</v>
      </c>
      <c r="BJ399" s="729"/>
      <c r="BK399" s="616">
        <v>300</v>
      </c>
      <c r="BL399" s="603">
        <f t="shared" si="190"/>
        <v>6</v>
      </c>
      <c r="BM399" s="964"/>
      <c r="BN399" s="602">
        <f t="shared" si="205"/>
        <v>0</v>
      </c>
      <c r="BO399" s="940"/>
      <c r="BP399" s="593">
        <f t="shared" si="224"/>
        <v>0</v>
      </c>
      <c r="BS399" s="741">
        <v>12</v>
      </c>
      <c r="BT399" s="741">
        <v>0</v>
      </c>
      <c r="BU399" s="741">
        <f t="shared" si="198"/>
        <v>12</v>
      </c>
      <c r="BV399" s="741">
        <v>6</v>
      </c>
      <c r="BW399" s="741"/>
      <c r="BX399" s="741">
        <v>0</v>
      </c>
      <c r="BY399" s="741">
        <v>0</v>
      </c>
      <c r="BZ399" s="741">
        <f t="shared" si="183"/>
        <v>0</v>
      </c>
      <c r="CA399" s="741">
        <v>0</v>
      </c>
      <c r="CB399" s="741"/>
      <c r="CC399" s="741">
        <f t="shared" si="199"/>
        <v>6</v>
      </c>
      <c r="CD399" s="751"/>
      <c r="CE399" s="748">
        <v>12</v>
      </c>
      <c r="CF399" s="748"/>
      <c r="CG399" s="748">
        <f t="shared" si="200"/>
        <v>12</v>
      </c>
      <c r="CH399" s="759">
        <v>6</v>
      </c>
      <c r="CI399" s="742"/>
      <c r="CJ399" s="591">
        <f t="shared" si="225"/>
        <v>0</v>
      </c>
    </row>
    <row r="400" spans="1:90" ht="21.6" customHeight="1" x14ac:dyDescent="0.25">
      <c r="A400" s="596"/>
      <c r="B400" s="596" t="s">
        <v>228</v>
      </c>
      <c r="C400" s="597" t="s">
        <v>230</v>
      </c>
      <c r="D400" s="182" t="s">
        <v>437</v>
      </c>
      <c r="E400" s="598">
        <v>12</v>
      </c>
      <c r="F400" s="596">
        <v>0</v>
      </c>
      <c r="G400" s="598">
        <v>0</v>
      </c>
      <c r="H400" s="596"/>
      <c r="I400" s="596">
        <f t="shared" si="188"/>
        <v>0</v>
      </c>
      <c r="J400" s="728">
        <v>23</v>
      </c>
      <c r="K400" s="728">
        <v>1</v>
      </c>
      <c r="L400" s="731">
        <f t="shared" ref="L400:L465" si="226">J400+K400</f>
        <v>24</v>
      </c>
      <c r="M400" s="947"/>
      <c r="N400" s="617">
        <v>180</v>
      </c>
      <c r="O400" s="602">
        <f t="shared" si="202"/>
        <v>12</v>
      </c>
      <c r="P400" s="940"/>
      <c r="Q400" s="600">
        <f t="shared" si="203"/>
        <v>0</v>
      </c>
      <c r="R400" s="940"/>
      <c r="S400" s="596">
        <v>0</v>
      </c>
      <c r="T400" s="724"/>
      <c r="U400" s="728"/>
      <c r="V400" s="728"/>
      <c r="W400" s="731">
        <f t="shared" ref="W400:W465" si="227">U400+V400</f>
        <v>0</v>
      </c>
      <c r="X400" s="947"/>
      <c r="Y400" s="616"/>
      <c r="Z400" s="602">
        <f t="shared" si="184"/>
        <v>0</v>
      </c>
      <c r="AA400" s="835"/>
      <c r="AB400" s="602">
        <f t="shared" si="185"/>
        <v>0</v>
      </c>
      <c r="AC400" s="940"/>
      <c r="AD400" s="956"/>
      <c r="AE400" s="956"/>
      <c r="AF400" s="598">
        <v>0</v>
      </c>
      <c r="AG400" s="596"/>
      <c r="AH400" s="728"/>
      <c r="AI400" s="728"/>
      <c r="AJ400" s="729">
        <f t="shared" si="223"/>
        <v>0</v>
      </c>
      <c r="AK400" s="946"/>
      <c r="AL400" s="616"/>
      <c r="AM400" s="602">
        <f t="shared" si="189"/>
        <v>0</v>
      </c>
      <c r="AN400" s="835"/>
      <c r="AO400" s="835">
        <f t="shared" si="204"/>
        <v>0</v>
      </c>
      <c r="AP400" s="940"/>
      <c r="AQ400" s="722">
        <v>0</v>
      </c>
      <c r="AR400" s="728"/>
      <c r="AS400" s="728"/>
      <c r="AT400" s="729">
        <f t="shared" si="196"/>
        <v>0</v>
      </c>
      <c r="AU400" s="946"/>
      <c r="AV400" s="616"/>
      <c r="AW400" s="602">
        <f t="shared" si="186"/>
        <v>0</v>
      </c>
      <c r="AX400" s="940"/>
      <c r="AY400" s="602">
        <f t="shared" si="187"/>
        <v>0</v>
      </c>
      <c r="AZ400" s="940"/>
      <c r="BA400" s="962"/>
      <c r="BB400" s="962"/>
      <c r="BC400" s="611"/>
      <c r="BD400" s="712">
        <v>12</v>
      </c>
      <c r="BE400" s="596">
        <v>0</v>
      </c>
      <c r="BF400" s="596">
        <f t="shared" si="191"/>
        <v>12</v>
      </c>
      <c r="BG400" s="728">
        <v>23</v>
      </c>
      <c r="BH400" s="728">
        <v>1</v>
      </c>
      <c r="BI400" s="729">
        <f t="shared" ref="BI400:BI465" si="228">BG400+BH400</f>
        <v>24</v>
      </c>
      <c r="BJ400" s="729"/>
      <c r="BK400" s="616">
        <v>600</v>
      </c>
      <c r="BL400" s="603">
        <f t="shared" si="190"/>
        <v>12</v>
      </c>
      <c r="BM400" s="964"/>
      <c r="BN400" s="602">
        <f t="shared" si="205"/>
        <v>0</v>
      </c>
      <c r="BO400" s="940"/>
      <c r="BP400" s="593">
        <f t="shared" si="224"/>
        <v>0</v>
      </c>
      <c r="BS400" s="741">
        <v>23</v>
      </c>
      <c r="BT400" s="741">
        <v>1</v>
      </c>
      <c r="BU400" s="741">
        <f t="shared" si="198"/>
        <v>24</v>
      </c>
      <c r="BV400" s="741">
        <v>12</v>
      </c>
      <c r="BW400" s="741"/>
      <c r="BX400" s="741">
        <v>0</v>
      </c>
      <c r="BY400" s="741">
        <v>0</v>
      </c>
      <c r="BZ400" s="741">
        <f t="shared" ref="BZ400:BZ465" si="229">BX400+BY400</f>
        <v>0</v>
      </c>
      <c r="CA400" s="741">
        <v>0</v>
      </c>
      <c r="CB400" s="741"/>
      <c r="CC400" s="741">
        <f t="shared" si="199"/>
        <v>12</v>
      </c>
      <c r="CD400" s="751"/>
      <c r="CE400" s="748">
        <v>23</v>
      </c>
      <c r="CF400" s="748">
        <v>1</v>
      </c>
      <c r="CG400" s="748">
        <f t="shared" si="200"/>
        <v>24</v>
      </c>
      <c r="CH400" s="759">
        <v>12</v>
      </c>
      <c r="CI400" s="742"/>
      <c r="CJ400" s="591">
        <f t="shared" si="225"/>
        <v>0</v>
      </c>
    </row>
    <row r="401" spans="1:88" ht="21.6" customHeight="1" x14ac:dyDescent="0.25">
      <c r="A401" s="596"/>
      <c r="B401" s="596" t="s">
        <v>228</v>
      </c>
      <c r="C401" s="597" t="s">
        <v>614</v>
      </c>
      <c r="D401" s="182" t="s">
        <v>431</v>
      </c>
      <c r="E401" s="598">
        <v>0</v>
      </c>
      <c r="F401" s="596">
        <v>0</v>
      </c>
      <c r="G401" s="598"/>
      <c r="H401" s="596"/>
      <c r="I401" s="596">
        <f t="shared" si="188"/>
        <v>0</v>
      </c>
      <c r="J401" s="728"/>
      <c r="K401" s="728"/>
      <c r="L401" s="731">
        <f t="shared" si="226"/>
        <v>0</v>
      </c>
      <c r="M401" s="947"/>
      <c r="N401" s="617"/>
      <c r="O401" s="602">
        <f t="shared" si="202"/>
        <v>0</v>
      </c>
      <c r="P401" s="940"/>
      <c r="Q401" s="600">
        <f t="shared" si="203"/>
        <v>0</v>
      </c>
      <c r="R401" s="940"/>
      <c r="S401" s="596">
        <v>0</v>
      </c>
      <c r="T401" s="724"/>
      <c r="U401" s="728"/>
      <c r="V401" s="728"/>
      <c r="W401" s="731">
        <f t="shared" si="227"/>
        <v>0</v>
      </c>
      <c r="X401" s="947"/>
      <c r="Y401" s="616"/>
      <c r="Z401" s="602">
        <f t="shared" si="184"/>
        <v>0</v>
      </c>
      <c r="AA401" s="835"/>
      <c r="AB401" s="602">
        <f t="shared" si="185"/>
        <v>0</v>
      </c>
      <c r="AC401" s="940"/>
      <c r="AD401" s="956"/>
      <c r="AE401" s="956"/>
      <c r="AF401" s="598">
        <v>6</v>
      </c>
      <c r="AG401" s="596"/>
      <c r="AH401" s="728">
        <v>17</v>
      </c>
      <c r="AI401" s="728">
        <v>2</v>
      </c>
      <c r="AJ401" s="729">
        <f t="shared" si="223"/>
        <v>19</v>
      </c>
      <c r="AK401" s="946"/>
      <c r="AL401" s="616">
        <v>90</v>
      </c>
      <c r="AM401" s="602">
        <f t="shared" si="189"/>
        <v>6</v>
      </c>
      <c r="AN401" s="835"/>
      <c r="AO401" s="835">
        <f t="shared" si="204"/>
        <v>0</v>
      </c>
      <c r="AP401" s="940"/>
      <c r="AQ401" s="722">
        <v>0</v>
      </c>
      <c r="AR401" s="728"/>
      <c r="AS401" s="728"/>
      <c r="AT401" s="729">
        <f t="shared" si="196"/>
        <v>0</v>
      </c>
      <c r="AU401" s="946"/>
      <c r="AV401" s="616"/>
      <c r="AW401" s="602">
        <f t="shared" si="186"/>
        <v>0</v>
      </c>
      <c r="AX401" s="940"/>
      <c r="AY401" s="602">
        <f t="shared" si="187"/>
        <v>0</v>
      </c>
      <c r="AZ401" s="940"/>
      <c r="BA401" s="962"/>
      <c r="BB401" s="962"/>
      <c r="BC401" s="611"/>
      <c r="BD401" s="712">
        <v>6</v>
      </c>
      <c r="BE401" s="596">
        <v>0</v>
      </c>
      <c r="BF401" s="596">
        <f t="shared" si="191"/>
        <v>6</v>
      </c>
      <c r="BG401" s="728">
        <v>17</v>
      </c>
      <c r="BH401" s="728">
        <v>2</v>
      </c>
      <c r="BI401" s="729">
        <f t="shared" si="228"/>
        <v>19</v>
      </c>
      <c r="BJ401" s="729"/>
      <c r="BK401" s="616">
        <v>300</v>
      </c>
      <c r="BL401" s="603">
        <f t="shared" si="190"/>
        <v>6</v>
      </c>
      <c r="BM401" s="964"/>
      <c r="BN401" s="602">
        <f t="shared" si="205"/>
        <v>0</v>
      </c>
      <c r="BO401" s="940"/>
      <c r="BP401" s="593">
        <f t="shared" si="224"/>
        <v>0</v>
      </c>
      <c r="BS401" s="741">
        <v>0</v>
      </c>
      <c r="BT401" s="741">
        <v>0</v>
      </c>
      <c r="BU401" s="741">
        <f t="shared" si="198"/>
        <v>0</v>
      </c>
      <c r="BV401" s="741">
        <v>0</v>
      </c>
      <c r="BW401" s="741"/>
      <c r="BX401" s="741">
        <v>17</v>
      </c>
      <c r="BY401" s="741">
        <v>2</v>
      </c>
      <c r="BZ401" s="741">
        <f t="shared" si="229"/>
        <v>19</v>
      </c>
      <c r="CA401" s="741">
        <v>6</v>
      </c>
      <c r="CB401" s="741"/>
      <c r="CC401" s="741">
        <f t="shared" si="199"/>
        <v>6</v>
      </c>
      <c r="CD401" s="751"/>
      <c r="CE401" s="748">
        <v>17</v>
      </c>
      <c r="CF401" s="748">
        <v>2</v>
      </c>
      <c r="CG401" s="748">
        <f t="shared" si="200"/>
        <v>19</v>
      </c>
      <c r="CH401" s="759">
        <v>6</v>
      </c>
      <c r="CI401" s="742"/>
      <c r="CJ401" s="591">
        <f t="shared" si="225"/>
        <v>0</v>
      </c>
    </row>
    <row r="402" spans="1:88" ht="21.6" customHeight="1" x14ac:dyDescent="0.25">
      <c r="A402" s="596"/>
      <c r="B402" s="596" t="s">
        <v>228</v>
      </c>
      <c r="C402" s="597" t="s">
        <v>229</v>
      </c>
      <c r="D402" s="182" t="s">
        <v>437</v>
      </c>
      <c r="E402" s="598">
        <v>30</v>
      </c>
      <c r="F402" s="596">
        <v>0</v>
      </c>
      <c r="G402" s="598">
        <v>0</v>
      </c>
      <c r="H402" s="596"/>
      <c r="I402" s="596">
        <f t="shared" si="188"/>
        <v>0</v>
      </c>
      <c r="J402" s="728">
        <v>48</v>
      </c>
      <c r="K402" s="728">
        <v>10</v>
      </c>
      <c r="L402" s="731">
        <f t="shared" si="226"/>
        <v>58</v>
      </c>
      <c r="M402" s="947"/>
      <c r="N402" s="617">
        <v>450</v>
      </c>
      <c r="O402" s="602">
        <f t="shared" si="202"/>
        <v>30</v>
      </c>
      <c r="P402" s="940"/>
      <c r="Q402" s="600">
        <f t="shared" si="203"/>
        <v>0</v>
      </c>
      <c r="R402" s="940"/>
      <c r="S402" s="596">
        <v>0</v>
      </c>
      <c r="T402" s="724"/>
      <c r="U402" s="728"/>
      <c r="V402" s="728"/>
      <c r="W402" s="731">
        <f t="shared" si="227"/>
        <v>0</v>
      </c>
      <c r="X402" s="947"/>
      <c r="Y402" s="616"/>
      <c r="Z402" s="602">
        <f t="shared" si="184"/>
        <v>0</v>
      </c>
      <c r="AA402" s="835"/>
      <c r="AB402" s="602">
        <f t="shared" si="185"/>
        <v>0</v>
      </c>
      <c r="AC402" s="940"/>
      <c r="AD402" s="956"/>
      <c r="AE402" s="956"/>
      <c r="AF402" s="598">
        <v>0</v>
      </c>
      <c r="AG402" s="596"/>
      <c r="AH402" s="728"/>
      <c r="AI402" s="728"/>
      <c r="AJ402" s="729">
        <f t="shared" si="223"/>
        <v>0</v>
      </c>
      <c r="AK402" s="946"/>
      <c r="AL402" s="616"/>
      <c r="AM402" s="602">
        <f t="shared" si="189"/>
        <v>0</v>
      </c>
      <c r="AN402" s="835"/>
      <c r="AO402" s="835">
        <f t="shared" si="204"/>
        <v>0</v>
      </c>
      <c r="AP402" s="940"/>
      <c r="AQ402" s="722">
        <v>0</v>
      </c>
      <c r="AR402" s="728"/>
      <c r="AS402" s="728"/>
      <c r="AT402" s="729">
        <f t="shared" si="196"/>
        <v>0</v>
      </c>
      <c r="AU402" s="946"/>
      <c r="AV402" s="616"/>
      <c r="AW402" s="602">
        <f t="shared" si="186"/>
        <v>0</v>
      </c>
      <c r="AX402" s="940"/>
      <c r="AY402" s="602">
        <f t="shared" si="187"/>
        <v>0</v>
      </c>
      <c r="AZ402" s="940"/>
      <c r="BA402" s="962"/>
      <c r="BB402" s="962"/>
      <c r="BC402" s="611"/>
      <c r="BD402" s="712">
        <v>30</v>
      </c>
      <c r="BE402" s="596">
        <v>0</v>
      </c>
      <c r="BF402" s="596">
        <f t="shared" si="191"/>
        <v>30</v>
      </c>
      <c r="BG402" s="728">
        <v>48</v>
      </c>
      <c r="BH402" s="728">
        <v>10</v>
      </c>
      <c r="BI402" s="729">
        <f t="shared" si="228"/>
        <v>58</v>
      </c>
      <c r="BJ402" s="729"/>
      <c r="BK402" s="616">
        <v>1500</v>
      </c>
      <c r="BL402" s="603">
        <f t="shared" si="190"/>
        <v>30</v>
      </c>
      <c r="BM402" s="964"/>
      <c r="BN402" s="602">
        <f t="shared" si="205"/>
        <v>0</v>
      </c>
      <c r="BO402" s="940"/>
      <c r="BP402" s="593">
        <f t="shared" si="224"/>
        <v>0</v>
      </c>
      <c r="BS402" s="741">
        <v>48</v>
      </c>
      <c r="BT402" s="741">
        <v>10</v>
      </c>
      <c r="BU402" s="741">
        <f t="shared" si="198"/>
        <v>58</v>
      </c>
      <c r="BV402" s="741">
        <v>30</v>
      </c>
      <c r="BW402" s="741"/>
      <c r="BX402" s="741">
        <v>0</v>
      </c>
      <c r="BY402" s="741">
        <v>0</v>
      </c>
      <c r="BZ402" s="741">
        <f t="shared" si="229"/>
        <v>0</v>
      </c>
      <c r="CA402" s="741">
        <v>0</v>
      </c>
      <c r="CB402" s="741"/>
      <c r="CC402" s="741">
        <f t="shared" si="199"/>
        <v>30</v>
      </c>
      <c r="CD402" s="751"/>
      <c r="CE402" s="748">
        <v>48</v>
      </c>
      <c r="CF402" s="748">
        <v>10</v>
      </c>
      <c r="CG402" s="748">
        <f t="shared" si="200"/>
        <v>58</v>
      </c>
      <c r="CH402" s="759">
        <v>30</v>
      </c>
      <c r="CI402" s="742"/>
      <c r="CJ402" s="591">
        <f t="shared" si="225"/>
        <v>0</v>
      </c>
    </row>
    <row r="403" spans="1:88" ht="21.6" customHeight="1" x14ac:dyDescent="0.25">
      <c r="A403" s="596"/>
      <c r="B403" s="596" t="s">
        <v>228</v>
      </c>
      <c r="C403" s="597" t="s">
        <v>667</v>
      </c>
      <c r="D403" s="182" t="s">
        <v>437</v>
      </c>
      <c r="E403" s="598"/>
      <c r="F403" s="596"/>
      <c r="G403" s="598"/>
      <c r="H403" s="596"/>
      <c r="I403" s="596"/>
      <c r="J403" s="728"/>
      <c r="K403" s="728"/>
      <c r="L403" s="731">
        <f t="shared" si="226"/>
        <v>0</v>
      </c>
      <c r="M403" s="947"/>
      <c r="N403" s="617"/>
      <c r="O403" s="602">
        <f t="shared" si="202"/>
        <v>0</v>
      </c>
      <c r="P403" s="940"/>
      <c r="Q403" s="600"/>
      <c r="R403" s="940"/>
      <c r="S403" s="596">
        <v>0</v>
      </c>
      <c r="T403" s="724"/>
      <c r="U403" s="728"/>
      <c r="V403" s="728"/>
      <c r="W403" s="731">
        <f t="shared" si="227"/>
        <v>0</v>
      </c>
      <c r="X403" s="947"/>
      <c r="Y403" s="616"/>
      <c r="Z403" s="602">
        <f t="shared" ref="Z403:Z468" si="230">Y403/15</f>
        <v>0</v>
      </c>
      <c r="AA403" s="835"/>
      <c r="AB403" s="602">
        <f t="shared" ref="AB403:AB468" si="231">S403-Z403</f>
        <v>0</v>
      </c>
      <c r="AC403" s="940"/>
      <c r="AD403" s="956"/>
      <c r="AE403" s="956"/>
      <c r="AF403" s="598"/>
      <c r="AG403" s="596"/>
      <c r="AH403" s="728"/>
      <c r="AI403" s="728"/>
      <c r="AJ403" s="729">
        <f t="shared" si="223"/>
        <v>0</v>
      </c>
      <c r="AK403" s="946"/>
      <c r="AL403" s="616"/>
      <c r="AM403" s="602">
        <f t="shared" si="189"/>
        <v>0</v>
      </c>
      <c r="AN403" s="835"/>
      <c r="AO403" s="835"/>
      <c r="AP403" s="940"/>
      <c r="AQ403" s="722">
        <v>10</v>
      </c>
      <c r="AR403" s="728">
        <f>17+2</f>
        <v>19</v>
      </c>
      <c r="AS403" s="728">
        <f>2+3</f>
        <v>5</v>
      </c>
      <c r="AT403" s="729">
        <f t="shared" si="196"/>
        <v>24</v>
      </c>
      <c r="AU403" s="946"/>
      <c r="AV403" s="616">
        <f>105+45</f>
        <v>150</v>
      </c>
      <c r="AW403" s="602">
        <f t="shared" ref="AW403:AW468" si="232">AV403/15</f>
        <v>10</v>
      </c>
      <c r="AX403" s="940"/>
      <c r="AY403" s="602">
        <f t="shared" ref="AY403:AY468" si="233">AQ403-AW403</f>
        <v>0</v>
      </c>
      <c r="AZ403" s="940"/>
      <c r="BA403" s="962"/>
      <c r="BB403" s="962"/>
      <c r="BC403" s="611"/>
      <c r="BD403" s="712"/>
      <c r="BE403" s="596">
        <v>0</v>
      </c>
      <c r="BF403" s="596">
        <f t="shared" si="191"/>
        <v>0</v>
      </c>
      <c r="BG403" s="728"/>
      <c r="BH403" s="728"/>
      <c r="BI403" s="729">
        <f t="shared" si="228"/>
        <v>0</v>
      </c>
      <c r="BJ403" s="729"/>
      <c r="BK403" s="616"/>
      <c r="BL403" s="603">
        <f t="shared" si="190"/>
        <v>0</v>
      </c>
      <c r="BM403" s="964"/>
      <c r="BN403" s="602">
        <f t="shared" si="205"/>
        <v>0</v>
      </c>
      <c r="BO403" s="940"/>
      <c r="BP403" s="593">
        <f t="shared" si="224"/>
        <v>0</v>
      </c>
      <c r="BS403" s="741">
        <v>0</v>
      </c>
      <c r="BT403" s="741">
        <v>0</v>
      </c>
      <c r="BU403" s="741">
        <f t="shared" si="198"/>
        <v>0</v>
      </c>
      <c r="BV403" s="741">
        <v>0</v>
      </c>
      <c r="BW403" s="741"/>
      <c r="BX403" s="741">
        <v>17</v>
      </c>
      <c r="BY403" s="741">
        <v>2</v>
      </c>
      <c r="BZ403" s="741">
        <f t="shared" si="229"/>
        <v>19</v>
      </c>
      <c r="CA403" s="741">
        <v>7</v>
      </c>
      <c r="CB403" s="741"/>
      <c r="CC403" s="741">
        <f t="shared" si="199"/>
        <v>7</v>
      </c>
      <c r="CD403" s="751"/>
      <c r="CE403" s="748"/>
      <c r="CF403" s="748"/>
      <c r="CG403" s="748">
        <f t="shared" si="200"/>
        <v>0</v>
      </c>
      <c r="CH403" s="759"/>
      <c r="CI403" s="742"/>
      <c r="CJ403" s="591">
        <f t="shared" si="225"/>
        <v>0</v>
      </c>
    </row>
    <row r="404" spans="1:88" ht="21.6" customHeight="1" x14ac:dyDescent="0.25">
      <c r="A404" s="596"/>
      <c r="B404" s="596" t="s">
        <v>228</v>
      </c>
      <c r="C404" s="597" t="s">
        <v>613</v>
      </c>
      <c r="D404" s="182" t="s">
        <v>437</v>
      </c>
      <c r="E404" s="598">
        <v>7</v>
      </c>
      <c r="F404" s="596">
        <v>0</v>
      </c>
      <c r="G404" s="598"/>
      <c r="H404" s="596"/>
      <c r="I404" s="596">
        <f t="shared" si="188"/>
        <v>0</v>
      </c>
      <c r="J404" s="728">
        <v>10</v>
      </c>
      <c r="K404" s="728">
        <v>4</v>
      </c>
      <c r="L404" s="731">
        <f t="shared" si="226"/>
        <v>14</v>
      </c>
      <c r="M404" s="947"/>
      <c r="N404" s="617">
        <v>105</v>
      </c>
      <c r="O404" s="602">
        <f t="shared" si="202"/>
        <v>7</v>
      </c>
      <c r="P404" s="940"/>
      <c r="Q404" s="600">
        <f t="shared" ref="Q404:Q415" si="234">E404-O404</f>
        <v>0</v>
      </c>
      <c r="R404" s="940"/>
      <c r="S404" s="596">
        <v>0</v>
      </c>
      <c r="T404" s="724"/>
      <c r="U404" s="728"/>
      <c r="V404" s="728"/>
      <c r="W404" s="731">
        <f t="shared" si="227"/>
        <v>0</v>
      </c>
      <c r="X404" s="947"/>
      <c r="Y404" s="616"/>
      <c r="Z404" s="602">
        <f t="shared" si="230"/>
        <v>0</v>
      </c>
      <c r="AA404" s="835"/>
      <c r="AB404" s="602">
        <f t="shared" si="231"/>
        <v>0</v>
      </c>
      <c r="AC404" s="940"/>
      <c r="AD404" s="956"/>
      <c r="AE404" s="956"/>
      <c r="AF404" s="598"/>
      <c r="AG404" s="596"/>
      <c r="AH404" s="728"/>
      <c r="AI404" s="728"/>
      <c r="AJ404" s="729">
        <f t="shared" si="223"/>
        <v>0</v>
      </c>
      <c r="AK404" s="946"/>
      <c r="AL404" s="616"/>
      <c r="AM404" s="602">
        <f t="shared" si="189"/>
        <v>0</v>
      </c>
      <c r="AN404" s="835"/>
      <c r="AO404" s="835">
        <f t="shared" ref="AO404:AO415" si="235">AF404-AM404</f>
        <v>0</v>
      </c>
      <c r="AP404" s="940"/>
      <c r="AQ404" s="722">
        <v>0</v>
      </c>
      <c r="AR404" s="728"/>
      <c r="AS404" s="728"/>
      <c r="AT404" s="729">
        <f t="shared" si="196"/>
        <v>0</v>
      </c>
      <c r="AU404" s="946"/>
      <c r="AV404" s="616"/>
      <c r="AW404" s="602">
        <f t="shared" si="232"/>
        <v>0</v>
      </c>
      <c r="AX404" s="940"/>
      <c r="AY404" s="602">
        <f t="shared" si="233"/>
        <v>0</v>
      </c>
      <c r="AZ404" s="940"/>
      <c r="BA404" s="962"/>
      <c r="BB404" s="962"/>
      <c r="BC404" s="611"/>
      <c r="BD404" s="712">
        <v>7</v>
      </c>
      <c r="BE404" s="596"/>
      <c r="BF404" s="596">
        <f t="shared" si="191"/>
        <v>7</v>
      </c>
      <c r="BG404" s="728">
        <v>10</v>
      </c>
      <c r="BH404" s="728">
        <v>4</v>
      </c>
      <c r="BI404" s="729">
        <f t="shared" si="228"/>
        <v>14</v>
      </c>
      <c r="BJ404" s="729"/>
      <c r="BK404" s="616">
        <v>350</v>
      </c>
      <c r="BL404" s="603">
        <f t="shared" si="190"/>
        <v>7</v>
      </c>
      <c r="BM404" s="964"/>
      <c r="BN404" s="602">
        <f t="shared" si="205"/>
        <v>0</v>
      </c>
      <c r="BO404" s="940"/>
      <c r="BP404" s="593">
        <f t="shared" si="224"/>
        <v>0</v>
      </c>
      <c r="BS404" s="741">
        <v>10</v>
      </c>
      <c r="BT404" s="741">
        <v>4</v>
      </c>
      <c r="BU404" s="741">
        <f t="shared" si="198"/>
        <v>14</v>
      </c>
      <c r="BV404" s="741">
        <v>7</v>
      </c>
      <c r="BW404" s="741"/>
      <c r="BX404" s="741">
        <v>0</v>
      </c>
      <c r="BY404" s="741">
        <v>0</v>
      </c>
      <c r="BZ404" s="741">
        <f t="shared" si="229"/>
        <v>0</v>
      </c>
      <c r="CA404" s="741">
        <v>0</v>
      </c>
      <c r="CB404" s="741"/>
      <c r="CC404" s="741">
        <f t="shared" si="199"/>
        <v>7</v>
      </c>
      <c r="CD404" s="751"/>
      <c r="CE404" s="748">
        <v>10</v>
      </c>
      <c r="CF404" s="748">
        <v>4</v>
      </c>
      <c r="CG404" s="748">
        <f t="shared" si="200"/>
        <v>14</v>
      </c>
      <c r="CH404" s="759">
        <v>7</v>
      </c>
      <c r="CI404" s="742"/>
      <c r="CJ404" s="591">
        <f t="shared" si="225"/>
        <v>0</v>
      </c>
    </row>
    <row r="405" spans="1:88" ht="21.6" customHeight="1" x14ac:dyDescent="0.25">
      <c r="A405" s="596"/>
      <c r="B405" s="596"/>
      <c r="C405" s="597"/>
      <c r="D405" s="298"/>
      <c r="E405" s="598">
        <v>0</v>
      </c>
      <c r="F405" s="596">
        <v>0</v>
      </c>
      <c r="G405" s="598"/>
      <c r="H405" s="596"/>
      <c r="I405" s="596">
        <f t="shared" si="188"/>
        <v>0</v>
      </c>
      <c r="J405" s="728"/>
      <c r="K405" s="728"/>
      <c r="L405" s="731">
        <f t="shared" si="226"/>
        <v>0</v>
      </c>
      <c r="M405" s="947"/>
      <c r="N405" s="617"/>
      <c r="O405" s="602">
        <f t="shared" si="202"/>
        <v>0</v>
      </c>
      <c r="P405" s="940"/>
      <c r="Q405" s="600">
        <f t="shared" si="234"/>
        <v>0</v>
      </c>
      <c r="R405" s="940"/>
      <c r="S405" s="596">
        <v>0</v>
      </c>
      <c r="T405" s="724"/>
      <c r="U405" s="728"/>
      <c r="V405" s="728"/>
      <c r="W405" s="731">
        <f t="shared" si="227"/>
        <v>0</v>
      </c>
      <c r="X405" s="947"/>
      <c r="Y405" s="616"/>
      <c r="Z405" s="602">
        <f t="shared" si="230"/>
        <v>0</v>
      </c>
      <c r="AA405" s="835"/>
      <c r="AB405" s="602">
        <f t="shared" si="231"/>
        <v>0</v>
      </c>
      <c r="AC405" s="940"/>
      <c r="AD405" s="956"/>
      <c r="AE405" s="956"/>
      <c r="AF405" s="598"/>
      <c r="AG405" s="596"/>
      <c r="AH405" s="728"/>
      <c r="AI405" s="728"/>
      <c r="AJ405" s="729">
        <f t="shared" si="223"/>
        <v>0</v>
      </c>
      <c r="AK405" s="946"/>
      <c r="AL405" s="616"/>
      <c r="AM405" s="602">
        <f t="shared" si="189"/>
        <v>0</v>
      </c>
      <c r="AN405" s="835"/>
      <c r="AO405" s="835">
        <f t="shared" si="235"/>
        <v>0</v>
      </c>
      <c r="AP405" s="940"/>
      <c r="AQ405" s="722">
        <v>0</v>
      </c>
      <c r="AR405" s="728"/>
      <c r="AS405" s="728"/>
      <c r="AT405" s="729">
        <f t="shared" si="196"/>
        <v>0</v>
      </c>
      <c r="AU405" s="946"/>
      <c r="AV405" s="616"/>
      <c r="AW405" s="602">
        <f t="shared" si="232"/>
        <v>0</v>
      </c>
      <c r="AX405" s="940"/>
      <c r="AY405" s="602">
        <f t="shared" si="233"/>
        <v>0</v>
      </c>
      <c r="AZ405" s="940"/>
      <c r="BA405" s="962"/>
      <c r="BB405" s="962"/>
      <c r="BC405" s="611"/>
      <c r="BD405" s="712">
        <v>0</v>
      </c>
      <c r="BE405" s="596">
        <v>0</v>
      </c>
      <c r="BF405" s="596">
        <f t="shared" si="191"/>
        <v>0</v>
      </c>
      <c r="BG405" s="728"/>
      <c r="BH405" s="728"/>
      <c r="BI405" s="729">
        <f t="shared" si="228"/>
        <v>0</v>
      </c>
      <c r="BJ405" s="729"/>
      <c r="BK405" s="616"/>
      <c r="BL405" s="603">
        <f t="shared" si="190"/>
        <v>0</v>
      </c>
      <c r="BM405" s="964"/>
      <c r="BN405" s="602">
        <f t="shared" si="205"/>
        <v>0</v>
      </c>
      <c r="BO405" s="940"/>
      <c r="BP405" s="593">
        <f t="shared" si="224"/>
        <v>0</v>
      </c>
      <c r="BS405" s="741">
        <v>0</v>
      </c>
      <c r="BT405" s="741">
        <v>0</v>
      </c>
      <c r="BU405" s="741">
        <f t="shared" si="198"/>
        <v>0</v>
      </c>
      <c r="BV405" s="741">
        <v>0</v>
      </c>
      <c r="BW405" s="741"/>
      <c r="BX405" s="741">
        <v>0</v>
      </c>
      <c r="BY405" s="741">
        <v>0</v>
      </c>
      <c r="BZ405" s="741">
        <f t="shared" si="229"/>
        <v>0</v>
      </c>
      <c r="CA405" s="741">
        <v>0</v>
      </c>
      <c r="CB405" s="741"/>
      <c r="CC405" s="741">
        <f t="shared" si="199"/>
        <v>0</v>
      </c>
      <c r="CD405" s="751"/>
      <c r="CE405" s="748"/>
      <c r="CF405" s="748"/>
      <c r="CG405" s="748">
        <f t="shared" si="200"/>
        <v>0</v>
      </c>
      <c r="CH405" s="759"/>
      <c r="CI405" s="742"/>
      <c r="CJ405" s="591">
        <f t="shared" si="225"/>
        <v>0</v>
      </c>
    </row>
    <row r="406" spans="1:88" s="594" customFormat="1" ht="21.6" customHeight="1" x14ac:dyDescent="0.25">
      <c r="A406" s="612" t="s">
        <v>130</v>
      </c>
      <c r="B406" s="612" t="s">
        <v>231</v>
      </c>
      <c r="C406" s="613" t="s">
        <v>232</v>
      </c>
      <c r="D406" s="167"/>
      <c r="E406" s="614">
        <v>0</v>
      </c>
      <c r="F406" s="612">
        <v>0</v>
      </c>
      <c r="G406" s="614">
        <v>0</v>
      </c>
      <c r="H406" s="612"/>
      <c r="I406" s="612">
        <f t="shared" ref="I406:I471" si="236">F406-H406</f>
        <v>0</v>
      </c>
      <c r="J406" s="728"/>
      <c r="K406" s="728"/>
      <c r="L406" s="731">
        <f t="shared" si="226"/>
        <v>0</v>
      </c>
      <c r="M406" s="947">
        <f>L406</f>
        <v>0</v>
      </c>
      <c r="N406" s="617"/>
      <c r="O406" s="602">
        <f t="shared" si="202"/>
        <v>0</v>
      </c>
      <c r="P406" s="940">
        <f>O406</f>
        <v>0</v>
      </c>
      <c r="Q406" s="600">
        <f t="shared" si="234"/>
        <v>0</v>
      </c>
      <c r="R406" s="940">
        <f>Q406</f>
        <v>0</v>
      </c>
      <c r="S406" s="596">
        <v>0</v>
      </c>
      <c r="T406" s="724">
        <f>S406</f>
        <v>0</v>
      </c>
      <c r="U406" s="728"/>
      <c r="V406" s="728"/>
      <c r="W406" s="731">
        <f t="shared" si="227"/>
        <v>0</v>
      </c>
      <c r="X406" s="947">
        <f>W406</f>
        <v>0</v>
      </c>
      <c r="Y406" s="616"/>
      <c r="Z406" s="602">
        <f t="shared" si="230"/>
        <v>0</v>
      </c>
      <c r="AA406" s="835">
        <f>Z406</f>
        <v>0</v>
      </c>
      <c r="AB406" s="602">
        <f t="shared" si="231"/>
        <v>0</v>
      </c>
      <c r="AC406" s="940">
        <f>AB406</f>
        <v>0</v>
      </c>
      <c r="AD406" s="955">
        <f>M406+X406</f>
        <v>0</v>
      </c>
      <c r="AE406" s="955">
        <f>R406+AC406</f>
        <v>0</v>
      </c>
      <c r="AF406" s="614">
        <v>0</v>
      </c>
      <c r="AG406" s="612"/>
      <c r="AH406" s="728"/>
      <c r="AI406" s="728"/>
      <c r="AJ406" s="729">
        <f t="shared" si="223"/>
        <v>0</v>
      </c>
      <c r="AK406" s="946">
        <f>AJ406</f>
        <v>0</v>
      </c>
      <c r="AL406" s="616"/>
      <c r="AM406" s="602">
        <f t="shared" si="189"/>
        <v>0</v>
      </c>
      <c r="AN406" s="835">
        <f>AM406</f>
        <v>0</v>
      </c>
      <c r="AO406" s="835">
        <f t="shared" si="235"/>
        <v>0</v>
      </c>
      <c r="AP406" s="940">
        <f>AO406</f>
        <v>0</v>
      </c>
      <c r="AQ406" s="722">
        <v>0</v>
      </c>
      <c r="AR406" s="728"/>
      <c r="AS406" s="728"/>
      <c r="AT406" s="729">
        <f t="shared" si="196"/>
        <v>0</v>
      </c>
      <c r="AU406" s="946">
        <f>AT406</f>
        <v>0</v>
      </c>
      <c r="AV406" s="616"/>
      <c r="AW406" s="602">
        <f t="shared" si="232"/>
        <v>0</v>
      </c>
      <c r="AX406" s="940">
        <f>AW406</f>
        <v>0</v>
      </c>
      <c r="AY406" s="602">
        <f t="shared" si="233"/>
        <v>0</v>
      </c>
      <c r="AZ406" s="940">
        <f>AY406</f>
        <v>0</v>
      </c>
      <c r="BA406" s="961">
        <f>AK406+AU406</f>
        <v>0</v>
      </c>
      <c r="BB406" s="961">
        <f>AP406+AZ406</f>
        <v>0</v>
      </c>
      <c r="BC406" s="615"/>
      <c r="BD406" s="714"/>
      <c r="BE406" s="612"/>
      <c r="BF406" s="596">
        <f>BD406-BE406</f>
        <v>0</v>
      </c>
      <c r="BG406" s="728"/>
      <c r="BH406" s="728"/>
      <c r="BI406" s="729">
        <f t="shared" si="228"/>
        <v>0</v>
      </c>
      <c r="BJ406" s="729">
        <f>BI406</f>
        <v>0</v>
      </c>
      <c r="BK406" s="616"/>
      <c r="BL406" s="603">
        <f t="shared" si="190"/>
        <v>0</v>
      </c>
      <c r="BM406" s="964">
        <f>BL406</f>
        <v>0</v>
      </c>
      <c r="BN406" s="602">
        <f t="shared" si="205"/>
        <v>0</v>
      </c>
      <c r="BO406" s="940">
        <f>BN406</f>
        <v>0</v>
      </c>
      <c r="BP406" s="593">
        <f t="shared" si="224"/>
        <v>0</v>
      </c>
      <c r="BS406" s="745">
        <v>0</v>
      </c>
      <c r="BT406" s="745">
        <v>0</v>
      </c>
      <c r="BU406" s="741">
        <f t="shared" si="198"/>
        <v>0</v>
      </c>
      <c r="BV406" s="745">
        <v>0</v>
      </c>
      <c r="BW406" s="745">
        <f>BV406</f>
        <v>0</v>
      </c>
      <c r="BX406" s="745">
        <v>0</v>
      </c>
      <c r="BY406" s="745">
        <v>0</v>
      </c>
      <c r="BZ406" s="741">
        <f t="shared" si="229"/>
        <v>0</v>
      </c>
      <c r="CA406" s="745">
        <v>0</v>
      </c>
      <c r="CB406" s="745">
        <f>CA406</f>
        <v>0</v>
      </c>
      <c r="CC406" s="741">
        <f t="shared" si="199"/>
        <v>0</v>
      </c>
      <c r="CD406" s="756">
        <f>CC406</f>
        <v>0</v>
      </c>
      <c r="CE406" s="748"/>
      <c r="CF406" s="748"/>
      <c r="CG406" s="748">
        <f t="shared" si="200"/>
        <v>0</v>
      </c>
      <c r="CH406" s="766"/>
      <c r="CI406" s="745">
        <f>CH406</f>
        <v>0</v>
      </c>
      <c r="CJ406" s="594">
        <f t="shared" si="225"/>
        <v>0</v>
      </c>
    </row>
    <row r="407" spans="1:88" ht="21.6" customHeight="1" x14ac:dyDescent="0.25">
      <c r="A407" s="596"/>
      <c r="B407" s="596"/>
      <c r="C407" s="597"/>
      <c r="D407" s="143"/>
      <c r="E407" s="598">
        <v>0</v>
      </c>
      <c r="F407" s="596">
        <v>0</v>
      </c>
      <c r="G407" s="598"/>
      <c r="H407" s="596"/>
      <c r="I407" s="596">
        <f t="shared" si="236"/>
        <v>0</v>
      </c>
      <c r="J407" s="728"/>
      <c r="K407" s="728"/>
      <c r="L407" s="731">
        <f t="shared" si="226"/>
        <v>0</v>
      </c>
      <c r="M407" s="947"/>
      <c r="N407" s="617"/>
      <c r="O407" s="602">
        <f t="shared" si="202"/>
        <v>0</v>
      </c>
      <c r="P407" s="940"/>
      <c r="Q407" s="600">
        <f t="shared" si="234"/>
        <v>0</v>
      </c>
      <c r="R407" s="940"/>
      <c r="S407" s="596">
        <v>0</v>
      </c>
      <c r="T407" s="724"/>
      <c r="U407" s="728"/>
      <c r="V407" s="728"/>
      <c r="W407" s="731">
        <f t="shared" si="227"/>
        <v>0</v>
      </c>
      <c r="X407" s="947"/>
      <c r="Y407" s="616"/>
      <c r="Z407" s="602">
        <f t="shared" si="230"/>
        <v>0</v>
      </c>
      <c r="AA407" s="835"/>
      <c r="AB407" s="602">
        <f t="shared" si="231"/>
        <v>0</v>
      </c>
      <c r="AC407" s="940"/>
      <c r="AD407" s="956"/>
      <c r="AE407" s="956"/>
      <c r="AF407" s="598"/>
      <c r="AG407" s="596"/>
      <c r="AH407" s="728"/>
      <c r="AI407" s="728"/>
      <c r="AJ407" s="729">
        <f t="shared" si="223"/>
        <v>0</v>
      </c>
      <c r="AK407" s="946"/>
      <c r="AL407" s="616"/>
      <c r="AM407" s="602">
        <f t="shared" ref="AM407:AM472" si="237">AL407/15</f>
        <v>0</v>
      </c>
      <c r="AN407" s="835"/>
      <c r="AO407" s="835">
        <f t="shared" si="235"/>
        <v>0</v>
      </c>
      <c r="AP407" s="940"/>
      <c r="AQ407" s="722">
        <v>0</v>
      </c>
      <c r="AR407" s="728"/>
      <c r="AS407" s="728"/>
      <c r="AT407" s="729">
        <f t="shared" si="196"/>
        <v>0</v>
      </c>
      <c r="AU407" s="946"/>
      <c r="AV407" s="616"/>
      <c r="AW407" s="602">
        <f t="shared" si="232"/>
        <v>0</v>
      </c>
      <c r="AX407" s="940"/>
      <c r="AY407" s="602">
        <f t="shared" si="233"/>
        <v>0</v>
      </c>
      <c r="AZ407" s="940"/>
      <c r="BA407" s="962"/>
      <c r="BB407" s="962"/>
      <c r="BE407" s="596">
        <v>0</v>
      </c>
      <c r="BF407" s="596">
        <f t="shared" ref="BF407:BF411" si="238">BD407-BE407</f>
        <v>0</v>
      </c>
      <c r="BG407" s="728"/>
      <c r="BH407" s="728"/>
      <c r="BI407" s="729">
        <f t="shared" si="228"/>
        <v>0</v>
      </c>
      <c r="BJ407" s="729"/>
      <c r="BK407" s="616"/>
      <c r="BL407" s="603">
        <f t="shared" ref="BL407:BL472" si="239">BK407/50</f>
        <v>0</v>
      </c>
      <c r="BM407" s="964"/>
      <c r="BN407" s="602">
        <f t="shared" si="205"/>
        <v>0</v>
      </c>
      <c r="BO407" s="940"/>
      <c r="BP407" s="593">
        <f t="shared" si="224"/>
        <v>0</v>
      </c>
      <c r="BS407" s="741">
        <v>0</v>
      </c>
      <c r="BT407" s="741">
        <v>0</v>
      </c>
      <c r="BU407" s="741">
        <f t="shared" si="198"/>
        <v>0</v>
      </c>
      <c r="BV407" s="741">
        <v>0</v>
      </c>
      <c r="BW407" s="741"/>
      <c r="BX407" s="741">
        <v>0</v>
      </c>
      <c r="BY407" s="741">
        <v>0</v>
      </c>
      <c r="BZ407" s="741">
        <f t="shared" si="229"/>
        <v>0</v>
      </c>
      <c r="CA407" s="741">
        <v>0</v>
      </c>
      <c r="CB407" s="741"/>
      <c r="CC407" s="741">
        <f t="shared" si="199"/>
        <v>0</v>
      </c>
      <c r="CD407" s="751"/>
      <c r="CE407" s="748"/>
      <c r="CF407" s="748"/>
      <c r="CG407" s="748">
        <f t="shared" si="200"/>
        <v>0</v>
      </c>
      <c r="CH407" s="759"/>
      <c r="CI407" s="742"/>
      <c r="CJ407" s="591">
        <f t="shared" si="225"/>
        <v>0</v>
      </c>
    </row>
    <row r="408" spans="1:88" s="594" customFormat="1" ht="21.6" customHeight="1" x14ac:dyDescent="0.25">
      <c r="A408" s="612" t="s">
        <v>130</v>
      </c>
      <c r="B408" s="612" t="s">
        <v>233</v>
      </c>
      <c r="C408" s="613" t="s">
        <v>234</v>
      </c>
      <c r="D408" s="182" t="s">
        <v>437</v>
      </c>
      <c r="E408" s="614">
        <v>6.3333333333333339</v>
      </c>
      <c r="F408" s="612">
        <v>24.000000000000004</v>
      </c>
      <c r="G408" s="614">
        <v>0</v>
      </c>
      <c r="H408" s="612">
        <v>0</v>
      </c>
      <c r="I408" s="612">
        <f t="shared" si="236"/>
        <v>24.000000000000004</v>
      </c>
      <c r="J408" s="728">
        <v>11</v>
      </c>
      <c r="K408" s="728"/>
      <c r="L408" s="731">
        <f t="shared" si="226"/>
        <v>11</v>
      </c>
      <c r="M408" s="947">
        <f>SUM(L408:L411)</f>
        <v>50</v>
      </c>
      <c r="N408" s="617">
        <f>85+10</f>
        <v>95</v>
      </c>
      <c r="O408" s="602">
        <f t="shared" si="202"/>
        <v>6.333333333333333</v>
      </c>
      <c r="P408" s="940">
        <f>SUM(O408:O411)</f>
        <v>24</v>
      </c>
      <c r="Q408" s="600">
        <f t="shared" si="234"/>
        <v>0</v>
      </c>
      <c r="R408" s="940">
        <f>SUM(Q408:Q411)</f>
        <v>0</v>
      </c>
      <c r="S408" s="596">
        <v>0</v>
      </c>
      <c r="T408" s="724">
        <f>SUM(S408:S411)</f>
        <v>0</v>
      </c>
      <c r="U408" s="728"/>
      <c r="V408" s="728"/>
      <c r="W408" s="731">
        <f t="shared" si="227"/>
        <v>0</v>
      </c>
      <c r="X408" s="947">
        <f>SUM(W408:W411)</f>
        <v>0</v>
      </c>
      <c r="Y408" s="616"/>
      <c r="Z408" s="602">
        <f t="shared" si="230"/>
        <v>0</v>
      </c>
      <c r="AA408" s="835">
        <f>SUM(Z408:Z411)</f>
        <v>0</v>
      </c>
      <c r="AB408" s="602">
        <f t="shared" si="231"/>
        <v>0</v>
      </c>
      <c r="AC408" s="940">
        <f>SUM(AB408:AB411)</f>
        <v>0</v>
      </c>
      <c r="AD408" s="955">
        <f>M408+X408</f>
        <v>50</v>
      </c>
      <c r="AE408" s="955">
        <f>R408+AC408</f>
        <v>0</v>
      </c>
      <c r="AF408" s="614">
        <v>5.333333333333333</v>
      </c>
      <c r="AG408" s="612">
        <v>21.666666666666668</v>
      </c>
      <c r="AH408" s="728">
        <v>10</v>
      </c>
      <c r="AI408" s="728">
        <v>1</v>
      </c>
      <c r="AJ408" s="729">
        <f t="shared" si="223"/>
        <v>11</v>
      </c>
      <c r="AK408" s="946">
        <f>SUM(AJ408:AJ411)</f>
        <v>47</v>
      </c>
      <c r="AL408" s="616">
        <v>80</v>
      </c>
      <c r="AM408" s="602">
        <f t="shared" si="237"/>
        <v>5.333333333333333</v>
      </c>
      <c r="AN408" s="835">
        <f>SUM(AM408:AM411)</f>
        <v>21.666666666666668</v>
      </c>
      <c r="AO408" s="835">
        <f t="shared" si="235"/>
        <v>0</v>
      </c>
      <c r="AP408" s="940">
        <f>SUM(AO408:AO411)</f>
        <v>0</v>
      </c>
      <c r="AQ408" s="722">
        <v>0</v>
      </c>
      <c r="AR408" s="728"/>
      <c r="AS408" s="728"/>
      <c r="AT408" s="729">
        <f t="shared" si="196"/>
        <v>0</v>
      </c>
      <c r="AU408" s="946">
        <f>SUM(AT408:AT411)</f>
        <v>0</v>
      </c>
      <c r="AV408" s="616"/>
      <c r="AW408" s="602">
        <f t="shared" si="232"/>
        <v>0</v>
      </c>
      <c r="AX408" s="940">
        <f>SUM(AW408:AW411)</f>
        <v>0</v>
      </c>
      <c r="AY408" s="602">
        <f t="shared" si="233"/>
        <v>0</v>
      </c>
      <c r="AZ408" s="940">
        <f>SUM(AY408:AY411)</f>
        <v>0</v>
      </c>
      <c r="BA408" s="961">
        <f>AK408+AU408</f>
        <v>47</v>
      </c>
      <c r="BB408" s="961">
        <f>AP408+AZ408</f>
        <v>0</v>
      </c>
      <c r="BC408" s="611">
        <f>SUM(BD408:BD411)</f>
        <v>43</v>
      </c>
      <c r="BD408" s="712">
        <v>11</v>
      </c>
      <c r="BE408" s="612">
        <v>0</v>
      </c>
      <c r="BF408" s="596">
        <f>BD408-BE408</f>
        <v>11</v>
      </c>
      <c r="BG408" s="728">
        <f>9+10</f>
        <v>19</v>
      </c>
      <c r="BH408" s="728">
        <v>2</v>
      </c>
      <c r="BI408" s="729">
        <f t="shared" si="228"/>
        <v>21</v>
      </c>
      <c r="BJ408" s="729">
        <f>SUM(BI408:BI411)</f>
        <v>57</v>
      </c>
      <c r="BK408" s="616">
        <f>300+250</f>
        <v>550</v>
      </c>
      <c r="BL408" s="603">
        <f t="shared" si="239"/>
        <v>11</v>
      </c>
      <c r="BM408" s="964">
        <f>SUM(BL408:BL411)</f>
        <v>43</v>
      </c>
      <c r="BN408" s="602">
        <f t="shared" si="205"/>
        <v>0</v>
      </c>
      <c r="BO408" s="940">
        <f>SUM(BN408:BN411)</f>
        <v>0</v>
      </c>
      <c r="BP408" s="593">
        <f t="shared" si="224"/>
        <v>0</v>
      </c>
      <c r="BS408" s="745">
        <v>11</v>
      </c>
      <c r="BT408" s="745">
        <v>0</v>
      </c>
      <c r="BU408" s="741">
        <f t="shared" si="198"/>
        <v>11</v>
      </c>
      <c r="BV408" s="745">
        <v>6.333333333333333</v>
      </c>
      <c r="BW408" s="745">
        <f>SUM(BV408:BV411)</f>
        <v>24</v>
      </c>
      <c r="BX408" s="745">
        <v>10</v>
      </c>
      <c r="BY408" s="745">
        <v>1</v>
      </c>
      <c r="BZ408" s="741">
        <f t="shared" si="229"/>
        <v>11</v>
      </c>
      <c r="CA408" s="745">
        <v>5.333333333333333</v>
      </c>
      <c r="CB408" s="745">
        <f>SUM(CA408:CA411)</f>
        <v>21.666666666666668</v>
      </c>
      <c r="CC408" s="741">
        <f t="shared" si="199"/>
        <v>11.666666666666666</v>
      </c>
      <c r="CD408" s="756">
        <f>SUM(CC408:CC411)</f>
        <v>45.666666666666671</v>
      </c>
      <c r="CE408" s="748"/>
      <c r="CF408" s="748"/>
      <c r="CG408" s="748">
        <f t="shared" si="200"/>
        <v>0</v>
      </c>
      <c r="CH408" s="766"/>
      <c r="CI408" s="745">
        <f>SUM(CH408:CH411)</f>
        <v>10</v>
      </c>
      <c r="CJ408" s="594">
        <f t="shared" si="225"/>
        <v>0</v>
      </c>
    </row>
    <row r="409" spans="1:88" ht="21.6" customHeight="1" x14ac:dyDescent="0.25">
      <c r="A409" s="596"/>
      <c r="B409" s="596" t="s">
        <v>233</v>
      </c>
      <c r="C409" s="597" t="s">
        <v>415</v>
      </c>
      <c r="D409" s="182" t="s">
        <v>431</v>
      </c>
      <c r="E409" s="598">
        <v>5</v>
      </c>
      <c r="F409" s="596">
        <v>0</v>
      </c>
      <c r="G409" s="598"/>
      <c r="H409" s="596"/>
      <c r="I409" s="596">
        <f t="shared" si="236"/>
        <v>0</v>
      </c>
      <c r="J409" s="728">
        <v>8</v>
      </c>
      <c r="K409" s="728">
        <v>1</v>
      </c>
      <c r="L409" s="731">
        <f t="shared" si="226"/>
        <v>9</v>
      </c>
      <c r="M409" s="947"/>
      <c r="N409" s="617">
        <v>75</v>
      </c>
      <c r="O409" s="602">
        <f t="shared" si="202"/>
        <v>5</v>
      </c>
      <c r="P409" s="940"/>
      <c r="Q409" s="600">
        <f t="shared" si="234"/>
        <v>0</v>
      </c>
      <c r="R409" s="940"/>
      <c r="S409" s="596">
        <v>0</v>
      </c>
      <c r="T409" s="724"/>
      <c r="U409" s="728"/>
      <c r="V409" s="728"/>
      <c r="W409" s="731">
        <f t="shared" si="227"/>
        <v>0</v>
      </c>
      <c r="X409" s="947"/>
      <c r="Y409" s="616"/>
      <c r="Z409" s="602">
        <f t="shared" si="230"/>
        <v>0</v>
      </c>
      <c r="AA409" s="835"/>
      <c r="AB409" s="602">
        <f t="shared" si="231"/>
        <v>0</v>
      </c>
      <c r="AC409" s="940"/>
      <c r="AD409" s="956"/>
      <c r="AE409" s="956"/>
      <c r="AF409" s="598">
        <v>5</v>
      </c>
      <c r="AG409" s="596"/>
      <c r="AH409" s="728">
        <v>4</v>
      </c>
      <c r="AI409" s="728">
        <v>4</v>
      </c>
      <c r="AJ409" s="729">
        <f t="shared" si="223"/>
        <v>8</v>
      </c>
      <c r="AK409" s="946"/>
      <c r="AL409" s="616">
        <v>75</v>
      </c>
      <c r="AM409" s="602">
        <f t="shared" si="237"/>
        <v>5</v>
      </c>
      <c r="AN409" s="835"/>
      <c r="AO409" s="835">
        <f t="shared" si="235"/>
        <v>0</v>
      </c>
      <c r="AP409" s="940"/>
      <c r="AQ409" s="722">
        <v>0</v>
      </c>
      <c r="AR409" s="728"/>
      <c r="AS409" s="728"/>
      <c r="AT409" s="729">
        <f t="shared" si="196"/>
        <v>0</v>
      </c>
      <c r="AU409" s="946"/>
      <c r="AV409" s="616"/>
      <c r="AW409" s="602">
        <f t="shared" si="232"/>
        <v>0</v>
      </c>
      <c r="AX409" s="940"/>
      <c r="AY409" s="602">
        <f t="shared" si="233"/>
        <v>0</v>
      </c>
      <c r="AZ409" s="940"/>
      <c r="BA409" s="962"/>
      <c r="BB409" s="962"/>
      <c r="BC409" s="611"/>
      <c r="BD409" s="714">
        <v>10</v>
      </c>
      <c r="BE409" s="596">
        <v>0</v>
      </c>
      <c r="BF409" s="596">
        <f t="shared" si="238"/>
        <v>10</v>
      </c>
      <c r="BG409" s="728">
        <v>4</v>
      </c>
      <c r="BH409" s="728">
        <v>4</v>
      </c>
      <c r="BI409" s="729">
        <f t="shared" si="228"/>
        <v>8</v>
      </c>
      <c r="BJ409" s="729"/>
      <c r="BK409" s="616">
        <f>250+250</f>
        <v>500</v>
      </c>
      <c r="BL409" s="603">
        <f t="shared" si="239"/>
        <v>10</v>
      </c>
      <c r="BM409" s="964"/>
      <c r="BN409" s="602">
        <f t="shared" si="205"/>
        <v>0</v>
      </c>
      <c r="BO409" s="940"/>
      <c r="BP409" s="593">
        <f t="shared" si="224"/>
        <v>0</v>
      </c>
      <c r="BS409" s="741">
        <v>8</v>
      </c>
      <c r="BT409" s="741">
        <v>1</v>
      </c>
      <c r="BU409" s="741">
        <f t="shared" si="198"/>
        <v>9</v>
      </c>
      <c r="BV409" s="741">
        <v>5</v>
      </c>
      <c r="BW409" s="741"/>
      <c r="BX409" s="741">
        <v>4</v>
      </c>
      <c r="BY409" s="741">
        <v>4</v>
      </c>
      <c r="BZ409" s="741">
        <f t="shared" si="229"/>
        <v>8</v>
      </c>
      <c r="CA409" s="741">
        <v>5</v>
      </c>
      <c r="CB409" s="741"/>
      <c r="CC409" s="741">
        <f t="shared" si="199"/>
        <v>10</v>
      </c>
      <c r="CD409" s="751"/>
      <c r="CE409" s="748">
        <v>4</v>
      </c>
      <c r="CF409" s="748">
        <v>4</v>
      </c>
      <c r="CG409" s="748">
        <f t="shared" si="200"/>
        <v>8</v>
      </c>
      <c r="CH409" s="759">
        <v>5</v>
      </c>
      <c r="CI409" s="742"/>
      <c r="CJ409" s="591">
        <f t="shared" si="225"/>
        <v>0</v>
      </c>
    </row>
    <row r="410" spans="1:88" ht="21.6" customHeight="1" x14ac:dyDescent="0.25">
      <c r="A410" s="596" t="s">
        <v>130</v>
      </c>
      <c r="B410" s="596" t="s">
        <v>233</v>
      </c>
      <c r="C410" s="597" t="s">
        <v>235</v>
      </c>
      <c r="D410" s="182" t="s">
        <v>437</v>
      </c>
      <c r="E410" s="598">
        <v>6.666666666666667</v>
      </c>
      <c r="F410" s="596">
        <v>0</v>
      </c>
      <c r="G410" s="598">
        <v>0</v>
      </c>
      <c r="H410" s="596"/>
      <c r="I410" s="596">
        <f t="shared" si="236"/>
        <v>0</v>
      </c>
      <c r="J410" s="728">
        <f>11+5</f>
        <v>16</v>
      </c>
      <c r="K410" s="728"/>
      <c r="L410" s="731">
        <f t="shared" si="226"/>
        <v>16</v>
      </c>
      <c r="M410" s="947"/>
      <c r="N410" s="617">
        <f>75+25</f>
        <v>100</v>
      </c>
      <c r="O410" s="602">
        <f t="shared" si="202"/>
        <v>6.666666666666667</v>
      </c>
      <c r="P410" s="940"/>
      <c r="Q410" s="600">
        <f t="shared" si="234"/>
        <v>0</v>
      </c>
      <c r="R410" s="940"/>
      <c r="S410" s="596">
        <v>0</v>
      </c>
      <c r="T410" s="724"/>
      <c r="U410" s="728"/>
      <c r="V410" s="728"/>
      <c r="W410" s="731">
        <f t="shared" si="227"/>
        <v>0</v>
      </c>
      <c r="X410" s="947"/>
      <c r="Y410" s="616"/>
      <c r="Z410" s="602">
        <f t="shared" si="230"/>
        <v>0</v>
      </c>
      <c r="AA410" s="835"/>
      <c r="AB410" s="602">
        <f t="shared" si="231"/>
        <v>0</v>
      </c>
      <c r="AC410" s="940"/>
      <c r="AD410" s="956"/>
      <c r="AE410" s="956"/>
      <c r="AF410" s="598">
        <v>5.666666666666667</v>
      </c>
      <c r="AG410" s="596"/>
      <c r="AH410" s="728">
        <v>17</v>
      </c>
      <c r="AI410" s="728"/>
      <c r="AJ410" s="729">
        <f t="shared" si="223"/>
        <v>17</v>
      </c>
      <c r="AK410" s="946"/>
      <c r="AL410" s="616">
        <v>85</v>
      </c>
      <c r="AM410" s="602">
        <f t="shared" si="237"/>
        <v>5.666666666666667</v>
      </c>
      <c r="AN410" s="835"/>
      <c r="AO410" s="835">
        <f t="shared" si="235"/>
        <v>0</v>
      </c>
      <c r="AP410" s="940"/>
      <c r="AQ410" s="722">
        <v>0</v>
      </c>
      <c r="AR410" s="728"/>
      <c r="AS410" s="728"/>
      <c r="AT410" s="729">
        <f t="shared" si="196"/>
        <v>0</v>
      </c>
      <c r="AU410" s="946"/>
      <c r="AV410" s="616"/>
      <c r="AW410" s="602">
        <f t="shared" si="232"/>
        <v>0</v>
      </c>
      <c r="AX410" s="940"/>
      <c r="AY410" s="602">
        <f t="shared" si="233"/>
        <v>0</v>
      </c>
      <c r="AZ410" s="940"/>
      <c r="BA410" s="962"/>
      <c r="BB410" s="962"/>
      <c r="BC410" s="611"/>
      <c r="BD410" s="712">
        <v>5</v>
      </c>
      <c r="BE410" s="596">
        <v>0</v>
      </c>
      <c r="BF410" s="596">
        <f>BD410-BE410</f>
        <v>5</v>
      </c>
      <c r="BG410" s="728">
        <v>17</v>
      </c>
      <c r="BH410" s="728"/>
      <c r="BI410" s="729">
        <f t="shared" si="228"/>
        <v>17</v>
      </c>
      <c r="BJ410" s="729"/>
      <c r="BK410" s="616">
        <v>250</v>
      </c>
      <c r="BL410" s="603">
        <f t="shared" si="239"/>
        <v>5</v>
      </c>
      <c r="BM410" s="964"/>
      <c r="BN410" s="602">
        <f t="shared" si="205"/>
        <v>0</v>
      </c>
      <c r="BO410" s="940"/>
      <c r="BP410" s="593">
        <f t="shared" si="224"/>
        <v>0</v>
      </c>
      <c r="BS410" s="741">
        <v>16</v>
      </c>
      <c r="BT410" s="741">
        <v>0</v>
      </c>
      <c r="BU410" s="741">
        <f t="shared" si="198"/>
        <v>16</v>
      </c>
      <c r="BV410" s="741">
        <v>6.666666666666667</v>
      </c>
      <c r="BW410" s="741"/>
      <c r="BX410" s="741">
        <v>17</v>
      </c>
      <c r="BY410" s="741">
        <v>0</v>
      </c>
      <c r="BZ410" s="741">
        <f t="shared" si="229"/>
        <v>17</v>
      </c>
      <c r="CA410" s="741">
        <v>5.666666666666667</v>
      </c>
      <c r="CB410" s="741"/>
      <c r="CC410" s="741">
        <f t="shared" si="199"/>
        <v>12.333333333333334</v>
      </c>
      <c r="CD410" s="751"/>
      <c r="CE410" s="748">
        <v>17</v>
      </c>
      <c r="CF410" s="748"/>
      <c r="CG410" s="748">
        <f t="shared" si="200"/>
        <v>17</v>
      </c>
      <c r="CH410" s="759"/>
      <c r="CI410" s="742"/>
      <c r="CJ410" s="591">
        <f t="shared" si="225"/>
        <v>0</v>
      </c>
    </row>
    <row r="411" spans="1:88" ht="21.6" customHeight="1" x14ac:dyDescent="0.25">
      <c r="A411" s="596" t="s">
        <v>130</v>
      </c>
      <c r="B411" s="596" t="s">
        <v>233</v>
      </c>
      <c r="C411" s="597" t="s">
        <v>236</v>
      </c>
      <c r="D411" s="182" t="s">
        <v>437</v>
      </c>
      <c r="E411" s="598">
        <v>6</v>
      </c>
      <c r="F411" s="596">
        <v>0</v>
      </c>
      <c r="G411" s="598">
        <v>0</v>
      </c>
      <c r="H411" s="596"/>
      <c r="I411" s="596">
        <f t="shared" si="236"/>
        <v>0</v>
      </c>
      <c r="J411" s="728">
        <f>9+5</f>
        <v>14</v>
      </c>
      <c r="K411" s="728"/>
      <c r="L411" s="731">
        <f t="shared" si="226"/>
        <v>14</v>
      </c>
      <c r="M411" s="947"/>
      <c r="N411" s="617">
        <f>65+25</f>
        <v>90</v>
      </c>
      <c r="O411" s="602">
        <f t="shared" si="202"/>
        <v>6</v>
      </c>
      <c r="P411" s="940"/>
      <c r="Q411" s="600">
        <f t="shared" si="234"/>
        <v>0</v>
      </c>
      <c r="R411" s="940"/>
      <c r="S411" s="596">
        <v>0</v>
      </c>
      <c r="T411" s="724"/>
      <c r="U411" s="728"/>
      <c r="V411" s="728"/>
      <c r="W411" s="731">
        <f t="shared" si="227"/>
        <v>0</v>
      </c>
      <c r="X411" s="947"/>
      <c r="Y411" s="616"/>
      <c r="Z411" s="602">
        <f t="shared" si="230"/>
        <v>0</v>
      </c>
      <c r="AA411" s="835"/>
      <c r="AB411" s="602">
        <f t="shared" si="231"/>
        <v>0</v>
      </c>
      <c r="AC411" s="940"/>
      <c r="AD411" s="956"/>
      <c r="AE411" s="956"/>
      <c r="AF411" s="598">
        <v>5.666666666666667</v>
      </c>
      <c r="AG411" s="596"/>
      <c r="AH411" s="728">
        <v>8</v>
      </c>
      <c r="AI411" s="728">
        <v>3</v>
      </c>
      <c r="AJ411" s="729">
        <f t="shared" si="223"/>
        <v>11</v>
      </c>
      <c r="AK411" s="946"/>
      <c r="AL411" s="616">
        <v>85</v>
      </c>
      <c r="AM411" s="602">
        <f t="shared" si="237"/>
        <v>5.666666666666667</v>
      </c>
      <c r="AN411" s="835"/>
      <c r="AO411" s="835">
        <f t="shared" si="235"/>
        <v>0</v>
      </c>
      <c r="AP411" s="940"/>
      <c r="AQ411" s="722">
        <v>0</v>
      </c>
      <c r="AR411" s="728"/>
      <c r="AS411" s="728"/>
      <c r="AT411" s="729">
        <f t="shared" si="196"/>
        <v>0</v>
      </c>
      <c r="AU411" s="946"/>
      <c r="AV411" s="616"/>
      <c r="AW411" s="602">
        <f t="shared" si="232"/>
        <v>0</v>
      </c>
      <c r="AX411" s="940"/>
      <c r="AY411" s="602">
        <f t="shared" si="233"/>
        <v>0</v>
      </c>
      <c r="AZ411" s="940"/>
      <c r="BA411" s="962"/>
      <c r="BB411" s="962"/>
      <c r="BC411" s="611"/>
      <c r="BD411" s="712">
        <v>17</v>
      </c>
      <c r="BE411" s="596">
        <v>0</v>
      </c>
      <c r="BF411" s="596">
        <f t="shared" si="238"/>
        <v>17</v>
      </c>
      <c r="BG411" s="728">
        <v>11</v>
      </c>
      <c r="BH411" s="728"/>
      <c r="BI411" s="729">
        <f t="shared" si="228"/>
        <v>11</v>
      </c>
      <c r="BJ411" s="729"/>
      <c r="BK411" s="616">
        <f>250+600</f>
        <v>850</v>
      </c>
      <c r="BL411" s="603">
        <f t="shared" si="239"/>
        <v>17</v>
      </c>
      <c r="BM411" s="964"/>
      <c r="BN411" s="602">
        <f t="shared" si="205"/>
        <v>0</v>
      </c>
      <c r="BO411" s="940"/>
      <c r="BP411" s="593">
        <f t="shared" si="224"/>
        <v>0</v>
      </c>
      <c r="BS411" s="741">
        <v>14</v>
      </c>
      <c r="BT411" s="741">
        <v>0</v>
      </c>
      <c r="BU411" s="741">
        <f t="shared" si="198"/>
        <v>14</v>
      </c>
      <c r="BV411" s="741">
        <v>6</v>
      </c>
      <c r="BW411" s="741"/>
      <c r="BX411" s="741">
        <v>8</v>
      </c>
      <c r="BY411" s="741">
        <v>3</v>
      </c>
      <c r="BZ411" s="741">
        <f t="shared" si="229"/>
        <v>11</v>
      </c>
      <c r="CA411" s="741">
        <v>5.666666666666667</v>
      </c>
      <c r="CB411" s="741"/>
      <c r="CC411" s="741">
        <f t="shared" si="199"/>
        <v>11.666666666666668</v>
      </c>
      <c r="CD411" s="751"/>
      <c r="CE411" s="748">
        <v>11</v>
      </c>
      <c r="CF411" s="748"/>
      <c r="CG411" s="748">
        <f t="shared" si="200"/>
        <v>11</v>
      </c>
      <c r="CH411" s="759">
        <v>5</v>
      </c>
      <c r="CI411" s="742"/>
      <c r="CJ411" s="591">
        <f t="shared" si="225"/>
        <v>0</v>
      </c>
    </row>
    <row r="412" spans="1:88" ht="21.6" customHeight="1" x14ac:dyDescent="0.25">
      <c r="A412" s="596"/>
      <c r="B412" s="596"/>
      <c r="C412" s="597"/>
      <c r="D412" s="173"/>
      <c r="E412" s="598">
        <v>0</v>
      </c>
      <c r="F412" s="596">
        <v>0</v>
      </c>
      <c r="G412" s="598"/>
      <c r="H412" s="596"/>
      <c r="I412" s="596">
        <f t="shared" si="236"/>
        <v>0</v>
      </c>
      <c r="J412" s="728"/>
      <c r="K412" s="728"/>
      <c r="L412" s="731">
        <f t="shared" si="226"/>
        <v>0</v>
      </c>
      <c r="M412" s="947"/>
      <c r="N412" s="617"/>
      <c r="O412" s="602">
        <f t="shared" si="202"/>
        <v>0</v>
      </c>
      <c r="P412" s="940"/>
      <c r="Q412" s="600">
        <f t="shared" si="234"/>
        <v>0</v>
      </c>
      <c r="R412" s="940"/>
      <c r="S412" s="596">
        <v>0</v>
      </c>
      <c r="T412" s="724"/>
      <c r="U412" s="728"/>
      <c r="V412" s="728"/>
      <c r="W412" s="731">
        <f t="shared" si="227"/>
        <v>0</v>
      </c>
      <c r="X412" s="947"/>
      <c r="Y412" s="616"/>
      <c r="Z412" s="602">
        <f t="shared" si="230"/>
        <v>0</v>
      </c>
      <c r="AA412" s="835"/>
      <c r="AB412" s="602">
        <f t="shared" si="231"/>
        <v>0</v>
      </c>
      <c r="AC412" s="940"/>
      <c r="AD412" s="956"/>
      <c r="AE412" s="956"/>
      <c r="AF412" s="598"/>
      <c r="AG412" s="596"/>
      <c r="AH412" s="728"/>
      <c r="AI412" s="728"/>
      <c r="AJ412" s="729">
        <f t="shared" si="223"/>
        <v>0</v>
      </c>
      <c r="AK412" s="946"/>
      <c r="AL412" s="616"/>
      <c r="AM412" s="602">
        <f t="shared" si="237"/>
        <v>0</v>
      </c>
      <c r="AN412" s="835"/>
      <c r="AO412" s="835">
        <f t="shared" si="235"/>
        <v>0</v>
      </c>
      <c r="AP412" s="940"/>
      <c r="AQ412" s="722">
        <v>0</v>
      </c>
      <c r="AR412" s="728"/>
      <c r="AS412" s="728"/>
      <c r="AT412" s="729">
        <f t="shared" si="196"/>
        <v>0</v>
      </c>
      <c r="AU412" s="946"/>
      <c r="AV412" s="616"/>
      <c r="AW412" s="602">
        <f t="shared" si="232"/>
        <v>0</v>
      </c>
      <c r="AX412" s="940"/>
      <c r="AY412" s="602">
        <f t="shared" si="233"/>
        <v>0</v>
      </c>
      <c r="AZ412" s="940"/>
      <c r="BA412" s="963"/>
      <c r="BB412" s="963"/>
      <c r="BD412" s="712">
        <v>0</v>
      </c>
      <c r="BE412" s="596">
        <v>0</v>
      </c>
      <c r="BF412" s="596">
        <f t="shared" ref="BF412:BF473" si="240">BD412-BE412</f>
        <v>0</v>
      </c>
      <c r="BG412" s="728"/>
      <c r="BH412" s="728"/>
      <c r="BI412" s="729">
        <f t="shared" si="228"/>
        <v>0</v>
      </c>
      <c r="BJ412" s="729"/>
      <c r="BK412" s="616"/>
      <c r="BL412" s="603">
        <f t="shared" si="239"/>
        <v>0</v>
      </c>
      <c r="BM412" s="964"/>
      <c r="BN412" s="602">
        <f t="shared" si="205"/>
        <v>0</v>
      </c>
      <c r="BO412" s="940"/>
      <c r="BP412" s="593">
        <f t="shared" si="224"/>
        <v>0</v>
      </c>
      <c r="BS412" s="741">
        <v>0</v>
      </c>
      <c r="BT412" s="741">
        <v>0</v>
      </c>
      <c r="BU412" s="741">
        <f t="shared" si="198"/>
        <v>0</v>
      </c>
      <c r="BV412" s="741">
        <v>0</v>
      </c>
      <c r="BW412" s="741"/>
      <c r="BX412" s="741">
        <v>0</v>
      </c>
      <c r="BY412" s="741">
        <v>0</v>
      </c>
      <c r="BZ412" s="741">
        <f t="shared" si="229"/>
        <v>0</v>
      </c>
      <c r="CA412" s="741">
        <v>0</v>
      </c>
      <c r="CB412" s="741"/>
      <c r="CC412" s="741">
        <f t="shared" si="199"/>
        <v>0</v>
      </c>
      <c r="CD412" s="751"/>
      <c r="CE412" s="748"/>
      <c r="CF412" s="748"/>
      <c r="CG412" s="748">
        <f t="shared" si="200"/>
        <v>0</v>
      </c>
      <c r="CH412" s="759"/>
      <c r="CI412" s="742"/>
      <c r="CJ412" s="591">
        <f t="shared" si="225"/>
        <v>0</v>
      </c>
    </row>
    <row r="413" spans="1:88" s="594" customFormat="1" ht="21.6" customHeight="1" x14ac:dyDescent="0.25">
      <c r="A413" s="612" t="s">
        <v>130</v>
      </c>
      <c r="B413" s="612" t="s">
        <v>237</v>
      </c>
      <c r="C413" s="613" t="s">
        <v>12</v>
      </c>
      <c r="D413" s="171"/>
      <c r="E413" s="614">
        <v>0</v>
      </c>
      <c r="F413" s="612">
        <v>245.33333333333337</v>
      </c>
      <c r="G413" s="614">
        <v>0</v>
      </c>
      <c r="H413" s="612">
        <v>148.33333333333337</v>
      </c>
      <c r="I413" s="612">
        <f t="shared" si="236"/>
        <v>97</v>
      </c>
      <c r="J413" s="728"/>
      <c r="K413" s="728"/>
      <c r="L413" s="731">
        <f t="shared" si="226"/>
        <v>0</v>
      </c>
      <c r="M413" s="947">
        <f>SUM(L413:L435)</f>
        <v>369</v>
      </c>
      <c r="N413" s="617"/>
      <c r="O413" s="602">
        <f t="shared" si="202"/>
        <v>0</v>
      </c>
      <c r="P413" s="940">
        <f>SUM(O413:O435)</f>
        <v>246.66666666666669</v>
      </c>
      <c r="Q413" s="600">
        <f t="shared" si="234"/>
        <v>0</v>
      </c>
      <c r="R413" s="940">
        <f>SUM(Q413:Q435)</f>
        <v>0</v>
      </c>
      <c r="S413" s="596">
        <v>0</v>
      </c>
      <c r="T413" s="724">
        <f>SUM(S413:S435)</f>
        <v>0</v>
      </c>
      <c r="U413" s="728"/>
      <c r="V413" s="728"/>
      <c r="W413" s="731">
        <f t="shared" si="227"/>
        <v>0</v>
      </c>
      <c r="X413" s="947">
        <f>SUM(W413:W435)</f>
        <v>0</v>
      </c>
      <c r="Y413" s="616"/>
      <c r="Z413" s="602">
        <f t="shared" si="230"/>
        <v>0</v>
      </c>
      <c r="AA413" s="835">
        <f>SUM(Z413:Z435)</f>
        <v>0</v>
      </c>
      <c r="AB413" s="602">
        <f t="shared" si="231"/>
        <v>0</v>
      </c>
      <c r="AC413" s="940">
        <f>SUM(AB413:AB435)</f>
        <v>0</v>
      </c>
      <c r="AD413" s="955">
        <f>M413+X413</f>
        <v>369</v>
      </c>
      <c r="AE413" s="955">
        <v>0</v>
      </c>
      <c r="AF413" s="614">
        <v>0</v>
      </c>
      <c r="AG413" s="612">
        <v>168</v>
      </c>
      <c r="AH413" s="728"/>
      <c r="AI413" s="728"/>
      <c r="AJ413" s="729">
        <f t="shared" si="223"/>
        <v>0</v>
      </c>
      <c r="AK413" s="946">
        <f>SUM(AJ413:AJ435)</f>
        <v>226</v>
      </c>
      <c r="AL413" s="616"/>
      <c r="AM413" s="602">
        <f t="shared" si="237"/>
        <v>0</v>
      </c>
      <c r="AN413" s="835">
        <f>SUM(AM413:AM435)</f>
        <v>168</v>
      </c>
      <c r="AO413" s="835">
        <f t="shared" si="235"/>
        <v>0</v>
      </c>
      <c r="AP413" s="940">
        <f>SUM(AO413:AO435)</f>
        <v>0</v>
      </c>
      <c r="AQ413" s="722"/>
      <c r="AR413" s="728"/>
      <c r="AS413" s="728"/>
      <c r="AT413" s="729">
        <f t="shared" si="196"/>
        <v>0</v>
      </c>
      <c r="AU413" s="946">
        <f>SUM(AT413:AT435)</f>
        <v>221</v>
      </c>
      <c r="AV413" s="616"/>
      <c r="AW413" s="602">
        <f t="shared" si="232"/>
        <v>0</v>
      </c>
      <c r="AX413" s="940">
        <f>SUM(AW413:AW435)</f>
        <v>231.75</v>
      </c>
      <c r="AY413" s="602">
        <f t="shared" si="233"/>
        <v>0</v>
      </c>
      <c r="AZ413" s="940">
        <f>SUM(AY413:AY435)</f>
        <v>0</v>
      </c>
      <c r="BA413" s="961">
        <f>AK413+AU413</f>
        <v>447</v>
      </c>
      <c r="BB413" s="961">
        <f>AP413+AZ413</f>
        <v>0</v>
      </c>
      <c r="BC413" s="611">
        <f>SUM(BD413:BD435)</f>
        <v>404</v>
      </c>
      <c r="BD413" s="716">
        <v>0</v>
      </c>
      <c r="BE413" s="612">
        <v>0</v>
      </c>
      <c r="BF413" s="596">
        <f>BD413-BE413</f>
        <v>0</v>
      </c>
      <c r="BG413" s="728"/>
      <c r="BH413" s="728"/>
      <c r="BI413" s="729">
        <f t="shared" si="228"/>
        <v>0</v>
      </c>
      <c r="BJ413" s="729">
        <f>SUM(BI413:BI435)</f>
        <v>696</v>
      </c>
      <c r="BK413" s="616"/>
      <c r="BL413" s="603">
        <f t="shared" si="239"/>
        <v>0</v>
      </c>
      <c r="BM413" s="964">
        <f>SUM(BL413:BL435)</f>
        <v>406</v>
      </c>
      <c r="BN413" s="602">
        <f t="shared" si="205"/>
        <v>0</v>
      </c>
      <c r="BO413" s="940">
        <f>SUM(BN413:BN435)</f>
        <v>-2</v>
      </c>
      <c r="BP413" s="593">
        <f t="shared" si="224"/>
        <v>-2</v>
      </c>
      <c r="BS413" s="745">
        <v>0</v>
      </c>
      <c r="BT413" s="745">
        <v>0</v>
      </c>
      <c r="BU413" s="741">
        <f t="shared" si="198"/>
        <v>0</v>
      </c>
      <c r="BV413" s="745">
        <v>0</v>
      </c>
      <c r="BW413" s="745">
        <f>SUM(BV413:BV435)</f>
        <v>98.333333333333343</v>
      </c>
      <c r="BX413" s="745">
        <v>0</v>
      </c>
      <c r="BY413" s="745">
        <v>0</v>
      </c>
      <c r="BZ413" s="741">
        <f t="shared" si="229"/>
        <v>0</v>
      </c>
      <c r="CA413" s="745">
        <v>0</v>
      </c>
      <c r="CB413" s="745">
        <f>SUM(CA413:CA435)</f>
        <v>168</v>
      </c>
      <c r="CC413" s="741">
        <f t="shared" si="199"/>
        <v>0</v>
      </c>
      <c r="CD413" s="756">
        <f>SUM(CC413:CC435)</f>
        <v>266.33333333333331</v>
      </c>
      <c r="CE413" s="748"/>
      <c r="CF413" s="748"/>
      <c r="CG413" s="748">
        <f t="shared" si="200"/>
        <v>0</v>
      </c>
      <c r="CH413" s="766"/>
      <c r="CI413" s="745">
        <f>SUM(CH413:CH435)</f>
        <v>258</v>
      </c>
      <c r="CJ413" s="594">
        <f t="shared" si="225"/>
        <v>0</v>
      </c>
    </row>
    <row r="414" spans="1:88" ht="21.6" customHeight="1" x14ac:dyDescent="0.25">
      <c r="A414" s="596"/>
      <c r="B414" s="596" t="s">
        <v>237</v>
      </c>
      <c r="C414" s="597" t="s">
        <v>328</v>
      </c>
      <c r="D414" s="176" t="s">
        <v>431</v>
      </c>
      <c r="E414" s="598">
        <v>19.666666666666668</v>
      </c>
      <c r="F414" s="596">
        <v>0</v>
      </c>
      <c r="G414" s="598">
        <v>19.666666666666668</v>
      </c>
      <c r="H414" s="596"/>
      <c r="I414" s="596">
        <f t="shared" si="236"/>
        <v>0</v>
      </c>
      <c r="J414" s="728">
        <f>33</f>
        <v>33</v>
      </c>
      <c r="K414" s="728">
        <f>3</f>
        <v>3</v>
      </c>
      <c r="L414" s="731">
        <f t="shared" si="226"/>
        <v>36</v>
      </c>
      <c r="M414" s="947"/>
      <c r="N414" s="617">
        <v>295</v>
      </c>
      <c r="O414" s="602">
        <f t="shared" si="202"/>
        <v>19.666666666666668</v>
      </c>
      <c r="P414" s="940"/>
      <c r="Q414" s="600">
        <f t="shared" si="234"/>
        <v>0</v>
      </c>
      <c r="R414" s="940"/>
      <c r="S414" s="596">
        <v>0</v>
      </c>
      <c r="T414" s="724"/>
      <c r="U414" s="728"/>
      <c r="V414" s="728"/>
      <c r="W414" s="731">
        <f t="shared" si="227"/>
        <v>0</v>
      </c>
      <c r="X414" s="947"/>
      <c r="Y414" s="616"/>
      <c r="Z414" s="602">
        <f t="shared" si="230"/>
        <v>0</v>
      </c>
      <c r="AA414" s="835"/>
      <c r="AB414" s="602">
        <f t="shared" si="231"/>
        <v>0</v>
      </c>
      <c r="AC414" s="940"/>
      <c r="AD414" s="956"/>
      <c r="AE414" s="956"/>
      <c r="AF414" s="598">
        <v>0</v>
      </c>
      <c r="AG414" s="596"/>
      <c r="AH414" s="728"/>
      <c r="AI414" s="728"/>
      <c r="AJ414" s="729">
        <f t="shared" si="223"/>
        <v>0</v>
      </c>
      <c r="AK414" s="946"/>
      <c r="AL414" s="616"/>
      <c r="AM414" s="602">
        <f t="shared" si="237"/>
        <v>0</v>
      </c>
      <c r="AN414" s="835"/>
      <c r="AO414" s="835">
        <f t="shared" si="235"/>
        <v>0</v>
      </c>
      <c r="AP414" s="940"/>
      <c r="AQ414" s="722">
        <v>0</v>
      </c>
      <c r="AR414" s="728"/>
      <c r="AS414" s="728"/>
      <c r="AT414" s="729">
        <f t="shared" si="196"/>
        <v>0</v>
      </c>
      <c r="AU414" s="946"/>
      <c r="AV414" s="616"/>
      <c r="AW414" s="602">
        <f t="shared" si="232"/>
        <v>0</v>
      </c>
      <c r="AX414" s="940"/>
      <c r="AY414" s="602">
        <f t="shared" si="233"/>
        <v>0</v>
      </c>
      <c r="AZ414" s="940"/>
      <c r="BA414" s="962"/>
      <c r="BB414" s="962"/>
      <c r="BC414" s="611"/>
      <c r="BD414" s="712">
        <v>19</v>
      </c>
      <c r="BE414" s="596">
        <v>19</v>
      </c>
      <c r="BF414" s="596">
        <f t="shared" si="240"/>
        <v>0</v>
      </c>
      <c r="BG414" s="728">
        <v>33</v>
      </c>
      <c r="BH414" s="728">
        <v>3</v>
      </c>
      <c r="BI414" s="729">
        <f t="shared" si="228"/>
        <v>36</v>
      </c>
      <c r="BJ414" s="729"/>
      <c r="BK414" s="616">
        <v>950</v>
      </c>
      <c r="BL414" s="603">
        <f t="shared" si="239"/>
        <v>19</v>
      </c>
      <c r="BM414" s="964"/>
      <c r="BN414" s="602">
        <f t="shared" si="205"/>
        <v>0</v>
      </c>
      <c r="BO414" s="940"/>
      <c r="BP414" s="593">
        <f t="shared" si="224"/>
        <v>0</v>
      </c>
      <c r="BS414" s="741">
        <v>0</v>
      </c>
      <c r="BT414" s="741">
        <v>0</v>
      </c>
      <c r="BU414" s="741">
        <f t="shared" si="198"/>
        <v>0</v>
      </c>
      <c r="BV414" s="741">
        <v>0</v>
      </c>
      <c r="BW414" s="741"/>
      <c r="BX414" s="741">
        <v>0</v>
      </c>
      <c r="BY414" s="741">
        <v>0</v>
      </c>
      <c r="BZ414" s="741">
        <f t="shared" si="229"/>
        <v>0</v>
      </c>
      <c r="CA414" s="741">
        <v>0</v>
      </c>
      <c r="CB414" s="741"/>
      <c r="CC414" s="741">
        <f t="shared" si="199"/>
        <v>0</v>
      </c>
      <c r="CD414" s="751"/>
      <c r="CE414" s="748"/>
      <c r="CF414" s="748"/>
      <c r="CG414" s="748">
        <f t="shared" si="200"/>
        <v>0</v>
      </c>
      <c r="CH414" s="759"/>
      <c r="CI414" s="742"/>
      <c r="CJ414" s="591">
        <f t="shared" si="225"/>
        <v>0</v>
      </c>
    </row>
    <row r="415" spans="1:88" ht="21.6" customHeight="1" x14ac:dyDescent="0.25">
      <c r="A415" s="596"/>
      <c r="B415" s="596" t="s">
        <v>237</v>
      </c>
      <c r="C415" s="597" t="s">
        <v>433</v>
      </c>
      <c r="D415" s="176" t="s">
        <v>431</v>
      </c>
      <c r="E415" s="598">
        <v>26.666666666666668</v>
      </c>
      <c r="F415" s="596">
        <v>0</v>
      </c>
      <c r="G415" s="598">
        <v>26.666666666666668</v>
      </c>
      <c r="H415" s="596"/>
      <c r="I415" s="596">
        <f t="shared" si="236"/>
        <v>0</v>
      </c>
      <c r="J415" s="728">
        <f>46</f>
        <v>46</v>
      </c>
      <c r="K415" s="728">
        <f>2</f>
        <v>2</v>
      </c>
      <c r="L415" s="731">
        <f t="shared" si="226"/>
        <v>48</v>
      </c>
      <c r="M415" s="947"/>
      <c r="N415" s="617">
        <v>400</v>
      </c>
      <c r="O415" s="602">
        <f t="shared" si="202"/>
        <v>26.666666666666668</v>
      </c>
      <c r="P415" s="940"/>
      <c r="Q415" s="600">
        <f t="shared" si="234"/>
        <v>0</v>
      </c>
      <c r="R415" s="940"/>
      <c r="S415" s="596">
        <v>0</v>
      </c>
      <c r="T415" s="724"/>
      <c r="U415" s="728"/>
      <c r="V415" s="728"/>
      <c r="W415" s="731">
        <f t="shared" si="227"/>
        <v>0</v>
      </c>
      <c r="X415" s="947"/>
      <c r="Y415" s="616"/>
      <c r="Z415" s="602">
        <f t="shared" si="230"/>
        <v>0</v>
      </c>
      <c r="AA415" s="835"/>
      <c r="AB415" s="602">
        <f t="shared" si="231"/>
        <v>0</v>
      </c>
      <c r="AC415" s="940"/>
      <c r="AD415" s="956"/>
      <c r="AE415" s="956"/>
      <c r="AF415" s="598">
        <v>0</v>
      </c>
      <c r="AG415" s="596"/>
      <c r="AH415" s="728"/>
      <c r="AI415" s="728"/>
      <c r="AJ415" s="729">
        <f t="shared" si="223"/>
        <v>0</v>
      </c>
      <c r="AK415" s="946"/>
      <c r="AL415" s="616"/>
      <c r="AM415" s="602">
        <f t="shared" si="237"/>
        <v>0</v>
      </c>
      <c r="AN415" s="835"/>
      <c r="AO415" s="835">
        <f t="shared" si="235"/>
        <v>0</v>
      </c>
      <c r="AP415" s="940"/>
      <c r="AQ415" s="722">
        <v>0</v>
      </c>
      <c r="AR415" s="728"/>
      <c r="AS415" s="728"/>
      <c r="AT415" s="729">
        <f t="shared" si="196"/>
        <v>0</v>
      </c>
      <c r="AU415" s="946"/>
      <c r="AV415" s="616"/>
      <c r="AW415" s="602">
        <f t="shared" si="232"/>
        <v>0</v>
      </c>
      <c r="AX415" s="940"/>
      <c r="AY415" s="602">
        <f t="shared" si="233"/>
        <v>0</v>
      </c>
      <c r="AZ415" s="940"/>
      <c r="BA415" s="962"/>
      <c r="BB415" s="962"/>
      <c r="BC415" s="611"/>
      <c r="BD415" s="712">
        <v>26</v>
      </c>
      <c r="BE415" s="596">
        <v>26</v>
      </c>
      <c r="BF415" s="596">
        <f t="shared" si="240"/>
        <v>0</v>
      </c>
      <c r="BG415" s="728">
        <v>46</v>
      </c>
      <c r="BH415" s="728">
        <v>2</v>
      </c>
      <c r="BI415" s="729">
        <f t="shared" si="228"/>
        <v>48</v>
      </c>
      <c r="BJ415" s="729"/>
      <c r="BK415" s="616">
        <v>1300</v>
      </c>
      <c r="BL415" s="603">
        <f t="shared" si="239"/>
        <v>26</v>
      </c>
      <c r="BM415" s="964"/>
      <c r="BN415" s="602">
        <f t="shared" si="205"/>
        <v>0</v>
      </c>
      <c r="BO415" s="940"/>
      <c r="BP415" s="593">
        <f t="shared" si="224"/>
        <v>0</v>
      </c>
      <c r="BS415" s="741">
        <v>0</v>
      </c>
      <c r="BT415" s="741">
        <v>0</v>
      </c>
      <c r="BU415" s="741">
        <f t="shared" si="198"/>
        <v>0</v>
      </c>
      <c r="BV415" s="741">
        <v>0</v>
      </c>
      <c r="BW415" s="741"/>
      <c r="BX415" s="741">
        <v>0</v>
      </c>
      <c r="BY415" s="741">
        <v>0</v>
      </c>
      <c r="BZ415" s="741">
        <f t="shared" si="229"/>
        <v>0</v>
      </c>
      <c r="CA415" s="741">
        <v>0</v>
      </c>
      <c r="CB415" s="741"/>
      <c r="CC415" s="741">
        <f t="shared" si="199"/>
        <v>0</v>
      </c>
      <c r="CD415" s="751"/>
      <c r="CE415" s="748"/>
      <c r="CF415" s="748"/>
      <c r="CG415" s="748">
        <f t="shared" si="200"/>
        <v>0</v>
      </c>
      <c r="CH415" s="759"/>
      <c r="CI415" s="742"/>
      <c r="CJ415" s="591">
        <f t="shared" si="225"/>
        <v>0</v>
      </c>
    </row>
    <row r="416" spans="1:88" ht="21.6" customHeight="1" x14ac:dyDescent="0.25">
      <c r="A416" s="779"/>
      <c r="B416" s="779" t="s">
        <v>237</v>
      </c>
      <c r="C416" s="597" t="s">
        <v>787</v>
      </c>
      <c r="D416" s="176"/>
      <c r="E416" s="598"/>
      <c r="F416" s="779"/>
      <c r="G416" s="598"/>
      <c r="H416" s="779"/>
      <c r="I416" s="779"/>
      <c r="J416" s="728"/>
      <c r="K416" s="728"/>
      <c r="L416" s="731"/>
      <c r="M416" s="947"/>
      <c r="N416" s="617"/>
      <c r="O416" s="602"/>
      <c r="P416" s="940"/>
      <c r="Q416" s="600"/>
      <c r="R416" s="940"/>
      <c r="S416" s="779"/>
      <c r="T416" s="779"/>
      <c r="U416" s="728"/>
      <c r="V416" s="728"/>
      <c r="W416" s="731"/>
      <c r="X416" s="947"/>
      <c r="Y416" s="616"/>
      <c r="Z416" s="602"/>
      <c r="AA416" s="835"/>
      <c r="AB416" s="602"/>
      <c r="AC416" s="940"/>
      <c r="AD416" s="956"/>
      <c r="AE416" s="956"/>
      <c r="AF416" s="598">
        <v>0</v>
      </c>
      <c r="AG416" s="779"/>
      <c r="AH416" s="728"/>
      <c r="AI416" s="728"/>
      <c r="AJ416" s="729">
        <f t="shared" si="223"/>
        <v>0</v>
      </c>
      <c r="AK416" s="946"/>
      <c r="AL416" s="616"/>
      <c r="AM416" s="602">
        <f t="shared" si="237"/>
        <v>0</v>
      </c>
      <c r="AN416" s="835"/>
      <c r="AO416" s="835">
        <v>0</v>
      </c>
      <c r="AP416" s="940"/>
      <c r="AQ416" s="722">
        <v>46.75</v>
      </c>
      <c r="AR416" s="728">
        <v>66</v>
      </c>
      <c r="AS416" s="728">
        <v>10</v>
      </c>
      <c r="AT416" s="729">
        <f t="shared" si="196"/>
        <v>76</v>
      </c>
      <c r="AU416" s="946"/>
      <c r="AV416" s="616">
        <v>701.25</v>
      </c>
      <c r="AW416" s="602">
        <f t="shared" si="232"/>
        <v>46.75</v>
      </c>
      <c r="AX416" s="940"/>
      <c r="AY416" s="602">
        <f t="shared" si="233"/>
        <v>0</v>
      </c>
      <c r="AZ416" s="940"/>
      <c r="BA416" s="962"/>
      <c r="BB416" s="962"/>
      <c r="BC416" s="611"/>
      <c r="BD416" s="712">
        <v>0</v>
      </c>
      <c r="BE416" s="779">
        <v>0</v>
      </c>
      <c r="BF416" s="779">
        <f t="shared" si="240"/>
        <v>0</v>
      </c>
      <c r="BG416" s="728"/>
      <c r="BH416" s="728"/>
      <c r="BI416" s="729">
        <f t="shared" si="228"/>
        <v>0</v>
      </c>
      <c r="BJ416" s="729"/>
      <c r="BK416" s="616"/>
      <c r="BL416" s="603">
        <f t="shared" si="239"/>
        <v>0</v>
      </c>
      <c r="BM416" s="964"/>
      <c r="BN416" s="602">
        <f t="shared" si="205"/>
        <v>0</v>
      </c>
      <c r="BO416" s="940"/>
      <c r="BP416" s="593">
        <f t="shared" si="224"/>
        <v>0</v>
      </c>
      <c r="BS416" s="777"/>
      <c r="BT416" s="777"/>
      <c r="BU416" s="777"/>
      <c r="BV416" s="777"/>
      <c r="BW416" s="777"/>
      <c r="BX416" s="777"/>
      <c r="BY416" s="777"/>
      <c r="BZ416" s="777"/>
      <c r="CA416" s="777"/>
      <c r="CB416" s="777"/>
      <c r="CC416" s="777"/>
      <c r="CD416" s="751"/>
      <c r="CE416" s="778"/>
      <c r="CF416" s="778"/>
      <c r="CG416" s="778"/>
      <c r="CH416" s="759"/>
      <c r="CI416" s="777"/>
    </row>
    <row r="417" spans="1:88" ht="21.6" customHeight="1" x14ac:dyDescent="0.25">
      <c r="A417" s="596"/>
      <c r="B417" s="596" t="s">
        <v>237</v>
      </c>
      <c r="C417" s="597" t="s">
        <v>327</v>
      </c>
      <c r="D417" s="176" t="s">
        <v>431</v>
      </c>
      <c r="E417" s="598">
        <v>18.333333333333332</v>
      </c>
      <c r="F417" s="596">
        <v>0</v>
      </c>
      <c r="G417" s="598">
        <v>18.333333333333332</v>
      </c>
      <c r="H417" s="596"/>
      <c r="I417" s="596">
        <f t="shared" si="236"/>
        <v>0</v>
      </c>
      <c r="J417" s="728">
        <f>32</f>
        <v>32</v>
      </c>
      <c r="K417" s="728">
        <f>1</f>
        <v>1</v>
      </c>
      <c r="L417" s="731">
        <f t="shared" si="226"/>
        <v>33</v>
      </c>
      <c r="M417" s="947"/>
      <c r="N417" s="617">
        <v>275</v>
      </c>
      <c r="O417" s="602">
        <f t="shared" si="202"/>
        <v>18.333333333333332</v>
      </c>
      <c r="P417" s="940"/>
      <c r="Q417" s="600">
        <f t="shared" ref="Q417:Q449" si="241">E417-O417</f>
        <v>0</v>
      </c>
      <c r="R417" s="940"/>
      <c r="S417" s="596">
        <v>0</v>
      </c>
      <c r="T417" s="724"/>
      <c r="U417" s="728"/>
      <c r="V417" s="728"/>
      <c r="W417" s="731">
        <f t="shared" si="227"/>
        <v>0</v>
      </c>
      <c r="X417" s="947"/>
      <c r="Y417" s="616"/>
      <c r="Z417" s="602">
        <f t="shared" si="230"/>
        <v>0</v>
      </c>
      <c r="AA417" s="835"/>
      <c r="AB417" s="602">
        <f t="shared" si="231"/>
        <v>0</v>
      </c>
      <c r="AC417" s="940"/>
      <c r="AD417" s="956"/>
      <c r="AE417" s="956"/>
      <c r="AF417" s="598">
        <v>0</v>
      </c>
      <c r="AG417" s="596"/>
      <c r="AH417" s="728"/>
      <c r="AI417" s="728"/>
      <c r="AJ417" s="729">
        <f t="shared" ref="AJ417:AJ449" si="242">AH417+AI417</f>
        <v>0</v>
      </c>
      <c r="AK417" s="946"/>
      <c r="AL417" s="616"/>
      <c r="AM417" s="602">
        <f t="shared" si="237"/>
        <v>0</v>
      </c>
      <c r="AN417" s="835"/>
      <c r="AO417" s="835">
        <f t="shared" ref="AO417:AO449" si="243">AF417-AM417</f>
        <v>0</v>
      </c>
      <c r="AP417" s="940"/>
      <c r="AQ417" s="722">
        <v>0</v>
      </c>
      <c r="AR417" s="728"/>
      <c r="AS417" s="728"/>
      <c r="AT417" s="729">
        <f t="shared" si="196"/>
        <v>0</v>
      </c>
      <c r="AU417" s="946"/>
      <c r="AV417" s="616"/>
      <c r="AW417" s="602">
        <f t="shared" si="232"/>
        <v>0</v>
      </c>
      <c r="AX417" s="940"/>
      <c r="AY417" s="602">
        <f t="shared" si="233"/>
        <v>0</v>
      </c>
      <c r="AZ417" s="940"/>
      <c r="BA417" s="962"/>
      <c r="BB417" s="962"/>
      <c r="BC417" s="611"/>
      <c r="BD417" s="712">
        <v>18</v>
      </c>
      <c r="BE417" s="596">
        <v>18</v>
      </c>
      <c r="BF417" s="596">
        <f t="shared" si="240"/>
        <v>0</v>
      </c>
      <c r="BG417" s="728">
        <v>32</v>
      </c>
      <c r="BH417" s="728">
        <v>1</v>
      </c>
      <c r="BI417" s="729">
        <f t="shared" si="228"/>
        <v>33</v>
      </c>
      <c r="BJ417" s="729"/>
      <c r="BK417" s="616">
        <v>900</v>
      </c>
      <c r="BL417" s="603">
        <f t="shared" si="239"/>
        <v>18</v>
      </c>
      <c r="BM417" s="964"/>
      <c r="BN417" s="602">
        <f t="shared" si="205"/>
        <v>0</v>
      </c>
      <c r="BO417" s="940"/>
      <c r="BP417" s="593">
        <f t="shared" si="224"/>
        <v>0</v>
      </c>
      <c r="BS417" s="741">
        <v>0</v>
      </c>
      <c r="BT417" s="741">
        <v>0</v>
      </c>
      <c r="BU417" s="741">
        <f t="shared" si="198"/>
        <v>0</v>
      </c>
      <c r="BV417" s="741">
        <v>0</v>
      </c>
      <c r="BW417" s="741"/>
      <c r="BX417" s="741">
        <v>0</v>
      </c>
      <c r="BY417" s="741">
        <v>0</v>
      </c>
      <c r="BZ417" s="741">
        <f t="shared" si="229"/>
        <v>0</v>
      </c>
      <c r="CA417" s="741">
        <v>0</v>
      </c>
      <c r="CB417" s="741"/>
      <c r="CC417" s="741">
        <f t="shared" si="199"/>
        <v>0</v>
      </c>
      <c r="CD417" s="751"/>
      <c r="CE417" s="748"/>
      <c r="CF417" s="748"/>
      <c r="CG417" s="748">
        <f t="shared" si="200"/>
        <v>0</v>
      </c>
      <c r="CH417" s="759"/>
      <c r="CI417" s="742"/>
      <c r="CJ417" s="591">
        <f>BN417+AY417+AO417+AB417+Q417</f>
        <v>0</v>
      </c>
    </row>
    <row r="418" spans="1:88" ht="21.6" customHeight="1" x14ac:dyDescent="0.25">
      <c r="A418" s="852"/>
      <c r="B418" s="852" t="s">
        <v>237</v>
      </c>
      <c r="C418" s="597" t="s">
        <v>842</v>
      </c>
      <c r="D418" s="176" t="s">
        <v>489</v>
      </c>
      <c r="E418" s="598"/>
      <c r="F418" s="852"/>
      <c r="G418" s="598"/>
      <c r="H418" s="852"/>
      <c r="I418" s="852"/>
      <c r="J418" s="728"/>
      <c r="K418" s="728"/>
      <c r="L418" s="731"/>
      <c r="M418" s="947"/>
      <c r="N418" s="617"/>
      <c r="O418" s="602"/>
      <c r="P418" s="940"/>
      <c r="Q418" s="600"/>
      <c r="R418" s="940"/>
      <c r="S418" s="852"/>
      <c r="T418" s="852"/>
      <c r="U418" s="728"/>
      <c r="V418" s="728"/>
      <c r="W418" s="731"/>
      <c r="X418" s="947"/>
      <c r="Y418" s="616"/>
      <c r="Z418" s="602"/>
      <c r="AA418" s="850"/>
      <c r="AB418" s="602"/>
      <c r="AC418" s="940"/>
      <c r="AD418" s="956"/>
      <c r="AE418" s="956"/>
      <c r="AF418" s="598">
        <v>0</v>
      </c>
      <c r="AG418" s="852"/>
      <c r="AH418" s="728"/>
      <c r="AI418" s="728"/>
      <c r="AJ418" s="729">
        <f t="shared" si="242"/>
        <v>0</v>
      </c>
      <c r="AK418" s="946"/>
      <c r="AL418" s="616"/>
      <c r="AM418" s="602">
        <f t="shared" si="237"/>
        <v>0</v>
      </c>
      <c r="AN418" s="850"/>
      <c r="AO418" s="850">
        <f t="shared" si="243"/>
        <v>0</v>
      </c>
      <c r="AP418" s="940"/>
      <c r="AQ418" s="722">
        <v>141.25</v>
      </c>
      <c r="AR418" s="728">
        <f>23+26+22+28</f>
        <v>99</v>
      </c>
      <c r="AS418" s="728">
        <f>12+11+14+9</f>
        <v>46</v>
      </c>
      <c r="AT418" s="729">
        <f t="shared" si="196"/>
        <v>145</v>
      </c>
      <c r="AU418" s="946"/>
      <c r="AV418" s="616">
        <f>585+810+645+735</f>
        <v>2775</v>
      </c>
      <c r="AW418" s="602">
        <f t="shared" si="232"/>
        <v>185</v>
      </c>
      <c r="AX418" s="940"/>
      <c r="AY418" s="602"/>
      <c r="AZ418" s="940"/>
      <c r="BA418" s="962"/>
      <c r="BB418" s="962"/>
      <c r="BC418" s="611"/>
      <c r="BD418" s="712"/>
      <c r="BE418" s="852"/>
      <c r="BF418" s="852"/>
      <c r="BG418" s="728"/>
      <c r="BH418" s="728"/>
      <c r="BI418" s="729"/>
      <c r="BJ418" s="729"/>
      <c r="BK418" s="616"/>
      <c r="BL418" s="603"/>
      <c r="BM418" s="964"/>
      <c r="BN418" s="602"/>
      <c r="BO418" s="940"/>
      <c r="BS418" s="848"/>
      <c r="BT418" s="848"/>
      <c r="BU418" s="848"/>
      <c r="BV418" s="848"/>
      <c r="BW418" s="848"/>
      <c r="BX418" s="848"/>
      <c r="BY418" s="848"/>
      <c r="BZ418" s="848"/>
      <c r="CA418" s="848"/>
      <c r="CB418" s="848"/>
      <c r="CC418" s="848"/>
      <c r="CD418" s="751"/>
      <c r="CE418" s="849"/>
      <c r="CF418" s="849"/>
      <c r="CG418" s="849"/>
      <c r="CH418" s="759"/>
      <c r="CI418" s="848"/>
    </row>
    <row r="419" spans="1:88" ht="21.6" customHeight="1" x14ac:dyDescent="0.25">
      <c r="A419" s="596"/>
      <c r="B419" s="596" t="s">
        <v>237</v>
      </c>
      <c r="C419" s="597" t="s">
        <v>334</v>
      </c>
      <c r="D419" s="176" t="s">
        <v>431</v>
      </c>
      <c r="E419" s="598">
        <v>9.6666666666666661</v>
      </c>
      <c r="F419" s="596">
        <v>0</v>
      </c>
      <c r="G419" s="598">
        <v>9.6666666666666661</v>
      </c>
      <c r="H419" s="596"/>
      <c r="I419" s="596">
        <f t="shared" si="236"/>
        <v>0</v>
      </c>
      <c r="J419" s="728">
        <f>13</f>
        <v>13</v>
      </c>
      <c r="K419" s="728">
        <f>4</f>
        <v>4</v>
      </c>
      <c r="L419" s="731">
        <f t="shared" si="226"/>
        <v>17</v>
      </c>
      <c r="M419" s="947"/>
      <c r="N419" s="617">
        <v>145</v>
      </c>
      <c r="O419" s="602">
        <f t="shared" si="202"/>
        <v>9.6666666666666661</v>
      </c>
      <c r="P419" s="940"/>
      <c r="Q419" s="600">
        <f t="shared" si="241"/>
        <v>0</v>
      </c>
      <c r="R419" s="940"/>
      <c r="S419" s="596">
        <v>0</v>
      </c>
      <c r="T419" s="724"/>
      <c r="U419" s="728"/>
      <c r="V419" s="728"/>
      <c r="W419" s="731">
        <f t="shared" si="227"/>
        <v>0</v>
      </c>
      <c r="X419" s="947"/>
      <c r="Y419" s="616"/>
      <c r="Z419" s="602">
        <f t="shared" si="230"/>
        <v>0</v>
      </c>
      <c r="AA419" s="835"/>
      <c r="AB419" s="602">
        <f t="shared" si="231"/>
        <v>0</v>
      </c>
      <c r="AC419" s="940"/>
      <c r="AD419" s="956"/>
      <c r="AE419" s="956"/>
      <c r="AF419" s="598">
        <v>0</v>
      </c>
      <c r="AG419" s="596"/>
      <c r="AH419" s="728"/>
      <c r="AI419" s="728"/>
      <c r="AJ419" s="729">
        <f t="shared" si="242"/>
        <v>0</v>
      </c>
      <c r="AK419" s="946"/>
      <c r="AL419" s="616"/>
      <c r="AM419" s="602">
        <f t="shared" si="237"/>
        <v>0</v>
      </c>
      <c r="AN419" s="835"/>
      <c r="AO419" s="835">
        <f t="shared" si="243"/>
        <v>0</v>
      </c>
      <c r="AP419" s="940"/>
      <c r="AQ419" s="722">
        <v>0</v>
      </c>
      <c r="AR419" s="728"/>
      <c r="AS419" s="728"/>
      <c r="AT419" s="729">
        <f t="shared" si="196"/>
        <v>0</v>
      </c>
      <c r="AU419" s="946"/>
      <c r="AV419" s="616"/>
      <c r="AW419" s="602">
        <f t="shared" si="232"/>
        <v>0</v>
      </c>
      <c r="AX419" s="940"/>
      <c r="AY419" s="602">
        <f t="shared" si="233"/>
        <v>0</v>
      </c>
      <c r="AZ419" s="940"/>
      <c r="BA419" s="962"/>
      <c r="BB419" s="962"/>
      <c r="BC419" s="611"/>
      <c r="BD419" s="712">
        <v>9</v>
      </c>
      <c r="BE419" s="596">
        <v>9</v>
      </c>
      <c r="BF419" s="596">
        <f t="shared" si="240"/>
        <v>0</v>
      </c>
      <c r="BG419" s="728">
        <v>13</v>
      </c>
      <c r="BH419" s="728">
        <v>4</v>
      </c>
      <c r="BI419" s="729">
        <f t="shared" si="228"/>
        <v>17</v>
      </c>
      <c r="BJ419" s="729"/>
      <c r="BK419" s="616">
        <v>450</v>
      </c>
      <c r="BL419" s="603">
        <f t="shared" si="239"/>
        <v>9</v>
      </c>
      <c r="BM419" s="964"/>
      <c r="BN419" s="602">
        <f t="shared" ref="BN419:BN450" si="244">BD419-BL419</f>
        <v>0</v>
      </c>
      <c r="BO419" s="940"/>
      <c r="BP419" s="593">
        <f t="shared" ref="BP419:BP450" si="245">BO419+AZ419+AP419+AC419+R419</f>
        <v>0</v>
      </c>
      <c r="BS419" s="741">
        <v>0</v>
      </c>
      <c r="BT419" s="741">
        <v>0</v>
      </c>
      <c r="BU419" s="741">
        <f t="shared" si="198"/>
        <v>0</v>
      </c>
      <c r="BV419" s="741">
        <v>0</v>
      </c>
      <c r="BW419" s="741"/>
      <c r="BX419" s="741">
        <v>0</v>
      </c>
      <c r="BY419" s="741">
        <v>0</v>
      </c>
      <c r="BZ419" s="741">
        <f t="shared" si="229"/>
        <v>0</v>
      </c>
      <c r="CA419" s="741">
        <v>0</v>
      </c>
      <c r="CB419" s="741"/>
      <c r="CC419" s="741">
        <f t="shared" si="199"/>
        <v>0</v>
      </c>
      <c r="CD419" s="751"/>
      <c r="CE419" s="748"/>
      <c r="CF419" s="748"/>
      <c r="CG419" s="748">
        <f t="shared" si="200"/>
        <v>0</v>
      </c>
      <c r="CH419" s="759"/>
      <c r="CI419" s="742"/>
      <c r="CJ419" s="591">
        <f t="shared" ref="CJ419:CJ450" si="246">BN419+AY419+AO419+AB419+Q419</f>
        <v>0</v>
      </c>
    </row>
    <row r="420" spans="1:88" ht="21.6" customHeight="1" x14ac:dyDescent="0.25">
      <c r="A420" s="596"/>
      <c r="B420" s="596" t="s">
        <v>237</v>
      </c>
      <c r="C420" s="597" t="s">
        <v>326</v>
      </c>
      <c r="D420" s="176" t="s">
        <v>431</v>
      </c>
      <c r="E420" s="598">
        <v>9.6666666666666661</v>
      </c>
      <c r="F420" s="596">
        <v>0</v>
      </c>
      <c r="G420" s="598">
        <v>9.6666666666666661</v>
      </c>
      <c r="H420" s="596"/>
      <c r="I420" s="596">
        <f t="shared" si="236"/>
        <v>0</v>
      </c>
      <c r="J420" s="728">
        <f>20</f>
        <v>20</v>
      </c>
      <c r="K420" s="728">
        <f>1</f>
        <v>1</v>
      </c>
      <c r="L420" s="731">
        <f t="shared" si="226"/>
        <v>21</v>
      </c>
      <c r="M420" s="947"/>
      <c r="N420" s="617">
        <v>145</v>
      </c>
      <c r="O420" s="602">
        <f t="shared" si="202"/>
        <v>9.6666666666666661</v>
      </c>
      <c r="P420" s="940"/>
      <c r="Q420" s="600">
        <f t="shared" si="241"/>
        <v>0</v>
      </c>
      <c r="R420" s="940"/>
      <c r="S420" s="596">
        <v>0</v>
      </c>
      <c r="T420" s="724"/>
      <c r="U420" s="728"/>
      <c r="V420" s="728"/>
      <c r="W420" s="731">
        <f t="shared" si="227"/>
        <v>0</v>
      </c>
      <c r="X420" s="947"/>
      <c r="Y420" s="616"/>
      <c r="Z420" s="602">
        <f t="shared" si="230"/>
        <v>0</v>
      </c>
      <c r="AA420" s="835"/>
      <c r="AB420" s="602">
        <f t="shared" si="231"/>
        <v>0</v>
      </c>
      <c r="AC420" s="940"/>
      <c r="AD420" s="956"/>
      <c r="AE420" s="956"/>
      <c r="AF420" s="598">
        <v>0</v>
      </c>
      <c r="AG420" s="596"/>
      <c r="AH420" s="728"/>
      <c r="AI420" s="728"/>
      <c r="AJ420" s="729">
        <f t="shared" si="242"/>
        <v>0</v>
      </c>
      <c r="AK420" s="946"/>
      <c r="AL420" s="616"/>
      <c r="AM420" s="602">
        <f t="shared" si="237"/>
        <v>0</v>
      </c>
      <c r="AN420" s="835"/>
      <c r="AO420" s="835">
        <f t="shared" si="243"/>
        <v>0</v>
      </c>
      <c r="AP420" s="940"/>
      <c r="AQ420" s="722">
        <v>0</v>
      </c>
      <c r="AR420" s="728"/>
      <c r="AS420" s="728"/>
      <c r="AT420" s="729">
        <f t="shared" si="196"/>
        <v>0</v>
      </c>
      <c r="AU420" s="946"/>
      <c r="AV420" s="616"/>
      <c r="AW420" s="602">
        <f t="shared" si="232"/>
        <v>0</v>
      </c>
      <c r="AX420" s="940"/>
      <c r="AY420" s="602">
        <f t="shared" si="233"/>
        <v>0</v>
      </c>
      <c r="AZ420" s="940"/>
      <c r="BA420" s="962"/>
      <c r="BB420" s="962"/>
      <c r="BC420" s="611"/>
      <c r="BD420" s="712">
        <v>9</v>
      </c>
      <c r="BE420" s="596">
        <v>9</v>
      </c>
      <c r="BF420" s="596">
        <f t="shared" si="240"/>
        <v>0</v>
      </c>
      <c r="BG420" s="728">
        <v>20</v>
      </c>
      <c r="BH420" s="728">
        <v>1</v>
      </c>
      <c r="BI420" s="729">
        <f t="shared" si="228"/>
        <v>21</v>
      </c>
      <c r="BJ420" s="729"/>
      <c r="BK420" s="616">
        <v>450</v>
      </c>
      <c r="BL420" s="603">
        <f t="shared" si="239"/>
        <v>9</v>
      </c>
      <c r="BM420" s="964"/>
      <c r="BN420" s="602">
        <f t="shared" si="244"/>
        <v>0</v>
      </c>
      <c r="BO420" s="940"/>
      <c r="BP420" s="593">
        <f t="shared" si="245"/>
        <v>0</v>
      </c>
      <c r="BS420" s="741">
        <v>0</v>
      </c>
      <c r="BT420" s="741">
        <v>0</v>
      </c>
      <c r="BU420" s="741">
        <f t="shared" si="198"/>
        <v>0</v>
      </c>
      <c r="BV420" s="741">
        <v>0</v>
      </c>
      <c r="BW420" s="741"/>
      <c r="BX420" s="741">
        <v>0</v>
      </c>
      <c r="BY420" s="741">
        <v>0</v>
      </c>
      <c r="BZ420" s="741">
        <f t="shared" si="229"/>
        <v>0</v>
      </c>
      <c r="CA420" s="741">
        <v>0</v>
      </c>
      <c r="CB420" s="741"/>
      <c r="CC420" s="741">
        <f t="shared" si="199"/>
        <v>0</v>
      </c>
      <c r="CD420" s="751"/>
      <c r="CE420" s="748"/>
      <c r="CF420" s="748"/>
      <c r="CG420" s="748">
        <f t="shared" si="200"/>
        <v>0</v>
      </c>
      <c r="CH420" s="759"/>
      <c r="CI420" s="742"/>
      <c r="CJ420" s="591">
        <f t="shared" si="246"/>
        <v>0</v>
      </c>
    </row>
    <row r="421" spans="1:88" ht="21.6" customHeight="1" x14ac:dyDescent="0.25">
      <c r="A421" s="596"/>
      <c r="B421" s="596" t="s">
        <v>237</v>
      </c>
      <c r="C421" s="597" t="s">
        <v>329</v>
      </c>
      <c r="D421" s="176" t="s">
        <v>431</v>
      </c>
      <c r="E421" s="598">
        <v>9.6666666666666661</v>
      </c>
      <c r="F421" s="596">
        <v>0</v>
      </c>
      <c r="G421" s="598">
        <v>9.6666666666666661</v>
      </c>
      <c r="H421" s="596"/>
      <c r="I421" s="596">
        <f t="shared" si="236"/>
        <v>0</v>
      </c>
      <c r="J421" s="728">
        <f>19</f>
        <v>19</v>
      </c>
      <c r="K421" s="728">
        <f>1</f>
        <v>1</v>
      </c>
      <c r="L421" s="731">
        <f t="shared" si="226"/>
        <v>20</v>
      </c>
      <c r="M421" s="947"/>
      <c r="N421" s="617">
        <v>145</v>
      </c>
      <c r="O421" s="602">
        <f t="shared" si="202"/>
        <v>9.6666666666666661</v>
      </c>
      <c r="P421" s="940"/>
      <c r="Q421" s="600">
        <f t="shared" si="241"/>
        <v>0</v>
      </c>
      <c r="R421" s="940"/>
      <c r="S421" s="596">
        <v>0</v>
      </c>
      <c r="T421" s="724"/>
      <c r="U421" s="728"/>
      <c r="V421" s="728"/>
      <c r="W421" s="731">
        <f t="shared" si="227"/>
        <v>0</v>
      </c>
      <c r="X421" s="947"/>
      <c r="Y421" s="616"/>
      <c r="Z421" s="602">
        <f t="shared" si="230"/>
        <v>0</v>
      </c>
      <c r="AA421" s="835"/>
      <c r="AB421" s="602">
        <f t="shared" si="231"/>
        <v>0</v>
      </c>
      <c r="AC421" s="940"/>
      <c r="AD421" s="956"/>
      <c r="AE421" s="956"/>
      <c r="AF421" s="598">
        <v>0</v>
      </c>
      <c r="AG421" s="596"/>
      <c r="AH421" s="728"/>
      <c r="AI421" s="728"/>
      <c r="AJ421" s="729">
        <f t="shared" si="242"/>
        <v>0</v>
      </c>
      <c r="AK421" s="946"/>
      <c r="AL421" s="616"/>
      <c r="AM421" s="602">
        <f t="shared" si="237"/>
        <v>0</v>
      </c>
      <c r="AN421" s="835"/>
      <c r="AO421" s="835">
        <f t="shared" si="243"/>
        <v>0</v>
      </c>
      <c r="AP421" s="940"/>
      <c r="AQ421" s="722">
        <v>0</v>
      </c>
      <c r="AR421" s="728"/>
      <c r="AS421" s="728"/>
      <c r="AT421" s="729">
        <f t="shared" ref="AT421:AT484" si="247">AR421+AS421</f>
        <v>0</v>
      </c>
      <c r="AU421" s="946"/>
      <c r="AV421" s="616"/>
      <c r="AW421" s="602">
        <f t="shared" si="232"/>
        <v>0</v>
      </c>
      <c r="AX421" s="940"/>
      <c r="AY421" s="602">
        <f t="shared" si="233"/>
        <v>0</v>
      </c>
      <c r="AZ421" s="940"/>
      <c r="BA421" s="962"/>
      <c r="BB421" s="962"/>
      <c r="BC421" s="611"/>
      <c r="BD421" s="712">
        <v>9</v>
      </c>
      <c r="BE421" s="596">
        <v>9</v>
      </c>
      <c r="BF421" s="596">
        <f t="shared" si="240"/>
        <v>0</v>
      </c>
      <c r="BG421" s="728">
        <v>19</v>
      </c>
      <c r="BH421" s="728">
        <v>1</v>
      </c>
      <c r="BI421" s="729">
        <f t="shared" si="228"/>
        <v>20</v>
      </c>
      <c r="BJ421" s="729"/>
      <c r="BK421" s="616">
        <v>450</v>
      </c>
      <c r="BL421" s="603">
        <f t="shared" si="239"/>
        <v>9</v>
      </c>
      <c r="BM421" s="964"/>
      <c r="BN421" s="602">
        <f t="shared" si="244"/>
        <v>0</v>
      </c>
      <c r="BO421" s="940"/>
      <c r="BP421" s="593">
        <f t="shared" si="245"/>
        <v>0</v>
      </c>
      <c r="BS421" s="741">
        <v>0</v>
      </c>
      <c r="BT421" s="741">
        <v>0</v>
      </c>
      <c r="BU421" s="741">
        <f t="shared" ref="BU421:BU485" si="248">BS421+BT421</f>
        <v>0</v>
      </c>
      <c r="BV421" s="741">
        <v>0</v>
      </c>
      <c r="BW421" s="741"/>
      <c r="BX421" s="741">
        <v>0</v>
      </c>
      <c r="BY421" s="741">
        <v>0</v>
      </c>
      <c r="BZ421" s="741">
        <f t="shared" si="229"/>
        <v>0</v>
      </c>
      <c r="CA421" s="741">
        <v>0</v>
      </c>
      <c r="CB421" s="741"/>
      <c r="CC421" s="741">
        <f t="shared" ref="CC421:CC484" si="249">BV421+CA421</f>
        <v>0</v>
      </c>
      <c r="CD421" s="751"/>
      <c r="CE421" s="748"/>
      <c r="CF421" s="748"/>
      <c r="CG421" s="748">
        <f t="shared" ref="CG421:CG484" si="250">CE421+CF421</f>
        <v>0</v>
      </c>
      <c r="CH421" s="759"/>
      <c r="CI421" s="742"/>
      <c r="CJ421" s="591">
        <f t="shared" si="246"/>
        <v>0</v>
      </c>
    </row>
    <row r="422" spans="1:88" ht="21.6" customHeight="1" x14ac:dyDescent="0.25">
      <c r="A422" s="596"/>
      <c r="B422" s="596" t="s">
        <v>237</v>
      </c>
      <c r="C422" s="597" t="s">
        <v>445</v>
      </c>
      <c r="D422" s="176" t="s">
        <v>431</v>
      </c>
      <c r="E422" s="598">
        <v>12.666666666666666</v>
      </c>
      <c r="F422" s="596">
        <v>0</v>
      </c>
      <c r="G422" s="598">
        <v>12.666666666666666</v>
      </c>
      <c r="H422" s="596"/>
      <c r="I422" s="596">
        <f t="shared" si="236"/>
        <v>0</v>
      </c>
      <c r="J422" s="728">
        <f>27</f>
        <v>27</v>
      </c>
      <c r="K422" s="728">
        <f>0</f>
        <v>0</v>
      </c>
      <c r="L422" s="731">
        <f t="shared" si="226"/>
        <v>27</v>
      </c>
      <c r="M422" s="947"/>
      <c r="N422" s="617">
        <v>190</v>
      </c>
      <c r="O422" s="602">
        <f t="shared" si="202"/>
        <v>12.666666666666666</v>
      </c>
      <c r="P422" s="940"/>
      <c r="Q422" s="600">
        <f t="shared" si="241"/>
        <v>0</v>
      </c>
      <c r="R422" s="940"/>
      <c r="S422" s="596">
        <v>0</v>
      </c>
      <c r="T422" s="724"/>
      <c r="U422" s="728"/>
      <c r="V422" s="728"/>
      <c r="W422" s="731">
        <f t="shared" si="227"/>
        <v>0</v>
      </c>
      <c r="X422" s="947"/>
      <c r="Y422" s="616"/>
      <c r="Z422" s="602">
        <f t="shared" si="230"/>
        <v>0</v>
      </c>
      <c r="AA422" s="835"/>
      <c r="AB422" s="602">
        <f t="shared" si="231"/>
        <v>0</v>
      </c>
      <c r="AC422" s="940"/>
      <c r="AD422" s="956"/>
      <c r="AE422" s="956"/>
      <c r="AF422" s="598">
        <v>0</v>
      </c>
      <c r="AG422" s="596"/>
      <c r="AH422" s="728"/>
      <c r="AI422" s="728"/>
      <c r="AJ422" s="729">
        <f t="shared" si="242"/>
        <v>0</v>
      </c>
      <c r="AK422" s="946"/>
      <c r="AL422" s="616"/>
      <c r="AM422" s="602">
        <f t="shared" si="237"/>
        <v>0</v>
      </c>
      <c r="AN422" s="835"/>
      <c r="AO422" s="835">
        <f t="shared" si="243"/>
        <v>0</v>
      </c>
      <c r="AP422" s="940"/>
      <c r="AQ422" s="722">
        <v>0</v>
      </c>
      <c r="AR422" s="728"/>
      <c r="AS422" s="728"/>
      <c r="AT422" s="729">
        <f t="shared" si="247"/>
        <v>0</v>
      </c>
      <c r="AU422" s="946"/>
      <c r="AV422" s="616"/>
      <c r="AW422" s="602">
        <f t="shared" si="232"/>
        <v>0</v>
      </c>
      <c r="AX422" s="940"/>
      <c r="AY422" s="602">
        <f t="shared" si="233"/>
        <v>0</v>
      </c>
      <c r="AZ422" s="940"/>
      <c r="BA422" s="962"/>
      <c r="BB422" s="962"/>
      <c r="BC422" s="611"/>
      <c r="BD422" s="712">
        <v>12</v>
      </c>
      <c r="BE422" s="596">
        <v>0</v>
      </c>
      <c r="BF422" s="596">
        <f t="shared" si="240"/>
        <v>12</v>
      </c>
      <c r="BG422" s="728">
        <v>27</v>
      </c>
      <c r="BH422" s="728"/>
      <c r="BI422" s="729">
        <f t="shared" si="228"/>
        <v>27</v>
      </c>
      <c r="BJ422" s="729"/>
      <c r="BK422" s="616">
        <v>600</v>
      </c>
      <c r="BL422" s="603">
        <f t="shared" si="239"/>
        <v>12</v>
      </c>
      <c r="BM422" s="964"/>
      <c r="BN422" s="602">
        <f t="shared" si="244"/>
        <v>0</v>
      </c>
      <c r="BO422" s="940"/>
      <c r="BP422" s="593">
        <f t="shared" si="245"/>
        <v>0</v>
      </c>
      <c r="BS422" s="741">
        <v>0</v>
      </c>
      <c r="BT422" s="741">
        <v>0</v>
      </c>
      <c r="BU422" s="741">
        <f t="shared" si="248"/>
        <v>0</v>
      </c>
      <c r="BV422" s="741">
        <v>0</v>
      </c>
      <c r="BW422" s="741"/>
      <c r="BX422" s="741">
        <v>0</v>
      </c>
      <c r="BY422" s="741">
        <v>0</v>
      </c>
      <c r="BZ422" s="741">
        <f t="shared" si="229"/>
        <v>0</v>
      </c>
      <c r="CA422" s="741">
        <v>0</v>
      </c>
      <c r="CB422" s="741"/>
      <c r="CC422" s="741">
        <f t="shared" si="249"/>
        <v>0</v>
      </c>
      <c r="CD422" s="751"/>
      <c r="CE422" s="748"/>
      <c r="CF422" s="748"/>
      <c r="CG422" s="748">
        <f t="shared" si="250"/>
        <v>0</v>
      </c>
      <c r="CH422" s="759"/>
      <c r="CI422" s="742"/>
      <c r="CJ422" s="591">
        <f t="shared" si="246"/>
        <v>0</v>
      </c>
    </row>
    <row r="423" spans="1:88" ht="21.6" customHeight="1" x14ac:dyDescent="0.25">
      <c r="A423" s="596"/>
      <c r="B423" s="596" t="s">
        <v>237</v>
      </c>
      <c r="C423" s="597" t="s">
        <v>435</v>
      </c>
      <c r="D423" s="176" t="s">
        <v>431</v>
      </c>
      <c r="E423" s="598">
        <v>0</v>
      </c>
      <c r="F423" s="596">
        <v>0</v>
      </c>
      <c r="G423" s="598">
        <v>0</v>
      </c>
      <c r="H423" s="596"/>
      <c r="I423" s="596">
        <f t="shared" si="236"/>
        <v>0</v>
      </c>
      <c r="J423" s="728"/>
      <c r="K423" s="728"/>
      <c r="L423" s="731">
        <f t="shared" si="226"/>
        <v>0</v>
      </c>
      <c r="M423" s="947"/>
      <c r="N423" s="617"/>
      <c r="O423" s="602">
        <f t="shared" si="202"/>
        <v>0</v>
      </c>
      <c r="P423" s="940"/>
      <c r="Q423" s="600">
        <f t="shared" si="241"/>
        <v>0</v>
      </c>
      <c r="R423" s="940"/>
      <c r="S423" s="596">
        <v>0</v>
      </c>
      <c r="T423" s="724"/>
      <c r="U423" s="728"/>
      <c r="V423" s="728"/>
      <c r="W423" s="731">
        <f t="shared" si="227"/>
        <v>0</v>
      </c>
      <c r="X423" s="947"/>
      <c r="Y423" s="616"/>
      <c r="Z423" s="602">
        <f t="shared" si="230"/>
        <v>0</v>
      </c>
      <c r="AA423" s="835"/>
      <c r="AB423" s="602">
        <f t="shared" si="231"/>
        <v>0</v>
      </c>
      <c r="AC423" s="940"/>
      <c r="AD423" s="956"/>
      <c r="AE423" s="956"/>
      <c r="AF423" s="598">
        <v>39.333333333333336</v>
      </c>
      <c r="AG423" s="596"/>
      <c r="AH423" s="728">
        <v>47</v>
      </c>
      <c r="AI423" s="728">
        <v>21</v>
      </c>
      <c r="AJ423" s="729">
        <f t="shared" si="242"/>
        <v>68</v>
      </c>
      <c r="AK423" s="946"/>
      <c r="AL423" s="616">
        <v>590</v>
      </c>
      <c r="AM423" s="602">
        <f t="shared" si="237"/>
        <v>39.333333333333336</v>
      </c>
      <c r="AN423" s="835"/>
      <c r="AO423" s="835">
        <f t="shared" si="243"/>
        <v>0</v>
      </c>
      <c r="AP423" s="940"/>
      <c r="AQ423" s="722">
        <v>0</v>
      </c>
      <c r="AR423" s="728"/>
      <c r="AS423" s="728"/>
      <c r="AT423" s="729">
        <f t="shared" si="247"/>
        <v>0</v>
      </c>
      <c r="AU423" s="946"/>
      <c r="AV423" s="616"/>
      <c r="AW423" s="602">
        <f t="shared" si="232"/>
        <v>0</v>
      </c>
      <c r="AX423" s="940"/>
      <c r="AY423" s="602">
        <f t="shared" si="233"/>
        <v>0</v>
      </c>
      <c r="AZ423" s="940"/>
      <c r="BA423" s="962"/>
      <c r="BB423" s="962"/>
      <c r="BC423" s="611"/>
      <c r="BD423" s="712">
        <v>39</v>
      </c>
      <c r="BE423" s="596">
        <v>39</v>
      </c>
      <c r="BF423" s="596">
        <f t="shared" si="240"/>
        <v>0</v>
      </c>
      <c r="BG423" s="728">
        <v>47</v>
      </c>
      <c r="BH423" s="728">
        <v>21</v>
      </c>
      <c r="BI423" s="729">
        <f t="shared" si="228"/>
        <v>68</v>
      </c>
      <c r="BJ423" s="729"/>
      <c r="BK423" s="616">
        <v>1950</v>
      </c>
      <c r="BL423" s="603">
        <f t="shared" si="239"/>
        <v>39</v>
      </c>
      <c r="BM423" s="964"/>
      <c r="BN423" s="602">
        <f t="shared" si="244"/>
        <v>0</v>
      </c>
      <c r="BO423" s="940"/>
      <c r="BP423" s="593">
        <f t="shared" si="245"/>
        <v>0</v>
      </c>
      <c r="BS423" s="741">
        <v>0</v>
      </c>
      <c r="BT423" s="741">
        <v>0</v>
      </c>
      <c r="BU423" s="741">
        <f t="shared" si="248"/>
        <v>0</v>
      </c>
      <c r="BV423" s="741">
        <v>0</v>
      </c>
      <c r="BW423" s="741"/>
      <c r="BX423" s="741">
        <v>47</v>
      </c>
      <c r="BY423" s="741">
        <v>21</v>
      </c>
      <c r="BZ423" s="741">
        <f t="shared" si="229"/>
        <v>68</v>
      </c>
      <c r="CA423" s="741">
        <v>39.333333333333336</v>
      </c>
      <c r="CB423" s="741"/>
      <c r="CC423" s="741">
        <f t="shared" si="249"/>
        <v>39.333333333333336</v>
      </c>
      <c r="CD423" s="751"/>
      <c r="CE423" s="748">
        <v>47</v>
      </c>
      <c r="CF423" s="748">
        <v>21</v>
      </c>
      <c r="CG423" s="748">
        <f t="shared" si="250"/>
        <v>68</v>
      </c>
      <c r="CH423" s="759">
        <v>39</v>
      </c>
      <c r="CI423" s="742"/>
      <c r="CJ423" s="591">
        <f t="shared" si="246"/>
        <v>0</v>
      </c>
    </row>
    <row r="424" spans="1:88" ht="21.6" customHeight="1" x14ac:dyDescent="0.25">
      <c r="A424" s="596"/>
      <c r="B424" s="596" t="s">
        <v>237</v>
      </c>
      <c r="C424" s="597" t="s">
        <v>432</v>
      </c>
      <c r="D424" s="176" t="s">
        <v>431</v>
      </c>
      <c r="E424" s="598">
        <v>20.666666666666668</v>
      </c>
      <c r="F424" s="596">
        <v>0</v>
      </c>
      <c r="G424" s="598">
        <v>20.666666666666668</v>
      </c>
      <c r="H424" s="596"/>
      <c r="I424" s="596">
        <f t="shared" si="236"/>
        <v>0</v>
      </c>
      <c r="J424" s="728"/>
      <c r="K424" s="728"/>
      <c r="L424" s="731">
        <f t="shared" si="226"/>
        <v>0</v>
      </c>
      <c r="M424" s="947"/>
      <c r="N424" s="617">
        <v>310</v>
      </c>
      <c r="O424" s="602">
        <f t="shared" si="202"/>
        <v>20.666666666666668</v>
      </c>
      <c r="P424" s="940"/>
      <c r="Q424" s="600">
        <f t="shared" si="241"/>
        <v>0</v>
      </c>
      <c r="R424" s="940"/>
      <c r="S424" s="596">
        <v>0</v>
      </c>
      <c r="T424" s="724"/>
      <c r="U424" s="728"/>
      <c r="V424" s="728"/>
      <c r="W424" s="731">
        <f t="shared" si="227"/>
        <v>0</v>
      </c>
      <c r="X424" s="947"/>
      <c r="Y424" s="616"/>
      <c r="Z424" s="602">
        <f t="shared" si="230"/>
        <v>0</v>
      </c>
      <c r="AA424" s="835"/>
      <c r="AB424" s="602">
        <f t="shared" si="231"/>
        <v>0</v>
      </c>
      <c r="AC424" s="940"/>
      <c r="AD424" s="956"/>
      <c r="AE424" s="956"/>
      <c r="AF424" s="598">
        <v>0</v>
      </c>
      <c r="AG424" s="596"/>
      <c r="AH424" s="728"/>
      <c r="AI424" s="728"/>
      <c r="AJ424" s="729">
        <f t="shared" si="242"/>
        <v>0</v>
      </c>
      <c r="AK424" s="946"/>
      <c r="AL424" s="616"/>
      <c r="AM424" s="602">
        <f t="shared" si="237"/>
        <v>0</v>
      </c>
      <c r="AN424" s="835"/>
      <c r="AO424" s="835">
        <f t="shared" si="243"/>
        <v>0</v>
      </c>
      <c r="AP424" s="940"/>
      <c r="AQ424" s="722">
        <v>0</v>
      </c>
      <c r="AR424" s="728"/>
      <c r="AS424" s="728"/>
      <c r="AT424" s="729">
        <f t="shared" si="247"/>
        <v>0</v>
      </c>
      <c r="AU424" s="946"/>
      <c r="AV424" s="616"/>
      <c r="AW424" s="602">
        <f t="shared" si="232"/>
        <v>0</v>
      </c>
      <c r="AX424" s="940"/>
      <c r="AY424" s="602">
        <f>AQ424-AW424</f>
        <v>0</v>
      </c>
      <c r="AZ424" s="940"/>
      <c r="BA424" s="962"/>
      <c r="BB424" s="962"/>
      <c r="BC424" s="611"/>
      <c r="BD424" s="712">
        <v>20</v>
      </c>
      <c r="BE424" s="596">
        <v>20</v>
      </c>
      <c r="BF424" s="596">
        <f t="shared" si="240"/>
        <v>0</v>
      </c>
      <c r="BG424" s="728">
        <v>16</v>
      </c>
      <c r="BH424" s="728">
        <v>9</v>
      </c>
      <c r="BI424" s="729">
        <f t="shared" si="228"/>
        <v>25</v>
      </c>
      <c r="BJ424" s="729"/>
      <c r="BK424" s="616">
        <v>1000</v>
      </c>
      <c r="BL424" s="603">
        <f t="shared" si="239"/>
        <v>20</v>
      </c>
      <c r="BM424" s="964"/>
      <c r="BN424" s="602">
        <f t="shared" si="244"/>
        <v>0</v>
      </c>
      <c r="BO424" s="940"/>
      <c r="BP424" s="593">
        <f t="shared" si="245"/>
        <v>0</v>
      </c>
      <c r="BS424" s="741">
        <v>0</v>
      </c>
      <c r="BT424" s="741">
        <v>0</v>
      </c>
      <c r="BU424" s="741">
        <f t="shared" si="248"/>
        <v>0</v>
      </c>
      <c r="BV424" s="741">
        <v>0</v>
      </c>
      <c r="BW424" s="741"/>
      <c r="BX424" s="741">
        <v>0</v>
      </c>
      <c r="BY424" s="741">
        <v>0</v>
      </c>
      <c r="BZ424" s="741">
        <f t="shared" si="229"/>
        <v>0</v>
      </c>
      <c r="CA424" s="741">
        <v>0</v>
      </c>
      <c r="CB424" s="741"/>
      <c r="CC424" s="741">
        <f t="shared" si="249"/>
        <v>0</v>
      </c>
      <c r="CD424" s="751"/>
      <c r="CE424" s="748">
        <v>16</v>
      </c>
      <c r="CF424" s="748">
        <v>9</v>
      </c>
      <c r="CG424" s="748">
        <f t="shared" si="250"/>
        <v>25</v>
      </c>
      <c r="CH424" s="759">
        <v>20</v>
      </c>
      <c r="CI424" s="742"/>
      <c r="CJ424" s="591">
        <f t="shared" si="246"/>
        <v>0</v>
      </c>
    </row>
    <row r="425" spans="1:88" ht="21.6" customHeight="1" x14ac:dyDescent="0.25">
      <c r="A425" s="596"/>
      <c r="B425" s="596" t="s">
        <v>237</v>
      </c>
      <c r="C425" s="597" t="s">
        <v>436</v>
      </c>
      <c r="D425" s="176" t="s">
        <v>437</v>
      </c>
      <c r="E425" s="598">
        <v>0</v>
      </c>
      <c r="F425" s="596">
        <v>0</v>
      </c>
      <c r="G425" s="598"/>
      <c r="H425" s="596"/>
      <c r="I425" s="596">
        <f t="shared" si="236"/>
        <v>0</v>
      </c>
      <c r="J425" s="728"/>
      <c r="K425" s="728"/>
      <c r="L425" s="731">
        <f t="shared" si="226"/>
        <v>0</v>
      </c>
      <c r="M425" s="947"/>
      <c r="N425" s="617"/>
      <c r="O425" s="602">
        <f t="shared" si="202"/>
        <v>0</v>
      </c>
      <c r="P425" s="940"/>
      <c r="Q425" s="600">
        <f t="shared" si="241"/>
        <v>0</v>
      </c>
      <c r="R425" s="940"/>
      <c r="S425" s="596">
        <v>0</v>
      </c>
      <c r="T425" s="724"/>
      <c r="U425" s="728"/>
      <c r="V425" s="728"/>
      <c r="W425" s="731">
        <f t="shared" si="227"/>
        <v>0</v>
      </c>
      <c r="X425" s="947"/>
      <c r="Y425" s="616"/>
      <c r="Z425" s="602">
        <f t="shared" si="230"/>
        <v>0</v>
      </c>
      <c r="AA425" s="835"/>
      <c r="AB425" s="602">
        <f t="shared" si="231"/>
        <v>0</v>
      </c>
      <c r="AC425" s="940"/>
      <c r="AD425" s="956"/>
      <c r="AE425" s="956"/>
      <c r="AF425" s="598">
        <v>38.666666666666664</v>
      </c>
      <c r="AG425" s="596"/>
      <c r="AH425" s="728">
        <v>44</v>
      </c>
      <c r="AI425" s="728">
        <v>16</v>
      </c>
      <c r="AJ425" s="729">
        <f t="shared" si="242"/>
        <v>60</v>
      </c>
      <c r="AK425" s="946"/>
      <c r="AL425" s="616">
        <v>580</v>
      </c>
      <c r="AM425" s="602">
        <f t="shared" si="237"/>
        <v>38.666666666666664</v>
      </c>
      <c r="AN425" s="835"/>
      <c r="AO425" s="835">
        <f t="shared" si="243"/>
        <v>0</v>
      </c>
      <c r="AP425" s="940"/>
      <c r="AQ425" s="722">
        <v>0</v>
      </c>
      <c r="AR425" s="728"/>
      <c r="AS425" s="728"/>
      <c r="AT425" s="729">
        <f t="shared" si="247"/>
        <v>0</v>
      </c>
      <c r="AU425" s="946"/>
      <c r="AV425" s="616"/>
      <c r="AW425" s="602">
        <f t="shared" si="232"/>
        <v>0</v>
      </c>
      <c r="AX425" s="940"/>
      <c r="AY425" s="602">
        <f t="shared" si="233"/>
        <v>0</v>
      </c>
      <c r="AZ425" s="940"/>
      <c r="BA425" s="962"/>
      <c r="BB425" s="962"/>
      <c r="BC425" s="611"/>
      <c r="BD425" s="712">
        <v>38</v>
      </c>
      <c r="BE425" s="596">
        <v>38</v>
      </c>
      <c r="BF425" s="596">
        <f t="shared" si="240"/>
        <v>0</v>
      </c>
      <c r="BG425" s="728">
        <v>44</v>
      </c>
      <c r="BH425" s="728">
        <v>16</v>
      </c>
      <c r="BI425" s="729">
        <f t="shared" si="228"/>
        <v>60</v>
      </c>
      <c r="BJ425" s="729"/>
      <c r="BK425" s="616">
        <v>1900</v>
      </c>
      <c r="BL425" s="603">
        <f t="shared" si="239"/>
        <v>38</v>
      </c>
      <c r="BM425" s="964"/>
      <c r="BN425" s="602">
        <f t="shared" si="244"/>
        <v>0</v>
      </c>
      <c r="BO425" s="940"/>
      <c r="BP425" s="593">
        <f t="shared" si="245"/>
        <v>0</v>
      </c>
      <c r="BS425" s="741">
        <v>0</v>
      </c>
      <c r="BT425" s="741">
        <v>0</v>
      </c>
      <c r="BU425" s="741">
        <f t="shared" si="248"/>
        <v>0</v>
      </c>
      <c r="BV425" s="741">
        <v>0</v>
      </c>
      <c r="BW425" s="741"/>
      <c r="BX425" s="741">
        <v>44</v>
      </c>
      <c r="BY425" s="741">
        <v>16</v>
      </c>
      <c r="BZ425" s="741">
        <f t="shared" si="229"/>
        <v>60</v>
      </c>
      <c r="CA425" s="741">
        <v>38.666666666666664</v>
      </c>
      <c r="CB425" s="741"/>
      <c r="CC425" s="741">
        <f t="shared" si="249"/>
        <v>38.666666666666664</v>
      </c>
      <c r="CD425" s="751"/>
      <c r="CE425" s="748">
        <v>44</v>
      </c>
      <c r="CF425" s="748">
        <v>16</v>
      </c>
      <c r="CG425" s="748">
        <f t="shared" si="250"/>
        <v>60</v>
      </c>
      <c r="CH425" s="759">
        <v>38</v>
      </c>
      <c r="CI425" s="742"/>
      <c r="CJ425" s="591">
        <f t="shared" si="246"/>
        <v>0</v>
      </c>
    </row>
    <row r="426" spans="1:88" ht="21.6" customHeight="1" x14ac:dyDescent="0.25">
      <c r="A426" s="596"/>
      <c r="B426" s="596" t="s">
        <v>237</v>
      </c>
      <c r="C426" s="597" t="s">
        <v>463</v>
      </c>
      <c r="D426" s="176" t="s">
        <v>437</v>
      </c>
      <c r="E426" s="598">
        <v>0</v>
      </c>
      <c r="F426" s="596">
        <v>0</v>
      </c>
      <c r="G426" s="598"/>
      <c r="H426" s="596"/>
      <c r="I426" s="596">
        <f t="shared" si="236"/>
        <v>0</v>
      </c>
      <c r="J426" s="728"/>
      <c r="K426" s="728"/>
      <c r="L426" s="731">
        <f t="shared" si="226"/>
        <v>0</v>
      </c>
      <c r="M426" s="947"/>
      <c r="N426" s="617"/>
      <c r="O426" s="602">
        <f t="shared" ref="O426:O492" si="251">N426/15</f>
        <v>0</v>
      </c>
      <c r="P426" s="940"/>
      <c r="Q426" s="600">
        <f t="shared" si="241"/>
        <v>0</v>
      </c>
      <c r="R426" s="940"/>
      <c r="S426" s="596">
        <v>0</v>
      </c>
      <c r="T426" s="724"/>
      <c r="U426" s="728"/>
      <c r="V426" s="728"/>
      <c r="W426" s="731">
        <f t="shared" si="227"/>
        <v>0</v>
      </c>
      <c r="X426" s="947"/>
      <c r="Y426" s="616"/>
      <c r="Z426" s="602">
        <f t="shared" si="230"/>
        <v>0</v>
      </c>
      <c r="AA426" s="835"/>
      <c r="AB426" s="602">
        <f t="shared" si="231"/>
        <v>0</v>
      </c>
      <c r="AC426" s="940"/>
      <c r="AD426" s="956"/>
      <c r="AE426" s="956"/>
      <c r="AF426" s="598">
        <v>47</v>
      </c>
      <c r="AG426" s="596"/>
      <c r="AH426" s="728"/>
      <c r="AI426" s="728"/>
      <c r="AJ426" s="729">
        <f t="shared" si="242"/>
        <v>0</v>
      </c>
      <c r="AK426" s="946"/>
      <c r="AL426" s="616">
        <v>705</v>
      </c>
      <c r="AM426" s="602">
        <f t="shared" si="237"/>
        <v>47</v>
      </c>
      <c r="AN426" s="835"/>
      <c r="AO426" s="835">
        <f t="shared" si="243"/>
        <v>0</v>
      </c>
      <c r="AP426" s="940"/>
      <c r="AQ426" s="722">
        <v>0</v>
      </c>
      <c r="AR426" s="728"/>
      <c r="AS426" s="728"/>
      <c r="AT426" s="729">
        <f t="shared" si="247"/>
        <v>0</v>
      </c>
      <c r="AU426" s="946"/>
      <c r="AV426" s="616"/>
      <c r="AW426" s="602">
        <f t="shared" si="232"/>
        <v>0</v>
      </c>
      <c r="AX426" s="940"/>
      <c r="AY426" s="602">
        <f t="shared" si="233"/>
        <v>0</v>
      </c>
      <c r="AZ426" s="940"/>
      <c r="BA426" s="962"/>
      <c r="BB426" s="962"/>
      <c r="BC426" s="611"/>
      <c r="BD426" s="712">
        <v>46</v>
      </c>
      <c r="BE426" s="596">
        <v>46</v>
      </c>
      <c r="BF426" s="596">
        <f t="shared" si="240"/>
        <v>0</v>
      </c>
      <c r="BG426" s="728">
        <v>66</v>
      </c>
      <c r="BH426" s="728">
        <v>10</v>
      </c>
      <c r="BI426" s="729">
        <f t="shared" si="228"/>
        <v>76</v>
      </c>
      <c r="BJ426" s="729"/>
      <c r="BK426" s="616">
        <v>2300</v>
      </c>
      <c r="BL426" s="603">
        <f t="shared" si="239"/>
        <v>46</v>
      </c>
      <c r="BM426" s="964"/>
      <c r="BN426" s="602">
        <f t="shared" si="244"/>
        <v>0</v>
      </c>
      <c r="BO426" s="940"/>
      <c r="BP426" s="593">
        <f t="shared" si="245"/>
        <v>0</v>
      </c>
      <c r="BS426" s="741">
        <v>0</v>
      </c>
      <c r="BT426" s="741">
        <v>0</v>
      </c>
      <c r="BU426" s="741">
        <f t="shared" si="248"/>
        <v>0</v>
      </c>
      <c r="BV426" s="741">
        <v>0</v>
      </c>
      <c r="BW426" s="741"/>
      <c r="BX426" s="741">
        <v>0</v>
      </c>
      <c r="BY426" s="741">
        <v>0</v>
      </c>
      <c r="BZ426" s="741">
        <f t="shared" si="229"/>
        <v>0</v>
      </c>
      <c r="CA426" s="741">
        <v>47</v>
      </c>
      <c r="CB426" s="741"/>
      <c r="CC426" s="741">
        <f t="shared" si="249"/>
        <v>47</v>
      </c>
      <c r="CD426" s="751"/>
      <c r="CE426" s="748"/>
      <c r="CF426" s="748"/>
      <c r="CG426" s="748">
        <f t="shared" si="250"/>
        <v>0</v>
      </c>
      <c r="CH426" s="759"/>
      <c r="CI426" s="742"/>
      <c r="CJ426" s="591">
        <f t="shared" si="246"/>
        <v>0</v>
      </c>
    </row>
    <row r="427" spans="1:88" ht="21.6" customHeight="1" x14ac:dyDescent="0.25">
      <c r="A427" s="596"/>
      <c r="B427" s="596" t="s">
        <v>237</v>
      </c>
      <c r="C427" s="597" t="s">
        <v>323</v>
      </c>
      <c r="D427" s="176" t="s">
        <v>431</v>
      </c>
      <c r="E427" s="598">
        <v>0</v>
      </c>
      <c r="F427" s="596">
        <v>0</v>
      </c>
      <c r="G427" s="598">
        <v>0</v>
      </c>
      <c r="H427" s="596"/>
      <c r="I427" s="596">
        <f t="shared" si="236"/>
        <v>0</v>
      </c>
      <c r="J427" s="728">
        <f>25</f>
        <v>25</v>
      </c>
      <c r="K427" s="728">
        <f>1</f>
        <v>1</v>
      </c>
      <c r="L427" s="731">
        <f t="shared" si="226"/>
        <v>26</v>
      </c>
      <c r="M427" s="947"/>
      <c r="N427" s="617"/>
      <c r="O427" s="602">
        <f t="shared" si="251"/>
        <v>0</v>
      </c>
      <c r="P427" s="940"/>
      <c r="Q427" s="600">
        <f t="shared" si="241"/>
        <v>0</v>
      </c>
      <c r="R427" s="940"/>
      <c r="S427" s="596">
        <v>0</v>
      </c>
      <c r="T427" s="724"/>
      <c r="U427" s="728"/>
      <c r="V427" s="728"/>
      <c r="W427" s="731">
        <f t="shared" si="227"/>
        <v>0</v>
      </c>
      <c r="X427" s="947"/>
      <c r="Y427" s="616"/>
      <c r="Z427" s="602">
        <f t="shared" si="230"/>
        <v>0</v>
      </c>
      <c r="AA427" s="835"/>
      <c r="AB427" s="602">
        <f t="shared" si="231"/>
        <v>0</v>
      </c>
      <c r="AC427" s="940"/>
      <c r="AD427" s="956"/>
      <c r="AE427" s="956"/>
      <c r="AF427" s="598">
        <v>24</v>
      </c>
      <c r="AG427" s="596"/>
      <c r="AH427" s="728">
        <v>39</v>
      </c>
      <c r="AI427" s="728">
        <v>4</v>
      </c>
      <c r="AJ427" s="729">
        <f t="shared" si="242"/>
        <v>43</v>
      </c>
      <c r="AK427" s="946"/>
      <c r="AL427" s="616">
        <v>360</v>
      </c>
      <c r="AM427" s="602">
        <f t="shared" si="237"/>
        <v>24</v>
      </c>
      <c r="AN427" s="835"/>
      <c r="AO427" s="835">
        <f t="shared" si="243"/>
        <v>0</v>
      </c>
      <c r="AP427" s="940"/>
      <c r="AQ427" s="722">
        <v>0</v>
      </c>
      <c r="AR427" s="728"/>
      <c r="AS427" s="728"/>
      <c r="AT427" s="729">
        <f t="shared" si="247"/>
        <v>0</v>
      </c>
      <c r="AU427" s="946"/>
      <c r="AV427" s="616"/>
      <c r="AW427" s="602">
        <f t="shared" si="232"/>
        <v>0</v>
      </c>
      <c r="AX427" s="940"/>
      <c r="AY427" s="602">
        <f t="shared" si="233"/>
        <v>0</v>
      </c>
      <c r="AZ427" s="940"/>
      <c r="BA427" s="962"/>
      <c r="BB427" s="962"/>
      <c r="BC427" s="611"/>
      <c r="BD427" s="712">
        <v>24</v>
      </c>
      <c r="BE427" s="596">
        <v>24</v>
      </c>
      <c r="BF427" s="596">
        <f t="shared" si="240"/>
        <v>0</v>
      </c>
      <c r="BG427" s="728">
        <v>39</v>
      </c>
      <c r="BH427" s="728">
        <v>4</v>
      </c>
      <c r="BI427" s="729">
        <f t="shared" si="228"/>
        <v>43</v>
      </c>
      <c r="BJ427" s="729"/>
      <c r="BK427" s="616">
        <v>1200</v>
      </c>
      <c r="BL427" s="603">
        <f t="shared" si="239"/>
        <v>24</v>
      </c>
      <c r="BM427" s="964"/>
      <c r="BN427" s="602">
        <f t="shared" si="244"/>
        <v>0</v>
      </c>
      <c r="BO427" s="940"/>
      <c r="BP427" s="593">
        <f t="shared" si="245"/>
        <v>0</v>
      </c>
      <c r="BS427" s="741">
        <v>0</v>
      </c>
      <c r="BT427" s="741">
        <v>0</v>
      </c>
      <c r="BU427" s="741">
        <f t="shared" si="248"/>
        <v>0</v>
      </c>
      <c r="BV427" s="741">
        <v>0</v>
      </c>
      <c r="BW427" s="741"/>
      <c r="BX427" s="741">
        <v>39</v>
      </c>
      <c r="BY427" s="741">
        <v>4</v>
      </c>
      <c r="BZ427" s="741">
        <f t="shared" si="229"/>
        <v>43</v>
      </c>
      <c r="CA427" s="741">
        <v>24</v>
      </c>
      <c r="CB427" s="741"/>
      <c r="CC427" s="741">
        <f t="shared" si="249"/>
        <v>24</v>
      </c>
      <c r="CD427" s="751"/>
      <c r="CE427" s="748">
        <v>39</v>
      </c>
      <c r="CF427" s="748">
        <v>4</v>
      </c>
      <c r="CG427" s="748">
        <f t="shared" si="250"/>
        <v>43</v>
      </c>
      <c r="CH427" s="759">
        <v>24</v>
      </c>
      <c r="CI427" s="742"/>
      <c r="CJ427" s="591">
        <f t="shared" si="246"/>
        <v>0</v>
      </c>
    </row>
    <row r="428" spans="1:88" ht="39" customHeight="1" x14ac:dyDescent="0.25">
      <c r="A428" s="596"/>
      <c r="B428" s="596" t="s">
        <v>237</v>
      </c>
      <c r="C428" s="597" t="s">
        <v>325</v>
      </c>
      <c r="D428" s="176" t="s">
        <v>431</v>
      </c>
      <c r="E428" s="598">
        <v>21.333333333333332</v>
      </c>
      <c r="F428" s="596">
        <v>0</v>
      </c>
      <c r="G428" s="598">
        <v>21.333333333333332</v>
      </c>
      <c r="H428" s="596"/>
      <c r="I428" s="596">
        <f t="shared" si="236"/>
        <v>0</v>
      </c>
      <c r="J428" s="728"/>
      <c r="K428" s="728"/>
      <c r="L428" s="731">
        <f t="shared" si="226"/>
        <v>0</v>
      </c>
      <c r="M428" s="947"/>
      <c r="N428" s="617">
        <v>320</v>
      </c>
      <c r="O428" s="602">
        <f t="shared" si="251"/>
        <v>21.333333333333332</v>
      </c>
      <c r="P428" s="940"/>
      <c r="Q428" s="600">
        <f t="shared" si="241"/>
        <v>0</v>
      </c>
      <c r="R428" s="940"/>
      <c r="S428" s="596">
        <v>0</v>
      </c>
      <c r="T428" s="724"/>
      <c r="U428" s="728"/>
      <c r="V428" s="728"/>
      <c r="W428" s="731">
        <f t="shared" si="227"/>
        <v>0</v>
      </c>
      <c r="X428" s="947"/>
      <c r="Y428" s="616"/>
      <c r="Z428" s="602">
        <f t="shared" si="230"/>
        <v>0</v>
      </c>
      <c r="AA428" s="835"/>
      <c r="AB428" s="602">
        <f t="shared" si="231"/>
        <v>0</v>
      </c>
      <c r="AC428" s="940"/>
      <c r="AD428" s="956"/>
      <c r="AE428" s="956"/>
      <c r="AF428" s="598">
        <v>0</v>
      </c>
      <c r="AG428" s="596"/>
      <c r="AH428" s="728"/>
      <c r="AI428" s="728"/>
      <c r="AJ428" s="729">
        <f t="shared" si="242"/>
        <v>0</v>
      </c>
      <c r="AK428" s="946"/>
      <c r="AL428" s="616"/>
      <c r="AM428" s="602">
        <f t="shared" si="237"/>
        <v>0</v>
      </c>
      <c r="AN428" s="835"/>
      <c r="AO428" s="835">
        <f t="shared" si="243"/>
        <v>0</v>
      </c>
      <c r="AP428" s="940"/>
      <c r="AQ428" s="722">
        <v>0</v>
      </c>
      <c r="AR428" s="728"/>
      <c r="AS428" s="728"/>
      <c r="AT428" s="729">
        <f t="shared" si="247"/>
        <v>0</v>
      </c>
      <c r="AU428" s="946"/>
      <c r="AV428" s="616"/>
      <c r="AW428" s="602">
        <f t="shared" si="232"/>
        <v>0</v>
      </c>
      <c r="AX428" s="940"/>
      <c r="AY428" s="602">
        <f t="shared" si="233"/>
        <v>0</v>
      </c>
      <c r="AZ428" s="940"/>
      <c r="BA428" s="962"/>
      <c r="BB428" s="962"/>
      <c r="BC428" s="611"/>
      <c r="BD428" s="712">
        <v>21</v>
      </c>
      <c r="BE428" s="596">
        <v>21</v>
      </c>
      <c r="BF428" s="596">
        <f t="shared" si="240"/>
        <v>0</v>
      </c>
      <c r="BG428" s="728">
        <v>25</v>
      </c>
      <c r="BH428" s="728">
        <v>1</v>
      </c>
      <c r="BI428" s="729">
        <f t="shared" si="228"/>
        <v>26</v>
      </c>
      <c r="BJ428" s="729"/>
      <c r="BK428" s="616">
        <v>1050</v>
      </c>
      <c r="BL428" s="603">
        <f t="shared" si="239"/>
        <v>21</v>
      </c>
      <c r="BM428" s="964"/>
      <c r="BN428" s="602">
        <f t="shared" si="244"/>
        <v>0</v>
      </c>
      <c r="BO428" s="940"/>
      <c r="BP428" s="593">
        <f t="shared" si="245"/>
        <v>0</v>
      </c>
      <c r="BS428" s="741">
        <v>0</v>
      </c>
      <c r="BT428" s="741">
        <v>0</v>
      </c>
      <c r="BU428" s="741">
        <f t="shared" si="248"/>
        <v>0</v>
      </c>
      <c r="BV428" s="741">
        <v>0</v>
      </c>
      <c r="BW428" s="741"/>
      <c r="BX428" s="741">
        <v>0</v>
      </c>
      <c r="BY428" s="741">
        <v>0</v>
      </c>
      <c r="BZ428" s="741">
        <f t="shared" si="229"/>
        <v>0</v>
      </c>
      <c r="CA428" s="741">
        <v>0</v>
      </c>
      <c r="CB428" s="741"/>
      <c r="CC428" s="741">
        <f t="shared" si="249"/>
        <v>0</v>
      </c>
      <c r="CD428" s="751"/>
      <c r="CE428" s="748">
        <v>25</v>
      </c>
      <c r="CF428" s="748">
        <v>1</v>
      </c>
      <c r="CG428" s="748">
        <f t="shared" si="250"/>
        <v>26</v>
      </c>
      <c r="CH428" s="759">
        <v>21</v>
      </c>
      <c r="CI428" s="742"/>
      <c r="CJ428" s="591">
        <f t="shared" si="246"/>
        <v>0</v>
      </c>
    </row>
    <row r="429" spans="1:88" ht="21.6" customHeight="1" x14ac:dyDescent="0.25">
      <c r="A429" s="596"/>
      <c r="B429" s="596" t="s">
        <v>237</v>
      </c>
      <c r="C429" s="597" t="s">
        <v>324</v>
      </c>
      <c r="D429" s="176" t="s">
        <v>431</v>
      </c>
      <c r="E429" s="598">
        <v>0</v>
      </c>
      <c r="F429" s="596">
        <v>0</v>
      </c>
      <c r="G429" s="598">
        <v>0</v>
      </c>
      <c r="H429" s="596"/>
      <c r="I429" s="596">
        <f t="shared" si="236"/>
        <v>0</v>
      </c>
      <c r="J429" s="728"/>
      <c r="K429" s="728"/>
      <c r="L429" s="731">
        <f t="shared" si="226"/>
        <v>0</v>
      </c>
      <c r="M429" s="947"/>
      <c r="N429" s="617"/>
      <c r="O429" s="602">
        <f t="shared" si="251"/>
        <v>0</v>
      </c>
      <c r="P429" s="940"/>
      <c r="Q429" s="600">
        <f t="shared" si="241"/>
        <v>0</v>
      </c>
      <c r="R429" s="940"/>
      <c r="S429" s="596">
        <v>0</v>
      </c>
      <c r="T429" s="724"/>
      <c r="U429" s="728"/>
      <c r="V429" s="728"/>
      <c r="W429" s="731">
        <f t="shared" si="227"/>
        <v>0</v>
      </c>
      <c r="X429" s="947"/>
      <c r="Y429" s="616"/>
      <c r="Z429" s="602">
        <f t="shared" si="230"/>
        <v>0</v>
      </c>
      <c r="AA429" s="835"/>
      <c r="AB429" s="602">
        <f t="shared" si="231"/>
        <v>0</v>
      </c>
      <c r="AC429" s="940"/>
      <c r="AD429" s="956"/>
      <c r="AE429" s="956"/>
      <c r="AF429" s="598">
        <v>19</v>
      </c>
      <c r="AG429" s="596"/>
      <c r="AH429" s="728">
        <v>44</v>
      </c>
      <c r="AI429" s="728">
        <v>11</v>
      </c>
      <c r="AJ429" s="729">
        <f t="shared" si="242"/>
        <v>55</v>
      </c>
      <c r="AK429" s="946"/>
      <c r="AL429" s="616">
        <v>285</v>
      </c>
      <c r="AM429" s="602">
        <f t="shared" si="237"/>
        <v>19</v>
      </c>
      <c r="AN429" s="835"/>
      <c r="AO429" s="835">
        <f t="shared" si="243"/>
        <v>0</v>
      </c>
      <c r="AP429" s="940"/>
      <c r="AQ429" s="722">
        <v>0</v>
      </c>
      <c r="AR429" s="728"/>
      <c r="AS429" s="728"/>
      <c r="AT429" s="729">
        <f t="shared" si="247"/>
        <v>0</v>
      </c>
      <c r="AU429" s="946"/>
      <c r="AV429" s="616"/>
      <c r="AW429" s="602">
        <f t="shared" si="232"/>
        <v>0</v>
      </c>
      <c r="AX429" s="940"/>
      <c r="AY429" s="602">
        <f t="shared" si="233"/>
        <v>0</v>
      </c>
      <c r="AZ429" s="940"/>
      <c r="BA429" s="962"/>
      <c r="BB429" s="962"/>
      <c r="BC429" s="611"/>
      <c r="BD429" s="712">
        <v>19</v>
      </c>
      <c r="BE429" s="596">
        <v>19</v>
      </c>
      <c r="BF429" s="596">
        <f t="shared" si="240"/>
        <v>0</v>
      </c>
      <c r="BG429" s="728">
        <v>44</v>
      </c>
      <c r="BH429" s="728">
        <v>11</v>
      </c>
      <c r="BI429" s="729">
        <f t="shared" si="228"/>
        <v>55</v>
      </c>
      <c r="BJ429" s="729"/>
      <c r="BK429" s="616">
        <v>950</v>
      </c>
      <c r="BL429" s="603">
        <f t="shared" si="239"/>
        <v>19</v>
      </c>
      <c r="BM429" s="964"/>
      <c r="BN429" s="602">
        <f t="shared" si="244"/>
        <v>0</v>
      </c>
      <c r="BO429" s="940"/>
      <c r="BP429" s="593">
        <f t="shared" si="245"/>
        <v>0</v>
      </c>
      <c r="BS429" s="741">
        <v>0</v>
      </c>
      <c r="BT429" s="741">
        <v>0</v>
      </c>
      <c r="BU429" s="741">
        <f t="shared" si="248"/>
        <v>0</v>
      </c>
      <c r="BV429" s="741">
        <v>0</v>
      </c>
      <c r="BW429" s="741"/>
      <c r="BX429" s="741">
        <v>44</v>
      </c>
      <c r="BY429" s="741">
        <v>11</v>
      </c>
      <c r="BZ429" s="741">
        <f t="shared" si="229"/>
        <v>55</v>
      </c>
      <c r="CA429" s="741">
        <v>19</v>
      </c>
      <c r="CB429" s="741"/>
      <c r="CC429" s="741">
        <f t="shared" si="249"/>
        <v>19</v>
      </c>
      <c r="CD429" s="751"/>
      <c r="CE429" s="748">
        <v>44</v>
      </c>
      <c r="CF429" s="748">
        <v>11</v>
      </c>
      <c r="CG429" s="748">
        <f t="shared" si="250"/>
        <v>55</v>
      </c>
      <c r="CH429" s="759">
        <v>19</v>
      </c>
      <c r="CI429" s="742"/>
      <c r="CJ429" s="591">
        <f t="shared" si="246"/>
        <v>0</v>
      </c>
    </row>
    <row r="430" spans="1:88" ht="37.5" customHeight="1" x14ac:dyDescent="0.25">
      <c r="A430" s="596"/>
      <c r="B430" s="596" t="s">
        <v>237</v>
      </c>
      <c r="C430" s="597" t="s">
        <v>438</v>
      </c>
      <c r="D430" s="176" t="s">
        <v>431</v>
      </c>
      <c r="E430" s="598">
        <v>15</v>
      </c>
      <c r="F430" s="596">
        <v>0</v>
      </c>
      <c r="G430" s="598"/>
      <c r="H430" s="596"/>
      <c r="I430" s="596">
        <f t="shared" si="236"/>
        <v>0</v>
      </c>
      <c r="J430" s="728">
        <v>21</v>
      </c>
      <c r="K430" s="728">
        <v>2</v>
      </c>
      <c r="L430" s="731">
        <f t="shared" si="226"/>
        <v>23</v>
      </c>
      <c r="M430" s="947"/>
      <c r="N430" s="617">
        <f>225</f>
        <v>225</v>
      </c>
      <c r="O430" s="602">
        <f t="shared" si="251"/>
        <v>15</v>
      </c>
      <c r="P430" s="940"/>
      <c r="Q430" s="600">
        <f t="shared" si="241"/>
        <v>0</v>
      </c>
      <c r="R430" s="940"/>
      <c r="S430" s="596">
        <v>0</v>
      </c>
      <c r="T430" s="724"/>
      <c r="U430" s="728"/>
      <c r="V430" s="728"/>
      <c r="W430" s="731">
        <f t="shared" si="227"/>
        <v>0</v>
      </c>
      <c r="X430" s="947"/>
      <c r="Y430" s="616"/>
      <c r="Z430" s="602">
        <f t="shared" si="230"/>
        <v>0</v>
      </c>
      <c r="AA430" s="835"/>
      <c r="AB430" s="602">
        <f t="shared" si="231"/>
        <v>0</v>
      </c>
      <c r="AC430" s="940"/>
      <c r="AD430" s="956"/>
      <c r="AE430" s="956"/>
      <c r="AF430" s="598">
        <v>0</v>
      </c>
      <c r="AG430" s="596"/>
      <c r="AH430" s="728"/>
      <c r="AI430" s="728"/>
      <c r="AJ430" s="729">
        <f t="shared" si="242"/>
        <v>0</v>
      </c>
      <c r="AK430" s="946"/>
      <c r="AL430" s="616"/>
      <c r="AM430" s="602">
        <f t="shared" si="237"/>
        <v>0</v>
      </c>
      <c r="AN430" s="835"/>
      <c r="AO430" s="835">
        <f t="shared" si="243"/>
        <v>0</v>
      </c>
      <c r="AP430" s="940"/>
      <c r="AQ430" s="722">
        <v>0</v>
      </c>
      <c r="AR430" s="728"/>
      <c r="AS430" s="728"/>
      <c r="AT430" s="729">
        <f t="shared" si="247"/>
        <v>0</v>
      </c>
      <c r="AU430" s="946"/>
      <c r="AV430" s="616"/>
      <c r="AW430" s="602">
        <f t="shared" si="232"/>
        <v>0</v>
      </c>
      <c r="AX430" s="940"/>
      <c r="AY430" s="602">
        <f t="shared" si="233"/>
        <v>0</v>
      </c>
      <c r="AZ430" s="940"/>
      <c r="BA430" s="962"/>
      <c r="BB430" s="962"/>
      <c r="BC430" s="611"/>
      <c r="BD430" s="712">
        <v>15</v>
      </c>
      <c r="BE430" s="596">
        <v>0</v>
      </c>
      <c r="BF430" s="596">
        <f t="shared" si="240"/>
        <v>15</v>
      </c>
      <c r="BG430" s="728">
        <v>21</v>
      </c>
      <c r="BH430" s="728">
        <v>2</v>
      </c>
      <c r="BI430" s="729">
        <f t="shared" si="228"/>
        <v>23</v>
      </c>
      <c r="BJ430" s="729"/>
      <c r="BK430" s="616">
        <v>750</v>
      </c>
      <c r="BL430" s="603">
        <f t="shared" si="239"/>
        <v>15</v>
      </c>
      <c r="BM430" s="964"/>
      <c r="BN430" s="602">
        <f t="shared" si="244"/>
        <v>0</v>
      </c>
      <c r="BO430" s="940"/>
      <c r="BP430" s="593">
        <f t="shared" si="245"/>
        <v>0</v>
      </c>
      <c r="BS430" s="741">
        <v>21</v>
      </c>
      <c r="BT430" s="741">
        <v>2</v>
      </c>
      <c r="BU430" s="741">
        <f t="shared" si="248"/>
        <v>23</v>
      </c>
      <c r="BV430" s="741">
        <v>15</v>
      </c>
      <c r="BW430" s="741"/>
      <c r="BX430" s="741">
        <v>0</v>
      </c>
      <c r="BY430" s="741">
        <v>0</v>
      </c>
      <c r="BZ430" s="741">
        <f t="shared" si="229"/>
        <v>0</v>
      </c>
      <c r="CA430" s="741">
        <v>0</v>
      </c>
      <c r="CB430" s="741"/>
      <c r="CC430" s="741">
        <f t="shared" si="249"/>
        <v>15</v>
      </c>
      <c r="CD430" s="751"/>
      <c r="CE430" s="748">
        <v>21</v>
      </c>
      <c r="CF430" s="748">
        <v>2</v>
      </c>
      <c r="CG430" s="748">
        <f t="shared" si="250"/>
        <v>23</v>
      </c>
      <c r="CH430" s="759">
        <v>15</v>
      </c>
      <c r="CI430" s="742"/>
      <c r="CJ430" s="591">
        <f t="shared" si="246"/>
        <v>0</v>
      </c>
    </row>
    <row r="431" spans="1:88" ht="21.6" customHeight="1" x14ac:dyDescent="0.25">
      <c r="A431" s="596"/>
      <c r="B431" s="596" t="s">
        <v>237</v>
      </c>
      <c r="C431" s="597" t="s">
        <v>441</v>
      </c>
      <c r="D431" s="176" t="s">
        <v>431</v>
      </c>
      <c r="E431" s="598">
        <v>29.666666666666668</v>
      </c>
      <c r="F431" s="596">
        <v>0</v>
      </c>
      <c r="G431" s="598"/>
      <c r="H431" s="596"/>
      <c r="I431" s="596">
        <f t="shared" si="236"/>
        <v>0</v>
      </c>
      <c r="J431" s="728">
        <v>25</v>
      </c>
      <c r="K431" s="728">
        <v>1</v>
      </c>
      <c r="L431" s="731">
        <f t="shared" si="226"/>
        <v>26</v>
      </c>
      <c r="M431" s="947"/>
      <c r="N431" s="617">
        <v>445</v>
      </c>
      <c r="O431" s="602">
        <f t="shared" si="251"/>
        <v>29.666666666666668</v>
      </c>
      <c r="P431" s="940"/>
      <c r="Q431" s="600">
        <f t="shared" si="241"/>
        <v>0</v>
      </c>
      <c r="R431" s="940"/>
      <c r="S431" s="596">
        <v>0</v>
      </c>
      <c r="T431" s="724"/>
      <c r="U431" s="728"/>
      <c r="V431" s="728"/>
      <c r="W431" s="731">
        <f t="shared" si="227"/>
        <v>0</v>
      </c>
      <c r="X431" s="947"/>
      <c r="Y431" s="616"/>
      <c r="Z431" s="602">
        <f t="shared" si="230"/>
        <v>0</v>
      </c>
      <c r="AA431" s="835"/>
      <c r="AB431" s="602">
        <f t="shared" si="231"/>
        <v>0</v>
      </c>
      <c r="AC431" s="940"/>
      <c r="AD431" s="956"/>
      <c r="AE431" s="956"/>
      <c r="AF431" s="598">
        <v>0</v>
      </c>
      <c r="AG431" s="596"/>
      <c r="AH431" s="728"/>
      <c r="AI431" s="728"/>
      <c r="AJ431" s="729">
        <f t="shared" si="242"/>
        <v>0</v>
      </c>
      <c r="AK431" s="946"/>
      <c r="AL431" s="616"/>
      <c r="AM431" s="602">
        <f t="shared" si="237"/>
        <v>0</v>
      </c>
      <c r="AN431" s="835"/>
      <c r="AO431" s="835">
        <f t="shared" si="243"/>
        <v>0</v>
      </c>
      <c r="AP431" s="940"/>
      <c r="AQ431" s="722">
        <v>0</v>
      </c>
      <c r="AR431" s="728"/>
      <c r="AS431" s="728"/>
      <c r="AT431" s="729">
        <f t="shared" si="247"/>
        <v>0</v>
      </c>
      <c r="AU431" s="946"/>
      <c r="AV431" s="616"/>
      <c r="AW431" s="602">
        <f t="shared" si="232"/>
        <v>0</v>
      </c>
      <c r="AX431" s="940"/>
      <c r="AY431" s="602">
        <f t="shared" si="233"/>
        <v>0</v>
      </c>
      <c r="AZ431" s="940"/>
      <c r="BA431" s="962"/>
      <c r="BB431" s="962"/>
      <c r="BC431" s="611"/>
      <c r="BD431" s="712">
        <v>29</v>
      </c>
      <c r="BE431" s="596">
        <v>0</v>
      </c>
      <c r="BF431" s="596">
        <f t="shared" si="240"/>
        <v>29</v>
      </c>
      <c r="BG431" s="728">
        <v>25</v>
      </c>
      <c r="BH431" s="728">
        <v>1</v>
      </c>
      <c r="BI431" s="729">
        <f t="shared" si="228"/>
        <v>26</v>
      </c>
      <c r="BJ431" s="729"/>
      <c r="BK431" s="616">
        <v>1450</v>
      </c>
      <c r="BL431" s="603">
        <f t="shared" si="239"/>
        <v>29</v>
      </c>
      <c r="BM431" s="964"/>
      <c r="BN431" s="602">
        <f t="shared" si="244"/>
        <v>0</v>
      </c>
      <c r="BO431" s="940"/>
      <c r="BP431" s="593">
        <f t="shared" si="245"/>
        <v>0</v>
      </c>
      <c r="BS431" s="741">
        <v>25</v>
      </c>
      <c r="BT431" s="741">
        <v>1</v>
      </c>
      <c r="BU431" s="741">
        <f t="shared" si="248"/>
        <v>26</v>
      </c>
      <c r="BV431" s="741">
        <v>29.666666666666668</v>
      </c>
      <c r="BW431" s="741"/>
      <c r="BX431" s="741">
        <v>0</v>
      </c>
      <c r="BY431" s="741">
        <v>0</v>
      </c>
      <c r="BZ431" s="741">
        <f t="shared" si="229"/>
        <v>0</v>
      </c>
      <c r="CA431" s="741">
        <v>0</v>
      </c>
      <c r="CB431" s="741"/>
      <c r="CC431" s="741">
        <f t="shared" si="249"/>
        <v>29.666666666666668</v>
      </c>
      <c r="CD431" s="751"/>
      <c r="CE431" s="748">
        <v>25</v>
      </c>
      <c r="CF431" s="748">
        <v>1</v>
      </c>
      <c r="CG431" s="748">
        <f t="shared" si="250"/>
        <v>26</v>
      </c>
      <c r="CH431" s="759">
        <v>29</v>
      </c>
      <c r="CI431" s="742"/>
      <c r="CJ431" s="591">
        <f t="shared" si="246"/>
        <v>0</v>
      </c>
    </row>
    <row r="432" spans="1:88" ht="21.6" customHeight="1" x14ac:dyDescent="0.25">
      <c r="A432" s="596"/>
      <c r="B432" s="596" t="s">
        <v>237</v>
      </c>
      <c r="C432" s="597" t="s">
        <v>439</v>
      </c>
      <c r="D432" s="176" t="s">
        <v>431</v>
      </c>
      <c r="E432" s="598">
        <v>15.666666666666666</v>
      </c>
      <c r="F432" s="596">
        <v>0</v>
      </c>
      <c r="G432" s="598"/>
      <c r="H432" s="596"/>
      <c r="I432" s="596">
        <f t="shared" si="236"/>
        <v>0</v>
      </c>
      <c r="J432" s="728">
        <v>18</v>
      </c>
      <c r="K432" s="728">
        <v>3</v>
      </c>
      <c r="L432" s="731">
        <f t="shared" si="226"/>
        <v>21</v>
      </c>
      <c r="M432" s="947"/>
      <c r="N432" s="617">
        <v>240</v>
      </c>
      <c r="O432" s="602">
        <f t="shared" si="251"/>
        <v>16</v>
      </c>
      <c r="P432" s="940"/>
      <c r="Q432" s="600">
        <v>0</v>
      </c>
      <c r="R432" s="940"/>
      <c r="S432" s="596">
        <v>0</v>
      </c>
      <c r="T432" s="724"/>
      <c r="U432" s="728"/>
      <c r="V432" s="728"/>
      <c r="W432" s="731">
        <f t="shared" si="227"/>
        <v>0</v>
      </c>
      <c r="X432" s="947"/>
      <c r="Y432" s="616"/>
      <c r="Z432" s="602">
        <f t="shared" si="230"/>
        <v>0</v>
      </c>
      <c r="AA432" s="835"/>
      <c r="AB432" s="602">
        <f t="shared" si="231"/>
        <v>0</v>
      </c>
      <c r="AC432" s="940"/>
      <c r="AD432" s="956"/>
      <c r="AE432" s="956"/>
      <c r="AF432" s="598">
        <v>0</v>
      </c>
      <c r="AG432" s="596"/>
      <c r="AH432" s="728"/>
      <c r="AI432" s="728"/>
      <c r="AJ432" s="729">
        <f t="shared" si="242"/>
        <v>0</v>
      </c>
      <c r="AK432" s="946"/>
      <c r="AL432" s="616"/>
      <c r="AM432" s="602">
        <f t="shared" si="237"/>
        <v>0</v>
      </c>
      <c r="AN432" s="835"/>
      <c r="AO432" s="835">
        <f t="shared" si="243"/>
        <v>0</v>
      </c>
      <c r="AP432" s="940"/>
      <c r="AQ432" s="722">
        <v>0</v>
      </c>
      <c r="AR432" s="728"/>
      <c r="AS432" s="728"/>
      <c r="AT432" s="729">
        <f t="shared" si="247"/>
        <v>0</v>
      </c>
      <c r="AU432" s="946"/>
      <c r="AV432" s="616"/>
      <c r="AW432" s="602">
        <f t="shared" si="232"/>
        <v>0</v>
      </c>
      <c r="AX432" s="940"/>
      <c r="AY432" s="602">
        <f t="shared" si="233"/>
        <v>0</v>
      </c>
      <c r="AZ432" s="940"/>
      <c r="BA432" s="962"/>
      <c r="BB432" s="962"/>
      <c r="BC432" s="611"/>
      <c r="BD432" s="712">
        <v>15</v>
      </c>
      <c r="BE432" s="596">
        <v>0</v>
      </c>
      <c r="BF432" s="596">
        <f t="shared" si="240"/>
        <v>15</v>
      </c>
      <c r="BG432" s="728">
        <v>18</v>
      </c>
      <c r="BH432" s="728">
        <v>3</v>
      </c>
      <c r="BI432" s="729">
        <f t="shared" si="228"/>
        <v>21</v>
      </c>
      <c r="BJ432" s="729"/>
      <c r="BK432" s="616">
        <v>750</v>
      </c>
      <c r="BL432" s="603">
        <f t="shared" si="239"/>
        <v>15</v>
      </c>
      <c r="BM432" s="964"/>
      <c r="BN432" s="602">
        <f t="shared" si="244"/>
        <v>0</v>
      </c>
      <c r="BO432" s="940"/>
      <c r="BP432" s="593">
        <f t="shared" si="245"/>
        <v>0</v>
      </c>
      <c r="BS432" s="741">
        <v>18</v>
      </c>
      <c r="BT432" s="741">
        <v>3</v>
      </c>
      <c r="BU432" s="741">
        <f t="shared" si="248"/>
        <v>21</v>
      </c>
      <c r="BV432" s="741">
        <v>16</v>
      </c>
      <c r="BW432" s="741"/>
      <c r="BX432" s="741">
        <v>0</v>
      </c>
      <c r="BY432" s="741">
        <v>0</v>
      </c>
      <c r="BZ432" s="741">
        <f t="shared" si="229"/>
        <v>0</v>
      </c>
      <c r="CA432" s="741">
        <v>0</v>
      </c>
      <c r="CB432" s="741"/>
      <c r="CC432" s="741">
        <f t="shared" si="249"/>
        <v>16</v>
      </c>
      <c r="CD432" s="751"/>
      <c r="CE432" s="748">
        <v>18</v>
      </c>
      <c r="CF432" s="748">
        <v>3</v>
      </c>
      <c r="CG432" s="748">
        <f t="shared" si="250"/>
        <v>21</v>
      </c>
      <c r="CH432" s="759">
        <v>15</v>
      </c>
      <c r="CI432" s="742"/>
      <c r="CJ432" s="591">
        <f t="shared" si="246"/>
        <v>0</v>
      </c>
    </row>
    <row r="433" spans="1:88" ht="21.6" customHeight="1" x14ac:dyDescent="0.25">
      <c r="A433" s="596"/>
      <c r="B433" s="596" t="s">
        <v>237</v>
      </c>
      <c r="C433" s="597" t="s">
        <v>440</v>
      </c>
      <c r="D433" s="176" t="s">
        <v>431</v>
      </c>
      <c r="E433" s="598">
        <v>15</v>
      </c>
      <c r="F433" s="596">
        <v>0</v>
      </c>
      <c r="G433" s="598"/>
      <c r="H433" s="596"/>
      <c r="I433" s="596">
        <f t="shared" si="236"/>
        <v>0</v>
      </c>
      <c r="J433" s="728">
        <v>29</v>
      </c>
      <c r="K433" s="728">
        <v>4</v>
      </c>
      <c r="L433" s="731">
        <f t="shared" si="226"/>
        <v>33</v>
      </c>
      <c r="M433" s="947"/>
      <c r="N433" s="617">
        <v>225</v>
      </c>
      <c r="O433" s="602">
        <f t="shared" si="251"/>
        <v>15</v>
      </c>
      <c r="P433" s="940"/>
      <c r="Q433" s="600">
        <f t="shared" si="241"/>
        <v>0</v>
      </c>
      <c r="R433" s="940"/>
      <c r="S433" s="596">
        <v>0</v>
      </c>
      <c r="T433" s="724"/>
      <c r="U433" s="728"/>
      <c r="V433" s="728"/>
      <c r="W433" s="731">
        <f t="shared" si="227"/>
        <v>0</v>
      </c>
      <c r="X433" s="947"/>
      <c r="Y433" s="616"/>
      <c r="Z433" s="602">
        <f t="shared" si="230"/>
        <v>0</v>
      </c>
      <c r="AA433" s="835"/>
      <c r="AB433" s="602">
        <f t="shared" si="231"/>
        <v>0</v>
      </c>
      <c r="AC433" s="940"/>
      <c r="AD433" s="956"/>
      <c r="AE433" s="956"/>
      <c r="AF433" s="598">
        <v>0</v>
      </c>
      <c r="AG433" s="596"/>
      <c r="AH433" s="728"/>
      <c r="AI433" s="728"/>
      <c r="AJ433" s="729">
        <f t="shared" si="242"/>
        <v>0</v>
      </c>
      <c r="AK433" s="946"/>
      <c r="AL433" s="616"/>
      <c r="AM433" s="602">
        <f t="shared" si="237"/>
        <v>0</v>
      </c>
      <c r="AN433" s="835"/>
      <c r="AO433" s="835">
        <f t="shared" si="243"/>
        <v>0</v>
      </c>
      <c r="AP433" s="940"/>
      <c r="AQ433" s="722">
        <v>0</v>
      </c>
      <c r="AR433" s="728"/>
      <c r="AS433" s="728"/>
      <c r="AT433" s="729">
        <f t="shared" si="247"/>
        <v>0</v>
      </c>
      <c r="AU433" s="946"/>
      <c r="AV433" s="616"/>
      <c r="AW433" s="602">
        <f t="shared" si="232"/>
        <v>0</v>
      </c>
      <c r="AX433" s="940"/>
      <c r="AY433" s="602">
        <f t="shared" si="233"/>
        <v>0</v>
      </c>
      <c r="AZ433" s="940"/>
      <c r="BA433" s="962"/>
      <c r="BB433" s="962"/>
      <c r="BC433" s="611"/>
      <c r="BD433" s="712">
        <v>15</v>
      </c>
      <c r="BE433" s="596">
        <v>0</v>
      </c>
      <c r="BF433" s="596">
        <f t="shared" si="240"/>
        <v>15</v>
      </c>
      <c r="BG433" s="728">
        <v>29</v>
      </c>
      <c r="BH433" s="728">
        <v>4</v>
      </c>
      <c r="BI433" s="729">
        <f t="shared" si="228"/>
        <v>33</v>
      </c>
      <c r="BJ433" s="729"/>
      <c r="BK433" s="616">
        <v>750</v>
      </c>
      <c r="BL433" s="603">
        <f t="shared" si="239"/>
        <v>15</v>
      </c>
      <c r="BM433" s="964"/>
      <c r="BN433" s="602">
        <f t="shared" si="244"/>
        <v>0</v>
      </c>
      <c r="BO433" s="940"/>
      <c r="BP433" s="593">
        <f t="shared" si="245"/>
        <v>0</v>
      </c>
      <c r="BS433" s="741">
        <v>29</v>
      </c>
      <c r="BT433" s="741">
        <v>4</v>
      </c>
      <c r="BU433" s="741">
        <f t="shared" si="248"/>
        <v>33</v>
      </c>
      <c r="BV433" s="741">
        <v>15</v>
      </c>
      <c r="BW433" s="741"/>
      <c r="BX433" s="741">
        <v>0</v>
      </c>
      <c r="BY433" s="741">
        <v>0</v>
      </c>
      <c r="BZ433" s="741">
        <f t="shared" si="229"/>
        <v>0</v>
      </c>
      <c r="CA433" s="741">
        <v>0</v>
      </c>
      <c r="CB433" s="741"/>
      <c r="CC433" s="741">
        <f t="shared" si="249"/>
        <v>15</v>
      </c>
      <c r="CD433" s="751"/>
      <c r="CE433" s="748">
        <v>29</v>
      </c>
      <c r="CF433" s="748">
        <v>4</v>
      </c>
      <c r="CG433" s="748">
        <f t="shared" si="250"/>
        <v>33</v>
      </c>
      <c r="CH433" s="759">
        <v>15</v>
      </c>
      <c r="CI433" s="742"/>
      <c r="CJ433" s="591">
        <f t="shared" si="246"/>
        <v>0</v>
      </c>
    </row>
    <row r="434" spans="1:88" ht="21.6" customHeight="1" x14ac:dyDescent="0.25">
      <c r="A434" s="596"/>
      <c r="B434" s="596" t="s">
        <v>237</v>
      </c>
      <c r="C434" s="597" t="s">
        <v>442</v>
      </c>
      <c r="D434" s="176" t="s">
        <v>431</v>
      </c>
      <c r="E434" s="598">
        <v>11.666666666666666</v>
      </c>
      <c r="F434" s="596">
        <v>0</v>
      </c>
      <c r="G434" s="598"/>
      <c r="H434" s="596"/>
      <c r="I434" s="596">
        <f t="shared" si="236"/>
        <v>0</v>
      </c>
      <c r="J434" s="728">
        <v>23</v>
      </c>
      <c r="K434" s="728"/>
      <c r="L434" s="731">
        <f t="shared" si="226"/>
        <v>23</v>
      </c>
      <c r="M434" s="947"/>
      <c r="N434" s="617">
        <v>190</v>
      </c>
      <c r="O434" s="602">
        <f t="shared" si="251"/>
        <v>12.666666666666666</v>
      </c>
      <c r="P434" s="940"/>
      <c r="Q434" s="600">
        <v>0</v>
      </c>
      <c r="R434" s="940"/>
      <c r="S434" s="596">
        <v>0</v>
      </c>
      <c r="T434" s="724"/>
      <c r="U434" s="728"/>
      <c r="V434" s="728"/>
      <c r="W434" s="731">
        <f t="shared" si="227"/>
        <v>0</v>
      </c>
      <c r="X434" s="947"/>
      <c r="Y434" s="616"/>
      <c r="Z434" s="602">
        <f t="shared" si="230"/>
        <v>0</v>
      </c>
      <c r="AA434" s="835"/>
      <c r="AB434" s="602">
        <f t="shared" si="231"/>
        <v>0</v>
      </c>
      <c r="AC434" s="940"/>
      <c r="AD434" s="956"/>
      <c r="AE434" s="956"/>
      <c r="AF434" s="598">
        <v>0</v>
      </c>
      <c r="AG434" s="596"/>
      <c r="AH434" s="728"/>
      <c r="AI434" s="728"/>
      <c r="AJ434" s="729">
        <f t="shared" si="242"/>
        <v>0</v>
      </c>
      <c r="AK434" s="946"/>
      <c r="AL434" s="616"/>
      <c r="AM434" s="602">
        <f t="shared" si="237"/>
        <v>0</v>
      </c>
      <c r="AN434" s="835"/>
      <c r="AO434" s="835">
        <f t="shared" si="243"/>
        <v>0</v>
      </c>
      <c r="AP434" s="940"/>
      <c r="AQ434" s="722">
        <v>0</v>
      </c>
      <c r="AR434" s="728"/>
      <c r="AS434" s="728"/>
      <c r="AT434" s="729">
        <f t="shared" si="247"/>
        <v>0</v>
      </c>
      <c r="AU434" s="946"/>
      <c r="AV434" s="616"/>
      <c r="AW434" s="602">
        <f t="shared" si="232"/>
        <v>0</v>
      </c>
      <c r="AX434" s="940"/>
      <c r="AY434" s="602">
        <f t="shared" si="233"/>
        <v>0</v>
      </c>
      <c r="AZ434" s="940"/>
      <c r="BA434" s="962"/>
      <c r="BB434" s="962"/>
      <c r="BC434" s="611"/>
      <c r="BD434" s="712">
        <v>11</v>
      </c>
      <c r="BE434" s="596">
        <v>0</v>
      </c>
      <c r="BF434" s="596">
        <f t="shared" si="240"/>
        <v>11</v>
      </c>
      <c r="BG434" s="728">
        <v>23</v>
      </c>
      <c r="BH434" s="728"/>
      <c r="BI434" s="729">
        <f t="shared" si="228"/>
        <v>23</v>
      </c>
      <c r="BJ434" s="729"/>
      <c r="BK434" s="616">
        <v>650</v>
      </c>
      <c r="BL434" s="603">
        <f t="shared" si="239"/>
        <v>13</v>
      </c>
      <c r="BM434" s="964"/>
      <c r="BN434" s="602">
        <f t="shared" si="244"/>
        <v>-2</v>
      </c>
      <c r="BO434" s="940"/>
      <c r="BP434" s="593">
        <f t="shared" si="245"/>
        <v>0</v>
      </c>
      <c r="BS434" s="741">
        <v>23</v>
      </c>
      <c r="BT434" s="741">
        <v>0</v>
      </c>
      <c r="BU434" s="741">
        <f t="shared" si="248"/>
        <v>23</v>
      </c>
      <c r="BV434" s="741">
        <v>12.666666666666666</v>
      </c>
      <c r="BW434" s="741"/>
      <c r="BX434" s="741">
        <v>0</v>
      </c>
      <c r="BY434" s="741">
        <v>0</v>
      </c>
      <c r="BZ434" s="741">
        <f t="shared" si="229"/>
        <v>0</v>
      </c>
      <c r="CA434" s="741">
        <v>0</v>
      </c>
      <c r="CB434" s="741"/>
      <c r="CC434" s="741">
        <f t="shared" si="249"/>
        <v>12.666666666666666</v>
      </c>
      <c r="CD434" s="751"/>
      <c r="CE434" s="748">
        <v>23</v>
      </c>
      <c r="CF434" s="748"/>
      <c r="CG434" s="748">
        <f t="shared" si="250"/>
        <v>23</v>
      </c>
      <c r="CH434" s="759">
        <v>13</v>
      </c>
      <c r="CI434" s="742"/>
      <c r="CJ434" s="591">
        <f t="shared" si="246"/>
        <v>-2</v>
      </c>
    </row>
    <row r="435" spans="1:88" ht="21.6" customHeight="1" x14ac:dyDescent="0.25">
      <c r="A435" s="596"/>
      <c r="B435" s="596" t="s">
        <v>237</v>
      </c>
      <c r="C435" s="597" t="s">
        <v>443</v>
      </c>
      <c r="D435" s="176" t="s">
        <v>431</v>
      </c>
      <c r="E435" s="598">
        <v>10</v>
      </c>
      <c r="F435" s="596">
        <v>0</v>
      </c>
      <c r="G435" s="598"/>
      <c r="H435" s="596"/>
      <c r="I435" s="596">
        <f t="shared" si="236"/>
        <v>0</v>
      </c>
      <c r="J435" s="728">
        <v>12</v>
      </c>
      <c r="K435" s="728">
        <v>3</v>
      </c>
      <c r="L435" s="731">
        <f t="shared" si="226"/>
        <v>15</v>
      </c>
      <c r="M435" s="947"/>
      <c r="N435" s="617">
        <v>150</v>
      </c>
      <c r="O435" s="602">
        <f t="shared" si="251"/>
        <v>10</v>
      </c>
      <c r="P435" s="940"/>
      <c r="Q435" s="600">
        <f t="shared" si="241"/>
        <v>0</v>
      </c>
      <c r="R435" s="940"/>
      <c r="S435" s="596">
        <v>0</v>
      </c>
      <c r="T435" s="724"/>
      <c r="U435" s="728"/>
      <c r="V435" s="728"/>
      <c r="W435" s="731">
        <f t="shared" si="227"/>
        <v>0</v>
      </c>
      <c r="X435" s="947"/>
      <c r="Y435" s="616"/>
      <c r="Z435" s="602">
        <f t="shared" si="230"/>
        <v>0</v>
      </c>
      <c r="AA435" s="835"/>
      <c r="AB435" s="602">
        <f t="shared" si="231"/>
        <v>0</v>
      </c>
      <c r="AC435" s="940"/>
      <c r="AD435" s="956"/>
      <c r="AE435" s="956"/>
      <c r="AF435" s="598">
        <v>0</v>
      </c>
      <c r="AG435" s="596"/>
      <c r="AH435" s="728"/>
      <c r="AI435" s="728"/>
      <c r="AJ435" s="729">
        <f t="shared" si="242"/>
        <v>0</v>
      </c>
      <c r="AK435" s="946"/>
      <c r="AL435" s="616"/>
      <c r="AM435" s="602">
        <f t="shared" si="237"/>
        <v>0</v>
      </c>
      <c r="AN435" s="835"/>
      <c r="AO435" s="835">
        <f t="shared" si="243"/>
        <v>0</v>
      </c>
      <c r="AP435" s="940"/>
      <c r="AQ435" s="722">
        <v>0</v>
      </c>
      <c r="AR435" s="728"/>
      <c r="AS435" s="728"/>
      <c r="AT435" s="729">
        <f t="shared" si="247"/>
        <v>0</v>
      </c>
      <c r="AU435" s="946"/>
      <c r="AV435" s="616"/>
      <c r="AW435" s="602">
        <f t="shared" si="232"/>
        <v>0</v>
      </c>
      <c r="AX435" s="940"/>
      <c r="AY435" s="602">
        <f t="shared" si="233"/>
        <v>0</v>
      </c>
      <c r="AZ435" s="940"/>
      <c r="BA435" s="962"/>
      <c r="BB435" s="962"/>
      <c r="BC435" s="611"/>
      <c r="BD435" s="712">
        <v>10</v>
      </c>
      <c r="BE435" s="596">
        <v>0</v>
      </c>
      <c r="BF435" s="596">
        <f t="shared" si="240"/>
        <v>10</v>
      </c>
      <c r="BG435" s="728">
        <v>12</v>
      </c>
      <c r="BH435" s="728">
        <v>3</v>
      </c>
      <c r="BI435" s="729">
        <f t="shared" si="228"/>
        <v>15</v>
      </c>
      <c r="BJ435" s="729"/>
      <c r="BK435" s="616">
        <v>500</v>
      </c>
      <c r="BL435" s="603">
        <f t="shared" si="239"/>
        <v>10</v>
      </c>
      <c r="BM435" s="964"/>
      <c r="BN435" s="602">
        <f t="shared" si="244"/>
        <v>0</v>
      </c>
      <c r="BO435" s="940"/>
      <c r="BP435" s="593">
        <f t="shared" si="245"/>
        <v>0</v>
      </c>
      <c r="BS435" s="741">
        <v>12</v>
      </c>
      <c r="BT435" s="741">
        <v>3</v>
      </c>
      <c r="BU435" s="741">
        <f t="shared" si="248"/>
        <v>15</v>
      </c>
      <c r="BV435" s="741">
        <v>10</v>
      </c>
      <c r="BW435" s="741"/>
      <c r="BX435" s="741">
        <v>0</v>
      </c>
      <c r="BY435" s="741">
        <v>0</v>
      </c>
      <c r="BZ435" s="741">
        <f t="shared" si="229"/>
        <v>0</v>
      </c>
      <c r="CA435" s="741">
        <v>0</v>
      </c>
      <c r="CB435" s="741"/>
      <c r="CC435" s="741">
        <f t="shared" si="249"/>
        <v>10</v>
      </c>
      <c r="CD435" s="751"/>
      <c r="CE435" s="748">
        <v>12</v>
      </c>
      <c r="CF435" s="748">
        <v>3</v>
      </c>
      <c r="CG435" s="748">
        <f t="shared" si="250"/>
        <v>15</v>
      </c>
      <c r="CH435" s="759">
        <v>10</v>
      </c>
      <c r="CI435" s="742"/>
      <c r="CJ435" s="591">
        <f t="shared" si="246"/>
        <v>0</v>
      </c>
    </row>
    <row r="436" spans="1:88" ht="21.6" customHeight="1" x14ac:dyDescent="0.25">
      <c r="A436" s="596"/>
      <c r="B436" s="596"/>
      <c r="C436" s="597"/>
      <c r="D436" s="173"/>
      <c r="E436" s="598">
        <v>0</v>
      </c>
      <c r="F436" s="596">
        <v>0</v>
      </c>
      <c r="G436" s="598"/>
      <c r="H436" s="596"/>
      <c r="I436" s="596">
        <f>F436-H436</f>
        <v>0</v>
      </c>
      <c r="J436" s="728"/>
      <c r="K436" s="728"/>
      <c r="L436" s="731">
        <f t="shared" si="226"/>
        <v>0</v>
      </c>
      <c r="M436" s="947"/>
      <c r="N436" s="617"/>
      <c r="O436" s="602">
        <f t="shared" si="251"/>
        <v>0</v>
      </c>
      <c r="P436" s="940"/>
      <c r="Q436" s="600">
        <f t="shared" si="241"/>
        <v>0</v>
      </c>
      <c r="R436" s="940"/>
      <c r="S436" s="596">
        <v>0</v>
      </c>
      <c r="T436" s="724"/>
      <c r="U436" s="728"/>
      <c r="V436" s="728"/>
      <c r="W436" s="731">
        <f t="shared" si="227"/>
        <v>0</v>
      </c>
      <c r="X436" s="947"/>
      <c r="Y436" s="616"/>
      <c r="Z436" s="602">
        <f t="shared" si="230"/>
        <v>0</v>
      </c>
      <c r="AA436" s="835"/>
      <c r="AB436" s="602">
        <f t="shared" si="231"/>
        <v>0</v>
      </c>
      <c r="AC436" s="940"/>
      <c r="AD436" s="956"/>
      <c r="AE436" s="956"/>
      <c r="AF436" s="598"/>
      <c r="AG436" s="596"/>
      <c r="AH436" s="728"/>
      <c r="AI436" s="728"/>
      <c r="AJ436" s="729">
        <f t="shared" si="242"/>
        <v>0</v>
      </c>
      <c r="AK436" s="946"/>
      <c r="AL436" s="616"/>
      <c r="AM436" s="602">
        <f t="shared" si="237"/>
        <v>0</v>
      </c>
      <c r="AN436" s="835"/>
      <c r="AO436" s="835">
        <f t="shared" si="243"/>
        <v>0</v>
      </c>
      <c r="AP436" s="940"/>
      <c r="AQ436" s="722">
        <v>0</v>
      </c>
      <c r="AR436" s="728"/>
      <c r="AS436" s="728"/>
      <c r="AT436" s="729">
        <f t="shared" si="247"/>
        <v>0</v>
      </c>
      <c r="AU436" s="946"/>
      <c r="AV436" s="616"/>
      <c r="AW436" s="602">
        <f t="shared" si="232"/>
        <v>0</v>
      </c>
      <c r="AX436" s="940"/>
      <c r="AY436" s="602">
        <f t="shared" si="233"/>
        <v>0</v>
      </c>
      <c r="AZ436" s="940"/>
      <c r="BA436" s="962"/>
      <c r="BB436" s="962"/>
      <c r="BC436" s="611"/>
      <c r="BD436" s="712"/>
      <c r="BE436" s="596"/>
      <c r="BF436" s="596">
        <f t="shared" si="240"/>
        <v>0</v>
      </c>
      <c r="BG436" s="728"/>
      <c r="BH436" s="728"/>
      <c r="BI436" s="729">
        <f t="shared" si="228"/>
        <v>0</v>
      </c>
      <c r="BJ436" s="729"/>
      <c r="BK436" s="616"/>
      <c r="BL436" s="603">
        <f t="shared" si="239"/>
        <v>0</v>
      </c>
      <c r="BM436" s="964"/>
      <c r="BN436" s="602">
        <f t="shared" si="244"/>
        <v>0</v>
      </c>
      <c r="BO436" s="940"/>
      <c r="BP436" s="593">
        <f t="shared" si="245"/>
        <v>0</v>
      </c>
      <c r="BS436" s="741">
        <v>0</v>
      </c>
      <c r="BT436" s="741">
        <v>0</v>
      </c>
      <c r="BU436" s="741">
        <f t="shared" si="248"/>
        <v>0</v>
      </c>
      <c r="BV436" s="741">
        <v>0</v>
      </c>
      <c r="BW436" s="741"/>
      <c r="BX436" s="741">
        <v>0</v>
      </c>
      <c r="BY436" s="741">
        <v>0</v>
      </c>
      <c r="BZ436" s="741">
        <f t="shared" si="229"/>
        <v>0</v>
      </c>
      <c r="CA436" s="741">
        <v>0</v>
      </c>
      <c r="CB436" s="741"/>
      <c r="CC436" s="741">
        <f t="shared" si="249"/>
        <v>0</v>
      </c>
      <c r="CD436" s="751"/>
      <c r="CE436" s="748"/>
      <c r="CF436" s="748"/>
      <c r="CG436" s="748">
        <f t="shared" si="250"/>
        <v>0</v>
      </c>
      <c r="CH436" s="759"/>
      <c r="CI436" s="742"/>
      <c r="CJ436" s="591">
        <f t="shared" si="246"/>
        <v>0</v>
      </c>
    </row>
    <row r="437" spans="1:88" s="594" customFormat="1" ht="21.6" customHeight="1" x14ac:dyDescent="0.25">
      <c r="A437" s="612" t="s">
        <v>130</v>
      </c>
      <c r="B437" s="612" t="s">
        <v>238</v>
      </c>
      <c r="C437" s="613" t="s">
        <v>245</v>
      </c>
      <c r="D437" s="182" t="s">
        <v>431</v>
      </c>
      <c r="E437" s="614">
        <v>15</v>
      </c>
      <c r="F437" s="612">
        <f>SUM(E437:E464)</f>
        <v>1335.6666666666663</v>
      </c>
      <c r="G437" s="614">
        <v>15</v>
      </c>
      <c r="H437" s="612">
        <f>SUM(G437:G464)</f>
        <v>1034.3333333333335</v>
      </c>
      <c r="I437" s="1114">
        <f>E437-G437</f>
        <v>0</v>
      </c>
      <c r="J437" s="728">
        <f>6+5</f>
        <v>11</v>
      </c>
      <c r="K437" s="728">
        <f>9+2</f>
        <v>11</v>
      </c>
      <c r="L437" s="731">
        <f t="shared" si="226"/>
        <v>22</v>
      </c>
      <c r="M437" s="947">
        <f>SUM(L437:L464)</f>
        <v>729</v>
      </c>
      <c r="N437" s="617">
        <v>225</v>
      </c>
      <c r="O437" s="602">
        <f t="shared" si="251"/>
        <v>15</v>
      </c>
      <c r="P437" s="940">
        <f>SUM(O437:O464)</f>
        <v>1337</v>
      </c>
      <c r="Q437" s="600">
        <f t="shared" si="241"/>
        <v>0</v>
      </c>
      <c r="R437" s="940">
        <f>SUM(Q437:Q464)</f>
        <v>-1.3333333333336839</v>
      </c>
      <c r="S437" s="596">
        <v>0</v>
      </c>
      <c r="T437" s="724">
        <f>SUM(S437:S464)</f>
        <v>48</v>
      </c>
      <c r="U437" s="728"/>
      <c r="V437" s="728"/>
      <c r="W437" s="731">
        <f t="shared" si="227"/>
        <v>0</v>
      </c>
      <c r="X437" s="947">
        <f>SUM(W437:W464)</f>
        <v>41</v>
      </c>
      <c r="Y437" s="616"/>
      <c r="Z437" s="602">
        <f t="shared" si="230"/>
        <v>0</v>
      </c>
      <c r="AA437" s="835">
        <f>SUM(Z437:Z464)</f>
        <v>48</v>
      </c>
      <c r="AB437" s="602">
        <f t="shared" si="231"/>
        <v>0</v>
      </c>
      <c r="AC437" s="940">
        <f>SUM(AB437:AB464)</f>
        <v>0</v>
      </c>
      <c r="AD437" s="955">
        <f>M437+X437</f>
        <v>770</v>
      </c>
      <c r="AE437" s="955">
        <f>R437+AC437</f>
        <v>-1.3333333333336839</v>
      </c>
      <c r="AF437" s="614">
        <v>4.333333333333333</v>
      </c>
      <c r="AG437" s="612">
        <v>456.33333333333331</v>
      </c>
      <c r="AH437" s="728">
        <v>2</v>
      </c>
      <c r="AI437" s="728">
        <v>7</v>
      </c>
      <c r="AJ437" s="729">
        <f t="shared" si="242"/>
        <v>9</v>
      </c>
      <c r="AK437" s="946">
        <f>SUM(AJ437:AJ464)</f>
        <v>262</v>
      </c>
      <c r="AL437" s="616">
        <v>65</v>
      </c>
      <c r="AM437" s="602">
        <f t="shared" si="237"/>
        <v>4.333333333333333</v>
      </c>
      <c r="AN437" s="835">
        <f>SUM(AM437:AM464)</f>
        <v>456.33333333333331</v>
      </c>
      <c r="AO437" s="835">
        <f t="shared" si="243"/>
        <v>0</v>
      </c>
      <c r="AP437" s="940">
        <f>SUM(AO437:AO464)</f>
        <v>0</v>
      </c>
      <c r="AQ437" s="722">
        <v>0</v>
      </c>
      <c r="AR437" s="728"/>
      <c r="AS437" s="728"/>
      <c r="AT437" s="729">
        <f t="shared" si="247"/>
        <v>0</v>
      </c>
      <c r="AU437" s="946">
        <f>SUM(AT437:AT464)</f>
        <v>145</v>
      </c>
      <c r="AV437" s="616"/>
      <c r="AW437" s="602">
        <f t="shared" si="232"/>
        <v>0</v>
      </c>
      <c r="AX437" s="940">
        <f>SUM(AW437:AW464)</f>
        <v>228.33333333333331</v>
      </c>
      <c r="AY437" s="602">
        <f t="shared" si="233"/>
        <v>0</v>
      </c>
      <c r="AZ437" s="940">
        <f>SUM(AY437:AY464)</f>
        <v>-7.3333333333333286</v>
      </c>
      <c r="BA437" s="961">
        <f>AK437+AU437</f>
        <v>407</v>
      </c>
      <c r="BB437" s="961">
        <f>AP437+AZ437</f>
        <v>-7.3333333333333286</v>
      </c>
      <c r="BC437" s="614">
        <f>SUM(BD437:BD464)</f>
        <v>2038</v>
      </c>
      <c r="BD437" s="716">
        <v>20</v>
      </c>
      <c r="BE437" s="612">
        <v>19</v>
      </c>
      <c r="BF437" s="596">
        <f t="shared" si="240"/>
        <v>1</v>
      </c>
      <c r="BG437" s="728">
        <f>2+6+5</f>
        <v>13</v>
      </c>
      <c r="BH437" s="728">
        <f>8+9+2</f>
        <v>19</v>
      </c>
      <c r="BI437" s="729">
        <f t="shared" si="228"/>
        <v>32</v>
      </c>
      <c r="BJ437" s="729">
        <f>SUM(BI437:BI464)</f>
        <v>1320</v>
      </c>
      <c r="BK437" s="616">
        <v>1000</v>
      </c>
      <c r="BL437" s="603">
        <f t="shared" si="239"/>
        <v>20</v>
      </c>
      <c r="BM437" s="964">
        <f>SUM(BL437:BL464)</f>
        <v>2038</v>
      </c>
      <c r="BN437" s="602">
        <f t="shared" si="244"/>
        <v>0</v>
      </c>
      <c r="BO437" s="940">
        <f>SUM(BN437:BN464)</f>
        <v>0</v>
      </c>
      <c r="BP437" s="593">
        <f t="shared" si="245"/>
        <v>-8.6666666666670125</v>
      </c>
      <c r="BS437" s="745">
        <v>0</v>
      </c>
      <c r="BT437" s="745">
        <v>0</v>
      </c>
      <c r="BU437" s="741">
        <f t="shared" si="248"/>
        <v>0</v>
      </c>
      <c r="BV437" s="745">
        <v>0</v>
      </c>
      <c r="BW437" s="745">
        <f>SUM(BV437:BV464)</f>
        <v>0</v>
      </c>
      <c r="BX437" s="745">
        <v>0</v>
      </c>
      <c r="BY437" s="745">
        <v>0</v>
      </c>
      <c r="BZ437" s="741">
        <f t="shared" si="229"/>
        <v>0</v>
      </c>
      <c r="CA437" s="745">
        <v>0</v>
      </c>
      <c r="CB437" s="745">
        <f>SUM(CA437:CA464)</f>
        <v>0</v>
      </c>
      <c r="CC437" s="741">
        <f t="shared" si="249"/>
        <v>0</v>
      </c>
      <c r="CD437" s="756">
        <f>SUM(CC437:CC464)</f>
        <v>0</v>
      </c>
      <c r="CE437" s="748"/>
      <c r="CF437" s="748"/>
      <c r="CG437" s="748">
        <f t="shared" si="250"/>
        <v>0</v>
      </c>
      <c r="CH437" s="766"/>
      <c r="CI437" s="745">
        <f>SUM(CH437:CH464)</f>
        <v>0</v>
      </c>
      <c r="CJ437" s="594">
        <f t="shared" si="246"/>
        <v>0</v>
      </c>
    </row>
    <row r="438" spans="1:88" ht="21.6" customHeight="1" x14ac:dyDescent="0.25">
      <c r="A438" s="596" t="s">
        <v>130</v>
      </c>
      <c r="B438" s="596" t="s">
        <v>238</v>
      </c>
      <c r="C438" s="597" t="s">
        <v>247</v>
      </c>
      <c r="D438" s="182" t="s">
        <v>431</v>
      </c>
      <c r="E438" s="598">
        <v>14</v>
      </c>
      <c r="F438" s="596">
        <v>0</v>
      </c>
      <c r="G438" s="598">
        <v>14</v>
      </c>
      <c r="H438" s="596"/>
      <c r="I438" s="1114">
        <f t="shared" ref="I438:I464" si="252">E438-G438</f>
        <v>0</v>
      </c>
      <c r="J438" s="728">
        <f>8</f>
        <v>8</v>
      </c>
      <c r="K438" s="728">
        <f>1</f>
        <v>1</v>
      </c>
      <c r="L438" s="731">
        <f t="shared" si="226"/>
        <v>9</v>
      </c>
      <c r="M438" s="947"/>
      <c r="N438" s="617">
        <v>210</v>
      </c>
      <c r="O438" s="602">
        <f t="shared" si="251"/>
        <v>14</v>
      </c>
      <c r="P438" s="940"/>
      <c r="Q438" s="600">
        <f t="shared" si="241"/>
        <v>0</v>
      </c>
      <c r="R438" s="940"/>
      <c r="S438" s="596">
        <v>0</v>
      </c>
      <c r="T438" s="724"/>
      <c r="U438" s="728"/>
      <c r="V438" s="728"/>
      <c r="W438" s="731">
        <f t="shared" si="227"/>
        <v>0</v>
      </c>
      <c r="X438" s="947"/>
      <c r="Y438" s="616"/>
      <c r="Z438" s="602">
        <f t="shared" si="230"/>
        <v>0</v>
      </c>
      <c r="AA438" s="835"/>
      <c r="AB438" s="602">
        <f t="shared" si="231"/>
        <v>0</v>
      </c>
      <c r="AC438" s="940"/>
      <c r="AD438" s="956"/>
      <c r="AE438" s="956"/>
      <c r="AF438" s="598">
        <v>17</v>
      </c>
      <c r="AG438" s="596"/>
      <c r="AH438" s="728">
        <v>7</v>
      </c>
      <c r="AI438" s="728">
        <v>1</v>
      </c>
      <c r="AJ438" s="729">
        <f t="shared" si="242"/>
        <v>8</v>
      </c>
      <c r="AK438" s="946"/>
      <c r="AL438" s="616">
        <v>255</v>
      </c>
      <c r="AM438" s="602">
        <f t="shared" si="237"/>
        <v>17</v>
      </c>
      <c r="AN438" s="835"/>
      <c r="AO438" s="835">
        <f t="shared" si="243"/>
        <v>0</v>
      </c>
      <c r="AP438" s="940"/>
      <c r="AQ438" s="722">
        <v>0</v>
      </c>
      <c r="AR438" s="728"/>
      <c r="AS438" s="728"/>
      <c r="AT438" s="729">
        <f t="shared" si="247"/>
        <v>0</v>
      </c>
      <c r="AU438" s="946"/>
      <c r="AV438" s="616"/>
      <c r="AW438" s="602">
        <f t="shared" si="232"/>
        <v>0</v>
      </c>
      <c r="AX438" s="940"/>
      <c r="AY438" s="602">
        <f t="shared" si="233"/>
        <v>0</v>
      </c>
      <c r="AZ438" s="940"/>
      <c r="BA438" s="962"/>
      <c r="BB438" s="962"/>
      <c r="BC438" s="611"/>
      <c r="BD438" s="712">
        <v>30</v>
      </c>
      <c r="BE438" s="596">
        <v>30</v>
      </c>
      <c r="BF438" s="596">
        <f t="shared" si="240"/>
        <v>0</v>
      </c>
      <c r="BG438" s="728">
        <f>7+10</f>
        <v>17</v>
      </c>
      <c r="BH438" s="728">
        <f>1+1</f>
        <v>2</v>
      </c>
      <c r="BI438" s="729">
        <f t="shared" si="228"/>
        <v>19</v>
      </c>
      <c r="BJ438" s="729"/>
      <c r="BK438" s="616">
        <f>800+700</f>
        <v>1500</v>
      </c>
      <c r="BL438" s="603">
        <f t="shared" si="239"/>
        <v>30</v>
      </c>
      <c r="BM438" s="964"/>
      <c r="BN438" s="602">
        <f t="shared" si="244"/>
        <v>0</v>
      </c>
      <c r="BO438" s="940"/>
      <c r="BP438" s="593">
        <f t="shared" si="245"/>
        <v>0</v>
      </c>
      <c r="BS438" s="741">
        <v>0</v>
      </c>
      <c r="BT438" s="741">
        <v>0</v>
      </c>
      <c r="BU438" s="741">
        <f t="shared" si="248"/>
        <v>0</v>
      </c>
      <c r="BV438" s="741">
        <v>0</v>
      </c>
      <c r="BW438" s="741"/>
      <c r="BX438" s="741">
        <v>0</v>
      </c>
      <c r="BY438" s="741">
        <v>0</v>
      </c>
      <c r="BZ438" s="741">
        <f t="shared" si="229"/>
        <v>0</v>
      </c>
      <c r="CA438" s="741">
        <v>0</v>
      </c>
      <c r="CB438" s="741"/>
      <c r="CC438" s="741">
        <f t="shared" si="249"/>
        <v>0</v>
      </c>
      <c r="CD438" s="751"/>
      <c r="CE438" s="748"/>
      <c r="CF438" s="748"/>
      <c r="CG438" s="748">
        <f t="shared" si="250"/>
        <v>0</v>
      </c>
      <c r="CH438" s="759"/>
      <c r="CI438" s="742"/>
      <c r="CJ438" s="591">
        <f t="shared" si="246"/>
        <v>0</v>
      </c>
    </row>
    <row r="439" spans="1:88" ht="21.6" customHeight="1" x14ac:dyDescent="0.25">
      <c r="A439" s="596" t="s">
        <v>130</v>
      </c>
      <c r="B439" s="596" t="s">
        <v>238</v>
      </c>
      <c r="C439" s="597" t="s">
        <v>249</v>
      </c>
      <c r="D439" s="167" t="s">
        <v>431</v>
      </c>
      <c r="E439" s="598">
        <v>23</v>
      </c>
      <c r="F439" s="596">
        <v>0</v>
      </c>
      <c r="G439" s="598">
        <v>0</v>
      </c>
      <c r="H439" s="596"/>
      <c r="I439" s="1114">
        <f t="shared" si="252"/>
        <v>23</v>
      </c>
      <c r="J439" s="728">
        <v>5</v>
      </c>
      <c r="K439" s="728">
        <v>5</v>
      </c>
      <c r="L439" s="731">
        <f t="shared" si="226"/>
        <v>10</v>
      </c>
      <c r="M439" s="947"/>
      <c r="N439" s="617">
        <v>345</v>
      </c>
      <c r="O439" s="602">
        <f t="shared" si="251"/>
        <v>23</v>
      </c>
      <c r="P439" s="940"/>
      <c r="Q439" s="600">
        <f t="shared" si="241"/>
        <v>0</v>
      </c>
      <c r="R439" s="940"/>
      <c r="S439" s="596">
        <v>0</v>
      </c>
      <c r="T439" s="724"/>
      <c r="U439" s="728"/>
      <c r="V439" s="728"/>
      <c r="W439" s="731">
        <f t="shared" si="227"/>
        <v>0</v>
      </c>
      <c r="X439" s="947"/>
      <c r="Y439" s="616"/>
      <c r="Z439" s="602">
        <f t="shared" si="230"/>
        <v>0</v>
      </c>
      <c r="AA439" s="835"/>
      <c r="AB439" s="602">
        <f t="shared" si="231"/>
        <v>0</v>
      </c>
      <c r="AC439" s="940"/>
      <c r="AD439" s="956"/>
      <c r="AE439" s="956"/>
      <c r="AF439" s="598">
        <v>0</v>
      </c>
      <c r="AG439" s="596"/>
      <c r="AH439" s="728"/>
      <c r="AI439" s="728"/>
      <c r="AJ439" s="729">
        <f t="shared" si="242"/>
        <v>0</v>
      </c>
      <c r="AK439" s="946"/>
      <c r="AL439" s="616"/>
      <c r="AM439" s="602">
        <f t="shared" si="237"/>
        <v>0</v>
      </c>
      <c r="AN439" s="835"/>
      <c r="AO439" s="835">
        <f t="shared" si="243"/>
        <v>0</v>
      </c>
      <c r="AP439" s="940"/>
      <c r="AQ439" s="722">
        <v>73</v>
      </c>
      <c r="AR439" s="728">
        <v>23</v>
      </c>
      <c r="AS439" s="728">
        <v>14</v>
      </c>
      <c r="AT439" s="729">
        <f t="shared" si="247"/>
        <v>37</v>
      </c>
      <c r="AU439" s="946"/>
      <c r="AV439" s="616">
        <v>1095</v>
      </c>
      <c r="AW439" s="602">
        <f t="shared" si="232"/>
        <v>73</v>
      </c>
      <c r="AX439" s="940"/>
      <c r="AY439" s="602">
        <f t="shared" si="233"/>
        <v>0</v>
      </c>
      <c r="AZ439" s="940"/>
      <c r="BA439" s="962"/>
      <c r="BB439" s="962"/>
      <c r="BC439" s="611"/>
      <c r="BD439" s="712">
        <v>96</v>
      </c>
      <c r="BE439" s="596">
        <v>0</v>
      </c>
      <c r="BF439" s="596">
        <f>BD439-BE439</f>
        <v>96</v>
      </c>
      <c r="BG439" s="728">
        <f>23+5</f>
        <v>28</v>
      </c>
      <c r="BH439" s="728">
        <f>14+5</f>
        <v>19</v>
      </c>
      <c r="BI439" s="729">
        <f t="shared" si="228"/>
        <v>47</v>
      </c>
      <c r="BJ439" s="729"/>
      <c r="BK439" s="616">
        <f>3650+1150</f>
        <v>4800</v>
      </c>
      <c r="BL439" s="603">
        <f t="shared" si="239"/>
        <v>96</v>
      </c>
      <c r="BM439" s="964"/>
      <c r="BN439" s="602">
        <f t="shared" si="244"/>
        <v>0</v>
      </c>
      <c r="BO439" s="940"/>
      <c r="BP439" s="593">
        <f t="shared" si="245"/>
        <v>0</v>
      </c>
      <c r="BS439" s="741">
        <v>0</v>
      </c>
      <c r="BT439" s="741">
        <v>0</v>
      </c>
      <c r="BU439" s="741">
        <f t="shared" si="248"/>
        <v>0</v>
      </c>
      <c r="BV439" s="741">
        <v>0</v>
      </c>
      <c r="BW439" s="741"/>
      <c r="BX439" s="741">
        <v>0</v>
      </c>
      <c r="BY439" s="741">
        <v>0</v>
      </c>
      <c r="BZ439" s="741">
        <f t="shared" si="229"/>
        <v>0</v>
      </c>
      <c r="CA439" s="741">
        <v>0</v>
      </c>
      <c r="CB439" s="741"/>
      <c r="CC439" s="741">
        <f t="shared" si="249"/>
        <v>0</v>
      </c>
      <c r="CD439" s="751"/>
      <c r="CE439" s="748"/>
      <c r="CF439" s="748"/>
      <c r="CG439" s="748">
        <f t="shared" si="250"/>
        <v>0</v>
      </c>
      <c r="CH439" s="759"/>
      <c r="CI439" s="742"/>
      <c r="CJ439" s="591">
        <f t="shared" si="246"/>
        <v>0</v>
      </c>
    </row>
    <row r="440" spans="1:88" ht="21.6" customHeight="1" x14ac:dyDescent="0.25">
      <c r="A440" s="596"/>
      <c r="B440" s="596" t="s">
        <v>238</v>
      </c>
      <c r="C440" s="597" t="s">
        <v>316</v>
      </c>
      <c r="D440" s="182" t="s">
        <v>429</v>
      </c>
      <c r="E440" s="598">
        <v>0</v>
      </c>
      <c r="F440" s="596">
        <v>0</v>
      </c>
      <c r="G440" s="598">
        <v>0</v>
      </c>
      <c r="H440" s="596"/>
      <c r="I440" s="1114">
        <f t="shared" si="252"/>
        <v>0</v>
      </c>
      <c r="J440" s="728"/>
      <c r="K440" s="728"/>
      <c r="L440" s="731">
        <f t="shared" si="226"/>
        <v>0</v>
      </c>
      <c r="M440" s="947"/>
      <c r="N440" s="617"/>
      <c r="O440" s="602">
        <f t="shared" si="251"/>
        <v>0</v>
      </c>
      <c r="P440" s="940"/>
      <c r="Q440" s="600">
        <f t="shared" si="241"/>
        <v>0</v>
      </c>
      <c r="R440" s="940"/>
      <c r="S440" s="596">
        <v>0</v>
      </c>
      <c r="T440" s="724"/>
      <c r="U440" s="728"/>
      <c r="V440" s="728"/>
      <c r="W440" s="731">
        <f t="shared" si="227"/>
        <v>0</v>
      </c>
      <c r="X440" s="947"/>
      <c r="Y440" s="616"/>
      <c r="Z440" s="602">
        <f t="shared" si="230"/>
        <v>0</v>
      </c>
      <c r="AA440" s="835"/>
      <c r="AB440" s="602">
        <f t="shared" si="231"/>
        <v>0</v>
      </c>
      <c r="AC440" s="940"/>
      <c r="AD440" s="956"/>
      <c r="AE440" s="956"/>
      <c r="AF440" s="598">
        <v>0</v>
      </c>
      <c r="AG440" s="596"/>
      <c r="AH440" s="728"/>
      <c r="AI440" s="728"/>
      <c r="AJ440" s="729">
        <f t="shared" si="242"/>
        <v>0</v>
      </c>
      <c r="AK440" s="946"/>
      <c r="AL440" s="616"/>
      <c r="AM440" s="602">
        <f t="shared" si="237"/>
        <v>0</v>
      </c>
      <c r="AN440" s="835"/>
      <c r="AO440" s="835">
        <f t="shared" si="243"/>
        <v>0</v>
      </c>
      <c r="AP440" s="940"/>
      <c r="AQ440" s="722">
        <v>0</v>
      </c>
      <c r="AR440" s="728"/>
      <c r="AS440" s="728"/>
      <c r="AT440" s="729">
        <f t="shared" si="247"/>
        <v>0</v>
      </c>
      <c r="AU440" s="946"/>
      <c r="AV440" s="616"/>
      <c r="AW440" s="602">
        <f t="shared" si="232"/>
        <v>0</v>
      </c>
      <c r="AX440" s="940"/>
      <c r="AY440" s="602">
        <f t="shared" si="233"/>
        <v>0</v>
      </c>
      <c r="AZ440" s="940"/>
      <c r="BA440" s="962"/>
      <c r="BB440" s="962"/>
      <c r="BC440" s="611"/>
      <c r="BD440" s="712">
        <v>0</v>
      </c>
      <c r="BE440" s="596">
        <v>0</v>
      </c>
      <c r="BF440" s="596">
        <f t="shared" si="240"/>
        <v>0</v>
      </c>
      <c r="BG440" s="728"/>
      <c r="BH440" s="728"/>
      <c r="BI440" s="729">
        <f t="shared" si="228"/>
        <v>0</v>
      </c>
      <c r="BJ440" s="729"/>
      <c r="BK440" s="616"/>
      <c r="BL440" s="603">
        <f t="shared" si="239"/>
        <v>0</v>
      </c>
      <c r="BM440" s="964"/>
      <c r="BN440" s="602">
        <f t="shared" si="244"/>
        <v>0</v>
      </c>
      <c r="BO440" s="940"/>
      <c r="BP440" s="593">
        <f t="shared" si="245"/>
        <v>0</v>
      </c>
      <c r="BS440" s="741">
        <v>0</v>
      </c>
      <c r="BT440" s="741">
        <v>0</v>
      </c>
      <c r="BU440" s="741">
        <f t="shared" si="248"/>
        <v>0</v>
      </c>
      <c r="BV440" s="741">
        <v>0</v>
      </c>
      <c r="BW440" s="741"/>
      <c r="BX440" s="741">
        <v>0</v>
      </c>
      <c r="BY440" s="741">
        <v>0</v>
      </c>
      <c r="BZ440" s="741">
        <f t="shared" si="229"/>
        <v>0</v>
      </c>
      <c r="CA440" s="741">
        <v>0</v>
      </c>
      <c r="CB440" s="741"/>
      <c r="CC440" s="741">
        <f t="shared" si="249"/>
        <v>0</v>
      </c>
      <c r="CD440" s="751"/>
      <c r="CE440" s="748"/>
      <c r="CF440" s="748"/>
      <c r="CG440" s="748">
        <f t="shared" si="250"/>
        <v>0</v>
      </c>
      <c r="CH440" s="759"/>
      <c r="CI440" s="742"/>
      <c r="CJ440" s="591">
        <f t="shared" si="246"/>
        <v>0</v>
      </c>
    </row>
    <row r="441" spans="1:88" ht="21.6" customHeight="1" x14ac:dyDescent="0.25">
      <c r="A441" s="596"/>
      <c r="B441" s="596" t="s">
        <v>238</v>
      </c>
      <c r="C441" s="597" t="s">
        <v>427</v>
      </c>
      <c r="D441" s="182" t="s">
        <v>429</v>
      </c>
      <c r="E441" s="598">
        <v>100</v>
      </c>
      <c r="F441" s="596">
        <v>0</v>
      </c>
      <c r="G441" s="598">
        <v>0</v>
      </c>
      <c r="H441" s="596"/>
      <c r="I441" s="1114">
        <f t="shared" si="252"/>
        <v>100</v>
      </c>
      <c r="J441" s="728">
        <v>66</v>
      </c>
      <c r="K441" s="728">
        <v>9</v>
      </c>
      <c r="L441" s="731">
        <f t="shared" si="226"/>
        <v>75</v>
      </c>
      <c r="M441" s="947"/>
      <c r="N441" s="617">
        <v>1500</v>
      </c>
      <c r="O441" s="602">
        <f t="shared" si="251"/>
        <v>100</v>
      </c>
      <c r="P441" s="940"/>
      <c r="Q441" s="600">
        <f t="shared" si="241"/>
        <v>0</v>
      </c>
      <c r="R441" s="940"/>
      <c r="S441" s="596">
        <v>0</v>
      </c>
      <c r="T441" s="724"/>
      <c r="U441" s="728"/>
      <c r="V441" s="728"/>
      <c r="W441" s="731">
        <f t="shared" si="227"/>
        <v>0</v>
      </c>
      <c r="X441" s="947"/>
      <c r="Y441" s="616"/>
      <c r="Z441" s="602">
        <f t="shared" si="230"/>
        <v>0</v>
      </c>
      <c r="AA441" s="835"/>
      <c r="AB441" s="602">
        <f t="shared" si="231"/>
        <v>0</v>
      </c>
      <c r="AC441" s="940"/>
      <c r="AD441" s="956"/>
      <c r="AE441" s="956"/>
      <c r="AF441" s="598">
        <v>0</v>
      </c>
      <c r="AG441" s="596"/>
      <c r="AH441" s="728"/>
      <c r="AI441" s="728"/>
      <c r="AJ441" s="729">
        <f t="shared" si="242"/>
        <v>0</v>
      </c>
      <c r="AK441" s="946"/>
      <c r="AL441" s="616"/>
      <c r="AM441" s="602">
        <f t="shared" si="237"/>
        <v>0</v>
      </c>
      <c r="AN441" s="835"/>
      <c r="AO441" s="835">
        <f t="shared" si="243"/>
        <v>0</v>
      </c>
      <c r="AP441" s="940"/>
      <c r="AQ441" s="722">
        <v>0</v>
      </c>
      <c r="AR441" s="728"/>
      <c r="AS441" s="728"/>
      <c r="AT441" s="729">
        <f t="shared" si="247"/>
        <v>0</v>
      </c>
      <c r="AU441" s="946"/>
      <c r="AV441" s="616"/>
      <c r="AW441" s="602">
        <f t="shared" si="232"/>
        <v>0</v>
      </c>
      <c r="AX441" s="940"/>
      <c r="AY441" s="602">
        <f t="shared" si="233"/>
        <v>0</v>
      </c>
      <c r="AZ441" s="940"/>
      <c r="BA441" s="962"/>
      <c r="BB441" s="962"/>
      <c r="BC441" s="611"/>
      <c r="BD441" s="712">
        <v>100</v>
      </c>
      <c r="BE441" s="596">
        <v>0</v>
      </c>
      <c r="BF441" s="596">
        <f t="shared" si="240"/>
        <v>100</v>
      </c>
      <c r="BG441" s="728">
        <v>66</v>
      </c>
      <c r="BH441" s="728">
        <v>9</v>
      </c>
      <c r="BI441" s="729">
        <f t="shared" si="228"/>
        <v>75</v>
      </c>
      <c r="BJ441" s="729"/>
      <c r="BK441" s="616">
        <v>5000</v>
      </c>
      <c r="BL441" s="603">
        <f t="shared" si="239"/>
        <v>100</v>
      </c>
      <c r="BM441" s="964"/>
      <c r="BN441" s="602">
        <f t="shared" si="244"/>
        <v>0</v>
      </c>
      <c r="BO441" s="940"/>
      <c r="BP441" s="593">
        <f t="shared" si="245"/>
        <v>0</v>
      </c>
      <c r="BS441" s="741">
        <v>0</v>
      </c>
      <c r="BT441" s="741">
        <v>0</v>
      </c>
      <c r="BU441" s="741">
        <f t="shared" si="248"/>
        <v>0</v>
      </c>
      <c r="BV441" s="741">
        <v>0</v>
      </c>
      <c r="BW441" s="741"/>
      <c r="BX441" s="741">
        <v>0</v>
      </c>
      <c r="BY441" s="741">
        <v>0</v>
      </c>
      <c r="BZ441" s="741">
        <f t="shared" si="229"/>
        <v>0</v>
      </c>
      <c r="CA441" s="741">
        <v>0</v>
      </c>
      <c r="CB441" s="741"/>
      <c r="CC441" s="741">
        <f t="shared" si="249"/>
        <v>0</v>
      </c>
      <c r="CD441" s="751"/>
      <c r="CE441" s="748"/>
      <c r="CF441" s="748"/>
      <c r="CG441" s="748">
        <f t="shared" si="250"/>
        <v>0</v>
      </c>
      <c r="CH441" s="759"/>
      <c r="CI441" s="742"/>
      <c r="CJ441" s="591">
        <f t="shared" si="246"/>
        <v>0</v>
      </c>
    </row>
    <row r="442" spans="1:88" ht="21.6" customHeight="1" x14ac:dyDescent="0.25">
      <c r="A442" s="596" t="s">
        <v>130</v>
      </c>
      <c r="B442" s="596" t="s">
        <v>238</v>
      </c>
      <c r="C442" s="597" t="s">
        <v>255</v>
      </c>
      <c r="D442" s="182" t="s">
        <v>431</v>
      </c>
      <c r="E442" s="598">
        <v>15</v>
      </c>
      <c r="F442" s="596">
        <v>0</v>
      </c>
      <c r="G442" s="598">
        <v>15</v>
      </c>
      <c r="H442" s="596"/>
      <c r="I442" s="1114">
        <f t="shared" si="252"/>
        <v>0</v>
      </c>
      <c r="J442" s="728">
        <v>13</v>
      </c>
      <c r="K442" s="728">
        <v>2</v>
      </c>
      <c r="L442" s="731">
        <f t="shared" si="226"/>
        <v>15</v>
      </c>
      <c r="M442" s="947"/>
      <c r="N442" s="617">
        <v>225</v>
      </c>
      <c r="O442" s="602">
        <f t="shared" si="251"/>
        <v>15</v>
      </c>
      <c r="P442" s="940"/>
      <c r="Q442" s="600">
        <f t="shared" si="241"/>
        <v>0</v>
      </c>
      <c r="R442" s="940"/>
      <c r="S442" s="596">
        <v>0</v>
      </c>
      <c r="T442" s="724"/>
      <c r="U442" s="728"/>
      <c r="V442" s="728"/>
      <c r="W442" s="731">
        <f t="shared" si="227"/>
        <v>0</v>
      </c>
      <c r="X442" s="947"/>
      <c r="Y442" s="616"/>
      <c r="Z442" s="602">
        <f t="shared" si="230"/>
        <v>0</v>
      </c>
      <c r="AA442" s="835"/>
      <c r="AB442" s="602">
        <f t="shared" si="231"/>
        <v>0</v>
      </c>
      <c r="AC442" s="940"/>
      <c r="AD442" s="956"/>
      <c r="AE442" s="956"/>
      <c r="AF442" s="598">
        <v>10</v>
      </c>
      <c r="AG442" s="596"/>
      <c r="AH442" s="728">
        <v>5</v>
      </c>
      <c r="AI442" s="728"/>
      <c r="AJ442" s="729">
        <f t="shared" si="242"/>
        <v>5</v>
      </c>
      <c r="AK442" s="946"/>
      <c r="AL442" s="616">
        <v>150</v>
      </c>
      <c r="AM442" s="602">
        <f t="shared" si="237"/>
        <v>10</v>
      </c>
      <c r="AN442" s="835"/>
      <c r="AO442" s="835">
        <f t="shared" si="243"/>
        <v>0</v>
      </c>
      <c r="AP442" s="940"/>
      <c r="AQ442" s="722">
        <v>0</v>
      </c>
      <c r="AR442" s="728"/>
      <c r="AS442" s="728"/>
      <c r="AT442" s="729">
        <f t="shared" si="247"/>
        <v>0</v>
      </c>
      <c r="AU442" s="946"/>
      <c r="AV442" s="616"/>
      <c r="AW442" s="602">
        <f t="shared" si="232"/>
        <v>0</v>
      </c>
      <c r="AX442" s="940"/>
      <c r="AY442" s="602">
        <f t="shared" si="233"/>
        <v>0</v>
      </c>
      <c r="AZ442" s="940"/>
      <c r="BA442" s="962"/>
      <c r="BB442" s="962"/>
      <c r="BC442" s="611"/>
      <c r="BD442" s="712">
        <v>25</v>
      </c>
      <c r="BE442" s="596">
        <v>25</v>
      </c>
      <c r="BF442" s="596">
        <f t="shared" si="240"/>
        <v>0</v>
      </c>
      <c r="BG442" s="728">
        <f>5+13</f>
        <v>18</v>
      </c>
      <c r="BH442" s="728">
        <v>2</v>
      </c>
      <c r="BI442" s="729">
        <f t="shared" si="228"/>
        <v>20</v>
      </c>
      <c r="BJ442" s="729"/>
      <c r="BK442" s="616">
        <f>500+750</f>
        <v>1250</v>
      </c>
      <c r="BL442" s="603">
        <f t="shared" si="239"/>
        <v>25</v>
      </c>
      <c r="BM442" s="964"/>
      <c r="BN442" s="602">
        <f t="shared" si="244"/>
        <v>0</v>
      </c>
      <c r="BO442" s="940"/>
      <c r="BP442" s="593">
        <f t="shared" si="245"/>
        <v>0</v>
      </c>
      <c r="BS442" s="741">
        <v>0</v>
      </c>
      <c r="BT442" s="741">
        <v>0</v>
      </c>
      <c r="BU442" s="741">
        <f t="shared" si="248"/>
        <v>0</v>
      </c>
      <c r="BV442" s="741">
        <v>0</v>
      </c>
      <c r="BW442" s="741"/>
      <c r="BX442" s="741">
        <v>0</v>
      </c>
      <c r="BY442" s="741">
        <v>0</v>
      </c>
      <c r="BZ442" s="741">
        <f t="shared" si="229"/>
        <v>0</v>
      </c>
      <c r="CA442" s="741">
        <v>0</v>
      </c>
      <c r="CB442" s="741"/>
      <c r="CC442" s="741">
        <f t="shared" si="249"/>
        <v>0</v>
      </c>
      <c r="CD442" s="751"/>
      <c r="CE442" s="748"/>
      <c r="CF442" s="748"/>
      <c r="CG442" s="748">
        <f t="shared" si="250"/>
        <v>0</v>
      </c>
      <c r="CH442" s="759"/>
      <c r="CI442" s="742"/>
      <c r="CJ442" s="591">
        <f t="shared" si="246"/>
        <v>0</v>
      </c>
    </row>
    <row r="443" spans="1:88" ht="21.6" customHeight="1" x14ac:dyDescent="0.25">
      <c r="A443" s="596" t="s">
        <v>130</v>
      </c>
      <c r="B443" s="596" t="s">
        <v>238</v>
      </c>
      <c r="C443" s="597" t="s">
        <v>239</v>
      </c>
      <c r="D443" s="176" t="s">
        <v>431</v>
      </c>
      <c r="E443" s="598">
        <v>50</v>
      </c>
      <c r="F443" s="596">
        <v>0</v>
      </c>
      <c r="G443" s="598">
        <v>50</v>
      </c>
      <c r="H443" s="596"/>
      <c r="I443" s="1114">
        <f t="shared" si="252"/>
        <v>0</v>
      </c>
      <c r="J443" s="728">
        <v>11</v>
      </c>
      <c r="K443" s="728">
        <v>14</v>
      </c>
      <c r="L443" s="731">
        <f t="shared" si="226"/>
        <v>25</v>
      </c>
      <c r="M443" s="947"/>
      <c r="N443" s="617">
        <v>750</v>
      </c>
      <c r="O443" s="602">
        <f t="shared" si="251"/>
        <v>50</v>
      </c>
      <c r="P443" s="940"/>
      <c r="Q443" s="600">
        <f t="shared" si="241"/>
        <v>0</v>
      </c>
      <c r="R443" s="940"/>
      <c r="S443" s="596">
        <v>0</v>
      </c>
      <c r="T443" s="724"/>
      <c r="U443" s="728"/>
      <c r="V443" s="728"/>
      <c r="W443" s="731">
        <f t="shared" si="227"/>
        <v>0</v>
      </c>
      <c r="X443" s="947"/>
      <c r="Y443" s="616"/>
      <c r="Z443" s="602">
        <f t="shared" si="230"/>
        <v>0</v>
      </c>
      <c r="AA443" s="835"/>
      <c r="AB443" s="602">
        <f t="shared" si="231"/>
        <v>0</v>
      </c>
      <c r="AC443" s="940"/>
      <c r="AD443" s="956"/>
      <c r="AE443" s="956"/>
      <c r="AF443" s="598">
        <v>50</v>
      </c>
      <c r="AG443" s="596"/>
      <c r="AH443" s="728">
        <v>12</v>
      </c>
      <c r="AI443" s="728">
        <v>13</v>
      </c>
      <c r="AJ443" s="729">
        <f t="shared" si="242"/>
        <v>25</v>
      </c>
      <c r="AK443" s="946"/>
      <c r="AL443" s="616">
        <v>750</v>
      </c>
      <c r="AM443" s="602">
        <f t="shared" si="237"/>
        <v>50</v>
      </c>
      <c r="AN443" s="835"/>
      <c r="AO443" s="835">
        <f t="shared" si="243"/>
        <v>0</v>
      </c>
      <c r="AP443" s="940"/>
      <c r="AQ443" s="722">
        <v>0</v>
      </c>
      <c r="AR443" s="728"/>
      <c r="AS443" s="728"/>
      <c r="AT443" s="729">
        <f t="shared" si="247"/>
        <v>0</v>
      </c>
      <c r="AU443" s="946"/>
      <c r="AV443" s="616"/>
      <c r="AW443" s="602">
        <f t="shared" si="232"/>
        <v>0</v>
      </c>
      <c r="AX443" s="940"/>
      <c r="AY443" s="602">
        <f t="shared" si="233"/>
        <v>0</v>
      </c>
      <c r="AZ443" s="940"/>
      <c r="BA443" s="962"/>
      <c r="BB443" s="962"/>
      <c r="BC443" s="611"/>
      <c r="BD443" s="712">
        <v>100</v>
      </c>
      <c r="BE443" s="596">
        <v>100</v>
      </c>
      <c r="BF443" s="596">
        <f t="shared" si="240"/>
        <v>0</v>
      </c>
      <c r="BG443" s="728">
        <f>12+11</f>
        <v>23</v>
      </c>
      <c r="BH443" s="728">
        <f>13+14</f>
        <v>27</v>
      </c>
      <c r="BI443" s="729">
        <f t="shared" si="228"/>
        <v>50</v>
      </c>
      <c r="BJ443" s="729"/>
      <c r="BK443" s="616">
        <f>2500+2500</f>
        <v>5000</v>
      </c>
      <c r="BL443" s="603">
        <f t="shared" si="239"/>
        <v>100</v>
      </c>
      <c r="BM443" s="964"/>
      <c r="BN443" s="602">
        <f t="shared" si="244"/>
        <v>0</v>
      </c>
      <c r="BO443" s="940"/>
      <c r="BP443" s="593">
        <f t="shared" si="245"/>
        <v>0</v>
      </c>
      <c r="BS443" s="741">
        <v>0</v>
      </c>
      <c r="BT443" s="741">
        <v>0</v>
      </c>
      <c r="BU443" s="741">
        <f t="shared" si="248"/>
        <v>0</v>
      </c>
      <c r="BV443" s="741">
        <v>0</v>
      </c>
      <c r="BW443" s="741"/>
      <c r="BX443" s="741">
        <v>0</v>
      </c>
      <c r="BY443" s="741">
        <v>0</v>
      </c>
      <c r="BZ443" s="741">
        <f t="shared" si="229"/>
        <v>0</v>
      </c>
      <c r="CA443" s="741">
        <v>0</v>
      </c>
      <c r="CB443" s="741"/>
      <c r="CC443" s="741">
        <f t="shared" si="249"/>
        <v>0</v>
      </c>
      <c r="CD443" s="751"/>
      <c r="CE443" s="748"/>
      <c r="CF443" s="748"/>
      <c r="CG443" s="748">
        <f t="shared" si="250"/>
        <v>0</v>
      </c>
      <c r="CH443" s="759"/>
      <c r="CI443" s="742"/>
      <c r="CJ443" s="591">
        <f t="shared" si="246"/>
        <v>0</v>
      </c>
    </row>
    <row r="444" spans="1:88" ht="21.6" customHeight="1" x14ac:dyDescent="0.25">
      <c r="A444" s="596" t="s">
        <v>130</v>
      </c>
      <c r="B444" s="596" t="s">
        <v>238</v>
      </c>
      <c r="C444" s="597" t="s">
        <v>242</v>
      </c>
      <c r="D444" s="167" t="s">
        <v>431</v>
      </c>
      <c r="E444" s="598">
        <v>20</v>
      </c>
      <c r="F444" s="596">
        <v>0</v>
      </c>
      <c r="G444" s="598">
        <v>20</v>
      </c>
      <c r="H444" s="596"/>
      <c r="I444" s="1114">
        <f t="shared" si="252"/>
        <v>0</v>
      </c>
      <c r="J444" s="728">
        <v>12</v>
      </c>
      <c r="K444" s="728">
        <v>5</v>
      </c>
      <c r="L444" s="731">
        <f t="shared" si="226"/>
        <v>17</v>
      </c>
      <c r="M444" s="947"/>
      <c r="N444" s="617">
        <v>300</v>
      </c>
      <c r="O444" s="602">
        <f t="shared" si="251"/>
        <v>20</v>
      </c>
      <c r="P444" s="940"/>
      <c r="Q444" s="600">
        <f t="shared" si="241"/>
        <v>0</v>
      </c>
      <c r="R444" s="940"/>
      <c r="S444" s="596">
        <v>0</v>
      </c>
      <c r="T444" s="724"/>
      <c r="U444" s="728"/>
      <c r="V444" s="728"/>
      <c r="W444" s="731">
        <f t="shared" si="227"/>
        <v>0</v>
      </c>
      <c r="X444" s="947"/>
      <c r="Y444" s="616"/>
      <c r="Z444" s="602">
        <f t="shared" si="230"/>
        <v>0</v>
      </c>
      <c r="AA444" s="835"/>
      <c r="AB444" s="602">
        <f t="shared" si="231"/>
        <v>0</v>
      </c>
      <c r="AC444" s="940"/>
      <c r="AD444" s="956"/>
      <c r="AE444" s="956"/>
      <c r="AF444" s="598">
        <v>11</v>
      </c>
      <c r="AG444" s="596"/>
      <c r="AH444" s="728">
        <v>8</v>
      </c>
      <c r="AI444" s="728">
        <v>2</v>
      </c>
      <c r="AJ444" s="729">
        <f t="shared" si="242"/>
        <v>10</v>
      </c>
      <c r="AK444" s="946"/>
      <c r="AL444" s="616">
        <v>165</v>
      </c>
      <c r="AM444" s="602">
        <f t="shared" si="237"/>
        <v>11</v>
      </c>
      <c r="AN444" s="835"/>
      <c r="AO444" s="835">
        <f t="shared" si="243"/>
        <v>0</v>
      </c>
      <c r="AP444" s="940"/>
      <c r="AQ444" s="722">
        <v>0</v>
      </c>
      <c r="AR444" s="728"/>
      <c r="AS444" s="728"/>
      <c r="AT444" s="729">
        <f t="shared" si="247"/>
        <v>0</v>
      </c>
      <c r="AU444" s="946"/>
      <c r="AV444" s="616"/>
      <c r="AW444" s="602">
        <f t="shared" si="232"/>
        <v>0</v>
      </c>
      <c r="AX444" s="940"/>
      <c r="AY444" s="602">
        <f t="shared" si="233"/>
        <v>0</v>
      </c>
      <c r="AZ444" s="940"/>
      <c r="BA444" s="962"/>
      <c r="BB444" s="962"/>
      <c r="BC444" s="611"/>
      <c r="BD444" s="712">
        <v>31</v>
      </c>
      <c r="BE444" s="596">
        <v>31</v>
      </c>
      <c r="BF444" s="596">
        <f t="shared" si="240"/>
        <v>0</v>
      </c>
      <c r="BG444" s="728">
        <f>8+12</f>
        <v>20</v>
      </c>
      <c r="BH444" s="728">
        <f>2+5</f>
        <v>7</v>
      </c>
      <c r="BI444" s="729">
        <f t="shared" si="228"/>
        <v>27</v>
      </c>
      <c r="BJ444" s="729"/>
      <c r="BK444" s="616">
        <f>550+1000</f>
        <v>1550</v>
      </c>
      <c r="BL444" s="603">
        <f t="shared" si="239"/>
        <v>31</v>
      </c>
      <c r="BM444" s="964"/>
      <c r="BN444" s="602">
        <f t="shared" si="244"/>
        <v>0</v>
      </c>
      <c r="BO444" s="940"/>
      <c r="BP444" s="593">
        <f t="shared" si="245"/>
        <v>0</v>
      </c>
      <c r="BS444" s="741">
        <v>0</v>
      </c>
      <c r="BT444" s="741">
        <v>0</v>
      </c>
      <c r="BU444" s="741">
        <f t="shared" si="248"/>
        <v>0</v>
      </c>
      <c r="BV444" s="741">
        <v>0</v>
      </c>
      <c r="BW444" s="741"/>
      <c r="BX444" s="741">
        <v>0</v>
      </c>
      <c r="BY444" s="741">
        <v>0</v>
      </c>
      <c r="BZ444" s="741">
        <f t="shared" si="229"/>
        <v>0</v>
      </c>
      <c r="CA444" s="741">
        <v>0</v>
      </c>
      <c r="CB444" s="741"/>
      <c r="CC444" s="741">
        <f t="shared" si="249"/>
        <v>0</v>
      </c>
      <c r="CD444" s="751"/>
      <c r="CE444" s="748"/>
      <c r="CF444" s="748"/>
      <c r="CG444" s="748">
        <f t="shared" si="250"/>
        <v>0</v>
      </c>
      <c r="CH444" s="759"/>
      <c r="CI444" s="742"/>
      <c r="CJ444" s="591">
        <f t="shared" si="246"/>
        <v>0</v>
      </c>
    </row>
    <row r="445" spans="1:88" ht="21.6" customHeight="1" x14ac:dyDescent="0.25">
      <c r="A445" s="596" t="s">
        <v>130</v>
      </c>
      <c r="B445" s="596" t="s">
        <v>238</v>
      </c>
      <c r="C445" s="597" t="s">
        <v>315</v>
      </c>
      <c r="D445" s="176" t="s">
        <v>431</v>
      </c>
      <c r="E445" s="598">
        <v>27</v>
      </c>
      <c r="F445" s="596">
        <v>0</v>
      </c>
      <c r="G445" s="598">
        <v>27</v>
      </c>
      <c r="H445" s="596"/>
      <c r="I445" s="1114">
        <f t="shared" si="252"/>
        <v>0</v>
      </c>
      <c r="J445" s="728">
        <v>9</v>
      </c>
      <c r="K445" s="728">
        <v>6</v>
      </c>
      <c r="L445" s="731">
        <f t="shared" si="226"/>
        <v>15</v>
      </c>
      <c r="M445" s="947"/>
      <c r="N445" s="617">
        <v>405</v>
      </c>
      <c r="O445" s="602">
        <f t="shared" si="251"/>
        <v>27</v>
      </c>
      <c r="P445" s="940"/>
      <c r="Q445" s="600">
        <f t="shared" si="241"/>
        <v>0</v>
      </c>
      <c r="R445" s="940"/>
      <c r="S445" s="596">
        <v>0</v>
      </c>
      <c r="T445" s="724"/>
      <c r="U445" s="728"/>
      <c r="V445" s="728"/>
      <c r="W445" s="731">
        <f t="shared" si="227"/>
        <v>0</v>
      </c>
      <c r="X445" s="947"/>
      <c r="Y445" s="616"/>
      <c r="Z445" s="602">
        <f t="shared" si="230"/>
        <v>0</v>
      </c>
      <c r="AA445" s="835"/>
      <c r="AB445" s="602">
        <f t="shared" si="231"/>
        <v>0</v>
      </c>
      <c r="AC445" s="940"/>
      <c r="AD445" s="956"/>
      <c r="AE445" s="956"/>
      <c r="AF445" s="598">
        <v>5</v>
      </c>
      <c r="AG445" s="596"/>
      <c r="AH445" s="728">
        <v>2</v>
      </c>
      <c r="AI445" s="728">
        <v>1</v>
      </c>
      <c r="AJ445" s="729">
        <f t="shared" si="242"/>
        <v>3</v>
      </c>
      <c r="AK445" s="946"/>
      <c r="AL445" s="616">
        <v>75</v>
      </c>
      <c r="AM445" s="602">
        <f t="shared" si="237"/>
        <v>5</v>
      </c>
      <c r="AN445" s="835"/>
      <c r="AO445" s="835">
        <f t="shared" si="243"/>
        <v>0</v>
      </c>
      <c r="AP445" s="940"/>
      <c r="AQ445" s="722">
        <v>0</v>
      </c>
      <c r="AR445" s="728"/>
      <c r="AS445" s="728"/>
      <c r="AT445" s="729">
        <f t="shared" si="247"/>
        <v>0</v>
      </c>
      <c r="AU445" s="946"/>
      <c r="AV445" s="616"/>
      <c r="AW445" s="602">
        <f t="shared" si="232"/>
        <v>0</v>
      </c>
      <c r="AX445" s="940"/>
      <c r="AY445" s="602">
        <f t="shared" si="233"/>
        <v>0</v>
      </c>
      <c r="AZ445" s="940"/>
      <c r="BA445" s="962"/>
      <c r="BB445" s="962"/>
      <c r="BC445" s="611"/>
      <c r="BD445" s="712">
        <v>31</v>
      </c>
      <c r="BE445" s="596">
        <v>31</v>
      </c>
      <c r="BF445" s="596">
        <f t="shared" si="240"/>
        <v>0</v>
      </c>
      <c r="BG445" s="728">
        <f>2+7</f>
        <v>9</v>
      </c>
      <c r="BH445" s="728">
        <f>1+8</f>
        <v>9</v>
      </c>
      <c r="BI445" s="729">
        <f t="shared" si="228"/>
        <v>18</v>
      </c>
      <c r="BJ445" s="729"/>
      <c r="BK445" s="616">
        <f>250+1300</f>
        <v>1550</v>
      </c>
      <c r="BL445" s="603">
        <f t="shared" si="239"/>
        <v>31</v>
      </c>
      <c r="BM445" s="964"/>
      <c r="BN445" s="602">
        <f t="shared" si="244"/>
        <v>0</v>
      </c>
      <c r="BO445" s="940"/>
      <c r="BP445" s="593">
        <f t="shared" si="245"/>
        <v>0</v>
      </c>
      <c r="BS445" s="741">
        <v>0</v>
      </c>
      <c r="BT445" s="741">
        <v>0</v>
      </c>
      <c r="BU445" s="741">
        <f t="shared" si="248"/>
        <v>0</v>
      </c>
      <c r="BV445" s="741">
        <v>0</v>
      </c>
      <c r="BW445" s="741"/>
      <c r="BX445" s="741">
        <v>0</v>
      </c>
      <c r="BY445" s="741">
        <v>0</v>
      </c>
      <c r="BZ445" s="741">
        <f t="shared" si="229"/>
        <v>0</v>
      </c>
      <c r="CA445" s="741">
        <v>0</v>
      </c>
      <c r="CB445" s="741"/>
      <c r="CC445" s="741">
        <f t="shared" si="249"/>
        <v>0</v>
      </c>
      <c r="CD445" s="751"/>
      <c r="CE445" s="748"/>
      <c r="CF445" s="748"/>
      <c r="CG445" s="748">
        <f t="shared" si="250"/>
        <v>0</v>
      </c>
      <c r="CH445" s="759"/>
      <c r="CI445" s="742"/>
      <c r="CJ445" s="591">
        <f t="shared" si="246"/>
        <v>0</v>
      </c>
    </row>
    <row r="446" spans="1:88" ht="21.6" customHeight="1" x14ac:dyDescent="0.25">
      <c r="A446" s="596" t="s">
        <v>130</v>
      </c>
      <c r="B446" s="596" t="s">
        <v>238</v>
      </c>
      <c r="C446" s="597" t="s">
        <v>250</v>
      </c>
      <c r="D446" s="182" t="s">
        <v>431</v>
      </c>
      <c r="E446" s="598">
        <v>30.333333333333332</v>
      </c>
      <c r="F446" s="596">
        <v>0</v>
      </c>
      <c r="G446" s="598">
        <v>0</v>
      </c>
      <c r="H446" s="596"/>
      <c r="I446" s="1114">
        <f t="shared" si="252"/>
        <v>30.333333333333332</v>
      </c>
      <c r="J446" s="728">
        <v>26</v>
      </c>
      <c r="K446" s="728">
        <v>2</v>
      </c>
      <c r="L446" s="731">
        <f t="shared" si="226"/>
        <v>28</v>
      </c>
      <c r="M446" s="947"/>
      <c r="N446" s="617">
        <v>455</v>
      </c>
      <c r="O446" s="602">
        <f t="shared" si="251"/>
        <v>30.333333333333332</v>
      </c>
      <c r="P446" s="940"/>
      <c r="Q446" s="600">
        <f t="shared" si="241"/>
        <v>0</v>
      </c>
      <c r="R446" s="940"/>
      <c r="S446" s="596">
        <v>15</v>
      </c>
      <c r="T446" s="724"/>
      <c r="U446" s="728">
        <v>9</v>
      </c>
      <c r="V446" s="728">
        <v>6</v>
      </c>
      <c r="W446" s="731">
        <f t="shared" si="227"/>
        <v>15</v>
      </c>
      <c r="X446" s="947"/>
      <c r="Y446" s="616">
        <v>225</v>
      </c>
      <c r="Z446" s="602">
        <f t="shared" si="230"/>
        <v>15</v>
      </c>
      <c r="AA446" s="835"/>
      <c r="AB446" s="602">
        <f t="shared" si="231"/>
        <v>0</v>
      </c>
      <c r="AC446" s="940"/>
      <c r="AD446" s="956"/>
      <c r="AE446" s="956"/>
      <c r="AF446" s="598">
        <v>15</v>
      </c>
      <c r="AG446" s="596"/>
      <c r="AH446" s="728">
        <f>3+6</f>
        <v>9</v>
      </c>
      <c r="AI446" s="728">
        <f>1+4</f>
        <v>5</v>
      </c>
      <c r="AJ446" s="729">
        <f t="shared" si="242"/>
        <v>14</v>
      </c>
      <c r="AK446" s="946"/>
      <c r="AL446" s="616">
        <f>75+150</f>
        <v>225</v>
      </c>
      <c r="AM446" s="602">
        <f t="shared" si="237"/>
        <v>15</v>
      </c>
      <c r="AN446" s="835"/>
      <c r="AO446" s="835">
        <f t="shared" si="243"/>
        <v>0</v>
      </c>
      <c r="AP446" s="940"/>
      <c r="AQ446" s="722">
        <v>15</v>
      </c>
      <c r="AR446" s="728">
        <f>12</f>
        <v>12</v>
      </c>
      <c r="AS446" s="728">
        <f>2</f>
        <v>2</v>
      </c>
      <c r="AT446" s="729">
        <f t="shared" si="247"/>
        <v>14</v>
      </c>
      <c r="AU446" s="946"/>
      <c r="AV446" s="616">
        <v>225</v>
      </c>
      <c r="AW446" s="602">
        <f t="shared" si="232"/>
        <v>15</v>
      </c>
      <c r="AX446" s="940"/>
      <c r="AY446" s="602">
        <f t="shared" si="233"/>
        <v>0</v>
      </c>
      <c r="AZ446" s="940"/>
      <c r="BA446" s="962"/>
      <c r="BB446" s="962"/>
      <c r="BC446" s="611"/>
      <c r="BD446" s="712">
        <v>75</v>
      </c>
      <c r="BE446" s="596">
        <v>45</v>
      </c>
      <c r="BF446" s="596">
        <f t="shared" si="240"/>
        <v>30</v>
      </c>
      <c r="BG446" s="728">
        <f>9+3+6+26+12</f>
        <v>56</v>
      </c>
      <c r="BH446" s="728">
        <f>6+1+4+2+2</f>
        <v>15</v>
      </c>
      <c r="BI446" s="729">
        <f t="shared" si="228"/>
        <v>71</v>
      </c>
      <c r="BJ446" s="729"/>
      <c r="BK446" s="616">
        <f>750+250+500+1500+750</f>
        <v>3750</v>
      </c>
      <c r="BL446" s="603">
        <f t="shared" si="239"/>
        <v>75</v>
      </c>
      <c r="BM446" s="964"/>
      <c r="BN446" s="602">
        <f t="shared" si="244"/>
        <v>0</v>
      </c>
      <c r="BO446" s="940"/>
      <c r="BP446" s="593">
        <f t="shared" si="245"/>
        <v>0</v>
      </c>
      <c r="BS446" s="741">
        <v>0</v>
      </c>
      <c r="BT446" s="741">
        <v>0</v>
      </c>
      <c r="BU446" s="741">
        <f t="shared" si="248"/>
        <v>0</v>
      </c>
      <c r="BV446" s="741">
        <v>0</v>
      </c>
      <c r="BW446" s="741"/>
      <c r="BX446" s="741">
        <v>0</v>
      </c>
      <c r="BY446" s="741">
        <v>0</v>
      </c>
      <c r="BZ446" s="741">
        <f t="shared" si="229"/>
        <v>0</v>
      </c>
      <c r="CA446" s="741">
        <v>0</v>
      </c>
      <c r="CB446" s="741"/>
      <c r="CC446" s="741">
        <f t="shared" si="249"/>
        <v>0</v>
      </c>
      <c r="CD446" s="751"/>
      <c r="CE446" s="748"/>
      <c r="CF446" s="748"/>
      <c r="CG446" s="748">
        <f t="shared" si="250"/>
        <v>0</v>
      </c>
      <c r="CH446" s="759"/>
      <c r="CI446" s="742"/>
      <c r="CJ446" s="591">
        <f t="shared" si="246"/>
        <v>0</v>
      </c>
    </row>
    <row r="447" spans="1:88" ht="21.6" customHeight="1" x14ac:dyDescent="0.25">
      <c r="A447" s="596" t="s">
        <v>130</v>
      </c>
      <c r="B447" s="596" t="s">
        <v>238</v>
      </c>
      <c r="C447" s="597" t="s">
        <v>254</v>
      </c>
      <c r="D447" s="182" t="s">
        <v>431</v>
      </c>
      <c r="E447" s="598">
        <v>0</v>
      </c>
      <c r="F447" s="596">
        <v>0</v>
      </c>
      <c r="G447" s="598">
        <v>0</v>
      </c>
      <c r="H447" s="596"/>
      <c r="I447" s="1114">
        <f t="shared" si="252"/>
        <v>0</v>
      </c>
      <c r="J447" s="728"/>
      <c r="K447" s="728"/>
      <c r="L447" s="731">
        <f t="shared" si="226"/>
        <v>0</v>
      </c>
      <c r="M447" s="947"/>
      <c r="N447" s="617"/>
      <c r="O447" s="602">
        <f t="shared" si="251"/>
        <v>0</v>
      </c>
      <c r="P447" s="940"/>
      <c r="Q447" s="600">
        <f t="shared" si="241"/>
        <v>0</v>
      </c>
      <c r="R447" s="940"/>
      <c r="S447" s="596">
        <v>18</v>
      </c>
      <c r="T447" s="724"/>
      <c r="U447" s="728">
        <v>6</v>
      </c>
      <c r="V447" s="728">
        <v>7</v>
      </c>
      <c r="W447" s="731">
        <f t="shared" si="227"/>
        <v>13</v>
      </c>
      <c r="X447" s="947"/>
      <c r="Y447" s="616">
        <v>270</v>
      </c>
      <c r="Z447" s="602">
        <f t="shared" si="230"/>
        <v>18</v>
      </c>
      <c r="AA447" s="835"/>
      <c r="AB447" s="602">
        <f t="shared" si="231"/>
        <v>0</v>
      </c>
      <c r="AC447" s="940"/>
      <c r="AD447" s="956"/>
      <c r="AE447" s="956"/>
      <c r="AF447" s="598">
        <v>0</v>
      </c>
      <c r="AG447" s="596"/>
      <c r="AH447" s="728"/>
      <c r="AI447" s="728"/>
      <c r="AJ447" s="729">
        <f t="shared" si="242"/>
        <v>0</v>
      </c>
      <c r="AK447" s="946"/>
      <c r="AL447" s="616"/>
      <c r="AM447" s="602">
        <f t="shared" si="237"/>
        <v>0</v>
      </c>
      <c r="AN447" s="835"/>
      <c r="AO447" s="835">
        <f t="shared" si="243"/>
        <v>0</v>
      </c>
      <c r="AP447" s="940"/>
      <c r="AQ447" s="722">
        <v>0</v>
      </c>
      <c r="AR447" s="728"/>
      <c r="AS447" s="728"/>
      <c r="AT447" s="729">
        <f t="shared" si="247"/>
        <v>0</v>
      </c>
      <c r="AU447" s="946"/>
      <c r="AV447" s="616"/>
      <c r="AW447" s="602">
        <f t="shared" si="232"/>
        <v>0</v>
      </c>
      <c r="AX447" s="940"/>
      <c r="AY447" s="602">
        <f t="shared" si="233"/>
        <v>0</v>
      </c>
      <c r="AZ447" s="940"/>
      <c r="BA447" s="962"/>
      <c r="BB447" s="962"/>
      <c r="BC447" s="611"/>
      <c r="BD447" s="712">
        <v>18</v>
      </c>
      <c r="BE447" s="596">
        <v>0</v>
      </c>
      <c r="BF447" s="596">
        <f t="shared" si="240"/>
        <v>18</v>
      </c>
      <c r="BG447" s="728">
        <v>5</v>
      </c>
      <c r="BH447" s="728">
        <v>8</v>
      </c>
      <c r="BI447" s="729">
        <f t="shared" si="228"/>
        <v>13</v>
      </c>
      <c r="BJ447" s="729"/>
      <c r="BK447" s="616">
        <v>900</v>
      </c>
      <c r="BL447" s="603">
        <f t="shared" si="239"/>
        <v>18</v>
      </c>
      <c r="BM447" s="964"/>
      <c r="BN447" s="602">
        <f t="shared" si="244"/>
        <v>0</v>
      </c>
      <c r="BO447" s="940"/>
      <c r="BP447" s="593">
        <f t="shared" si="245"/>
        <v>0</v>
      </c>
      <c r="BS447" s="741">
        <v>0</v>
      </c>
      <c r="BT447" s="741">
        <v>0</v>
      </c>
      <c r="BU447" s="741">
        <f t="shared" si="248"/>
        <v>0</v>
      </c>
      <c r="BV447" s="741">
        <v>0</v>
      </c>
      <c r="BW447" s="741"/>
      <c r="BX447" s="741">
        <v>0</v>
      </c>
      <c r="BY447" s="741">
        <v>0</v>
      </c>
      <c r="BZ447" s="741">
        <f t="shared" si="229"/>
        <v>0</v>
      </c>
      <c r="CA447" s="741">
        <v>0</v>
      </c>
      <c r="CB447" s="741"/>
      <c r="CC447" s="741">
        <f t="shared" si="249"/>
        <v>0</v>
      </c>
      <c r="CD447" s="751"/>
      <c r="CE447" s="748"/>
      <c r="CF447" s="748"/>
      <c r="CG447" s="748">
        <f t="shared" si="250"/>
        <v>0</v>
      </c>
      <c r="CH447" s="759"/>
      <c r="CI447" s="742"/>
      <c r="CJ447" s="591">
        <f t="shared" si="246"/>
        <v>0</v>
      </c>
    </row>
    <row r="448" spans="1:88" ht="21.6" customHeight="1" x14ac:dyDescent="0.25">
      <c r="A448" s="596" t="s">
        <v>130</v>
      </c>
      <c r="B448" s="596" t="s">
        <v>238</v>
      </c>
      <c r="C448" s="597" t="s">
        <v>241</v>
      </c>
      <c r="D448" s="182" t="s">
        <v>431</v>
      </c>
      <c r="E448" s="598">
        <v>83</v>
      </c>
      <c r="F448" s="596">
        <v>0</v>
      </c>
      <c r="G448" s="598">
        <v>83</v>
      </c>
      <c r="H448" s="596"/>
      <c r="I448" s="1114">
        <f t="shared" si="252"/>
        <v>0</v>
      </c>
      <c r="J448" s="728">
        <v>40</v>
      </c>
      <c r="K448" s="728">
        <v>9</v>
      </c>
      <c r="L448" s="731">
        <f t="shared" si="226"/>
        <v>49</v>
      </c>
      <c r="M448" s="947"/>
      <c r="N448" s="617">
        <v>1245</v>
      </c>
      <c r="O448" s="602">
        <f t="shared" si="251"/>
        <v>83</v>
      </c>
      <c r="P448" s="940"/>
      <c r="Q448" s="600">
        <f t="shared" si="241"/>
        <v>0</v>
      </c>
      <c r="R448" s="940"/>
      <c r="S448" s="596">
        <v>0</v>
      </c>
      <c r="T448" s="724"/>
      <c r="U448" s="728"/>
      <c r="V448" s="728"/>
      <c r="W448" s="731">
        <f t="shared" si="227"/>
        <v>0</v>
      </c>
      <c r="X448" s="947"/>
      <c r="Y448" s="616"/>
      <c r="Z448" s="602">
        <f t="shared" si="230"/>
        <v>0</v>
      </c>
      <c r="AA448" s="835"/>
      <c r="AB448" s="602">
        <f t="shared" si="231"/>
        <v>0</v>
      </c>
      <c r="AC448" s="940"/>
      <c r="AD448" s="956"/>
      <c r="AE448" s="956"/>
      <c r="AF448" s="598">
        <v>81</v>
      </c>
      <c r="AG448" s="596"/>
      <c r="AH448" s="728">
        <v>11</v>
      </c>
      <c r="AI448" s="728">
        <v>30</v>
      </c>
      <c r="AJ448" s="729">
        <f t="shared" si="242"/>
        <v>41</v>
      </c>
      <c r="AK448" s="946"/>
      <c r="AL448" s="616">
        <v>1215</v>
      </c>
      <c r="AM448" s="602">
        <f t="shared" si="237"/>
        <v>81</v>
      </c>
      <c r="AN448" s="835"/>
      <c r="AO448" s="835">
        <f t="shared" si="243"/>
        <v>0</v>
      </c>
      <c r="AP448" s="940"/>
      <c r="AQ448" s="722">
        <v>0</v>
      </c>
      <c r="AR448" s="728"/>
      <c r="AS448" s="728"/>
      <c r="AT448" s="729">
        <f t="shared" si="247"/>
        <v>0</v>
      </c>
      <c r="AU448" s="946"/>
      <c r="AV448" s="616"/>
      <c r="AW448" s="602">
        <f t="shared" si="232"/>
        <v>0</v>
      </c>
      <c r="AX448" s="940"/>
      <c r="AY448" s="602">
        <f t="shared" si="233"/>
        <v>0</v>
      </c>
      <c r="AZ448" s="940"/>
      <c r="BA448" s="962"/>
      <c r="BB448" s="962"/>
      <c r="BC448" s="611"/>
      <c r="BD448" s="712">
        <v>164</v>
      </c>
      <c r="BE448" s="596">
        <v>160</v>
      </c>
      <c r="BF448" s="596">
        <f t="shared" si="240"/>
        <v>4</v>
      </c>
      <c r="BG448" s="728">
        <f>37+40+2</f>
        <v>79</v>
      </c>
      <c r="BH448" s="728">
        <f>5+9</f>
        <v>14</v>
      </c>
      <c r="BI448" s="729">
        <f t="shared" si="228"/>
        <v>93</v>
      </c>
      <c r="BJ448" s="729"/>
      <c r="BK448" s="616">
        <f>3850+4150+200</f>
        <v>8200</v>
      </c>
      <c r="BL448" s="603">
        <f t="shared" si="239"/>
        <v>164</v>
      </c>
      <c r="BM448" s="964"/>
      <c r="BN448" s="602">
        <f t="shared" si="244"/>
        <v>0</v>
      </c>
      <c r="BO448" s="940"/>
      <c r="BP448" s="593">
        <f t="shared" si="245"/>
        <v>0</v>
      </c>
      <c r="BS448" s="741">
        <v>0</v>
      </c>
      <c r="BT448" s="741">
        <v>0</v>
      </c>
      <c r="BU448" s="741">
        <f t="shared" si="248"/>
        <v>0</v>
      </c>
      <c r="BV448" s="741">
        <v>0</v>
      </c>
      <c r="BW448" s="741"/>
      <c r="BX448" s="741">
        <v>0</v>
      </c>
      <c r="BY448" s="741">
        <v>0</v>
      </c>
      <c r="BZ448" s="741">
        <f t="shared" si="229"/>
        <v>0</v>
      </c>
      <c r="CA448" s="741">
        <v>0</v>
      </c>
      <c r="CB448" s="741"/>
      <c r="CC448" s="741">
        <f t="shared" si="249"/>
        <v>0</v>
      </c>
      <c r="CD448" s="751"/>
      <c r="CE448" s="748"/>
      <c r="CF448" s="748"/>
      <c r="CG448" s="748">
        <f t="shared" si="250"/>
        <v>0</v>
      </c>
      <c r="CH448" s="759"/>
      <c r="CI448" s="742"/>
      <c r="CJ448" s="591">
        <f t="shared" si="246"/>
        <v>0</v>
      </c>
    </row>
    <row r="449" spans="1:88" ht="20.25" customHeight="1" x14ac:dyDescent="0.25">
      <c r="A449" s="596" t="s">
        <v>130</v>
      </c>
      <c r="B449" s="596" t="s">
        <v>238</v>
      </c>
      <c r="C449" s="597" t="s">
        <v>246</v>
      </c>
      <c r="D449" s="182" t="s">
        <v>431</v>
      </c>
      <c r="E449" s="598">
        <v>33</v>
      </c>
      <c r="F449" s="596">
        <v>0</v>
      </c>
      <c r="G449" s="598">
        <v>33</v>
      </c>
      <c r="H449" s="596"/>
      <c r="I449" s="1114">
        <f t="shared" si="252"/>
        <v>0</v>
      </c>
      <c r="J449" s="728">
        <f>3</f>
        <v>3</v>
      </c>
      <c r="K449" s="728">
        <f>2</f>
        <v>2</v>
      </c>
      <c r="L449" s="731">
        <f t="shared" si="226"/>
        <v>5</v>
      </c>
      <c r="M449" s="947"/>
      <c r="N449" s="617">
        <v>495</v>
      </c>
      <c r="O449" s="602">
        <f t="shared" si="251"/>
        <v>33</v>
      </c>
      <c r="P449" s="940"/>
      <c r="Q449" s="600">
        <f t="shared" si="241"/>
        <v>0</v>
      </c>
      <c r="R449" s="940"/>
      <c r="S449" s="596">
        <v>0</v>
      </c>
      <c r="T449" s="724"/>
      <c r="U449" s="728"/>
      <c r="V449" s="728"/>
      <c r="W449" s="731">
        <f t="shared" si="227"/>
        <v>0</v>
      </c>
      <c r="X449" s="947"/>
      <c r="Y449" s="616"/>
      <c r="Z449" s="602">
        <f t="shared" si="230"/>
        <v>0</v>
      </c>
      <c r="AA449" s="835"/>
      <c r="AB449" s="602">
        <f t="shared" si="231"/>
        <v>0</v>
      </c>
      <c r="AC449" s="940"/>
      <c r="AD449" s="956"/>
      <c r="AE449" s="956"/>
      <c r="AF449" s="598">
        <v>21</v>
      </c>
      <c r="AG449" s="596"/>
      <c r="AH449" s="728">
        <f>5+4</f>
        <v>9</v>
      </c>
      <c r="AI449" s="728">
        <v>2</v>
      </c>
      <c r="AJ449" s="729">
        <f t="shared" si="242"/>
        <v>11</v>
      </c>
      <c r="AK449" s="946"/>
      <c r="AL449" s="616">
        <f>75+240</f>
        <v>315</v>
      </c>
      <c r="AM449" s="602">
        <f t="shared" si="237"/>
        <v>21</v>
      </c>
      <c r="AN449" s="835"/>
      <c r="AO449" s="835">
        <f t="shared" si="243"/>
        <v>0</v>
      </c>
      <c r="AP449" s="940"/>
      <c r="AQ449" s="722">
        <v>30</v>
      </c>
      <c r="AR449" s="728">
        <v>14</v>
      </c>
      <c r="AS449" s="728">
        <v>1</v>
      </c>
      <c r="AT449" s="729">
        <f t="shared" si="247"/>
        <v>15</v>
      </c>
      <c r="AU449" s="946"/>
      <c r="AV449" s="616">
        <v>450</v>
      </c>
      <c r="AW449" s="602">
        <f t="shared" si="232"/>
        <v>30</v>
      </c>
      <c r="AX449" s="940"/>
      <c r="AY449" s="602">
        <f t="shared" si="233"/>
        <v>0</v>
      </c>
      <c r="AZ449" s="940"/>
      <c r="BA449" s="962"/>
      <c r="BB449" s="962"/>
      <c r="BC449" s="611"/>
      <c r="BD449" s="712">
        <v>84</v>
      </c>
      <c r="BE449" s="596">
        <v>54</v>
      </c>
      <c r="BF449" s="596">
        <f t="shared" si="240"/>
        <v>30</v>
      </c>
      <c r="BG449" s="728">
        <f>14+4+5+3+18</f>
        <v>44</v>
      </c>
      <c r="BH449" s="728">
        <f>1+2+2+1</f>
        <v>6</v>
      </c>
      <c r="BI449" s="729">
        <f t="shared" si="228"/>
        <v>50</v>
      </c>
      <c r="BJ449" s="729"/>
      <c r="BK449" s="616">
        <f>1500+800+250+700+950</f>
        <v>4200</v>
      </c>
      <c r="BL449" s="603">
        <f t="shared" si="239"/>
        <v>84</v>
      </c>
      <c r="BM449" s="964"/>
      <c r="BN449" s="602">
        <f t="shared" si="244"/>
        <v>0</v>
      </c>
      <c r="BO449" s="940"/>
      <c r="BP449" s="593">
        <f t="shared" si="245"/>
        <v>0</v>
      </c>
      <c r="BS449" s="741">
        <v>0</v>
      </c>
      <c r="BT449" s="741">
        <v>0</v>
      </c>
      <c r="BU449" s="741">
        <f t="shared" si="248"/>
        <v>0</v>
      </c>
      <c r="BV449" s="741">
        <v>0</v>
      </c>
      <c r="BW449" s="741"/>
      <c r="BX449" s="741">
        <v>0</v>
      </c>
      <c r="BY449" s="741">
        <v>0</v>
      </c>
      <c r="BZ449" s="741">
        <f t="shared" si="229"/>
        <v>0</v>
      </c>
      <c r="CA449" s="741">
        <v>0</v>
      </c>
      <c r="CB449" s="741"/>
      <c r="CC449" s="741">
        <f t="shared" si="249"/>
        <v>0</v>
      </c>
      <c r="CD449" s="751"/>
      <c r="CE449" s="748"/>
      <c r="CF449" s="748"/>
      <c r="CG449" s="748">
        <f t="shared" si="250"/>
        <v>0</v>
      </c>
      <c r="CH449" s="759"/>
      <c r="CI449" s="742"/>
      <c r="CJ449" s="591">
        <f t="shared" si="246"/>
        <v>0</v>
      </c>
    </row>
    <row r="450" spans="1:88" ht="21.6" customHeight="1" x14ac:dyDescent="0.25">
      <c r="A450" s="596" t="s">
        <v>130</v>
      </c>
      <c r="B450" s="596" t="s">
        <v>238</v>
      </c>
      <c r="C450" s="597" t="s">
        <v>252</v>
      </c>
      <c r="D450" s="182" t="s">
        <v>431</v>
      </c>
      <c r="E450" s="598">
        <v>17</v>
      </c>
      <c r="F450" s="596">
        <v>0</v>
      </c>
      <c r="G450" s="598">
        <v>10</v>
      </c>
      <c r="H450" s="596"/>
      <c r="I450" s="1114">
        <f t="shared" si="252"/>
        <v>7</v>
      </c>
      <c r="J450" s="728">
        <f>10+3</f>
        <v>13</v>
      </c>
      <c r="K450" s="728">
        <v>1</v>
      </c>
      <c r="L450" s="731">
        <f t="shared" si="226"/>
        <v>14</v>
      </c>
      <c r="M450" s="947"/>
      <c r="N450" s="617">
        <f>150+105</f>
        <v>255</v>
      </c>
      <c r="O450" s="602">
        <f t="shared" si="251"/>
        <v>17</v>
      </c>
      <c r="P450" s="940"/>
      <c r="Q450" s="600">
        <f t="shared" ref="Q450:Q482" si="253">E450-O450</f>
        <v>0</v>
      </c>
      <c r="R450" s="940"/>
      <c r="S450" s="596">
        <v>0</v>
      </c>
      <c r="T450" s="724"/>
      <c r="U450" s="728"/>
      <c r="V450" s="728"/>
      <c r="W450" s="731">
        <f t="shared" si="227"/>
        <v>0</v>
      </c>
      <c r="X450" s="947"/>
      <c r="Y450" s="616"/>
      <c r="Z450" s="602">
        <f t="shared" si="230"/>
        <v>0</v>
      </c>
      <c r="AA450" s="835"/>
      <c r="AB450" s="602">
        <f t="shared" si="231"/>
        <v>0</v>
      </c>
      <c r="AC450" s="940"/>
      <c r="AD450" s="956"/>
      <c r="AE450" s="956"/>
      <c r="AF450" s="598">
        <v>0</v>
      </c>
      <c r="AG450" s="596"/>
      <c r="AH450" s="728"/>
      <c r="AI450" s="728"/>
      <c r="AJ450" s="729">
        <f t="shared" ref="AJ450:AJ482" si="254">AH450+AI450</f>
        <v>0</v>
      </c>
      <c r="AK450" s="946"/>
      <c r="AL450" s="616"/>
      <c r="AM450" s="602">
        <f t="shared" si="237"/>
        <v>0</v>
      </c>
      <c r="AN450" s="835"/>
      <c r="AO450" s="835">
        <f t="shared" ref="AO450:AO478" si="255">AF450-AM450</f>
        <v>0</v>
      </c>
      <c r="AP450" s="940"/>
      <c r="AQ450" s="722">
        <v>31</v>
      </c>
      <c r="AR450" s="728">
        <f>3+12</f>
        <v>15</v>
      </c>
      <c r="AS450" s="728">
        <f>3+3</f>
        <v>6</v>
      </c>
      <c r="AT450" s="729">
        <f t="shared" si="247"/>
        <v>21</v>
      </c>
      <c r="AU450" s="946"/>
      <c r="AV450" s="616">
        <f>270+195</f>
        <v>465</v>
      </c>
      <c r="AW450" s="602">
        <f t="shared" si="232"/>
        <v>31</v>
      </c>
      <c r="AX450" s="940"/>
      <c r="AY450" s="602">
        <f t="shared" si="233"/>
        <v>0</v>
      </c>
      <c r="AZ450" s="940"/>
      <c r="BA450" s="962"/>
      <c r="BB450" s="962"/>
      <c r="BC450" s="611"/>
      <c r="BD450" s="712">
        <v>43</v>
      </c>
      <c r="BE450" s="596">
        <v>12</v>
      </c>
      <c r="BF450" s="596">
        <f t="shared" si="240"/>
        <v>31</v>
      </c>
      <c r="BG450" s="728">
        <f>3+10+3+12</f>
        <v>28</v>
      </c>
      <c r="BH450" s="728">
        <f>3+1+3</f>
        <v>7</v>
      </c>
      <c r="BI450" s="729">
        <f t="shared" si="228"/>
        <v>35</v>
      </c>
      <c r="BJ450" s="729"/>
      <c r="BK450" s="616">
        <f>900+500+100+650</f>
        <v>2150</v>
      </c>
      <c r="BL450" s="603">
        <f t="shared" si="239"/>
        <v>43</v>
      </c>
      <c r="BM450" s="964"/>
      <c r="BN450" s="602">
        <f t="shared" si="244"/>
        <v>0</v>
      </c>
      <c r="BO450" s="940"/>
      <c r="BP450" s="593">
        <f t="shared" si="245"/>
        <v>0</v>
      </c>
      <c r="BS450" s="741">
        <v>0</v>
      </c>
      <c r="BT450" s="741">
        <v>0</v>
      </c>
      <c r="BU450" s="741">
        <f t="shared" si="248"/>
        <v>0</v>
      </c>
      <c r="BV450" s="741">
        <v>0</v>
      </c>
      <c r="BW450" s="741"/>
      <c r="BX450" s="741">
        <v>0</v>
      </c>
      <c r="BY450" s="741">
        <v>0</v>
      </c>
      <c r="BZ450" s="741">
        <f t="shared" si="229"/>
        <v>0</v>
      </c>
      <c r="CA450" s="741">
        <v>0</v>
      </c>
      <c r="CB450" s="741"/>
      <c r="CC450" s="741">
        <f t="shared" si="249"/>
        <v>0</v>
      </c>
      <c r="CD450" s="751"/>
      <c r="CE450" s="748"/>
      <c r="CF450" s="748"/>
      <c r="CG450" s="748">
        <f t="shared" si="250"/>
        <v>0</v>
      </c>
      <c r="CH450" s="759"/>
      <c r="CI450" s="742"/>
      <c r="CJ450" s="591">
        <f t="shared" si="246"/>
        <v>0</v>
      </c>
    </row>
    <row r="451" spans="1:88" ht="21.6" customHeight="1" x14ac:dyDescent="0.25">
      <c r="A451" s="596" t="s">
        <v>130</v>
      </c>
      <c r="B451" s="596" t="s">
        <v>238</v>
      </c>
      <c r="C451" s="597" t="s">
        <v>240</v>
      </c>
      <c r="D451" s="182" t="s">
        <v>431</v>
      </c>
      <c r="E451" s="598">
        <v>10</v>
      </c>
      <c r="F451" s="596">
        <v>0</v>
      </c>
      <c r="G451" s="598">
        <v>10</v>
      </c>
      <c r="H451" s="596"/>
      <c r="I451" s="1114">
        <f t="shared" si="252"/>
        <v>0</v>
      </c>
      <c r="J451" s="728">
        <f>2</f>
        <v>2</v>
      </c>
      <c r="K451" s="728">
        <f>8</f>
        <v>8</v>
      </c>
      <c r="L451" s="731">
        <f t="shared" si="226"/>
        <v>10</v>
      </c>
      <c r="M451" s="947"/>
      <c r="N451" s="617">
        <v>150</v>
      </c>
      <c r="O451" s="602">
        <f t="shared" si="251"/>
        <v>10</v>
      </c>
      <c r="P451" s="940"/>
      <c r="Q451" s="600">
        <f t="shared" si="253"/>
        <v>0</v>
      </c>
      <c r="R451" s="940"/>
      <c r="S451" s="596">
        <v>0</v>
      </c>
      <c r="T451" s="724"/>
      <c r="U451" s="728"/>
      <c r="V451" s="728"/>
      <c r="W451" s="731">
        <f t="shared" si="227"/>
        <v>0</v>
      </c>
      <c r="X451" s="947"/>
      <c r="Y451" s="616"/>
      <c r="Z451" s="602">
        <f t="shared" si="230"/>
        <v>0</v>
      </c>
      <c r="AA451" s="835"/>
      <c r="AB451" s="602">
        <f t="shared" si="231"/>
        <v>0</v>
      </c>
      <c r="AC451" s="940"/>
      <c r="AD451" s="956"/>
      <c r="AE451" s="956"/>
      <c r="AF451" s="598">
        <v>0</v>
      </c>
      <c r="AG451" s="596"/>
      <c r="AH451" s="728"/>
      <c r="AI451" s="728"/>
      <c r="AJ451" s="729">
        <f t="shared" si="254"/>
        <v>0</v>
      </c>
      <c r="AK451" s="946"/>
      <c r="AL451" s="616"/>
      <c r="AM451" s="602">
        <f t="shared" si="237"/>
        <v>0</v>
      </c>
      <c r="AN451" s="835"/>
      <c r="AO451" s="835">
        <f t="shared" si="255"/>
        <v>0</v>
      </c>
      <c r="AP451" s="940"/>
      <c r="AQ451" s="722">
        <v>0</v>
      </c>
      <c r="AR451" s="728"/>
      <c r="AS451" s="728"/>
      <c r="AT451" s="729">
        <f t="shared" si="247"/>
        <v>0</v>
      </c>
      <c r="AU451" s="946"/>
      <c r="AV451" s="616"/>
      <c r="AW451" s="602">
        <f t="shared" si="232"/>
        <v>0</v>
      </c>
      <c r="AX451" s="940"/>
      <c r="AY451" s="602">
        <f t="shared" si="233"/>
        <v>0</v>
      </c>
      <c r="AZ451" s="940"/>
      <c r="BA451" s="962"/>
      <c r="BB451" s="962"/>
      <c r="BC451" s="611"/>
      <c r="BD451" s="712">
        <v>10</v>
      </c>
      <c r="BE451" s="596">
        <v>10</v>
      </c>
      <c r="BF451" s="596">
        <f t="shared" si="240"/>
        <v>0</v>
      </c>
      <c r="BG451" s="728">
        <v>2</v>
      </c>
      <c r="BH451" s="728">
        <v>8</v>
      </c>
      <c r="BI451" s="729">
        <f t="shared" si="228"/>
        <v>10</v>
      </c>
      <c r="BJ451" s="729"/>
      <c r="BK451" s="616">
        <v>500</v>
      </c>
      <c r="BL451" s="603">
        <f t="shared" si="239"/>
        <v>10</v>
      </c>
      <c r="BM451" s="964"/>
      <c r="BN451" s="602">
        <f t="shared" ref="BN451:BN478" si="256">BD451-BL451</f>
        <v>0</v>
      </c>
      <c r="BO451" s="940"/>
      <c r="BP451" s="593">
        <f t="shared" ref="BP451:BP483" si="257">BO451+AZ451+AP451+AC451+R451</f>
        <v>0</v>
      </c>
      <c r="BS451" s="741">
        <v>0</v>
      </c>
      <c r="BT451" s="741">
        <v>0</v>
      </c>
      <c r="BU451" s="741">
        <f t="shared" si="248"/>
        <v>0</v>
      </c>
      <c r="BV451" s="741">
        <v>0</v>
      </c>
      <c r="BW451" s="741"/>
      <c r="BX451" s="741">
        <v>0</v>
      </c>
      <c r="BY451" s="741">
        <v>0</v>
      </c>
      <c r="BZ451" s="741">
        <f t="shared" si="229"/>
        <v>0</v>
      </c>
      <c r="CA451" s="741">
        <v>0</v>
      </c>
      <c r="CB451" s="741"/>
      <c r="CC451" s="741">
        <f t="shared" si="249"/>
        <v>0</v>
      </c>
      <c r="CD451" s="751"/>
      <c r="CE451" s="748"/>
      <c r="CF451" s="748"/>
      <c r="CG451" s="748">
        <f t="shared" si="250"/>
        <v>0</v>
      </c>
      <c r="CH451" s="759"/>
      <c r="CI451" s="742"/>
      <c r="CJ451" s="591">
        <f t="shared" ref="CJ451:CJ483" si="258">BN451+AY451+AO451+AB451+Q451</f>
        <v>0</v>
      </c>
    </row>
    <row r="452" spans="1:88" ht="21.6" customHeight="1" x14ac:dyDescent="0.25">
      <c r="A452" s="596" t="s">
        <v>130</v>
      </c>
      <c r="B452" s="596" t="s">
        <v>238</v>
      </c>
      <c r="C452" s="597" t="s">
        <v>243</v>
      </c>
      <c r="D452" s="182" t="s">
        <v>431</v>
      </c>
      <c r="E452" s="598">
        <v>134.333333333333</v>
      </c>
      <c r="F452" s="596">
        <v>0</v>
      </c>
      <c r="G452" s="598">
        <v>97</v>
      </c>
      <c r="H452" s="596"/>
      <c r="I452" s="1114">
        <f t="shared" si="252"/>
        <v>37.333333333333002</v>
      </c>
      <c r="J452" s="728">
        <f>8+6+1+11</f>
        <v>26</v>
      </c>
      <c r="K452" s="728">
        <f>8+4+2+9</f>
        <v>23</v>
      </c>
      <c r="L452" s="731">
        <f t="shared" si="226"/>
        <v>49</v>
      </c>
      <c r="M452" s="947"/>
      <c r="N452" s="617">
        <f>1455+560</f>
        <v>2015</v>
      </c>
      <c r="O452" s="602">
        <f t="shared" si="251"/>
        <v>134.33333333333334</v>
      </c>
      <c r="P452" s="940"/>
      <c r="Q452" s="600">
        <f t="shared" si="253"/>
        <v>-3.4106051316484809E-13</v>
      </c>
      <c r="R452" s="940"/>
      <c r="S452" s="596">
        <v>0</v>
      </c>
      <c r="T452" s="724"/>
      <c r="U452" s="728"/>
      <c r="V452" s="728"/>
      <c r="W452" s="731">
        <f t="shared" si="227"/>
        <v>0</v>
      </c>
      <c r="X452" s="947"/>
      <c r="Y452" s="616"/>
      <c r="Z452" s="602">
        <f t="shared" si="230"/>
        <v>0</v>
      </c>
      <c r="AA452" s="835"/>
      <c r="AB452" s="602">
        <f t="shared" si="231"/>
        <v>0</v>
      </c>
      <c r="AC452" s="940"/>
      <c r="AD452" s="956"/>
      <c r="AE452" s="956"/>
      <c r="AF452" s="598">
        <v>0</v>
      </c>
      <c r="AG452" s="596"/>
      <c r="AH452" s="728"/>
      <c r="AI452" s="728"/>
      <c r="AJ452" s="729">
        <f t="shared" si="254"/>
        <v>0</v>
      </c>
      <c r="AK452" s="946"/>
      <c r="AL452" s="616"/>
      <c r="AM452" s="602">
        <f t="shared" si="237"/>
        <v>0</v>
      </c>
      <c r="AN452" s="835"/>
      <c r="AO452" s="835">
        <f t="shared" si="255"/>
        <v>0</v>
      </c>
      <c r="AP452" s="940"/>
      <c r="AQ452" s="722">
        <v>0</v>
      </c>
      <c r="AR452" s="728"/>
      <c r="AS452" s="728"/>
      <c r="AT452" s="729">
        <f t="shared" si="247"/>
        <v>0</v>
      </c>
      <c r="AU452" s="946"/>
      <c r="AV452" s="616"/>
      <c r="AW452" s="602">
        <f t="shared" si="232"/>
        <v>0</v>
      </c>
      <c r="AX452" s="940"/>
      <c r="AY452" s="602">
        <f t="shared" si="233"/>
        <v>0</v>
      </c>
      <c r="AZ452" s="940"/>
      <c r="BA452" s="962"/>
      <c r="BB452" s="962"/>
      <c r="BC452" s="611"/>
      <c r="BD452" s="712">
        <v>134</v>
      </c>
      <c r="BE452" s="596">
        <v>97</v>
      </c>
      <c r="BF452" s="596">
        <f t="shared" si="240"/>
        <v>37</v>
      </c>
      <c r="BG452" s="728">
        <f>26+13</f>
        <v>39</v>
      </c>
      <c r="BH452" s="728">
        <f>23+3</f>
        <v>26</v>
      </c>
      <c r="BI452" s="729">
        <f t="shared" si="228"/>
        <v>65</v>
      </c>
      <c r="BJ452" s="729"/>
      <c r="BK452" s="616">
        <f>4850+1850</f>
        <v>6700</v>
      </c>
      <c r="BL452" s="603">
        <f t="shared" si="239"/>
        <v>134</v>
      </c>
      <c r="BM452" s="964"/>
      <c r="BN452" s="602">
        <f t="shared" si="256"/>
        <v>0</v>
      </c>
      <c r="BO452" s="940"/>
      <c r="BP452" s="593">
        <f t="shared" si="257"/>
        <v>0</v>
      </c>
      <c r="BS452" s="741">
        <v>0</v>
      </c>
      <c r="BT452" s="741">
        <v>0</v>
      </c>
      <c r="BU452" s="741">
        <f t="shared" si="248"/>
        <v>0</v>
      </c>
      <c r="BV452" s="741">
        <v>0</v>
      </c>
      <c r="BW452" s="741"/>
      <c r="BX452" s="741">
        <v>0</v>
      </c>
      <c r="BY452" s="741">
        <v>0</v>
      </c>
      <c r="BZ452" s="741">
        <f t="shared" si="229"/>
        <v>0</v>
      </c>
      <c r="CA452" s="741">
        <v>0</v>
      </c>
      <c r="CB452" s="741"/>
      <c r="CC452" s="741">
        <f t="shared" si="249"/>
        <v>0</v>
      </c>
      <c r="CD452" s="751"/>
      <c r="CE452" s="748"/>
      <c r="CF452" s="748"/>
      <c r="CG452" s="748">
        <f t="shared" si="250"/>
        <v>0</v>
      </c>
      <c r="CH452" s="759"/>
      <c r="CI452" s="742"/>
      <c r="CJ452" s="591">
        <f t="shared" si="258"/>
        <v>-3.4106051316484809E-13</v>
      </c>
    </row>
    <row r="453" spans="1:88" ht="21.6" customHeight="1" x14ac:dyDescent="0.25">
      <c r="A453" s="596" t="s">
        <v>130</v>
      </c>
      <c r="B453" s="596" t="s">
        <v>238</v>
      </c>
      <c r="C453" s="597" t="s">
        <v>609</v>
      </c>
      <c r="D453" s="182" t="s">
        <v>429</v>
      </c>
      <c r="E453" s="598">
        <v>77.333333333333329</v>
      </c>
      <c r="F453" s="596">
        <v>0</v>
      </c>
      <c r="G453" s="598"/>
      <c r="H453" s="596"/>
      <c r="I453" s="1114">
        <f t="shared" si="252"/>
        <v>77.333333333333329</v>
      </c>
      <c r="J453" s="728">
        <v>30</v>
      </c>
      <c r="K453" s="728">
        <v>6</v>
      </c>
      <c r="L453" s="731">
        <f t="shared" si="226"/>
        <v>36</v>
      </c>
      <c r="M453" s="947"/>
      <c r="N453" s="617">
        <v>1160</v>
      </c>
      <c r="O453" s="602">
        <f t="shared" si="251"/>
        <v>77.333333333333329</v>
      </c>
      <c r="P453" s="940"/>
      <c r="Q453" s="600">
        <f t="shared" si="253"/>
        <v>0</v>
      </c>
      <c r="R453" s="940"/>
      <c r="S453" s="596">
        <v>0</v>
      </c>
      <c r="T453" s="724"/>
      <c r="U453" s="728"/>
      <c r="V453" s="728"/>
      <c r="W453" s="731">
        <f t="shared" si="227"/>
        <v>0</v>
      </c>
      <c r="X453" s="947"/>
      <c r="Y453" s="616"/>
      <c r="Z453" s="602">
        <f t="shared" si="230"/>
        <v>0</v>
      </c>
      <c r="AA453" s="835"/>
      <c r="AB453" s="602">
        <f t="shared" si="231"/>
        <v>0</v>
      </c>
      <c r="AC453" s="940"/>
      <c r="AD453" s="956"/>
      <c r="AE453" s="956"/>
      <c r="AF453" s="598">
        <v>72</v>
      </c>
      <c r="AG453" s="596"/>
      <c r="AH453" s="728">
        <v>35</v>
      </c>
      <c r="AI453" s="728">
        <v>5</v>
      </c>
      <c r="AJ453" s="729">
        <f t="shared" si="254"/>
        <v>40</v>
      </c>
      <c r="AK453" s="946"/>
      <c r="AL453" s="616">
        <v>1080</v>
      </c>
      <c r="AM453" s="602">
        <f t="shared" si="237"/>
        <v>72</v>
      </c>
      <c r="AN453" s="835"/>
      <c r="AO453" s="835">
        <f t="shared" si="255"/>
        <v>0</v>
      </c>
      <c r="AP453" s="940"/>
      <c r="AQ453" s="722">
        <v>0</v>
      </c>
      <c r="AR453" s="728"/>
      <c r="AS453" s="728"/>
      <c r="AT453" s="729">
        <f t="shared" si="247"/>
        <v>0</v>
      </c>
      <c r="AU453" s="946"/>
      <c r="AV453" s="616"/>
      <c r="AW453" s="602">
        <f t="shared" si="232"/>
        <v>0</v>
      </c>
      <c r="AX453" s="940"/>
      <c r="AY453" s="602">
        <f t="shared" si="233"/>
        <v>0</v>
      </c>
      <c r="AZ453" s="940"/>
      <c r="BA453" s="962"/>
      <c r="BB453" s="962"/>
      <c r="BC453" s="611"/>
      <c r="BD453" s="712">
        <v>149</v>
      </c>
      <c r="BE453" s="596">
        <v>0</v>
      </c>
      <c r="BF453" s="596">
        <f t="shared" si="240"/>
        <v>149</v>
      </c>
      <c r="BG453" s="728">
        <f>35+30</f>
        <v>65</v>
      </c>
      <c r="BH453" s="728">
        <f>5+6</f>
        <v>11</v>
      </c>
      <c r="BI453" s="729">
        <f t="shared" si="228"/>
        <v>76</v>
      </c>
      <c r="BJ453" s="729"/>
      <c r="BK453" s="616">
        <f>3600+3850</f>
        <v>7450</v>
      </c>
      <c r="BL453" s="603">
        <f t="shared" si="239"/>
        <v>149</v>
      </c>
      <c r="BM453" s="964"/>
      <c r="BN453" s="602">
        <f t="shared" si="256"/>
        <v>0</v>
      </c>
      <c r="BO453" s="940"/>
      <c r="BP453" s="593">
        <f t="shared" si="257"/>
        <v>0</v>
      </c>
      <c r="BS453" s="741">
        <v>0</v>
      </c>
      <c r="BT453" s="741">
        <v>0</v>
      </c>
      <c r="BU453" s="741">
        <f t="shared" si="248"/>
        <v>0</v>
      </c>
      <c r="BV453" s="741">
        <v>0</v>
      </c>
      <c r="BW453" s="741"/>
      <c r="BX453" s="741">
        <v>0</v>
      </c>
      <c r="BY453" s="741">
        <v>0</v>
      </c>
      <c r="BZ453" s="741">
        <f t="shared" si="229"/>
        <v>0</v>
      </c>
      <c r="CA453" s="741">
        <v>0</v>
      </c>
      <c r="CB453" s="741"/>
      <c r="CC453" s="741">
        <f t="shared" si="249"/>
        <v>0</v>
      </c>
      <c r="CD453" s="751"/>
      <c r="CE453" s="748"/>
      <c r="CF453" s="748"/>
      <c r="CG453" s="748">
        <f t="shared" si="250"/>
        <v>0</v>
      </c>
      <c r="CH453" s="759"/>
      <c r="CI453" s="742"/>
      <c r="CJ453" s="591">
        <f t="shared" si="258"/>
        <v>0</v>
      </c>
    </row>
    <row r="454" spans="1:88" ht="21.6" customHeight="1" x14ac:dyDescent="0.25">
      <c r="A454" s="596"/>
      <c r="B454" s="596" t="s">
        <v>238</v>
      </c>
      <c r="C454" s="597" t="s">
        <v>364</v>
      </c>
      <c r="D454" s="182" t="s">
        <v>429</v>
      </c>
      <c r="E454" s="598">
        <v>92</v>
      </c>
      <c r="F454" s="596">
        <v>0</v>
      </c>
      <c r="G454" s="598">
        <v>92</v>
      </c>
      <c r="H454" s="596"/>
      <c r="I454" s="1114">
        <f t="shared" si="252"/>
        <v>0</v>
      </c>
      <c r="J454" s="728">
        <f>41</f>
        <v>41</v>
      </c>
      <c r="K454" s="728">
        <f>6</f>
        <v>6</v>
      </c>
      <c r="L454" s="731">
        <f t="shared" si="226"/>
        <v>47</v>
      </c>
      <c r="M454" s="947"/>
      <c r="N454" s="617">
        <v>1380</v>
      </c>
      <c r="O454" s="602">
        <f t="shared" si="251"/>
        <v>92</v>
      </c>
      <c r="P454" s="940"/>
      <c r="Q454" s="600">
        <f t="shared" si="253"/>
        <v>0</v>
      </c>
      <c r="R454" s="940"/>
      <c r="S454" s="596">
        <v>0</v>
      </c>
      <c r="T454" s="724"/>
      <c r="U454" s="728"/>
      <c r="V454" s="728"/>
      <c r="W454" s="731">
        <f t="shared" si="227"/>
        <v>0</v>
      </c>
      <c r="X454" s="947"/>
      <c r="Y454" s="616"/>
      <c r="Z454" s="602">
        <f t="shared" si="230"/>
        <v>0</v>
      </c>
      <c r="AA454" s="835"/>
      <c r="AB454" s="602">
        <f t="shared" si="231"/>
        <v>0</v>
      </c>
      <c r="AC454" s="940"/>
      <c r="AD454" s="956"/>
      <c r="AE454" s="956"/>
      <c r="AF454" s="598">
        <v>49</v>
      </c>
      <c r="AG454" s="596"/>
      <c r="AH454" s="728">
        <v>27</v>
      </c>
      <c r="AI454" s="728">
        <v>3</v>
      </c>
      <c r="AJ454" s="729">
        <f t="shared" si="254"/>
        <v>30</v>
      </c>
      <c r="AK454" s="946"/>
      <c r="AL454" s="616">
        <v>735</v>
      </c>
      <c r="AM454" s="602">
        <f t="shared" si="237"/>
        <v>49</v>
      </c>
      <c r="AN454" s="835"/>
      <c r="AO454" s="835">
        <f t="shared" si="255"/>
        <v>0</v>
      </c>
      <c r="AP454" s="940"/>
      <c r="AQ454" s="722">
        <v>0</v>
      </c>
      <c r="AR454" s="728"/>
      <c r="AS454" s="728"/>
      <c r="AT454" s="729">
        <f t="shared" si="247"/>
        <v>0</v>
      </c>
      <c r="AU454" s="946"/>
      <c r="AV454" s="616"/>
      <c r="AW454" s="602">
        <f t="shared" si="232"/>
        <v>0</v>
      </c>
      <c r="AX454" s="940"/>
      <c r="AY454" s="602">
        <f t="shared" si="233"/>
        <v>0</v>
      </c>
      <c r="AZ454" s="940"/>
      <c r="BA454" s="962"/>
      <c r="BB454" s="962"/>
      <c r="BC454" s="611"/>
      <c r="BD454" s="712">
        <v>126</v>
      </c>
      <c r="BE454" s="596">
        <v>76</v>
      </c>
      <c r="BF454" s="596">
        <f>BD454-BE454</f>
        <v>50</v>
      </c>
      <c r="BG454" s="728">
        <f>41+27+21</f>
        <v>89</v>
      </c>
      <c r="BH454" s="728">
        <f>6+3+9</f>
        <v>18</v>
      </c>
      <c r="BI454" s="729">
        <f t="shared" si="228"/>
        <v>107</v>
      </c>
      <c r="BJ454" s="729"/>
      <c r="BK454" s="616">
        <f>1350+2450+2500</f>
        <v>6300</v>
      </c>
      <c r="BL454" s="603">
        <f t="shared" si="239"/>
        <v>126</v>
      </c>
      <c r="BM454" s="964"/>
      <c r="BN454" s="602">
        <f t="shared" si="256"/>
        <v>0</v>
      </c>
      <c r="BO454" s="940"/>
      <c r="BP454" s="593">
        <f t="shared" si="257"/>
        <v>0</v>
      </c>
      <c r="BS454" s="741">
        <v>0</v>
      </c>
      <c r="BT454" s="741">
        <v>0</v>
      </c>
      <c r="BU454" s="741">
        <f t="shared" si="248"/>
        <v>0</v>
      </c>
      <c r="BV454" s="741">
        <v>0</v>
      </c>
      <c r="BW454" s="741"/>
      <c r="BX454" s="741">
        <v>0</v>
      </c>
      <c r="BY454" s="741">
        <v>0</v>
      </c>
      <c r="BZ454" s="741">
        <f t="shared" si="229"/>
        <v>0</v>
      </c>
      <c r="CA454" s="741">
        <v>0</v>
      </c>
      <c r="CB454" s="741"/>
      <c r="CC454" s="741">
        <f t="shared" si="249"/>
        <v>0</v>
      </c>
      <c r="CD454" s="751"/>
      <c r="CE454" s="748"/>
      <c r="CF454" s="748"/>
      <c r="CG454" s="748">
        <f t="shared" si="250"/>
        <v>0</v>
      </c>
      <c r="CH454" s="759"/>
      <c r="CI454" s="742"/>
      <c r="CJ454" s="591">
        <f t="shared" si="258"/>
        <v>0</v>
      </c>
    </row>
    <row r="455" spans="1:88" ht="21.6" customHeight="1" x14ac:dyDescent="0.25">
      <c r="A455" s="596" t="s">
        <v>130</v>
      </c>
      <c r="B455" s="596" t="s">
        <v>238</v>
      </c>
      <c r="C455" s="597" t="s">
        <v>244</v>
      </c>
      <c r="D455" s="182" t="s">
        <v>431</v>
      </c>
      <c r="E455" s="598">
        <v>54.333333333333336</v>
      </c>
      <c r="F455" s="596">
        <v>0</v>
      </c>
      <c r="G455" s="598">
        <v>54.33</v>
      </c>
      <c r="H455" s="596"/>
      <c r="I455" s="1114">
        <f t="shared" si="252"/>
        <v>3.3333333333374071E-3</v>
      </c>
      <c r="J455" s="728">
        <f>13+14</f>
        <v>27</v>
      </c>
      <c r="K455" s="728">
        <f>2+7</f>
        <v>9</v>
      </c>
      <c r="L455" s="731">
        <f t="shared" si="226"/>
        <v>36</v>
      </c>
      <c r="M455" s="947"/>
      <c r="N455" s="617">
        <f>210+605</f>
        <v>815</v>
      </c>
      <c r="O455" s="602">
        <f t="shared" si="251"/>
        <v>54.333333333333336</v>
      </c>
      <c r="P455" s="940"/>
      <c r="Q455" s="600">
        <f t="shared" si="253"/>
        <v>0</v>
      </c>
      <c r="R455" s="940"/>
      <c r="S455" s="596">
        <v>0</v>
      </c>
      <c r="T455" s="724"/>
      <c r="U455" s="728"/>
      <c r="V455" s="728"/>
      <c r="W455" s="731">
        <f t="shared" si="227"/>
        <v>0</v>
      </c>
      <c r="X455" s="947"/>
      <c r="Y455" s="616"/>
      <c r="Z455" s="602">
        <f t="shared" si="230"/>
        <v>0</v>
      </c>
      <c r="AA455" s="835"/>
      <c r="AB455" s="602">
        <f t="shared" si="231"/>
        <v>0</v>
      </c>
      <c r="AC455" s="940"/>
      <c r="AD455" s="956"/>
      <c r="AE455" s="956"/>
      <c r="AF455" s="598">
        <v>6</v>
      </c>
      <c r="AG455" s="596"/>
      <c r="AH455" s="728"/>
      <c r="AI455" s="728">
        <v>2</v>
      </c>
      <c r="AJ455" s="729">
        <f t="shared" si="254"/>
        <v>2</v>
      </c>
      <c r="AK455" s="946"/>
      <c r="AL455" s="616">
        <v>90</v>
      </c>
      <c r="AM455" s="602">
        <f t="shared" si="237"/>
        <v>6</v>
      </c>
      <c r="AN455" s="835"/>
      <c r="AO455" s="835">
        <f t="shared" si="255"/>
        <v>0</v>
      </c>
      <c r="AP455" s="940"/>
      <c r="AQ455" s="722">
        <v>0</v>
      </c>
      <c r="AR455" s="728"/>
      <c r="AS455" s="728"/>
      <c r="AT455" s="729">
        <f t="shared" si="247"/>
        <v>0</v>
      </c>
      <c r="AU455" s="946"/>
      <c r="AV455" s="616"/>
      <c r="AW455" s="602">
        <f t="shared" si="232"/>
        <v>0</v>
      </c>
      <c r="AX455" s="940"/>
      <c r="AY455" s="602">
        <f t="shared" si="233"/>
        <v>0</v>
      </c>
      <c r="AZ455" s="940"/>
      <c r="BA455" s="962"/>
      <c r="BB455" s="962"/>
      <c r="BC455" s="611"/>
      <c r="BD455" s="712">
        <v>60</v>
      </c>
      <c r="BE455" s="596">
        <v>18</v>
      </c>
      <c r="BF455" s="596">
        <f t="shared" si="240"/>
        <v>42</v>
      </c>
      <c r="BG455" s="728">
        <f>13+1+14</f>
        <v>28</v>
      </c>
      <c r="BH455" s="728">
        <f>2+2+7</f>
        <v>11</v>
      </c>
      <c r="BI455" s="729">
        <f t="shared" si="228"/>
        <v>39</v>
      </c>
      <c r="BJ455" s="729"/>
      <c r="BK455" s="616">
        <f>900+100+2000</f>
        <v>3000</v>
      </c>
      <c r="BL455" s="603">
        <f t="shared" si="239"/>
        <v>60</v>
      </c>
      <c r="BM455" s="964"/>
      <c r="BN455" s="602">
        <f t="shared" si="256"/>
        <v>0</v>
      </c>
      <c r="BO455" s="940"/>
      <c r="BP455" s="593">
        <f t="shared" si="257"/>
        <v>0</v>
      </c>
      <c r="BS455" s="741">
        <v>0</v>
      </c>
      <c r="BT455" s="741">
        <v>0</v>
      </c>
      <c r="BU455" s="741">
        <f t="shared" si="248"/>
        <v>0</v>
      </c>
      <c r="BV455" s="741">
        <v>0</v>
      </c>
      <c r="BW455" s="741"/>
      <c r="BX455" s="741">
        <v>0</v>
      </c>
      <c r="BY455" s="741">
        <v>0</v>
      </c>
      <c r="BZ455" s="741">
        <f t="shared" si="229"/>
        <v>0</v>
      </c>
      <c r="CA455" s="741">
        <v>0</v>
      </c>
      <c r="CB455" s="741"/>
      <c r="CC455" s="741">
        <f t="shared" si="249"/>
        <v>0</v>
      </c>
      <c r="CD455" s="751"/>
      <c r="CE455" s="748"/>
      <c r="CF455" s="748"/>
      <c r="CG455" s="748">
        <f t="shared" si="250"/>
        <v>0</v>
      </c>
      <c r="CH455" s="759"/>
      <c r="CI455" s="742"/>
      <c r="CJ455" s="591">
        <f t="shared" si="258"/>
        <v>0</v>
      </c>
    </row>
    <row r="456" spans="1:88" ht="52.5" customHeight="1" x14ac:dyDescent="0.25">
      <c r="A456" s="1106"/>
      <c r="B456" s="1106" t="s">
        <v>238</v>
      </c>
      <c r="C456" s="597" t="s">
        <v>868</v>
      </c>
      <c r="D456" s="182"/>
      <c r="E456" s="598">
        <v>26.333333333333332</v>
      </c>
      <c r="F456" s="1106"/>
      <c r="G456" s="598"/>
      <c r="H456" s="1106"/>
      <c r="I456" s="1114">
        <f t="shared" si="252"/>
        <v>26.333333333333332</v>
      </c>
      <c r="J456" s="728">
        <v>13</v>
      </c>
      <c r="K456" s="728">
        <v>2</v>
      </c>
      <c r="L456" s="731">
        <f t="shared" si="226"/>
        <v>15</v>
      </c>
      <c r="M456" s="947"/>
      <c r="N456" s="617">
        <v>395</v>
      </c>
      <c r="O456" s="602">
        <f t="shared" si="251"/>
        <v>26.333333333333332</v>
      </c>
      <c r="P456" s="940"/>
      <c r="Q456" s="600">
        <f t="shared" si="253"/>
        <v>0</v>
      </c>
      <c r="R456" s="940"/>
      <c r="S456" s="1106"/>
      <c r="T456" s="1106"/>
      <c r="U456" s="728"/>
      <c r="V456" s="728"/>
      <c r="W456" s="731"/>
      <c r="X456" s="947"/>
      <c r="Y456" s="616"/>
      <c r="Z456" s="602"/>
      <c r="AA456" s="1102"/>
      <c r="AB456" s="602"/>
      <c r="AC456" s="940"/>
      <c r="AD456" s="956"/>
      <c r="AE456" s="956"/>
      <c r="AF456" s="598"/>
      <c r="AG456" s="1106"/>
      <c r="AH456" s="728"/>
      <c r="AI456" s="728"/>
      <c r="AJ456" s="729">
        <f t="shared" si="254"/>
        <v>0</v>
      </c>
      <c r="AK456" s="946"/>
      <c r="AL456" s="616"/>
      <c r="AM456" s="602">
        <f t="shared" si="237"/>
        <v>0</v>
      </c>
      <c r="AN456" s="1102"/>
      <c r="AO456" s="1102">
        <f t="shared" si="255"/>
        <v>0</v>
      </c>
      <c r="AP456" s="940"/>
      <c r="AQ456" s="722"/>
      <c r="AR456" s="728"/>
      <c r="AS456" s="728"/>
      <c r="AT456" s="729">
        <f t="shared" si="247"/>
        <v>0</v>
      </c>
      <c r="AU456" s="946"/>
      <c r="AV456" s="616"/>
      <c r="AW456" s="602">
        <f t="shared" si="232"/>
        <v>0</v>
      </c>
      <c r="AX456" s="940"/>
      <c r="AY456" s="602">
        <f t="shared" si="233"/>
        <v>0</v>
      </c>
      <c r="AZ456" s="940"/>
      <c r="BA456" s="962"/>
      <c r="BB456" s="962"/>
      <c r="BC456" s="611"/>
      <c r="BD456" s="712">
        <v>26</v>
      </c>
      <c r="BE456" s="1106">
        <v>26</v>
      </c>
      <c r="BF456" s="1106"/>
      <c r="BG456" s="728">
        <v>13</v>
      </c>
      <c r="BH456" s="728">
        <v>2</v>
      </c>
      <c r="BI456" s="729">
        <f t="shared" si="228"/>
        <v>15</v>
      </c>
      <c r="BJ456" s="729"/>
      <c r="BK456" s="616">
        <v>1300</v>
      </c>
      <c r="BL456" s="603">
        <f t="shared" si="239"/>
        <v>26</v>
      </c>
      <c r="BM456" s="1102"/>
      <c r="BN456" s="602">
        <f t="shared" si="256"/>
        <v>0</v>
      </c>
      <c r="BO456" s="940"/>
      <c r="BS456" s="1103"/>
      <c r="BT456" s="1103"/>
      <c r="BU456" s="1103"/>
      <c r="BV456" s="1103"/>
      <c r="BW456" s="1103"/>
      <c r="BX456" s="1103"/>
      <c r="BY456" s="1103"/>
      <c r="BZ456" s="1103"/>
      <c r="CA456" s="1103"/>
      <c r="CB456" s="1103"/>
      <c r="CC456" s="1103"/>
      <c r="CD456" s="751"/>
      <c r="CE456" s="849"/>
      <c r="CF456" s="849"/>
      <c r="CG456" s="849"/>
      <c r="CH456" s="759"/>
      <c r="CI456" s="1103"/>
    </row>
    <row r="457" spans="1:88" ht="21.6" customHeight="1" x14ac:dyDescent="0.25">
      <c r="A457" s="596" t="s">
        <v>130</v>
      </c>
      <c r="B457" s="596" t="s">
        <v>238</v>
      </c>
      <c r="C457" s="597" t="s">
        <v>171</v>
      </c>
      <c r="D457" s="182" t="s">
        <v>431</v>
      </c>
      <c r="E457" s="598">
        <v>20</v>
      </c>
      <c r="F457" s="596">
        <v>0</v>
      </c>
      <c r="G457" s="598">
        <v>20</v>
      </c>
      <c r="H457" s="596"/>
      <c r="I457" s="1114">
        <f t="shared" si="252"/>
        <v>0</v>
      </c>
      <c r="J457" s="728">
        <f>11</f>
        <v>11</v>
      </c>
      <c r="K457" s="728">
        <f>11</f>
        <v>11</v>
      </c>
      <c r="L457" s="731">
        <f t="shared" si="226"/>
        <v>22</v>
      </c>
      <c r="M457" s="947"/>
      <c r="N457" s="617">
        <v>300</v>
      </c>
      <c r="O457" s="602">
        <f t="shared" si="251"/>
        <v>20</v>
      </c>
      <c r="P457" s="940"/>
      <c r="Q457" s="600">
        <f t="shared" si="253"/>
        <v>0</v>
      </c>
      <c r="R457" s="940"/>
      <c r="S457" s="596">
        <v>0</v>
      </c>
      <c r="T457" s="724"/>
      <c r="U457" s="728"/>
      <c r="V457" s="728"/>
      <c r="W457" s="731">
        <f t="shared" si="227"/>
        <v>0</v>
      </c>
      <c r="X457" s="947"/>
      <c r="Y457" s="616"/>
      <c r="Z457" s="602">
        <f t="shared" si="230"/>
        <v>0</v>
      </c>
      <c r="AA457" s="835"/>
      <c r="AB457" s="602">
        <f t="shared" si="231"/>
        <v>0</v>
      </c>
      <c r="AC457" s="940"/>
      <c r="AD457" s="956"/>
      <c r="AE457" s="956"/>
      <c r="AF457" s="598">
        <v>0</v>
      </c>
      <c r="AG457" s="596"/>
      <c r="AH457" s="728"/>
      <c r="AI457" s="728"/>
      <c r="AJ457" s="729">
        <f t="shared" si="254"/>
        <v>0</v>
      </c>
      <c r="AK457" s="946"/>
      <c r="AL457" s="616"/>
      <c r="AM457" s="602">
        <f t="shared" si="237"/>
        <v>0</v>
      </c>
      <c r="AN457" s="835"/>
      <c r="AO457" s="835">
        <f t="shared" si="255"/>
        <v>0</v>
      </c>
      <c r="AP457" s="940"/>
      <c r="AQ457" s="722">
        <v>0</v>
      </c>
      <c r="AR457" s="728"/>
      <c r="AS457" s="728"/>
      <c r="AT457" s="729">
        <f t="shared" si="247"/>
        <v>0</v>
      </c>
      <c r="AU457" s="946"/>
      <c r="AV457" s="616"/>
      <c r="AW457" s="602">
        <f t="shared" si="232"/>
        <v>0</v>
      </c>
      <c r="AX457" s="940"/>
      <c r="AY457" s="602">
        <f t="shared" si="233"/>
        <v>0</v>
      </c>
      <c r="AZ457" s="940"/>
      <c r="BA457" s="962"/>
      <c r="BB457" s="962"/>
      <c r="BC457" s="611"/>
      <c r="BD457" s="712">
        <v>20</v>
      </c>
      <c r="BE457" s="596">
        <v>20</v>
      </c>
      <c r="BF457" s="596">
        <f t="shared" si="240"/>
        <v>0</v>
      </c>
      <c r="BG457" s="728">
        <v>11</v>
      </c>
      <c r="BH457" s="728">
        <v>11</v>
      </c>
      <c r="BI457" s="729">
        <f t="shared" si="228"/>
        <v>22</v>
      </c>
      <c r="BJ457" s="729"/>
      <c r="BK457" s="616">
        <v>1000</v>
      </c>
      <c r="BL457" s="603">
        <f t="shared" si="239"/>
        <v>20</v>
      </c>
      <c r="BM457" s="964"/>
      <c r="BN457" s="602">
        <f t="shared" si="256"/>
        <v>0</v>
      </c>
      <c r="BO457" s="940"/>
      <c r="BP457" s="593">
        <f t="shared" si="257"/>
        <v>0</v>
      </c>
      <c r="BS457" s="741">
        <v>0</v>
      </c>
      <c r="BT457" s="741">
        <v>0</v>
      </c>
      <c r="BU457" s="741">
        <f t="shared" si="248"/>
        <v>0</v>
      </c>
      <c r="BV457" s="741">
        <v>0</v>
      </c>
      <c r="BW457" s="741"/>
      <c r="BX457" s="741">
        <v>0</v>
      </c>
      <c r="BY457" s="741">
        <v>0</v>
      </c>
      <c r="BZ457" s="741">
        <f t="shared" si="229"/>
        <v>0</v>
      </c>
      <c r="CA457" s="741">
        <v>0</v>
      </c>
      <c r="CB457" s="741"/>
      <c r="CC457" s="741">
        <f t="shared" si="249"/>
        <v>0</v>
      </c>
      <c r="CD457" s="751"/>
      <c r="CE457" s="748"/>
      <c r="CF457" s="748"/>
      <c r="CG457" s="748">
        <f t="shared" si="250"/>
        <v>0</v>
      </c>
      <c r="CH457" s="759"/>
      <c r="CI457" s="742"/>
      <c r="CJ457" s="591">
        <f t="shared" si="258"/>
        <v>0</v>
      </c>
    </row>
    <row r="458" spans="1:88" ht="49.5" customHeight="1" x14ac:dyDescent="0.25">
      <c r="A458" s="596"/>
      <c r="B458" s="596" t="s">
        <v>238</v>
      </c>
      <c r="C458" s="597" t="s">
        <v>317</v>
      </c>
      <c r="D458" s="182" t="s">
        <v>431</v>
      </c>
      <c r="E458" s="598">
        <v>174.66666666666666</v>
      </c>
      <c r="F458" s="596">
        <v>0</v>
      </c>
      <c r="G458" s="598">
        <v>174.67</v>
      </c>
      <c r="H458" s="596"/>
      <c r="I458" s="1114">
        <f t="shared" si="252"/>
        <v>-3.3333333333303017E-3</v>
      </c>
      <c r="J458" s="728">
        <f>9+16+10+15</f>
        <v>50</v>
      </c>
      <c r="K458" s="728">
        <f>11+4+3+5</f>
        <v>23</v>
      </c>
      <c r="L458" s="731">
        <f t="shared" si="226"/>
        <v>73</v>
      </c>
      <c r="M458" s="947"/>
      <c r="N458" s="617">
        <f>720+735+495+690</f>
        <v>2640</v>
      </c>
      <c r="O458" s="602">
        <f t="shared" si="251"/>
        <v>176</v>
      </c>
      <c r="P458" s="940"/>
      <c r="Q458" s="600">
        <f t="shared" si="253"/>
        <v>-1.3333333333333428</v>
      </c>
      <c r="R458" s="940"/>
      <c r="S458" s="596">
        <v>0</v>
      </c>
      <c r="T458" s="724"/>
      <c r="U458" s="728"/>
      <c r="V458" s="728"/>
      <c r="W458" s="731">
        <f t="shared" si="227"/>
        <v>0</v>
      </c>
      <c r="X458" s="947"/>
      <c r="Y458" s="616"/>
      <c r="Z458" s="602">
        <f t="shared" si="230"/>
        <v>0</v>
      </c>
      <c r="AA458" s="835"/>
      <c r="AB458" s="602">
        <f t="shared" si="231"/>
        <v>0</v>
      </c>
      <c r="AC458" s="940"/>
      <c r="AD458" s="956"/>
      <c r="AE458" s="956"/>
      <c r="AF458" s="598">
        <v>0</v>
      </c>
      <c r="AG458" s="596"/>
      <c r="AH458" s="728"/>
      <c r="AI458" s="728"/>
      <c r="AJ458" s="729">
        <f t="shared" si="254"/>
        <v>0</v>
      </c>
      <c r="AK458" s="946"/>
      <c r="AL458" s="616"/>
      <c r="AM458" s="602">
        <f t="shared" si="237"/>
        <v>0</v>
      </c>
      <c r="AN458" s="835"/>
      <c r="AO458" s="835">
        <f t="shared" si="255"/>
        <v>0</v>
      </c>
      <c r="AP458" s="940"/>
      <c r="AQ458" s="722">
        <v>64</v>
      </c>
      <c r="AR458" s="728">
        <f>4+9+9</f>
        <v>22</v>
      </c>
      <c r="AS458" s="728">
        <f>6+11+11</f>
        <v>28</v>
      </c>
      <c r="AT458" s="729">
        <f t="shared" si="247"/>
        <v>50</v>
      </c>
      <c r="AU458" s="946"/>
      <c r="AV458" s="616">
        <f>292.5+155+622.5</f>
        <v>1070</v>
      </c>
      <c r="AW458" s="602">
        <f t="shared" si="232"/>
        <v>71.333333333333329</v>
      </c>
      <c r="AX458" s="940"/>
      <c r="AY458" s="602">
        <f t="shared" si="233"/>
        <v>-7.3333333333333286</v>
      </c>
      <c r="AZ458" s="940"/>
      <c r="BA458" s="962"/>
      <c r="BB458" s="962"/>
      <c r="BC458" s="611"/>
      <c r="BD458" s="712">
        <v>239</v>
      </c>
      <c r="BE458" s="596">
        <v>243</v>
      </c>
      <c r="BF458" s="596">
        <f t="shared" si="240"/>
        <v>-4</v>
      </c>
      <c r="BG458" s="728">
        <f>4+2+9+15+10+9+11+9+15+19</f>
        <v>103</v>
      </c>
      <c r="BH458" s="728">
        <f>6+19+11+5+3+11+14+3+1+4</f>
        <v>77</v>
      </c>
      <c r="BI458" s="729">
        <f t="shared" si="228"/>
        <v>180</v>
      </c>
      <c r="BJ458" s="729"/>
      <c r="BK458" s="616">
        <f>290+1050+620+700+645+495+650+3150+900+800+2650</f>
        <v>11950</v>
      </c>
      <c r="BL458" s="603">
        <f t="shared" si="239"/>
        <v>239</v>
      </c>
      <c r="BM458" s="964"/>
      <c r="BN458" s="602">
        <f t="shared" si="256"/>
        <v>0</v>
      </c>
      <c r="BO458" s="940"/>
      <c r="BP458" s="593">
        <f t="shared" si="257"/>
        <v>0</v>
      </c>
      <c r="BS458" s="741">
        <v>0</v>
      </c>
      <c r="BT458" s="741">
        <v>0</v>
      </c>
      <c r="BU458" s="741">
        <f t="shared" si="248"/>
        <v>0</v>
      </c>
      <c r="BV458" s="741">
        <v>0</v>
      </c>
      <c r="BW458" s="741"/>
      <c r="BX458" s="741">
        <v>0</v>
      </c>
      <c r="BY458" s="741">
        <v>0</v>
      </c>
      <c r="BZ458" s="741">
        <f t="shared" si="229"/>
        <v>0</v>
      </c>
      <c r="CA458" s="741">
        <v>0</v>
      </c>
      <c r="CB458" s="741"/>
      <c r="CC458" s="741">
        <f t="shared" si="249"/>
        <v>0</v>
      </c>
      <c r="CD458" s="751"/>
      <c r="CE458" s="748"/>
      <c r="CF458" s="748"/>
      <c r="CG458" s="748">
        <f t="shared" si="250"/>
        <v>0</v>
      </c>
      <c r="CH458" s="759"/>
      <c r="CI458" s="742"/>
      <c r="CJ458" s="591">
        <f t="shared" si="258"/>
        <v>-8.6666666666666714</v>
      </c>
    </row>
    <row r="459" spans="1:88" ht="29.25" customHeight="1" x14ac:dyDescent="0.25">
      <c r="A459" s="596"/>
      <c r="B459" s="596" t="s">
        <v>238</v>
      </c>
      <c r="C459" s="597" t="s">
        <v>534</v>
      </c>
      <c r="D459" s="182" t="s">
        <v>429</v>
      </c>
      <c r="E459" s="598">
        <v>62</v>
      </c>
      <c r="F459" s="596">
        <v>0</v>
      </c>
      <c r="G459" s="598">
        <v>62</v>
      </c>
      <c r="H459" s="596"/>
      <c r="I459" s="1114">
        <f t="shared" si="252"/>
        <v>0</v>
      </c>
      <c r="J459" s="728">
        <f>40</f>
        <v>40</v>
      </c>
      <c r="K459" s="728">
        <f>10</f>
        <v>10</v>
      </c>
      <c r="L459" s="731">
        <f t="shared" si="226"/>
        <v>50</v>
      </c>
      <c r="M459" s="947"/>
      <c r="N459" s="617">
        <v>930</v>
      </c>
      <c r="O459" s="602">
        <f t="shared" si="251"/>
        <v>62</v>
      </c>
      <c r="P459" s="940"/>
      <c r="Q459" s="600">
        <f t="shared" si="253"/>
        <v>0</v>
      </c>
      <c r="R459" s="940"/>
      <c r="S459" s="596">
        <v>0</v>
      </c>
      <c r="T459" s="724"/>
      <c r="U459" s="728"/>
      <c r="V459" s="728"/>
      <c r="W459" s="731">
        <f t="shared" si="227"/>
        <v>0</v>
      </c>
      <c r="X459" s="947"/>
      <c r="Y459" s="616"/>
      <c r="Z459" s="602">
        <f t="shared" si="230"/>
        <v>0</v>
      </c>
      <c r="AA459" s="835"/>
      <c r="AB459" s="602">
        <f t="shared" si="231"/>
        <v>0</v>
      </c>
      <c r="AC459" s="940"/>
      <c r="AD459" s="956"/>
      <c r="AE459" s="956"/>
      <c r="AF459" s="598">
        <v>33</v>
      </c>
      <c r="AG459" s="596"/>
      <c r="AH459" s="728">
        <v>26</v>
      </c>
      <c r="AI459" s="728">
        <v>4</v>
      </c>
      <c r="AJ459" s="729">
        <f t="shared" si="254"/>
        <v>30</v>
      </c>
      <c r="AK459" s="946"/>
      <c r="AL459" s="616">
        <v>495</v>
      </c>
      <c r="AM459" s="602">
        <f t="shared" si="237"/>
        <v>33</v>
      </c>
      <c r="AN459" s="835"/>
      <c r="AO459" s="835">
        <f t="shared" si="255"/>
        <v>0</v>
      </c>
      <c r="AP459" s="940"/>
      <c r="AQ459" s="722">
        <v>0</v>
      </c>
      <c r="AR459" s="728"/>
      <c r="AS459" s="728"/>
      <c r="AT459" s="729">
        <f t="shared" si="247"/>
        <v>0</v>
      </c>
      <c r="AU459" s="946"/>
      <c r="AV459" s="616"/>
      <c r="AW459" s="602">
        <f t="shared" si="232"/>
        <v>0</v>
      </c>
      <c r="AX459" s="940"/>
      <c r="AY459" s="602">
        <f t="shared" si="233"/>
        <v>0</v>
      </c>
      <c r="AZ459" s="940"/>
      <c r="BA459" s="962"/>
      <c r="BB459" s="962"/>
      <c r="BC459" s="611"/>
      <c r="BD459" s="712">
        <v>95</v>
      </c>
      <c r="BE459" s="596">
        <v>95</v>
      </c>
      <c r="BF459" s="596">
        <f t="shared" si="240"/>
        <v>0</v>
      </c>
      <c r="BG459" s="728">
        <f>26+40</f>
        <v>66</v>
      </c>
      <c r="BH459" s="728">
        <f>4+10</f>
        <v>14</v>
      </c>
      <c r="BI459" s="729">
        <f t="shared" si="228"/>
        <v>80</v>
      </c>
      <c r="BJ459" s="729"/>
      <c r="BK459" s="616">
        <f>1650+3100</f>
        <v>4750</v>
      </c>
      <c r="BL459" s="603">
        <f t="shared" si="239"/>
        <v>95</v>
      </c>
      <c r="BM459" s="964"/>
      <c r="BN459" s="602">
        <f t="shared" si="256"/>
        <v>0</v>
      </c>
      <c r="BO459" s="940"/>
      <c r="BP459" s="593">
        <f t="shared" si="257"/>
        <v>0</v>
      </c>
      <c r="BS459" s="741">
        <v>0</v>
      </c>
      <c r="BT459" s="741">
        <v>0</v>
      </c>
      <c r="BU459" s="741">
        <f t="shared" si="248"/>
        <v>0</v>
      </c>
      <c r="BV459" s="741">
        <v>0</v>
      </c>
      <c r="BW459" s="741"/>
      <c r="BX459" s="741">
        <v>0</v>
      </c>
      <c r="BY459" s="741">
        <v>0</v>
      </c>
      <c r="BZ459" s="741">
        <f t="shared" si="229"/>
        <v>0</v>
      </c>
      <c r="CA459" s="741">
        <v>0</v>
      </c>
      <c r="CB459" s="741"/>
      <c r="CC459" s="741">
        <f t="shared" si="249"/>
        <v>0</v>
      </c>
      <c r="CD459" s="751"/>
      <c r="CE459" s="748"/>
      <c r="CF459" s="748"/>
      <c r="CG459" s="748">
        <f t="shared" si="250"/>
        <v>0</v>
      </c>
      <c r="CH459" s="759"/>
      <c r="CI459" s="742"/>
      <c r="CJ459" s="591">
        <f t="shared" si="258"/>
        <v>0</v>
      </c>
    </row>
    <row r="460" spans="1:88" ht="21.6" customHeight="1" x14ac:dyDescent="0.25">
      <c r="A460" s="596"/>
      <c r="B460" s="596" t="s">
        <v>238</v>
      </c>
      <c r="C460" s="597" t="s">
        <v>535</v>
      </c>
      <c r="D460" s="182" t="s">
        <v>429</v>
      </c>
      <c r="E460" s="598">
        <v>71.333333333333329</v>
      </c>
      <c r="F460" s="596">
        <v>0</v>
      </c>
      <c r="G460" s="598">
        <v>71.333333333333329</v>
      </c>
      <c r="H460" s="596"/>
      <c r="I460" s="1114">
        <f t="shared" si="252"/>
        <v>0</v>
      </c>
      <c r="J460" s="728">
        <f>26</f>
        <v>26</v>
      </c>
      <c r="K460" s="728">
        <f>7</f>
        <v>7</v>
      </c>
      <c r="L460" s="731">
        <f t="shared" si="226"/>
        <v>33</v>
      </c>
      <c r="M460" s="947"/>
      <c r="N460" s="617">
        <v>1070</v>
      </c>
      <c r="O460" s="602">
        <f t="shared" si="251"/>
        <v>71.333333333333329</v>
      </c>
      <c r="P460" s="940"/>
      <c r="Q460" s="600">
        <f t="shared" si="253"/>
        <v>0</v>
      </c>
      <c r="R460" s="940"/>
      <c r="S460" s="596">
        <v>0</v>
      </c>
      <c r="T460" s="724"/>
      <c r="U460" s="728"/>
      <c r="V460" s="728"/>
      <c r="W460" s="731">
        <f t="shared" si="227"/>
        <v>0</v>
      </c>
      <c r="X460" s="947"/>
      <c r="Y460" s="616"/>
      <c r="Z460" s="602">
        <f t="shared" si="230"/>
        <v>0</v>
      </c>
      <c r="AA460" s="835"/>
      <c r="AB460" s="602">
        <f t="shared" si="231"/>
        <v>0</v>
      </c>
      <c r="AC460" s="940"/>
      <c r="AD460" s="956"/>
      <c r="AE460" s="956"/>
      <c r="AF460" s="598">
        <v>21</v>
      </c>
      <c r="AG460" s="596"/>
      <c r="AH460" s="728">
        <v>8</v>
      </c>
      <c r="AI460" s="728">
        <v>3</v>
      </c>
      <c r="AJ460" s="729">
        <f t="shared" si="254"/>
        <v>11</v>
      </c>
      <c r="AK460" s="946"/>
      <c r="AL460" s="616">
        <v>315</v>
      </c>
      <c r="AM460" s="602">
        <f t="shared" si="237"/>
        <v>21</v>
      </c>
      <c r="AN460" s="835"/>
      <c r="AO460" s="835">
        <f t="shared" si="255"/>
        <v>0</v>
      </c>
      <c r="AP460" s="940"/>
      <c r="AQ460" s="722">
        <v>0</v>
      </c>
      <c r="AR460" s="728"/>
      <c r="AS460" s="728"/>
      <c r="AT460" s="729">
        <f t="shared" si="247"/>
        <v>0</v>
      </c>
      <c r="AU460" s="946"/>
      <c r="AV460" s="616"/>
      <c r="AW460" s="602">
        <f t="shared" si="232"/>
        <v>0</v>
      </c>
      <c r="AX460" s="940"/>
      <c r="AY460" s="602">
        <f t="shared" si="233"/>
        <v>0</v>
      </c>
      <c r="AZ460" s="940"/>
      <c r="BA460" s="962"/>
      <c r="BB460" s="962"/>
      <c r="BC460" s="611"/>
      <c r="BD460" s="712">
        <v>92</v>
      </c>
      <c r="BE460" s="596">
        <v>92</v>
      </c>
      <c r="BF460" s="596">
        <f t="shared" si="240"/>
        <v>0</v>
      </c>
      <c r="BG460" s="728">
        <v>35</v>
      </c>
      <c r="BH460" s="728">
        <v>10</v>
      </c>
      <c r="BI460" s="729">
        <f t="shared" si="228"/>
        <v>45</v>
      </c>
      <c r="BJ460" s="729"/>
      <c r="BK460" s="616">
        <v>4600</v>
      </c>
      <c r="BL460" s="603">
        <f t="shared" si="239"/>
        <v>92</v>
      </c>
      <c r="BM460" s="964"/>
      <c r="BN460" s="602">
        <f t="shared" si="256"/>
        <v>0</v>
      </c>
      <c r="BO460" s="940"/>
      <c r="BP460" s="593">
        <f t="shared" si="257"/>
        <v>0</v>
      </c>
      <c r="BS460" s="741">
        <v>0</v>
      </c>
      <c r="BT460" s="741">
        <v>0</v>
      </c>
      <c r="BU460" s="741">
        <f t="shared" si="248"/>
        <v>0</v>
      </c>
      <c r="BV460" s="741">
        <v>0</v>
      </c>
      <c r="BW460" s="741"/>
      <c r="BX460" s="741">
        <v>0</v>
      </c>
      <c r="BY460" s="741">
        <v>0</v>
      </c>
      <c r="BZ460" s="741">
        <f t="shared" si="229"/>
        <v>0</v>
      </c>
      <c r="CA460" s="741">
        <v>0</v>
      </c>
      <c r="CB460" s="741"/>
      <c r="CC460" s="741">
        <f t="shared" si="249"/>
        <v>0</v>
      </c>
      <c r="CD460" s="751"/>
      <c r="CE460" s="748"/>
      <c r="CF460" s="748"/>
      <c r="CG460" s="748">
        <f t="shared" si="250"/>
        <v>0</v>
      </c>
      <c r="CH460" s="759"/>
      <c r="CI460" s="742"/>
      <c r="CJ460" s="591">
        <f t="shared" si="258"/>
        <v>0</v>
      </c>
    </row>
    <row r="461" spans="1:88" ht="21.6" customHeight="1" x14ac:dyDescent="0.25">
      <c r="A461" s="596" t="s">
        <v>130</v>
      </c>
      <c r="B461" s="596" t="s">
        <v>238</v>
      </c>
      <c r="C461" s="597" t="s">
        <v>253</v>
      </c>
      <c r="D461" s="182" t="s">
        <v>431</v>
      </c>
      <c r="E461" s="598">
        <v>0</v>
      </c>
      <c r="F461" s="596">
        <v>0</v>
      </c>
      <c r="G461" s="598">
        <v>0</v>
      </c>
      <c r="H461" s="596"/>
      <c r="I461" s="1114">
        <f t="shared" si="252"/>
        <v>0</v>
      </c>
      <c r="J461" s="728"/>
      <c r="K461" s="728"/>
      <c r="L461" s="731">
        <f t="shared" si="226"/>
        <v>0</v>
      </c>
      <c r="M461" s="947"/>
      <c r="N461" s="617"/>
      <c r="O461" s="602">
        <f t="shared" si="251"/>
        <v>0</v>
      </c>
      <c r="P461" s="940"/>
      <c r="Q461" s="600">
        <f t="shared" si="253"/>
        <v>0</v>
      </c>
      <c r="R461" s="940"/>
      <c r="S461" s="596">
        <v>15</v>
      </c>
      <c r="T461" s="724"/>
      <c r="U461" s="728">
        <v>5</v>
      </c>
      <c r="V461" s="728">
        <v>8</v>
      </c>
      <c r="W461" s="731">
        <f t="shared" si="227"/>
        <v>13</v>
      </c>
      <c r="X461" s="947"/>
      <c r="Y461" s="616">
        <v>225</v>
      </c>
      <c r="Z461" s="602">
        <f t="shared" si="230"/>
        <v>15</v>
      </c>
      <c r="AA461" s="835"/>
      <c r="AB461" s="602">
        <f t="shared" si="231"/>
        <v>0</v>
      </c>
      <c r="AC461" s="940"/>
      <c r="AD461" s="956"/>
      <c r="AE461" s="956"/>
      <c r="AF461" s="598">
        <v>0</v>
      </c>
      <c r="AG461" s="596"/>
      <c r="AH461" s="728"/>
      <c r="AI461" s="728"/>
      <c r="AJ461" s="729">
        <f t="shared" si="254"/>
        <v>0</v>
      </c>
      <c r="AK461" s="946"/>
      <c r="AL461" s="616"/>
      <c r="AM461" s="602">
        <f t="shared" si="237"/>
        <v>0</v>
      </c>
      <c r="AN461" s="835"/>
      <c r="AO461" s="835">
        <f t="shared" si="255"/>
        <v>0</v>
      </c>
      <c r="AP461" s="940"/>
      <c r="AQ461" s="722">
        <v>0</v>
      </c>
      <c r="AR461" s="728"/>
      <c r="AS461" s="728"/>
      <c r="AT461" s="729">
        <f t="shared" si="247"/>
        <v>0</v>
      </c>
      <c r="AU461" s="946"/>
      <c r="AV461" s="616"/>
      <c r="AW461" s="602">
        <f t="shared" si="232"/>
        <v>0</v>
      </c>
      <c r="AX461" s="940"/>
      <c r="AY461" s="602">
        <f t="shared" si="233"/>
        <v>0</v>
      </c>
      <c r="AZ461" s="940"/>
      <c r="BA461" s="962"/>
      <c r="BB461" s="962"/>
      <c r="BC461" s="611"/>
      <c r="BD461" s="712">
        <v>15</v>
      </c>
      <c r="BE461" s="596">
        <v>0</v>
      </c>
      <c r="BF461" s="596">
        <f t="shared" si="240"/>
        <v>15</v>
      </c>
      <c r="BG461" s="728">
        <v>5</v>
      </c>
      <c r="BH461" s="728">
        <v>8</v>
      </c>
      <c r="BI461" s="729">
        <f t="shared" si="228"/>
        <v>13</v>
      </c>
      <c r="BJ461" s="729"/>
      <c r="BK461" s="616">
        <v>750</v>
      </c>
      <c r="BL461" s="603">
        <f t="shared" si="239"/>
        <v>15</v>
      </c>
      <c r="BM461" s="964"/>
      <c r="BN461" s="602">
        <f t="shared" si="256"/>
        <v>0</v>
      </c>
      <c r="BO461" s="940"/>
      <c r="BP461" s="593">
        <f t="shared" si="257"/>
        <v>0</v>
      </c>
      <c r="BS461" s="741">
        <v>0</v>
      </c>
      <c r="BT461" s="741">
        <v>0</v>
      </c>
      <c r="BU461" s="741">
        <f t="shared" si="248"/>
        <v>0</v>
      </c>
      <c r="BV461" s="741">
        <v>0</v>
      </c>
      <c r="BW461" s="741"/>
      <c r="BX461" s="741">
        <v>0</v>
      </c>
      <c r="BY461" s="741">
        <v>0</v>
      </c>
      <c r="BZ461" s="741">
        <f t="shared" si="229"/>
        <v>0</v>
      </c>
      <c r="CA461" s="741">
        <v>0</v>
      </c>
      <c r="CB461" s="741"/>
      <c r="CC461" s="741">
        <f t="shared" si="249"/>
        <v>0</v>
      </c>
      <c r="CD461" s="751"/>
      <c r="CE461" s="748"/>
      <c r="CF461" s="748"/>
      <c r="CG461" s="748">
        <f t="shared" si="250"/>
        <v>0</v>
      </c>
      <c r="CH461" s="759"/>
      <c r="CI461" s="742"/>
      <c r="CJ461" s="591">
        <f t="shared" si="258"/>
        <v>0</v>
      </c>
    </row>
    <row r="462" spans="1:88" ht="21.6" customHeight="1" x14ac:dyDescent="0.25">
      <c r="A462" s="596" t="s">
        <v>130</v>
      </c>
      <c r="B462" s="596" t="s">
        <v>238</v>
      </c>
      <c r="C462" s="597" t="s">
        <v>251</v>
      </c>
      <c r="D462" s="182" t="s">
        <v>431</v>
      </c>
      <c r="E462" s="598">
        <v>10</v>
      </c>
      <c r="F462" s="596">
        <v>0</v>
      </c>
      <c r="G462" s="598">
        <v>10</v>
      </c>
      <c r="H462" s="596"/>
      <c r="I462" s="1114">
        <f t="shared" si="252"/>
        <v>0</v>
      </c>
      <c r="J462" s="728">
        <f>6</f>
        <v>6</v>
      </c>
      <c r="K462" s="728">
        <f>4</f>
        <v>4</v>
      </c>
      <c r="L462" s="731">
        <f t="shared" si="226"/>
        <v>10</v>
      </c>
      <c r="M462" s="947"/>
      <c r="N462" s="617">
        <v>150</v>
      </c>
      <c r="O462" s="602">
        <f t="shared" si="251"/>
        <v>10</v>
      </c>
      <c r="P462" s="940"/>
      <c r="Q462" s="600">
        <f t="shared" si="253"/>
        <v>0</v>
      </c>
      <c r="R462" s="940"/>
      <c r="S462" s="596">
        <v>0</v>
      </c>
      <c r="T462" s="724"/>
      <c r="U462" s="728"/>
      <c r="V462" s="728"/>
      <c r="W462" s="731">
        <f t="shared" si="227"/>
        <v>0</v>
      </c>
      <c r="X462" s="947"/>
      <c r="Y462" s="616"/>
      <c r="Z462" s="602">
        <f t="shared" si="230"/>
        <v>0</v>
      </c>
      <c r="AA462" s="835"/>
      <c r="AB462" s="602">
        <f t="shared" si="231"/>
        <v>0</v>
      </c>
      <c r="AC462" s="940"/>
      <c r="AD462" s="956"/>
      <c r="AE462" s="956"/>
      <c r="AF462" s="598">
        <v>0</v>
      </c>
      <c r="AG462" s="596"/>
      <c r="AH462" s="728"/>
      <c r="AI462" s="728"/>
      <c r="AJ462" s="729">
        <f t="shared" si="254"/>
        <v>0</v>
      </c>
      <c r="AK462" s="946"/>
      <c r="AL462" s="616"/>
      <c r="AM462" s="602">
        <f t="shared" si="237"/>
        <v>0</v>
      </c>
      <c r="AN462" s="835"/>
      <c r="AO462" s="835">
        <f t="shared" si="255"/>
        <v>0</v>
      </c>
      <c r="AP462" s="940"/>
      <c r="AQ462" s="722">
        <v>0</v>
      </c>
      <c r="AR462" s="728"/>
      <c r="AS462" s="728"/>
      <c r="AT462" s="729">
        <f t="shared" si="247"/>
        <v>0</v>
      </c>
      <c r="AU462" s="946"/>
      <c r="AV462" s="616"/>
      <c r="AW462" s="602">
        <f t="shared" si="232"/>
        <v>0</v>
      </c>
      <c r="AX462" s="940"/>
      <c r="AY462" s="602">
        <f t="shared" si="233"/>
        <v>0</v>
      </c>
      <c r="AZ462" s="940"/>
      <c r="BA462" s="962"/>
      <c r="BB462" s="962"/>
      <c r="BC462" s="611"/>
      <c r="BD462" s="712">
        <v>10</v>
      </c>
      <c r="BE462" s="596">
        <v>10</v>
      </c>
      <c r="BF462" s="596">
        <f t="shared" si="240"/>
        <v>0</v>
      </c>
      <c r="BG462" s="728">
        <v>6</v>
      </c>
      <c r="BH462" s="728">
        <v>4</v>
      </c>
      <c r="BI462" s="729">
        <f t="shared" si="228"/>
        <v>10</v>
      </c>
      <c r="BJ462" s="729"/>
      <c r="BK462" s="616">
        <v>500</v>
      </c>
      <c r="BL462" s="603">
        <f t="shared" si="239"/>
        <v>10</v>
      </c>
      <c r="BM462" s="964"/>
      <c r="BN462" s="602">
        <f t="shared" si="256"/>
        <v>0</v>
      </c>
      <c r="BO462" s="940"/>
      <c r="BP462" s="593">
        <f t="shared" si="257"/>
        <v>0</v>
      </c>
      <c r="BS462" s="741">
        <v>0</v>
      </c>
      <c r="BT462" s="741">
        <v>0</v>
      </c>
      <c r="BU462" s="741">
        <f t="shared" si="248"/>
        <v>0</v>
      </c>
      <c r="BV462" s="741">
        <v>0</v>
      </c>
      <c r="BW462" s="741"/>
      <c r="BX462" s="741">
        <v>0</v>
      </c>
      <c r="BY462" s="741">
        <v>0</v>
      </c>
      <c r="BZ462" s="741">
        <f t="shared" si="229"/>
        <v>0</v>
      </c>
      <c r="CA462" s="741">
        <v>0</v>
      </c>
      <c r="CB462" s="741"/>
      <c r="CC462" s="741">
        <f t="shared" si="249"/>
        <v>0</v>
      </c>
      <c r="CD462" s="751"/>
      <c r="CE462" s="748"/>
      <c r="CF462" s="748"/>
      <c r="CG462" s="748">
        <f t="shared" si="250"/>
        <v>0</v>
      </c>
      <c r="CH462" s="759"/>
      <c r="CI462" s="742"/>
      <c r="CJ462" s="591">
        <f t="shared" si="258"/>
        <v>0</v>
      </c>
    </row>
    <row r="463" spans="1:88" ht="21.6" customHeight="1" x14ac:dyDescent="0.25">
      <c r="A463" s="596" t="s">
        <v>130</v>
      </c>
      <c r="B463" s="596" t="s">
        <v>238</v>
      </c>
      <c r="C463" s="597" t="s">
        <v>172</v>
      </c>
      <c r="D463" s="182" t="s">
        <v>431</v>
      </c>
      <c r="E463" s="598">
        <v>176</v>
      </c>
      <c r="F463" s="596">
        <v>0</v>
      </c>
      <c r="G463" s="598">
        <v>176</v>
      </c>
      <c r="H463" s="596"/>
      <c r="I463" s="1114">
        <f t="shared" si="252"/>
        <v>0</v>
      </c>
      <c r="J463" s="728">
        <f>26</f>
        <v>26</v>
      </c>
      <c r="K463" s="728">
        <f>38</f>
        <v>38</v>
      </c>
      <c r="L463" s="731">
        <f t="shared" si="226"/>
        <v>64</v>
      </c>
      <c r="M463" s="947"/>
      <c r="N463" s="617">
        <v>2640</v>
      </c>
      <c r="O463" s="602">
        <f t="shared" si="251"/>
        <v>176</v>
      </c>
      <c r="P463" s="940"/>
      <c r="Q463" s="600">
        <f t="shared" si="253"/>
        <v>0</v>
      </c>
      <c r="R463" s="940"/>
      <c r="S463" s="596">
        <v>0</v>
      </c>
      <c r="T463" s="724"/>
      <c r="U463" s="728"/>
      <c r="V463" s="728"/>
      <c r="W463" s="731">
        <f t="shared" si="227"/>
        <v>0</v>
      </c>
      <c r="X463" s="947"/>
      <c r="Y463" s="616"/>
      <c r="Z463" s="602">
        <f t="shared" si="230"/>
        <v>0</v>
      </c>
      <c r="AA463" s="835"/>
      <c r="AB463" s="602">
        <f t="shared" si="231"/>
        <v>0</v>
      </c>
      <c r="AC463" s="940"/>
      <c r="AD463" s="956"/>
      <c r="AE463" s="956"/>
      <c r="AF463" s="598">
        <v>61</v>
      </c>
      <c r="AG463" s="596"/>
      <c r="AH463" s="728">
        <v>11</v>
      </c>
      <c r="AI463" s="728">
        <v>12</v>
      </c>
      <c r="AJ463" s="729">
        <f t="shared" si="254"/>
        <v>23</v>
      </c>
      <c r="AK463" s="946"/>
      <c r="AL463" s="616">
        <v>915</v>
      </c>
      <c r="AM463" s="602">
        <f t="shared" si="237"/>
        <v>61</v>
      </c>
      <c r="AN463" s="835"/>
      <c r="AO463" s="835">
        <f t="shared" si="255"/>
        <v>0</v>
      </c>
      <c r="AP463" s="940"/>
      <c r="AQ463" s="722">
        <v>0</v>
      </c>
      <c r="AR463" s="728"/>
      <c r="AS463" s="728"/>
      <c r="AT463" s="729">
        <f t="shared" si="247"/>
        <v>0</v>
      </c>
      <c r="AU463" s="946"/>
      <c r="AV463" s="616"/>
      <c r="AW463" s="602">
        <f t="shared" si="232"/>
        <v>0</v>
      </c>
      <c r="AX463" s="940"/>
      <c r="AY463" s="602">
        <f t="shared" si="233"/>
        <v>0</v>
      </c>
      <c r="AZ463" s="940"/>
      <c r="BA463" s="962"/>
      <c r="BB463" s="962"/>
      <c r="BC463" s="611"/>
      <c r="BD463" s="712">
        <v>237</v>
      </c>
      <c r="BE463" s="596">
        <v>237</v>
      </c>
      <c r="BF463" s="596">
        <f t="shared" si="240"/>
        <v>0</v>
      </c>
      <c r="BG463" s="728">
        <f>25+11+7</f>
        <v>43</v>
      </c>
      <c r="BH463" s="728">
        <f>38+12+7</f>
        <v>57</v>
      </c>
      <c r="BI463" s="729">
        <f t="shared" si="228"/>
        <v>100</v>
      </c>
      <c r="BJ463" s="729"/>
      <c r="BK463" s="616">
        <f>8800+1650+1400</f>
        <v>11850</v>
      </c>
      <c r="BL463" s="603">
        <f t="shared" si="239"/>
        <v>237</v>
      </c>
      <c r="BM463" s="964"/>
      <c r="BN463" s="602">
        <f t="shared" si="256"/>
        <v>0</v>
      </c>
      <c r="BO463" s="940"/>
      <c r="BP463" s="593">
        <f t="shared" si="257"/>
        <v>0</v>
      </c>
      <c r="BS463" s="741">
        <v>0</v>
      </c>
      <c r="BT463" s="741">
        <v>0</v>
      </c>
      <c r="BU463" s="741">
        <f t="shared" si="248"/>
        <v>0</v>
      </c>
      <c r="BV463" s="741">
        <v>0</v>
      </c>
      <c r="BW463" s="741"/>
      <c r="BX463" s="741">
        <v>0</v>
      </c>
      <c r="BY463" s="741">
        <v>0</v>
      </c>
      <c r="BZ463" s="741">
        <f t="shared" si="229"/>
        <v>0</v>
      </c>
      <c r="CA463" s="741">
        <v>0</v>
      </c>
      <c r="CB463" s="741"/>
      <c r="CC463" s="741">
        <f t="shared" si="249"/>
        <v>0</v>
      </c>
      <c r="CD463" s="751"/>
      <c r="CE463" s="748"/>
      <c r="CF463" s="748"/>
      <c r="CG463" s="748">
        <f t="shared" si="250"/>
        <v>0</v>
      </c>
      <c r="CH463" s="759"/>
      <c r="CI463" s="742"/>
      <c r="CJ463" s="591">
        <f t="shared" si="258"/>
        <v>0</v>
      </c>
    </row>
    <row r="464" spans="1:88" ht="21.6" customHeight="1" x14ac:dyDescent="0.25">
      <c r="A464" s="596" t="s">
        <v>130</v>
      </c>
      <c r="B464" s="596" t="s">
        <v>238</v>
      </c>
      <c r="C464" s="597" t="s">
        <v>248</v>
      </c>
      <c r="D464" s="182" t="s">
        <v>431</v>
      </c>
      <c r="E464" s="598">
        <v>0</v>
      </c>
      <c r="F464" s="596">
        <v>0</v>
      </c>
      <c r="G464" s="598">
        <v>0</v>
      </c>
      <c r="H464" s="596"/>
      <c r="I464" s="1114">
        <f t="shared" si="252"/>
        <v>0</v>
      </c>
      <c r="J464" s="728"/>
      <c r="K464" s="728"/>
      <c r="L464" s="731">
        <f t="shared" si="226"/>
        <v>0</v>
      </c>
      <c r="M464" s="947"/>
      <c r="N464" s="617"/>
      <c r="O464" s="602">
        <f t="shared" si="251"/>
        <v>0</v>
      </c>
      <c r="P464" s="940"/>
      <c r="Q464" s="600">
        <f t="shared" si="253"/>
        <v>0</v>
      </c>
      <c r="R464" s="940"/>
      <c r="S464" s="596">
        <v>0</v>
      </c>
      <c r="T464" s="724"/>
      <c r="U464" s="728"/>
      <c r="V464" s="728"/>
      <c r="W464" s="731">
        <f t="shared" si="227"/>
        <v>0</v>
      </c>
      <c r="X464" s="947"/>
      <c r="Y464" s="616"/>
      <c r="Z464" s="602">
        <f t="shared" si="230"/>
        <v>0</v>
      </c>
      <c r="AA464" s="835"/>
      <c r="AB464" s="602">
        <f t="shared" si="231"/>
        <v>0</v>
      </c>
      <c r="AC464" s="940"/>
      <c r="AD464" s="956"/>
      <c r="AE464" s="956"/>
      <c r="AF464" s="598">
        <v>0</v>
      </c>
      <c r="AG464" s="596"/>
      <c r="AH464" s="728"/>
      <c r="AI464" s="728"/>
      <c r="AJ464" s="729">
        <f t="shared" si="254"/>
        <v>0</v>
      </c>
      <c r="AK464" s="946"/>
      <c r="AL464" s="616"/>
      <c r="AM464" s="602">
        <f t="shared" si="237"/>
        <v>0</v>
      </c>
      <c r="AN464" s="835"/>
      <c r="AO464" s="835">
        <f t="shared" si="255"/>
        <v>0</v>
      </c>
      <c r="AP464" s="940"/>
      <c r="AQ464" s="722">
        <v>8</v>
      </c>
      <c r="AR464" s="728">
        <v>7</v>
      </c>
      <c r="AS464" s="728">
        <v>1</v>
      </c>
      <c r="AT464" s="729">
        <f t="shared" si="247"/>
        <v>8</v>
      </c>
      <c r="AU464" s="946"/>
      <c r="AV464" s="616">
        <v>120</v>
      </c>
      <c r="AW464" s="602">
        <f t="shared" si="232"/>
        <v>8</v>
      </c>
      <c r="AX464" s="940"/>
      <c r="AY464" s="602">
        <f t="shared" si="233"/>
        <v>0</v>
      </c>
      <c r="AZ464" s="940"/>
      <c r="BA464" s="962"/>
      <c r="BB464" s="962"/>
      <c r="BC464" s="611"/>
      <c r="BD464" s="712">
        <v>8</v>
      </c>
      <c r="BE464" s="596">
        <v>0</v>
      </c>
      <c r="BF464" s="596">
        <f t="shared" si="240"/>
        <v>8</v>
      </c>
      <c r="BG464" s="728">
        <v>7</v>
      </c>
      <c r="BH464" s="728">
        <v>1</v>
      </c>
      <c r="BI464" s="729">
        <f t="shared" si="228"/>
        <v>8</v>
      </c>
      <c r="BJ464" s="729"/>
      <c r="BK464" s="616">
        <v>400</v>
      </c>
      <c r="BL464" s="603">
        <f t="shared" si="239"/>
        <v>8</v>
      </c>
      <c r="BM464" s="964"/>
      <c r="BN464" s="602">
        <f t="shared" si="256"/>
        <v>0</v>
      </c>
      <c r="BO464" s="940"/>
      <c r="BP464" s="593">
        <f t="shared" si="257"/>
        <v>0</v>
      </c>
      <c r="BS464" s="741">
        <v>0</v>
      </c>
      <c r="BT464" s="741">
        <v>0</v>
      </c>
      <c r="BU464" s="741">
        <f t="shared" si="248"/>
        <v>0</v>
      </c>
      <c r="BV464" s="741">
        <v>0</v>
      </c>
      <c r="BW464" s="741"/>
      <c r="BX464" s="741">
        <v>0</v>
      </c>
      <c r="BY464" s="741">
        <v>0</v>
      </c>
      <c r="BZ464" s="741">
        <f t="shared" si="229"/>
        <v>0</v>
      </c>
      <c r="CA464" s="741">
        <v>0</v>
      </c>
      <c r="CB464" s="741"/>
      <c r="CC464" s="741">
        <f t="shared" si="249"/>
        <v>0</v>
      </c>
      <c r="CD464" s="751"/>
      <c r="CE464" s="748"/>
      <c r="CF464" s="748"/>
      <c r="CG464" s="748">
        <f t="shared" si="250"/>
        <v>0</v>
      </c>
      <c r="CH464" s="759"/>
      <c r="CI464" s="742"/>
      <c r="CJ464" s="591">
        <f t="shared" si="258"/>
        <v>0</v>
      </c>
    </row>
    <row r="465" spans="1:88" ht="21.6" customHeight="1" x14ac:dyDescent="0.25">
      <c r="A465" s="596"/>
      <c r="B465" s="596"/>
      <c r="C465" s="597"/>
      <c r="D465" s="143"/>
      <c r="E465" s="598">
        <v>0</v>
      </c>
      <c r="F465" s="596">
        <v>0</v>
      </c>
      <c r="G465" s="598"/>
      <c r="H465" s="596"/>
      <c r="I465" s="596">
        <f t="shared" si="236"/>
        <v>0</v>
      </c>
      <c r="J465" s="728"/>
      <c r="K465" s="728"/>
      <c r="L465" s="731">
        <f t="shared" si="226"/>
        <v>0</v>
      </c>
      <c r="M465" s="947"/>
      <c r="N465" s="617"/>
      <c r="O465" s="602">
        <f t="shared" si="251"/>
        <v>0</v>
      </c>
      <c r="P465" s="940"/>
      <c r="Q465" s="600">
        <f t="shared" si="253"/>
        <v>0</v>
      </c>
      <c r="R465" s="940"/>
      <c r="S465" s="596">
        <v>0</v>
      </c>
      <c r="T465" s="724"/>
      <c r="U465" s="728"/>
      <c r="V465" s="728"/>
      <c r="W465" s="731">
        <f t="shared" si="227"/>
        <v>0</v>
      </c>
      <c r="X465" s="947"/>
      <c r="Y465" s="616"/>
      <c r="Z465" s="602">
        <f t="shared" si="230"/>
        <v>0</v>
      </c>
      <c r="AA465" s="835"/>
      <c r="AB465" s="602">
        <f t="shared" si="231"/>
        <v>0</v>
      </c>
      <c r="AC465" s="940"/>
      <c r="AD465" s="956"/>
      <c r="AE465" s="956"/>
      <c r="AF465" s="598"/>
      <c r="AG465" s="596"/>
      <c r="AH465" s="728"/>
      <c r="AI465" s="728"/>
      <c r="AJ465" s="729">
        <f t="shared" si="254"/>
        <v>0</v>
      </c>
      <c r="AK465" s="946"/>
      <c r="AL465" s="616"/>
      <c r="AM465" s="602">
        <f t="shared" si="237"/>
        <v>0</v>
      </c>
      <c r="AN465" s="835"/>
      <c r="AO465" s="835">
        <f t="shared" si="255"/>
        <v>0</v>
      </c>
      <c r="AP465" s="940"/>
      <c r="AQ465" s="722">
        <v>0</v>
      </c>
      <c r="AR465" s="728"/>
      <c r="AS465" s="728"/>
      <c r="AT465" s="729">
        <f t="shared" si="247"/>
        <v>0</v>
      </c>
      <c r="AU465" s="946"/>
      <c r="AV465" s="616"/>
      <c r="AW465" s="602">
        <f t="shared" si="232"/>
        <v>0</v>
      </c>
      <c r="AX465" s="940"/>
      <c r="AY465" s="602">
        <f t="shared" si="233"/>
        <v>0</v>
      </c>
      <c r="AZ465" s="940"/>
      <c r="BA465" s="962"/>
      <c r="BB465" s="962"/>
      <c r="BC465" s="611"/>
      <c r="BD465" s="712"/>
      <c r="BE465" s="596"/>
      <c r="BF465" s="596">
        <f t="shared" si="240"/>
        <v>0</v>
      </c>
      <c r="BG465" s="728"/>
      <c r="BH465" s="728"/>
      <c r="BI465" s="729">
        <f t="shared" si="228"/>
        <v>0</v>
      </c>
      <c r="BJ465" s="729"/>
      <c r="BK465" s="616"/>
      <c r="BL465" s="603">
        <f t="shared" si="239"/>
        <v>0</v>
      </c>
      <c r="BM465" s="964"/>
      <c r="BN465" s="602">
        <f t="shared" si="256"/>
        <v>0</v>
      </c>
      <c r="BO465" s="940"/>
      <c r="BP465" s="593">
        <f t="shared" si="257"/>
        <v>0</v>
      </c>
      <c r="BS465" s="741">
        <v>0</v>
      </c>
      <c r="BT465" s="741">
        <v>0</v>
      </c>
      <c r="BU465" s="741">
        <f t="shared" si="248"/>
        <v>0</v>
      </c>
      <c r="BV465" s="741">
        <v>0</v>
      </c>
      <c r="BW465" s="741"/>
      <c r="BX465" s="741">
        <v>0</v>
      </c>
      <c r="BY465" s="741">
        <v>0</v>
      </c>
      <c r="BZ465" s="741">
        <f t="shared" si="229"/>
        <v>0</v>
      </c>
      <c r="CA465" s="741">
        <v>0</v>
      </c>
      <c r="CB465" s="741"/>
      <c r="CC465" s="741">
        <f t="shared" si="249"/>
        <v>0</v>
      </c>
      <c r="CD465" s="751"/>
      <c r="CE465" s="748"/>
      <c r="CF465" s="748"/>
      <c r="CG465" s="748">
        <f t="shared" si="250"/>
        <v>0</v>
      </c>
      <c r="CH465" s="759"/>
      <c r="CI465" s="742"/>
      <c r="CJ465" s="591">
        <f t="shared" si="258"/>
        <v>0</v>
      </c>
    </row>
    <row r="466" spans="1:88" s="594" customFormat="1" ht="21.6" customHeight="1" x14ac:dyDescent="0.25">
      <c r="A466" s="612"/>
      <c r="B466" s="612" t="s">
        <v>342</v>
      </c>
      <c r="C466" s="613" t="s">
        <v>344</v>
      </c>
      <c r="D466" s="182" t="s">
        <v>431</v>
      </c>
      <c r="E466" s="614">
        <v>5</v>
      </c>
      <c r="F466" s="612">
        <v>25</v>
      </c>
      <c r="G466" s="614">
        <v>5</v>
      </c>
      <c r="H466" s="612">
        <v>25</v>
      </c>
      <c r="I466" s="612">
        <f t="shared" si="236"/>
        <v>0</v>
      </c>
      <c r="J466" s="728">
        <v>3</v>
      </c>
      <c r="K466" s="728">
        <v>2</v>
      </c>
      <c r="L466" s="731">
        <f t="shared" ref="L466:L512" si="259">J466+K466</f>
        <v>5</v>
      </c>
      <c r="M466" s="947">
        <f>SUM(L466:L468)</f>
        <v>25</v>
      </c>
      <c r="N466" s="617">
        <v>75</v>
      </c>
      <c r="O466" s="602">
        <f t="shared" si="251"/>
        <v>5</v>
      </c>
      <c r="P466" s="940">
        <f>SUM(O466:O468)</f>
        <v>25</v>
      </c>
      <c r="Q466" s="600">
        <f t="shared" si="253"/>
        <v>0</v>
      </c>
      <c r="R466" s="940">
        <f>SUM(Q466:Q468)</f>
        <v>0</v>
      </c>
      <c r="S466" s="596">
        <v>0</v>
      </c>
      <c r="T466" s="724">
        <f>SUM(S466:S468)</f>
        <v>0</v>
      </c>
      <c r="U466" s="728"/>
      <c r="V466" s="728"/>
      <c r="W466" s="731">
        <f t="shared" ref="W466:W512" si="260">U466+V466</f>
        <v>0</v>
      </c>
      <c r="X466" s="947">
        <f>SUM(W466:W468)</f>
        <v>0</v>
      </c>
      <c r="Y466" s="616"/>
      <c r="Z466" s="602">
        <f t="shared" si="230"/>
        <v>0</v>
      </c>
      <c r="AA466" s="835">
        <f>SUM(Z466:Z468)</f>
        <v>0</v>
      </c>
      <c r="AB466" s="602">
        <f t="shared" si="231"/>
        <v>0</v>
      </c>
      <c r="AC466" s="940">
        <f>SUM(AB466:AB468)</f>
        <v>0</v>
      </c>
      <c r="AD466" s="955">
        <f>M466+X466</f>
        <v>25</v>
      </c>
      <c r="AE466" s="955">
        <f>R466+AC466</f>
        <v>0</v>
      </c>
      <c r="AF466" s="614">
        <v>6</v>
      </c>
      <c r="AG466" s="612">
        <v>6</v>
      </c>
      <c r="AH466" s="728">
        <v>3</v>
      </c>
      <c r="AI466" s="728">
        <v>3</v>
      </c>
      <c r="AJ466" s="729">
        <f t="shared" si="254"/>
        <v>6</v>
      </c>
      <c r="AK466" s="946">
        <f>SUM(AJ466:AJ468)</f>
        <v>6</v>
      </c>
      <c r="AL466" s="616">
        <v>90</v>
      </c>
      <c r="AM466" s="602">
        <f t="shared" si="237"/>
        <v>6</v>
      </c>
      <c r="AN466" s="835">
        <f>SUM(AM466:AM468)</f>
        <v>6</v>
      </c>
      <c r="AO466" s="835">
        <f t="shared" si="255"/>
        <v>0</v>
      </c>
      <c r="AP466" s="940">
        <f>SUM(AO466:AO468)</f>
        <v>0</v>
      </c>
      <c r="AQ466" s="722">
        <v>6</v>
      </c>
      <c r="AR466" s="728">
        <v>6</v>
      </c>
      <c r="AS466" s="728">
        <v>1</v>
      </c>
      <c r="AT466" s="729">
        <f t="shared" si="247"/>
        <v>7</v>
      </c>
      <c r="AU466" s="946">
        <f>SUM(AT466:AT468)</f>
        <v>9</v>
      </c>
      <c r="AV466" s="616">
        <v>90</v>
      </c>
      <c r="AW466" s="602">
        <f t="shared" si="232"/>
        <v>6</v>
      </c>
      <c r="AX466" s="940">
        <f>SUM(AW466:AW468)</f>
        <v>6.6666666666666661</v>
      </c>
      <c r="AY466" s="602">
        <f t="shared" si="233"/>
        <v>0</v>
      </c>
      <c r="AZ466" s="940">
        <f>SUM(AY466:AY468)</f>
        <v>-0.66666666666666663</v>
      </c>
      <c r="BA466" s="961">
        <f>AK466+AU466</f>
        <v>15</v>
      </c>
      <c r="BB466" s="961">
        <f>AP466+AZ466</f>
        <v>-0.66666666666666663</v>
      </c>
      <c r="BC466" s="614">
        <f>SUM(BD466:BD468)</f>
        <v>31</v>
      </c>
      <c r="BD466" s="716">
        <v>11</v>
      </c>
      <c r="BE466" s="612">
        <v>0</v>
      </c>
      <c r="BF466" s="596">
        <f t="shared" si="240"/>
        <v>11</v>
      </c>
      <c r="BG466" s="728">
        <v>6</v>
      </c>
      <c r="BH466" s="728">
        <v>5</v>
      </c>
      <c r="BI466" s="729">
        <f t="shared" ref="BI466:BI512" si="261">BG466+BH466</f>
        <v>11</v>
      </c>
      <c r="BJ466" s="729">
        <f>SUM(BI466:BI468)</f>
        <v>31</v>
      </c>
      <c r="BK466" s="616">
        <v>550</v>
      </c>
      <c r="BL466" s="603">
        <f t="shared" si="239"/>
        <v>11</v>
      </c>
      <c r="BM466" s="964">
        <f>SUM(BL466:BL468)</f>
        <v>31</v>
      </c>
      <c r="BN466" s="602">
        <f t="shared" si="256"/>
        <v>0</v>
      </c>
      <c r="BO466" s="940">
        <f>SUM(BN466:BN468)</f>
        <v>0</v>
      </c>
      <c r="BP466" s="593">
        <f t="shared" si="257"/>
        <v>-0.66666666666666663</v>
      </c>
      <c r="BS466" s="745">
        <v>3</v>
      </c>
      <c r="BT466" s="745">
        <v>2</v>
      </c>
      <c r="BU466" s="741">
        <f t="shared" si="248"/>
        <v>5</v>
      </c>
      <c r="BV466" s="745">
        <v>5</v>
      </c>
      <c r="BW466" s="745">
        <f>SUM(BV466:BV468)</f>
        <v>25</v>
      </c>
      <c r="BX466" s="745">
        <v>3</v>
      </c>
      <c r="BY466" s="745">
        <v>3</v>
      </c>
      <c r="BZ466" s="741">
        <f t="shared" ref="BZ466:BZ512" si="262">BX466+BY466</f>
        <v>6</v>
      </c>
      <c r="CA466" s="745">
        <v>6</v>
      </c>
      <c r="CB466" s="745">
        <f>SUM(CA466:CA468)</f>
        <v>6</v>
      </c>
      <c r="CC466" s="741">
        <f t="shared" si="249"/>
        <v>11</v>
      </c>
      <c r="CD466" s="756">
        <f>SUM(CC466:CC468)</f>
        <v>31</v>
      </c>
      <c r="CE466" s="748">
        <v>6</v>
      </c>
      <c r="CF466" s="748">
        <v>5</v>
      </c>
      <c r="CG466" s="748">
        <f t="shared" si="250"/>
        <v>11</v>
      </c>
      <c r="CH466" s="766">
        <v>11</v>
      </c>
      <c r="CI466" s="745">
        <f>SUM(CH466:CH468)</f>
        <v>31</v>
      </c>
      <c r="CJ466" s="594">
        <f t="shared" si="258"/>
        <v>0</v>
      </c>
    </row>
    <row r="467" spans="1:88" ht="21.6" customHeight="1" x14ac:dyDescent="0.25">
      <c r="A467" s="596"/>
      <c r="B467" s="596" t="s">
        <v>342</v>
      </c>
      <c r="C467" s="597" t="s">
        <v>345</v>
      </c>
      <c r="D467" s="182" t="s">
        <v>431</v>
      </c>
      <c r="E467" s="598">
        <v>10</v>
      </c>
      <c r="F467" s="596">
        <v>0</v>
      </c>
      <c r="G467" s="598">
        <v>10</v>
      </c>
      <c r="H467" s="596"/>
      <c r="I467" s="596">
        <f t="shared" si="236"/>
        <v>0</v>
      </c>
      <c r="J467" s="728">
        <v>9</v>
      </c>
      <c r="K467" s="728">
        <v>1</v>
      </c>
      <c r="L467" s="731">
        <f t="shared" si="259"/>
        <v>10</v>
      </c>
      <c r="M467" s="947"/>
      <c r="N467" s="617">
        <v>150</v>
      </c>
      <c r="O467" s="602">
        <f t="shared" si="251"/>
        <v>10</v>
      </c>
      <c r="P467" s="940"/>
      <c r="Q467" s="600">
        <f t="shared" si="253"/>
        <v>0</v>
      </c>
      <c r="R467" s="940"/>
      <c r="S467" s="596">
        <v>0</v>
      </c>
      <c r="T467" s="724"/>
      <c r="U467" s="728"/>
      <c r="V467" s="728"/>
      <c r="W467" s="731">
        <f t="shared" si="260"/>
        <v>0</v>
      </c>
      <c r="X467" s="947"/>
      <c r="Y467" s="616"/>
      <c r="Z467" s="602">
        <f t="shared" si="230"/>
        <v>0</v>
      </c>
      <c r="AA467" s="835"/>
      <c r="AB467" s="602">
        <f t="shared" si="231"/>
        <v>0</v>
      </c>
      <c r="AC467" s="940"/>
      <c r="AD467" s="956"/>
      <c r="AE467" s="956"/>
      <c r="AF467" s="598">
        <v>0</v>
      </c>
      <c r="AG467" s="596"/>
      <c r="AH467" s="728"/>
      <c r="AI467" s="728"/>
      <c r="AJ467" s="729">
        <f t="shared" si="254"/>
        <v>0</v>
      </c>
      <c r="AK467" s="946"/>
      <c r="AL467" s="616"/>
      <c r="AM467" s="602">
        <f t="shared" si="237"/>
        <v>0</v>
      </c>
      <c r="AN467" s="835"/>
      <c r="AO467" s="835">
        <f t="shared" si="255"/>
        <v>0</v>
      </c>
      <c r="AP467" s="940"/>
      <c r="AQ467" s="722">
        <v>0</v>
      </c>
      <c r="AR467" s="728">
        <v>1</v>
      </c>
      <c r="AS467" s="728"/>
      <c r="AT467" s="729">
        <f t="shared" si="247"/>
        <v>1</v>
      </c>
      <c r="AU467" s="946"/>
      <c r="AV467" s="616">
        <v>5</v>
      </c>
      <c r="AW467" s="602">
        <f t="shared" si="232"/>
        <v>0.33333333333333331</v>
      </c>
      <c r="AX467" s="940"/>
      <c r="AY467" s="602">
        <f t="shared" si="233"/>
        <v>-0.33333333333333331</v>
      </c>
      <c r="AZ467" s="940"/>
      <c r="BA467" s="962"/>
      <c r="BB467" s="962"/>
      <c r="BC467" s="611"/>
      <c r="BD467" s="712">
        <v>10</v>
      </c>
      <c r="BE467" s="596">
        <v>0</v>
      </c>
      <c r="BF467" s="596">
        <f t="shared" si="240"/>
        <v>10</v>
      </c>
      <c r="BG467" s="728">
        <v>9</v>
      </c>
      <c r="BH467" s="728">
        <v>1</v>
      </c>
      <c r="BI467" s="729">
        <f t="shared" si="261"/>
        <v>10</v>
      </c>
      <c r="BJ467" s="729"/>
      <c r="BK467" s="616">
        <v>500</v>
      </c>
      <c r="BL467" s="603">
        <f t="shared" si="239"/>
        <v>10</v>
      </c>
      <c r="BM467" s="964"/>
      <c r="BN467" s="602">
        <f t="shared" si="256"/>
        <v>0</v>
      </c>
      <c r="BO467" s="940"/>
      <c r="BP467" s="593">
        <f t="shared" si="257"/>
        <v>0</v>
      </c>
      <c r="BS467" s="741">
        <v>9</v>
      </c>
      <c r="BT467" s="741">
        <v>1</v>
      </c>
      <c r="BU467" s="741">
        <f t="shared" si="248"/>
        <v>10</v>
      </c>
      <c r="BV467" s="741">
        <v>10</v>
      </c>
      <c r="BW467" s="741"/>
      <c r="BX467" s="741">
        <v>0</v>
      </c>
      <c r="BY467" s="741">
        <v>0</v>
      </c>
      <c r="BZ467" s="741">
        <f t="shared" si="262"/>
        <v>0</v>
      </c>
      <c r="CA467" s="741">
        <v>0</v>
      </c>
      <c r="CB467" s="741"/>
      <c r="CC467" s="741">
        <f t="shared" si="249"/>
        <v>10</v>
      </c>
      <c r="CD467" s="751"/>
      <c r="CE467" s="748">
        <v>9</v>
      </c>
      <c r="CF467" s="748">
        <v>1</v>
      </c>
      <c r="CG467" s="748">
        <f t="shared" si="250"/>
        <v>10</v>
      </c>
      <c r="CH467" s="759">
        <v>10</v>
      </c>
      <c r="CI467" s="742"/>
      <c r="CJ467" s="591">
        <f t="shared" si="258"/>
        <v>-0.33333333333333331</v>
      </c>
    </row>
    <row r="468" spans="1:88" ht="21.6" customHeight="1" x14ac:dyDescent="0.25">
      <c r="A468" s="596"/>
      <c r="B468" s="596" t="s">
        <v>342</v>
      </c>
      <c r="C468" s="597" t="s">
        <v>343</v>
      </c>
      <c r="D468" s="182" t="s">
        <v>431</v>
      </c>
      <c r="E468" s="598">
        <v>10</v>
      </c>
      <c r="F468" s="596">
        <v>0</v>
      </c>
      <c r="G468" s="598">
        <v>10</v>
      </c>
      <c r="H468" s="596"/>
      <c r="I468" s="596">
        <f t="shared" si="236"/>
        <v>0</v>
      </c>
      <c r="J468" s="728">
        <v>5</v>
      </c>
      <c r="K468" s="728">
        <v>5</v>
      </c>
      <c r="L468" s="731">
        <f t="shared" si="259"/>
        <v>10</v>
      </c>
      <c r="M468" s="947"/>
      <c r="N468" s="617">
        <v>150</v>
      </c>
      <c r="O468" s="602">
        <f t="shared" si="251"/>
        <v>10</v>
      </c>
      <c r="P468" s="940"/>
      <c r="Q468" s="600">
        <f t="shared" si="253"/>
        <v>0</v>
      </c>
      <c r="R468" s="940"/>
      <c r="S468" s="596">
        <v>0</v>
      </c>
      <c r="T468" s="724"/>
      <c r="U468" s="728"/>
      <c r="V468" s="728"/>
      <c r="W468" s="731">
        <f t="shared" si="260"/>
        <v>0</v>
      </c>
      <c r="X468" s="947"/>
      <c r="Y468" s="616"/>
      <c r="Z468" s="602">
        <f t="shared" si="230"/>
        <v>0</v>
      </c>
      <c r="AA468" s="835"/>
      <c r="AB468" s="602">
        <f t="shared" si="231"/>
        <v>0</v>
      </c>
      <c r="AC468" s="940"/>
      <c r="AD468" s="956"/>
      <c r="AE468" s="956"/>
      <c r="AF468" s="598">
        <v>0</v>
      </c>
      <c r="AG468" s="596"/>
      <c r="AH468" s="728"/>
      <c r="AI468" s="728"/>
      <c r="AJ468" s="729">
        <f t="shared" si="254"/>
        <v>0</v>
      </c>
      <c r="AK468" s="946"/>
      <c r="AL468" s="616"/>
      <c r="AM468" s="602">
        <f t="shared" si="237"/>
        <v>0</v>
      </c>
      <c r="AN468" s="835"/>
      <c r="AO468" s="835">
        <f t="shared" si="255"/>
        <v>0</v>
      </c>
      <c r="AP468" s="940"/>
      <c r="AQ468" s="722">
        <v>0</v>
      </c>
      <c r="AR468" s="728"/>
      <c r="AS468" s="728">
        <v>1</v>
      </c>
      <c r="AT468" s="729">
        <f t="shared" si="247"/>
        <v>1</v>
      </c>
      <c r="AU468" s="946"/>
      <c r="AV468" s="616">
        <v>5</v>
      </c>
      <c r="AW468" s="602">
        <f t="shared" si="232"/>
        <v>0.33333333333333331</v>
      </c>
      <c r="AX468" s="940"/>
      <c r="AY468" s="602">
        <f t="shared" si="233"/>
        <v>-0.33333333333333331</v>
      </c>
      <c r="AZ468" s="940"/>
      <c r="BA468" s="962"/>
      <c r="BB468" s="962"/>
      <c r="BC468" s="611"/>
      <c r="BD468" s="712">
        <v>10</v>
      </c>
      <c r="BE468" s="596">
        <v>0</v>
      </c>
      <c r="BF468" s="596">
        <f t="shared" si="240"/>
        <v>10</v>
      </c>
      <c r="BG468" s="728">
        <v>5</v>
      </c>
      <c r="BH468" s="728">
        <v>5</v>
      </c>
      <c r="BI468" s="729">
        <f t="shared" si="261"/>
        <v>10</v>
      </c>
      <c r="BJ468" s="729"/>
      <c r="BK468" s="616">
        <v>500</v>
      </c>
      <c r="BL468" s="603">
        <f t="shared" si="239"/>
        <v>10</v>
      </c>
      <c r="BM468" s="964"/>
      <c r="BN468" s="602">
        <f t="shared" si="256"/>
        <v>0</v>
      </c>
      <c r="BO468" s="940"/>
      <c r="BP468" s="593">
        <f t="shared" si="257"/>
        <v>0</v>
      </c>
      <c r="BS468" s="741">
        <v>5</v>
      </c>
      <c r="BT468" s="741">
        <v>5</v>
      </c>
      <c r="BU468" s="741">
        <f t="shared" si="248"/>
        <v>10</v>
      </c>
      <c r="BV468" s="741">
        <v>10</v>
      </c>
      <c r="BW468" s="741"/>
      <c r="BX468" s="741">
        <v>0</v>
      </c>
      <c r="BY468" s="741">
        <v>0</v>
      </c>
      <c r="BZ468" s="741">
        <f t="shared" si="262"/>
        <v>0</v>
      </c>
      <c r="CA468" s="741">
        <v>0</v>
      </c>
      <c r="CB468" s="741"/>
      <c r="CC468" s="741">
        <f t="shared" si="249"/>
        <v>10</v>
      </c>
      <c r="CD468" s="751"/>
      <c r="CE468" s="748">
        <v>5</v>
      </c>
      <c r="CF468" s="748">
        <v>5</v>
      </c>
      <c r="CG468" s="748">
        <f t="shared" si="250"/>
        <v>10</v>
      </c>
      <c r="CH468" s="759">
        <v>10</v>
      </c>
      <c r="CI468" s="742"/>
      <c r="CJ468" s="591">
        <f t="shared" si="258"/>
        <v>-0.33333333333333331</v>
      </c>
    </row>
    <row r="469" spans="1:88" ht="21.6" customHeight="1" x14ac:dyDescent="0.25">
      <c r="A469" s="596"/>
      <c r="B469" s="596"/>
      <c r="C469" s="597"/>
      <c r="D469" s="143"/>
      <c r="E469" s="598">
        <v>0</v>
      </c>
      <c r="F469" s="596">
        <v>0</v>
      </c>
      <c r="G469" s="598"/>
      <c r="H469" s="596"/>
      <c r="I469" s="596">
        <f t="shared" si="236"/>
        <v>0</v>
      </c>
      <c r="J469" s="728"/>
      <c r="K469" s="728"/>
      <c r="L469" s="731">
        <f t="shared" si="259"/>
        <v>0</v>
      </c>
      <c r="M469" s="947"/>
      <c r="N469" s="617"/>
      <c r="O469" s="602">
        <f t="shared" si="251"/>
        <v>0</v>
      </c>
      <c r="P469" s="940"/>
      <c r="Q469" s="600">
        <f t="shared" si="253"/>
        <v>0</v>
      </c>
      <c r="R469" s="940"/>
      <c r="S469" s="596">
        <v>0</v>
      </c>
      <c r="T469" s="724"/>
      <c r="U469" s="728"/>
      <c r="V469" s="728"/>
      <c r="W469" s="731">
        <f t="shared" si="260"/>
        <v>0</v>
      </c>
      <c r="X469" s="947"/>
      <c r="Y469" s="616"/>
      <c r="Z469" s="602">
        <f t="shared" ref="Z469:Z511" si="263">Y469/15</f>
        <v>0</v>
      </c>
      <c r="AA469" s="835"/>
      <c r="AB469" s="602">
        <f t="shared" ref="AB469:AB511" si="264">S469-Z469</f>
        <v>0</v>
      </c>
      <c r="AC469" s="940"/>
      <c r="AD469" s="956"/>
      <c r="AE469" s="956"/>
      <c r="AF469" s="598"/>
      <c r="AG469" s="596"/>
      <c r="AH469" s="728"/>
      <c r="AI469" s="728"/>
      <c r="AJ469" s="729">
        <f t="shared" si="254"/>
        <v>0</v>
      </c>
      <c r="AK469" s="946"/>
      <c r="AL469" s="616"/>
      <c r="AM469" s="602">
        <f t="shared" si="237"/>
        <v>0</v>
      </c>
      <c r="AN469" s="835"/>
      <c r="AO469" s="835">
        <f t="shared" si="255"/>
        <v>0</v>
      </c>
      <c r="AP469" s="940"/>
      <c r="AQ469" s="722">
        <v>0</v>
      </c>
      <c r="AR469" s="728"/>
      <c r="AS469" s="728"/>
      <c r="AT469" s="729">
        <f t="shared" si="247"/>
        <v>0</v>
      </c>
      <c r="AU469" s="946"/>
      <c r="AV469" s="616"/>
      <c r="AW469" s="602">
        <f t="shared" ref="AW469:AW512" si="265">AV469/15</f>
        <v>0</v>
      </c>
      <c r="AX469" s="940"/>
      <c r="AY469" s="602">
        <f t="shared" ref="AY469:AY512" si="266">AQ469-AW469</f>
        <v>0</v>
      </c>
      <c r="AZ469" s="940"/>
      <c r="BA469" s="962"/>
      <c r="BB469" s="962"/>
      <c r="BC469" s="611"/>
      <c r="BD469" s="712"/>
      <c r="BE469" s="596"/>
      <c r="BF469" s="596">
        <f t="shared" si="240"/>
        <v>0</v>
      </c>
      <c r="BG469" s="728"/>
      <c r="BH469" s="728"/>
      <c r="BI469" s="729">
        <f t="shared" si="261"/>
        <v>0</v>
      </c>
      <c r="BJ469" s="729"/>
      <c r="BK469" s="616"/>
      <c r="BL469" s="603">
        <f t="shared" si="239"/>
        <v>0</v>
      </c>
      <c r="BM469" s="964"/>
      <c r="BN469" s="602">
        <f t="shared" si="256"/>
        <v>0</v>
      </c>
      <c r="BO469" s="940"/>
      <c r="BP469" s="593">
        <f t="shared" si="257"/>
        <v>0</v>
      </c>
      <c r="BS469" s="741">
        <v>0</v>
      </c>
      <c r="BT469" s="741">
        <v>0</v>
      </c>
      <c r="BU469" s="741">
        <f t="shared" si="248"/>
        <v>0</v>
      </c>
      <c r="BV469" s="741">
        <v>0</v>
      </c>
      <c r="BW469" s="741"/>
      <c r="BX469" s="741">
        <v>0</v>
      </c>
      <c r="BY469" s="741">
        <v>0</v>
      </c>
      <c r="BZ469" s="741">
        <f t="shared" si="262"/>
        <v>0</v>
      </c>
      <c r="CA469" s="741">
        <v>0</v>
      </c>
      <c r="CB469" s="741"/>
      <c r="CC469" s="741">
        <f t="shared" si="249"/>
        <v>0</v>
      </c>
      <c r="CD469" s="751"/>
      <c r="CE469" s="748"/>
      <c r="CF469" s="748"/>
      <c r="CG469" s="748">
        <f t="shared" si="250"/>
        <v>0</v>
      </c>
      <c r="CH469" s="759"/>
      <c r="CI469" s="742"/>
      <c r="CJ469" s="591">
        <f t="shared" si="258"/>
        <v>0</v>
      </c>
    </row>
    <row r="470" spans="1:88" s="679" customFormat="1" ht="21.6" customHeight="1" x14ac:dyDescent="0.25">
      <c r="A470" s="675"/>
      <c r="B470" s="675" t="s">
        <v>754</v>
      </c>
      <c r="C470" s="676" t="s">
        <v>552</v>
      </c>
      <c r="D470" s="182" t="s">
        <v>489</v>
      </c>
      <c r="E470" s="677">
        <v>0</v>
      </c>
      <c r="F470" s="675">
        <v>370</v>
      </c>
      <c r="G470" s="677">
        <v>0</v>
      </c>
      <c r="H470" s="675">
        <v>235.00000000000003</v>
      </c>
      <c r="I470" s="675">
        <f t="shared" si="236"/>
        <v>134.99999999999997</v>
      </c>
      <c r="J470" s="728"/>
      <c r="K470" s="728"/>
      <c r="L470" s="731">
        <f t="shared" si="259"/>
        <v>0</v>
      </c>
      <c r="M470" s="947">
        <f>SUM(L470:L502)</f>
        <v>548</v>
      </c>
      <c r="N470" s="617"/>
      <c r="O470" s="602">
        <f t="shared" si="251"/>
        <v>0</v>
      </c>
      <c r="P470" s="940">
        <f>SUM(O470:O502)</f>
        <v>370.77000000000004</v>
      </c>
      <c r="Q470" s="600">
        <f t="shared" si="253"/>
        <v>0</v>
      </c>
      <c r="R470" s="940">
        <f>SUM(Q470:Q502)</f>
        <v>-0.7699999999999978</v>
      </c>
      <c r="S470" s="675">
        <v>0</v>
      </c>
      <c r="T470" s="675">
        <f>SUM(S470:S502)</f>
        <v>0</v>
      </c>
      <c r="U470" s="728"/>
      <c r="V470" s="728"/>
      <c r="W470" s="731">
        <f t="shared" si="260"/>
        <v>0</v>
      </c>
      <c r="X470" s="947">
        <f>SUM(W470:W502)</f>
        <v>0</v>
      </c>
      <c r="Y470" s="616"/>
      <c r="Z470" s="602">
        <f t="shared" si="263"/>
        <v>0</v>
      </c>
      <c r="AA470" s="835">
        <f>SUM(Z470:Z502)</f>
        <v>0</v>
      </c>
      <c r="AB470" s="602">
        <f t="shared" si="264"/>
        <v>0</v>
      </c>
      <c r="AC470" s="940">
        <f>SUM(AB470:AB502)</f>
        <v>0</v>
      </c>
      <c r="AD470" s="955">
        <f>M470+X470</f>
        <v>548</v>
      </c>
      <c r="AE470" s="955">
        <f>R470+AC470</f>
        <v>-0.7699999999999978</v>
      </c>
      <c r="AF470" s="677">
        <v>40.3333333333333</v>
      </c>
      <c r="AG470" s="675">
        <v>501.66666666666703</v>
      </c>
      <c r="AH470" s="728">
        <v>40</v>
      </c>
      <c r="AI470" s="728">
        <v>7</v>
      </c>
      <c r="AJ470" s="729">
        <f t="shared" si="254"/>
        <v>47</v>
      </c>
      <c r="AK470" s="946">
        <f>SUM(AJ470:AJ502)</f>
        <v>815</v>
      </c>
      <c r="AL470" s="616">
        <v>609</v>
      </c>
      <c r="AM470" s="602">
        <f t="shared" si="237"/>
        <v>40.6</v>
      </c>
      <c r="AN470" s="835">
        <f>SUM(AM470:AM502)</f>
        <v>503.03333333333336</v>
      </c>
      <c r="AO470" s="835">
        <f t="shared" si="255"/>
        <v>-0.26666666666670125</v>
      </c>
      <c r="AP470" s="940">
        <f>SUM(AO470:AO502)</f>
        <v>-1.3666666666667</v>
      </c>
      <c r="AQ470" s="941">
        <v>0</v>
      </c>
      <c r="AR470" s="728"/>
      <c r="AS470" s="728"/>
      <c r="AT470" s="729">
        <f t="shared" si="247"/>
        <v>0</v>
      </c>
      <c r="AU470" s="946">
        <f>SUM(AT470:AT502)</f>
        <v>160</v>
      </c>
      <c r="AV470" s="616"/>
      <c r="AW470" s="602">
        <f t="shared" si="265"/>
        <v>0</v>
      </c>
      <c r="AX470" s="940">
        <f>SUM(AW470:AW502)</f>
        <v>78.333333333333329</v>
      </c>
      <c r="AY470" s="602">
        <f t="shared" si="266"/>
        <v>0</v>
      </c>
      <c r="AZ470" s="940">
        <f>SUM(AY470:AY502)</f>
        <v>0</v>
      </c>
      <c r="BA470" s="961">
        <f>AK470+AU470</f>
        <v>975</v>
      </c>
      <c r="BB470" s="961">
        <f>AP470+AZ470</f>
        <v>-1.3666666666667</v>
      </c>
      <c r="BC470" s="677">
        <f>SUM(BD470:BD502)</f>
        <v>866</v>
      </c>
      <c r="BD470" s="717">
        <v>40</v>
      </c>
      <c r="BE470" s="675">
        <v>40</v>
      </c>
      <c r="BF470" s="675">
        <f t="shared" si="240"/>
        <v>0</v>
      </c>
      <c r="BG470" s="728">
        <v>40</v>
      </c>
      <c r="BH470" s="728">
        <v>7</v>
      </c>
      <c r="BI470" s="729">
        <f t="shared" si="261"/>
        <v>47</v>
      </c>
      <c r="BJ470" s="729">
        <f>SUM(BI470:BI502)</f>
        <v>1362</v>
      </c>
      <c r="BK470" s="616">
        <v>2000</v>
      </c>
      <c r="BL470" s="603">
        <f t="shared" si="239"/>
        <v>40</v>
      </c>
      <c r="BM470" s="964">
        <f>SUM(BL470:BL502)</f>
        <v>868.87</v>
      </c>
      <c r="BN470" s="602">
        <f t="shared" si="256"/>
        <v>0</v>
      </c>
      <c r="BO470" s="940">
        <f>SUM(BN470:BN502)</f>
        <v>-2.8700000000000028</v>
      </c>
      <c r="BP470" s="593">
        <f t="shared" si="257"/>
        <v>-5.0066666666667006</v>
      </c>
      <c r="BS470" s="746">
        <v>0</v>
      </c>
      <c r="BT470" s="746">
        <v>0</v>
      </c>
      <c r="BU470" s="741">
        <f t="shared" si="248"/>
        <v>0</v>
      </c>
      <c r="BV470" s="746">
        <v>0</v>
      </c>
      <c r="BW470" s="746">
        <f>SUM(BV470:BV502)</f>
        <v>19</v>
      </c>
      <c r="BX470" s="746">
        <v>0</v>
      </c>
      <c r="BY470" s="746">
        <v>0</v>
      </c>
      <c r="BZ470" s="741">
        <f t="shared" si="262"/>
        <v>0</v>
      </c>
      <c r="CA470" s="746">
        <v>0</v>
      </c>
      <c r="CB470" s="746">
        <f>SUM(CA470:CA502)</f>
        <v>78.333333333333329</v>
      </c>
      <c r="CC470" s="741">
        <f t="shared" si="249"/>
        <v>0</v>
      </c>
      <c r="CD470" s="757">
        <f>SUM(CC470:CC502)</f>
        <v>97.333333333333329</v>
      </c>
      <c r="CE470" s="748"/>
      <c r="CF470" s="748"/>
      <c r="CG470" s="748">
        <f t="shared" si="250"/>
        <v>0</v>
      </c>
      <c r="CH470" s="767"/>
      <c r="CI470" s="746">
        <f>SUM(CH470:CH502)</f>
        <v>19</v>
      </c>
      <c r="CJ470" s="679">
        <f t="shared" si="258"/>
        <v>-0.26666666666670125</v>
      </c>
    </row>
    <row r="471" spans="1:88" ht="21.6" customHeight="1" x14ac:dyDescent="0.25">
      <c r="A471" s="596"/>
      <c r="B471" s="596" t="s">
        <v>754</v>
      </c>
      <c r="C471" s="597" t="s">
        <v>567</v>
      </c>
      <c r="D471" s="182" t="s">
        <v>431</v>
      </c>
      <c r="E471" s="598">
        <v>25</v>
      </c>
      <c r="F471" s="596">
        <v>0</v>
      </c>
      <c r="G471" s="598">
        <v>0</v>
      </c>
      <c r="H471" s="596"/>
      <c r="I471" s="596">
        <f t="shared" si="236"/>
        <v>0</v>
      </c>
      <c r="J471" s="728">
        <v>8</v>
      </c>
      <c r="K471" s="728">
        <v>13</v>
      </c>
      <c r="L471" s="731">
        <f t="shared" si="259"/>
        <v>21</v>
      </c>
      <c r="M471" s="947"/>
      <c r="N471" s="617">
        <v>375</v>
      </c>
      <c r="O471" s="602">
        <f t="shared" si="251"/>
        <v>25</v>
      </c>
      <c r="P471" s="940"/>
      <c r="Q471" s="600">
        <f t="shared" si="253"/>
        <v>0</v>
      </c>
      <c r="R471" s="940"/>
      <c r="S471" s="596">
        <v>0</v>
      </c>
      <c r="T471" s="724"/>
      <c r="U471" s="728"/>
      <c r="V471" s="728"/>
      <c r="W471" s="731">
        <f t="shared" si="260"/>
        <v>0</v>
      </c>
      <c r="X471" s="947"/>
      <c r="Y471" s="616"/>
      <c r="Z471" s="602">
        <f t="shared" si="263"/>
        <v>0</v>
      </c>
      <c r="AA471" s="835"/>
      <c r="AB471" s="602">
        <f t="shared" si="264"/>
        <v>0</v>
      </c>
      <c r="AC471" s="940"/>
      <c r="AD471" s="956"/>
      <c r="AE471" s="956"/>
      <c r="AF471" s="598">
        <v>0</v>
      </c>
      <c r="AG471" s="596"/>
      <c r="AH471" s="728"/>
      <c r="AI471" s="728"/>
      <c r="AJ471" s="729">
        <f t="shared" si="254"/>
        <v>0</v>
      </c>
      <c r="AK471" s="946"/>
      <c r="AL471" s="616"/>
      <c r="AM471" s="602">
        <f t="shared" si="237"/>
        <v>0</v>
      </c>
      <c r="AN471" s="835"/>
      <c r="AO471" s="835">
        <f t="shared" si="255"/>
        <v>0</v>
      </c>
      <c r="AP471" s="940"/>
      <c r="AQ471" s="722">
        <v>0</v>
      </c>
      <c r="AR471" s="728"/>
      <c r="AS471" s="728"/>
      <c r="AT471" s="729">
        <f t="shared" si="247"/>
        <v>0</v>
      </c>
      <c r="AU471" s="946"/>
      <c r="AV471" s="616"/>
      <c r="AW471" s="602">
        <f t="shared" si="265"/>
        <v>0</v>
      </c>
      <c r="AX471" s="940"/>
      <c r="AY471" s="602">
        <f t="shared" si="266"/>
        <v>0</v>
      </c>
      <c r="AZ471" s="940"/>
      <c r="BA471" s="962"/>
      <c r="BB471" s="962"/>
      <c r="BC471" s="611"/>
      <c r="BD471" s="712">
        <v>25</v>
      </c>
      <c r="BE471" s="596">
        <v>0</v>
      </c>
      <c r="BF471" s="596">
        <f t="shared" si="240"/>
        <v>25</v>
      </c>
      <c r="BG471" s="728">
        <v>8</v>
      </c>
      <c r="BH471" s="728">
        <v>13</v>
      </c>
      <c r="BI471" s="729">
        <f t="shared" si="261"/>
        <v>21</v>
      </c>
      <c r="BJ471" s="729"/>
      <c r="BK471" s="616">
        <v>1250</v>
      </c>
      <c r="BL471" s="603">
        <f t="shared" si="239"/>
        <v>25</v>
      </c>
      <c r="BM471" s="964"/>
      <c r="BN471" s="602">
        <f t="shared" si="256"/>
        <v>0</v>
      </c>
      <c r="BO471" s="940"/>
      <c r="BP471" s="593">
        <f t="shared" si="257"/>
        <v>0</v>
      </c>
      <c r="BS471" s="741">
        <v>0</v>
      </c>
      <c r="BT471" s="741">
        <v>0</v>
      </c>
      <c r="BU471" s="741">
        <f t="shared" si="248"/>
        <v>0</v>
      </c>
      <c r="BV471" s="741">
        <v>0</v>
      </c>
      <c r="BW471" s="741"/>
      <c r="BX471" s="741">
        <v>0</v>
      </c>
      <c r="BY471" s="741">
        <v>0</v>
      </c>
      <c r="BZ471" s="741">
        <f t="shared" si="262"/>
        <v>0</v>
      </c>
      <c r="CA471" s="741">
        <v>0</v>
      </c>
      <c r="CB471" s="741"/>
      <c r="CC471" s="741">
        <f t="shared" si="249"/>
        <v>0</v>
      </c>
      <c r="CD471" s="751"/>
      <c r="CE471" s="748"/>
      <c r="CF471" s="748"/>
      <c r="CG471" s="748">
        <f t="shared" si="250"/>
        <v>0</v>
      </c>
      <c r="CH471" s="759"/>
      <c r="CI471" s="742"/>
      <c r="CJ471" s="591">
        <f t="shared" si="258"/>
        <v>0</v>
      </c>
    </row>
    <row r="472" spans="1:88" ht="21.6" customHeight="1" x14ac:dyDescent="0.25">
      <c r="A472" s="596"/>
      <c r="B472" s="596" t="s">
        <v>754</v>
      </c>
      <c r="C472" s="597" t="s">
        <v>580</v>
      </c>
      <c r="D472" s="300" t="s">
        <v>431</v>
      </c>
      <c r="E472" s="598">
        <v>26.333333333333332</v>
      </c>
      <c r="F472" s="596">
        <v>0</v>
      </c>
      <c r="G472" s="598">
        <v>0</v>
      </c>
      <c r="H472" s="596"/>
      <c r="I472" s="596">
        <f t="shared" ref="I472:I511" si="267">F472-H472</f>
        <v>0</v>
      </c>
      <c r="J472" s="728">
        <f>13+1</f>
        <v>14</v>
      </c>
      <c r="K472" s="728">
        <v>22</v>
      </c>
      <c r="L472" s="731">
        <f t="shared" si="259"/>
        <v>36</v>
      </c>
      <c r="M472" s="947"/>
      <c r="N472" s="617">
        <f>380+10.05</f>
        <v>390.05</v>
      </c>
      <c r="O472" s="602">
        <f t="shared" si="251"/>
        <v>26.003333333333334</v>
      </c>
      <c r="P472" s="940"/>
      <c r="Q472" s="600">
        <f t="shared" si="253"/>
        <v>0.32999999999999829</v>
      </c>
      <c r="R472" s="940"/>
      <c r="S472" s="596">
        <v>0</v>
      </c>
      <c r="T472" s="724"/>
      <c r="U472" s="728"/>
      <c r="V472" s="728"/>
      <c r="W472" s="731">
        <f t="shared" si="260"/>
        <v>0</v>
      </c>
      <c r="X472" s="947"/>
      <c r="Y472" s="616"/>
      <c r="Z472" s="602">
        <f t="shared" si="263"/>
        <v>0</v>
      </c>
      <c r="AA472" s="835"/>
      <c r="AB472" s="602">
        <f t="shared" si="264"/>
        <v>0</v>
      </c>
      <c r="AC472" s="940"/>
      <c r="AD472" s="956"/>
      <c r="AE472" s="956"/>
      <c r="AF472" s="598">
        <v>0</v>
      </c>
      <c r="AG472" s="596"/>
      <c r="AH472" s="728"/>
      <c r="AI472" s="728"/>
      <c r="AJ472" s="729">
        <f t="shared" si="254"/>
        <v>0</v>
      </c>
      <c r="AK472" s="946"/>
      <c r="AL472" s="616"/>
      <c r="AM472" s="602">
        <f t="shared" si="237"/>
        <v>0</v>
      </c>
      <c r="AN472" s="835"/>
      <c r="AO472" s="835">
        <f t="shared" si="255"/>
        <v>0</v>
      </c>
      <c r="AP472" s="940"/>
      <c r="AQ472" s="722">
        <v>0</v>
      </c>
      <c r="AR472" s="728"/>
      <c r="AS472" s="728"/>
      <c r="AT472" s="729">
        <f t="shared" si="247"/>
        <v>0</v>
      </c>
      <c r="AU472" s="946"/>
      <c r="AV472" s="616"/>
      <c r="AW472" s="602">
        <f t="shared" si="265"/>
        <v>0</v>
      </c>
      <c r="AX472" s="940"/>
      <c r="AY472" s="602">
        <f t="shared" si="266"/>
        <v>0</v>
      </c>
      <c r="AZ472" s="940"/>
      <c r="BA472" s="962"/>
      <c r="BB472" s="962"/>
      <c r="BC472" s="598"/>
      <c r="BD472" s="665">
        <v>26</v>
      </c>
      <c r="BE472" s="596">
        <v>0</v>
      </c>
      <c r="BF472" s="596">
        <f t="shared" si="240"/>
        <v>26</v>
      </c>
      <c r="BG472" s="728">
        <f>13+1</f>
        <v>14</v>
      </c>
      <c r="BH472" s="728">
        <f>22+0</f>
        <v>22</v>
      </c>
      <c r="BI472" s="729">
        <f t="shared" si="261"/>
        <v>36</v>
      </c>
      <c r="BJ472" s="729"/>
      <c r="BK472" s="616">
        <f>1250+33.5</f>
        <v>1283.5</v>
      </c>
      <c r="BL472" s="603">
        <f t="shared" si="239"/>
        <v>25.67</v>
      </c>
      <c r="BM472" s="964"/>
      <c r="BN472" s="602">
        <f t="shared" si="256"/>
        <v>0.32999999999999829</v>
      </c>
      <c r="BO472" s="940"/>
      <c r="BP472" s="593">
        <f t="shared" si="257"/>
        <v>0</v>
      </c>
      <c r="BS472" s="741">
        <v>0</v>
      </c>
      <c r="BT472" s="741">
        <v>0</v>
      </c>
      <c r="BU472" s="741">
        <f t="shared" si="248"/>
        <v>0</v>
      </c>
      <c r="BV472" s="741">
        <v>0</v>
      </c>
      <c r="BW472" s="741"/>
      <c r="BX472" s="741">
        <v>0</v>
      </c>
      <c r="BY472" s="741">
        <v>0</v>
      </c>
      <c r="BZ472" s="741">
        <f t="shared" si="262"/>
        <v>0</v>
      </c>
      <c r="CA472" s="741">
        <v>0</v>
      </c>
      <c r="CB472" s="741"/>
      <c r="CC472" s="741">
        <f t="shared" si="249"/>
        <v>0</v>
      </c>
      <c r="CD472" s="751"/>
      <c r="CE472" s="748"/>
      <c r="CF472" s="748"/>
      <c r="CG472" s="748">
        <f t="shared" si="250"/>
        <v>0</v>
      </c>
      <c r="CH472" s="759"/>
      <c r="CI472" s="742"/>
      <c r="CJ472" s="591">
        <f t="shared" si="258"/>
        <v>0.65999999999999659</v>
      </c>
    </row>
    <row r="473" spans="1:88" ht="21.6" customHeight="1" x14ac:dyDescent="0.25">
      <c r="A473" s="596"/>
      <c r="B473" s="596" t="s">
        <v>754</v>
      </c>
      <c r="C473" s="597" t="s">
        <v>554</v>
      </c>
      <c r="D473" s="182" t="s">
        <v>431</v>
      </c>
      <c r="E473" s="598">
        <v>0</v>
      </c>
      <c r="F473" s="596">
        <v>0</v>
      </c>
      <c r="G473" s="598">
        <v>0</v>
      </c>
      <c r="H473" s="596"/>
      <c r="I473" s="596">
        <f t="shared" si="267"/>
        <v>0</v>
      </c>
      <c r="J473" s="728"/>
      <c r="K473" s="728"/>
      <c r="L473" s="731">
        <f t="shared" si="259"/>
        <v>0</v>
      </c>
      <c r="M473" s="947"/>
      <c r="N473" s="617"/>
      <c r="O473" s="602">
        <f t="shared" si="251"/>
        <v>0</v>
      </c>
      <c r="P473" s="940"/>
      <c r="Q473" s="600">
        <f t="shared" si="253"/>
        <v>0</v>
      </c>
      <c r="R473" s="940"/>
      <c r="S473" s="596">
        <v>0</v>
      </c>
      <c r="T473" s="724"/>
      <c r="U473" s="728"/>
      <c r="V473" s="728"/>
      <c r="W473" s="731">
        <f t="shared" si="260"/>
        <v>0</v>
      </c>
      <c r="X473" s="947"/>
      <c r="Y473" s="616"/>
      <c r="Z473" s="602">
        <f t="shared" si="263"/>
        <v>0</v>
      </c>
      <c r="AA473" s="835"/>
      <c r="AB473" s="602">
        <f t="shared" si="264"/>
        <v>0</v>
      </c>
      <c r="AC473" s="940"/>
      <c r="AD473" s="956"/>
      <c r="AE473" s="956"/>
      <c r="AF473" s="598">
        <v>78.333333333333329</v>
      </c>
      <c r="AG473" s="596"/>
      <c r="AH473" s="728">
        <v>58</v>
      </c>
      <c r="AI473" s="728">
        <v>28</v>
      </c>
      <c r="AJ473" s="729">
        <f t="shared" si="254"/>
        <v>86</v>
      </c>
      <c r="AK473" s="946"/>
      <c r="AL473" s="616">
        <v>1175</v>
      </c>
      <c r="AM473" s="602">
        <f t="shared" ref="AM473:AM512" si="268">AL473/15</f>
        <v>78.333333333333329</v>
      </c>
      <c r="AN473" s="835"/>
      <c r="AO473" s="835">
        <f t="shared" si="255"/>
        <v>0</v>
      </c>
      <c r="AP473" s="940"/>
      <c r="AQ473" s="722">
        <v>0</v>
      </c>
      <c r="AR473" s="728"/>
      <c r="AS473" s="728"/>
      <c r="AT473" s="729">
        <f t="shared" si="247"/>
        <v>0</v>
      </c>
      <c r="AU473" s="946"/>
      <c r="AV473" s="616"/>
      <c r="AW473" s="602">
        <f t="shared" si="265"/>
        <v>0</v>
      </c>
      <c r="AX473" s="940"/>
      <c r="AY473" s="602">
        <f t="shared" si="266"/>
        <v>0</v>
      </c>
      <c r="AZ473" s="940"/>
      <c r="BA473" s="962"/>
      <c r="BB473" s="962"/>
      <c r="BC473" s="611"/>
      <c r="BD473" s="712">
        <v>78</v>
      </c>
      <c r="BE473" s="596">
        <v>78</v>
      </c>
      <c r="BF473" s="596">
        <f t="shared" si="240"/>
        <v>0</v>
      </c>
      <c r="BG473" s="728">
        <v>58</v>
      </c>
      <c r="BH473" s="728">
        <v>28</v>
      </c>
      <c r="BI473" s="729">
        <f t="shared" si="261"/>
        <v>86</v>
      </c>
      <c r="BJ473" s="729"/>
      <c r="BK473" s="616">
        <v>3900</v>
      </c>
      <c r="BL473" s="603">
        <f t="shared" ref="BL473:BL512" si="269">BK473/50</f>
        <v>78</v>
      </c>
      <c r="BM473" s="964"/>
      <c r="BN473" s="602">
        <f t="shared" si="256"/>
        <v>0</v>
      </c>
      <c r="BO473" s="940"/>
      <c r="BP473" s="593">
        <f t="shared" si="257"/>
        <v>0</v>
      </c>
      <c r="BS473" s="741">
        <v>0</v>
      </c>
      <c r="BT473" s="741">
        <v>0</v>
      </c>
      <c r="BU473" s="741">
        <f t="shared" si="248"/>
        <v>0</v>
      </c>
      <c r="BV473" s="741">
        <v>0</v>
      </c>
      <c r="BW473" s="741"/>
      <c r="BX473" s="741">
        <v>0</v>
      </c>
      <c r="BY473" s="741">
        <v>0</v>
      </c>
      <c r="BZ473" s="741">
        <f t="shared" si="262"/>
        <v>0</v>
      </c>
      <c r="CA473" s="741">
        <v>0</v>
      </c>
      <c r="CB473" s="741"/>
      <c r="CC473" s="741">
        <f t="shared" si="249"/>
        <v>0</v>
      </c>
      <c r="CD473" s="751"/>
      <c r="CE473" s="748"/>
      <c r="CF473" s="748"/>
      <c r="CG473" s="748">
        <f t="shared" si="250"/>
        <v>0</v>
      </c>
      <c r="CH473" s="759"/>
      <c r="CI473" s="742"/>
      <c r="CJ473" s="591">
        <f t="shared" si="258"/>
        <v>0</v>
      </c>
    </row>
    <row r="474" spans="1:88" ht="52.5" customHeight="1" x14ac:dyDescent="0.25">
      <c r="A474" s="596"/>
      <c r="B474" s="596" t="s">
        <v>754</v>
      </c>
      <c r="C474" s="597" t="s">
        <v>553</v>
      </c>
      <c r="D474" s="182" t="s">
        <v>489</v>
      </c>
      <c r="E474" s="598">
        <v>10</v>
      </c>
      <c r="F474" s="596">
        <v>0</v>
      </c>
      <c r="G474" s="598">
        <v>10</v>
      </c>
      <c r="H474" s="596"/>
      <c r="I474" s="596">
        <f t="shared" si="267"/>
        <v>0</v>
      </c>
      <c r="J474" s="728">
        <f>13</f>
        <v>13</v>
      </c>
      <c r="K474" s="728">
        <f>0</f>
        <v>0</v>
      </c>
      <c r="L474" s="731">
        <f t="shared" si="259"/>
        <v>13</v>
      </c>
      <c r="M474" s="947"/>
      <c r="N474" s="617">
        <v>150</v>
      </c>
      <c r="O474" s="602">
        <f t="shared" si="251"/>
        <v>10</v>
      </c>
      <c r="P474" s="940"/>
      <c r="Q474" s="600">
        <f t="shared" si="253"/>
        <v>0</v>
      </c>
      <c r="R474" s="940"/>
      <c r="S474" s="596">
        <v>0</v>
      </c>
      <c r="T474" s="724"/>
      <c r="U474" s="728"/>
      <c r="V474" s="728"/>
      <c r="W474" s="731">
        <f t="shared" si="260"/>
        <v>0</v>
      </c>
      <c r="X474" s="947"/>
      <c r="Y474" s="616"/>
      <c r="Z474" s="602">
        <f t="shared" si="263"/>
        <v>0</v>
      </c>
      <c r="AA474" s="835"/>
      <c r="AB474" s="602">
        <f t="shared" si="264"/>
        <v>0</v>
      </c>
      <c r="AC474" s="940"/>
      <c r="AD474" s="956"/>
      <c r="AE474" s="956"/>
      <c r="AF474" s="598">
        <v>10.333333333333334</v>
      </c>
      <c r="AG474" s="596"/>
      <c r="AH474" s="728">
        <v>12</v>
      </c>
      <c r="AI474" s="728">
        <v>2</v>
      </c>
      <c r="AJ474" s="729">
        <f t="shared" si="254"/>
        <v>14</v>
      </c>
      <c r="AK474" s="946"/>
      <c r="AL474" s="616">
        <v>155</v>
      </c>
      <c r="AM474" s="602">
        <f t="shared" si="268"/>
        <v>10.333333333333334</v>
      </c>
      <c r="AN474" s="835"/>
      <c r="AO474" s="835">
        <f t="shared" si="255"/>
        <v>0</v>
      </c>
      <c r="AP474" s="940"/>
      <c r="AQ474" s="722">
        <v>0</v>
      </c>
      <c r="AR474" s="728"/>
      <c r="AS474" s="728"/>
      <c r="AT474" s="729">
        <f t="shared" si="247"/>
        <v>0</v>
      </c>
      <c r="AU474" s="946"/>
      <c r="AV474" s="616"/>
      <c r="AW474" s="602">
        <f t="shared" si="265"/>
        <v>0</v>
      </c>
      <c r="AX474" s="940"/>
      <c r="AY474" s="602">
        <f t="shared" si="266"/>
        <v>0</v>
      </c>
      <c r="AZ474" s="940"/>
      <c r="BA474" s="962"/>
      <c r="BB474" s="962"/>
      <c r="BC474" s="611"/>
      <c r="BD474" s="712">
        <v>20</v>
      </c>
      <c r="BE474" s="596">
        <v>20</v>
      </c>
      <c r="BF474" s="596">
        <f t="shared" ref="BF474:BF511" si="270">BD474-BE474</f>
        <v>0</v>
      </c>
      <c r="BG474" s="728">
        <f>12+13</f>
        <v>25</v>
      </c>
      <c r="BH474" s="728">
        <v>2</v>
      </c>
      <c r="BI474" s="729">
        <f t="shared" si="261"/>
        <v>27</v>
      </c>
      <c r="BJ474" s="729"/>
      <c r="BK474" s="616">
        <f>500+500</f>
        <v>1000</v>
      </c>
      <c r="BL474" s="603">
        <f t="shared" si="269"/>
        <v>20</v>
      </c>
      <c r="BM474" s="964"/>
      <c r="BN474" s="602">
        <f t="shared" si="256"/>
        <v>0</v>
      </c>
      <c r="BO474" s="940"/>
      <c r="BP474" s="593">
        <f t="shared" si="257"/>
        <v>0</v>
      </c>
      <c r="BS474" s="741">
        <v>0</v>
      </c>
      <c r="BT474" s="741">
        <v>0</v>
      </c>
      <c r="BU474" s="741">
        <f t="shared" si="248"/>
        <v>0</v>
      </c>
      <c r="BV474" s="741">
        <v>0</v>
      </c>
      <c r="BW474" s="741"/>
      <c r="BX474" s="741">
        <v>0</v>
      </c>
      <c r="BY474" s="741">
        <v>0</v>
      </c>
      <c r="BZ474" s="741">
        <f t="shared" si="262"/>
        <v>0</v>
      </c>
      <c r="CA474" s="741">
        <v>0</v>
      </c>
      <c r="CB474" s="741"/>
      <c r="CC474" s="741">
        <f t="shared" si="249"/>
        <v>0</v>
      </c>
      <c r="CD474" s="751"/>
      <c r="CE474" s="748"/>
      <c r="CF474" s="748"/>
      <c r="CG474" s="748">
        <f t="shared" si="250"/>
        <v>0</v>
      </c>
      <c r="CH474" s="759"/>
      <c r="CI474" s="742"/>
      <c r="CJ474" s="591">
        <f t="shared" si="258"/>
        <v>0</v>
      </c>
    </row>
    <row r="475" spans="1:88" ht="32.25" customHeight="1" x14ac:dyDescent="0.25">
      <c r="A475" s="596"/>
      <c r="B475" s="596" t="s">
        <v>754</v>
      </c>
      <c r="C475" s="597" t="s">
        <v>565</v>
      </c>
      <c r="D475" s="182" t="s">
        <v>489</v>
      </c>
      <c r="E475" s="598">
        <v>0</v>
      </c>
      <c r="F475" s="596">
        <v>0</v>
      </c>
      <c r="G475" s="598">
        <v>0</v>
      </c>
      <c r="H475" s="596"/>
      <c r="I475" s="596">
        <f t="shared" si="267"/>
        <v>0</v>
      </c>
      <c r="J475" s="728"/>
      <c r="K475" s="728"/>
      <c r="L475" s="731">
        <f t="shared" si="259"/>
        <v>0</v>
      </c>
      <c r="M475" s="947"/>
      <c r="N475" s="617"/>
      <c r="O475" s="602">
        <f t="shared" si="251"/>
        <v>0</v>
      </c>
      <c r="P475" s="940"/>
      <c r="Q475" s="600">
        <f t="shared" si="253"/>
        <v>0</v>
      </c>
      <c r="R475" s="940"/>
      <c r="S475" s="596">
        <v>0</v>
      </c>
      <c r="T475" s="724"/>
      <c r="U475" s="728"/>
      <c r="V475" s="728"/>
      <c r="W475" s="731">
        <f t="shared" si="260"/>
        <v>0</v>
      </c>
      <c r="X475" s="947"/>
      <c r="Y475" s="616"/>
      <c r="Z475" s="602">
        <f t="shared" si="263"/>
        <v>0</v>
      </c>
      <c r="AA475" s="835"/>
      <c r="AB475" s="602">
        <f t="shared" si="264"/>
        <v>0</v>
      </c>
      <c r="AC475" s="940"/>
      <c r="AD475" s="956"/>
      <c r="AE475" s="956"/>
      <c r="AF475" s="598">
        <v>15.333333333333334</v>
      </c>
      <c r="AG475" s="596"/>
      <c r="AH475" s="728">
        <v>34</v>
      </c>
      <c r="AI475" s="728">
        <v>4</v>
      </c>
      <c r="AJ475" s="729">
        <f t="shared" si="254"/>
        <v>38</v>
      </c>
      <c r="AK475" s="946"/>
      <c r="AL475" s="616">
        <v>234</v>
      </c>
      <c r="AM475" s="602">
        <f t="shared" si="268"/>
        <v>15.6</v>
      </c>
      <c r="AN475" s="835"/>
      <c r="AO475" s="835">
        <f t="shared" si="255"/>
        <v>-0.26666666666666572</v>
      </c>
      <c r="AP475" s="940"/>
      <c r="AQ475" s="722">
        <v>0</v>
      </c>
      <c r="AR475" s="728"/>
      <c r="AS475" s="728"/>
      <c r="AT475" s="729">
        <f t="shared" si="247"/>
        <v>0</v>
      </c>
      <c r="AU475" s="946"/>
      <c r="AV475" s="616"/>
      <c r="AW475" s="602">
        <f t="shared" si="265"/>
        <v>0</v>
      </c>
      <c r="AX475" s="940"/>
      <c r="AY475" s="602">
        <f t="shared" si="266"/>
        <v>0</v>
      </c>
      <c r="AZ475" s="940"/>
      <c r="BA475" s="962"/>
      <c r="BB475" s="962"/>
      <c r="BC475" s="611"/>
      <c r="BD475" s="712">
        <v>15</v>
      </c>
      <c r="BE475" s="596">
        <v>15</v>
      </c>
      <c r="BF475" s="596">
        <f t="shared" si="270"/>
        <v>0</v>
      </c>
      <c r="BG475" s="728">
        <v>35</v>
      </c>
      <c r="BH475" s="728">
        <v>4</v>
      </c>
      <c r="BI475" s="729">
        <f t="shared" si="261"/>
        <v>39</v>
      </c>
      <c r="BJ475" s="729"/>
      <c r="BK475" s="616">
        <v>780</v>
      </c>
      <c r="BL475" s="603">
        <f t="shared" si="269"/>
        <v>15.6</v>
      </c>
      <c r="BM475" s="964"/>
      <c r="BN475" s="602">
        <f t="shared" si="256"/>
        <v>-0.59999999999999964</v>
      </c>
      <c r="BO475" s="940"/>
      <c r="BP475" s="593">
        <f t="shared" si="257"/>
        <v>0</v>
      </c>
      <c r="BS475" s="741">
        <v>0</v>
      </c>
      <c r="BT475" s="741">
        <v>0</v>
      </c>
      <c r="BU475" s="741">
        <f t="shared" si="248"/>
        <v>0</v>
      </c>
      <c r="BV475" s="741">
        <v>0</v>
      </c>
      <c r="BW475" s="741"/>
      <c r="BX475" s="741">
        <v>0</v>
      </c>
      <c r="BY475" s="741">
        <v>0</v>
      </c>
      <c r="BZ475" s="741">
        <f t="shared" si="262"/>
        <v>0</v>
      </c>
      <c r="CA475" s="741">
        <v>0</v>
      </c>
      <c r="CB475" s="741"/>
      <c r="CC475" s="741">
        <f t="shared" si="249"/>
        <v>0</v>
      </c>
      <c r="CD475" s="751"/>
      <c r="CE475" s="748"/>
      <c r="CF475" s="748"/>
      <c r="CG475" s="748">
        <f t="shared" si="250"/>
        <v>0</v>
      </c>
      <c r="CH475" s="759"/>
      <c r="CI475" s="742"/>
      <c r="CJ475" s="591">
        <f t="shared" si="258"/>
        <v>-0.86666666666666536</v>
      </c>
    </row>
    <row r="476" spans="1:88" ht="51.75" customHeight="1" x14ac:dyDescent="0.25">
      <c r="A476" s="596"/>
      <c r="B476" s="596" t="s">
        <v>754</v>
      </c>
      <c r="C476" s="597" t="s">
        <v>555</v>
      </c>
      <c r="D476" s="182" t="s">
        <v>431</v>
      </c>
      <c r="E476" s="598">
        <v>0</v>
      </c>
      <c r="F476" s="596">
        <v>0</v>
      </c>
      <c r="G476" s="598">
        <v>0</v>
      </c>
      <c r="H476" s="596"/>
      <c r="I476" s="596">
        <f t="shared" si="267"/>
        <v>0</v>
      </c>
      <c r="J476" s="728"/>
      <c r="K476" s="728"/>
      <c r="L476" s="731">
        <f t="shared" si="259"/>
        <v>0</v>
      </c>
      <c r="M476" s="947"/>
      <c r="N476" s="617"/>
      <c r="O476" s="602">
        <f t="shared" si="251"/>
        <v>0</v>
      </c>
      <c r="P476" s="940"/>
      <c r="Q476" s="600">
        <f t="shared" si="253"/>
        <v>0</v>
      </c>
      <c r="R476" s="940"/>
      <c r="S476" s="596">
        <v>0</v>
      </c>
      <c r="T476" s="724"/>
      <c r="U476" s="728"/>
      <c r="V476" s="728"/>
      <c r="W476" s="731">
        <f t="shared" si="260"/>
        <v>0</v>
      </c>
      <c r="X476" s="947"/>
      <c r="Y476" s="616"/>
      <c r="Z476" s="602">
        <f t="shared" si="263"/>
        <v>0</v>
      </c>
      <c r="AA476" s="835"/>
      <c r="AB476" s="602">
        <f t="shared" si="264"/>
        <v>0</v>
      </c>
      <c r="AC476" s="940"/>
      <c r="AD476" s="956"/>
      <c r="AE476" s="956"/>
      <c r="AF476" s="598">
        <v>17</v>
      </c>
      <c r="AG476" s="596"/>
      <c r="AH476" s="728">
        <v>18</v>
      </c>
      <c r="AI476" s="728">
        <v>18</v>
      </c>
      <c r="AJ476" s="729">
        <f t="shared" si="254"/>
        <v>36</v>
      </c>
      <c r="AK476" s="946"/>
      <c r="AL476" s="616">
        <v>255</v>
      </c>
      <c r="AM476" s="602">
        <f t="shared" si="268"/>
        <v>17</v>
      </c>
      <c r="AN476" s="835"/>
      <c r="AO476" s="835">
        <f t="shared" si="255"/>
        <v>0</v>
      </c>
      <c r="AP476" s="940"/>
      <c r="AQ476" s="722">
        <v>0</v>
      </c>
      <c r="AR476" s="728"/>
      <c r="AS476" s="728"/>
      <c r="AT476" s="729">
        <f t="shared" si="247"/>
        <v>0</v>
      </c>
      <c r="AU476" s="946"/>
      <c r="AV476" s="616"/>
      <c r="AW476" s="602">
        <f t="shared" si="265"/>
        <v>0</v>
      </c>
      <c r="AX476" s="940"/>
      <c r="AY476" s="602">
        <f t="shared" si="266"/>
        <v>0</v>
      </c>
      <c r="AZ476" s="940"/>
      <c r="BA476" s="962"/>
      <c r="BB476" s="962"/>
      <c r="BC476" s="611"/>
      <c r="BD476" s="712">
        <v>17</v>
      </c>
      <c r="BE476" s="596">
        <v>17</v>
      </c>
      <c r="BF476" s="596">
        <f t="shared" si="270"/>
        <v>0</v>
      </c>
      <c r="BG476" s="728">
        <v>18</v>
      </c>
      <c r="BH476" s="728">
        <v>18</v>
      </c>
      <c r="BI476" s="729">
        <f t="shared" si="261"/>
        <v>36</v>
      </c>
      <c r="BJ476" s="729"/>
      <c r="BK476" s="616">
        <v>850</v>
      </c>
      <c r="BL476" s="603">
        <f t="shared" si="269"/>
        <v>17</v>
      </c>
      <c r="BM476" s="964"/>
      <c r="BN476" s="602">
        <f t="shared" si="256"/>
        <v>0</v>
      </c>
      <c r="BO476" s="940"/>
      <c r="BP476" s="593">
        <f t="shared" si="257"/>
        <v>0</v>
      </c>
      <c r="BS476" s="741">
        <v>0</v>
      </c>
      <c r="BT476" s="741">
        <v>0</v>
      </c>
      <c r="BU476" s="741">
        <f t="shared" si="248"/>
        <v>0</v>
      </c>
      <c r="BV476" s="741">
        <v>0</v>
      </c>
      <c r="BW476" s="741"/>
      <c r="BX476" s="741">
        <v>0</v>
      </c>
      <c r="BY476" s="741">
        <v>0</v>
      </c>
      <c r="BZ476" s="741">
        <f t="shared" si="262"/>
        <v>0</v>
      </c>
      <c r="CA476" s="741">
        <v>0</v>
      </c>
      <c r="CB476" s="741"/>
      <c r="CC476" s="741">
        <f t="shared" si="249"/>
        <v>0</v>
      </c>
      <c r="CD476" s="751"/>
      <c r="CE476" s="748"/>
      <c r="CF476" s="748"/>
      <c r="CG476" s="748">
        <f t="shared" si="250"/>
        <v>0</v>
      </c>
      <c r="CH476" s="759"/>
      <c r="CI476" s="742"/>
      <c r="CJ476" s="591">
        <f t="shared" si="258"/>
        <v>0</v>
      </c>
    </row>
    <row r="477" spans="1:88" ht="33" customHeight="1" x14ac:dyDescent="0.25">
      <c r="A477" s="596"/>
      <c r="B477" s="596" t="s">
        <v>754</v>
      </c>
      <c r="C477" s="597" t="s">
        <v>556</v>
      </c>
      <c r="D477" s="182" t="s">
        <v>431</v>
      </c>
      <c r="E477" s="598">
        <v>0</v>
      </c>
      <c r="F477" s="596">
        <v>0</v>
      </c>
      <c r="G477" s="598">
        <v>0</v>
      </c>
      <c r="H477" s="596"/>
      <c r="I477" s="596">
        <f t="shared" si="267"/>
        <v>0</v>
      </c>
      <c r="J477" s="728"/>
      <c r="K477" s="728"/>
      <c r="L477" s="731">
        <f t="shared" si="259"/>
        <v>0</v>
      </c>
      <c r="M477" s="947"/>
      <c r="N477" s="617"/>
      <c r="O477" s="602">
        <f t="shared" si="251"/>
        <v>0</v>
      </c>
      <c r="P477" s="940"/>
      <c r="Q477" s="600">
        <f t="shared" si="253"/>
        <v>0</v>
      </c>
      <c r="R477" s="940"/>
      <c r="S477" s="596">
        <v>0</v>
      </c>
      <c r="T477" s="724"/>
      <c r="U477" s="728"/>
      <c r="V477" s="728"/>
      <c r="W477" s="731">
        <f t="shared" si="260"/>
        <v>0</v>
      </c>
      <c r="X477" s="947"/>
      <c r="Y477" s="616"/>
      <c r="Z477" s="602">
        <f t="shared" si="263"/>
        <v>0</v>
      </c>
      <c r="AA477" s="835"/>
      <c r="AB477" s="602">
        <f t="shared" si="264"/>
        <v>0</v>
      </c>
      <c r="AC477" s="940"/>
      <c r="AD477" s="956"/>
      <c r="AE477" s="956"/>
      <c r="AF477" s="598">
        <v>7.333333333333333</v>
      </c>
      <c r="AG477" s="596"/>
      <c r="AH477" s="728">
        <v>13</v>
      </c>
      <c r="AI477" s="728">
        <v>1</v>
      </c>
      <c r="AJ477" s="729">
        <f t="shared" si="254"/>
        <v>14</v>
      </c>
      <c r="AK477" s="946"/>
      <c r="AL477" s="616">
        <v>112.5</v>
      </c>
      <c r="AM477" s="602">
        <f t="shared" si="268"/>
        <v>7.5</v>
      </c>
      <c r="AN477" s="835"/>
      <c r="AO477" s="835">
        <f t="shared" si="255"/>
        <v>-0.16666666666666696</v>
      </c>
      <c r="AP477" s="940"/>
      <c r="AQ477" s="722">
        <v>0</v>
      </c>
      <c r="AR477" s="728"/>
      <c r="AS477" s="728"/>
      <c r="AT477" s="729">
        <f t="shared" si="247"/>
        <v>0</v>
      </c>
      <c r="AU477" s="946"/>
      <c r="AV477" s="616"/>
      <c r="AW477" s="602">
        <f t="shared" si="265"/>
        <v>0</v>
      </c>
      <c r="AX477" s="940"/>
      <c r="AY477" s="602">
        <f t="shared" si="266"/>
        <v>0</v>
      </c>
      <c r="AZ477" s="940"/>
      <c r="BA477" s="962"/>
      <c r="BB477" s="962"/>
      <c r="BC477" s="611"/>
      <c r="BD477" s="712">
        <v>7</v>
      </c>
      <c r="BE477" s="596">
        <v>7</v>
      </c>
      <c r="BF477" s="596">
        <f t="shared" si="270"/>
        <v>0</v>
      </c>
      <c r="BG477" s="728">
        <v>13</v>
      </c>
      <c r="BH477" s="728">
        <v>1</v>
      </c>
      <c r="BI477" s="729">
        <f t="shared" si="261"/>
        <v>14</v>
      </c>
      <c r="BJ477" s="729"/>
      <c r="BK477" s="616">
        <v>375</v>
      </c>
      <c r="BL477" s="603">
        <f t="shared" si="269"/>
        <v>7.5</v>
      </c>
      <c r="BM477" s="964"/>
      <c r="BN477" s="602">
        <f t="shared" si="256"/>
        <v>-0.5</v>
      </c>
      <c r="BO477" s="940"/>
      <c r="BP477" s="593">
        <f t="shared" si="257"/>
        <v>0</v>
      </c>
      <c r="BS477" s="741">
        <v>0</v>
      </c>
      <c r="BT477" s="741">
        <v>0</v>
      </c>
      <c r="BU477" s="741">
        <f t="shared" si="248"/>
        <v>0</v>
      </c>
      <c r="BV477" s="741">
        <v>0</v>
      </c>
      <c r="BW477" s="741"/>
      <c r="BX477" s="741">
        <v>0</v>
      </c>
      <c r="BY477" s="741">
        <v>0</v>
      </c>
      <c r="BZ477" s="741">
        <f t="shared" si="262"/>
        <v>0</v>
      </c>
      <c r="CA477" s="741">
        <v>0</v>
      </c>
      <c r="CB477" s="741"/>
      <c r="CC477" s="741">
        <f t="shared" si="249"/>
        <v>0</v>
      </c>
      <c r="CD477" s="751"/>
      <c r="CE477" s="748"/>
      <c r="CF477" s="748"/>
      <c r="CG477" s="748">
        <f t="shared" si="250"/>
        <v>0</v>
      </c>
      <c r="CH477" s="759"/>
      <c r="CI477" s="742"/>
      <c r="CJ477" s="591">
        <f t="shared" si="258"/>
        <v>-0.66666666666666696</v>
      </c>
    </row>
    <row r="478" spans="1:88" ht="36.75" customHeight="1" x14ac:dyDescent="0.25">
      <c r="A478" s="596"/>
      <c r="B478" s="596" t="s">
        <v>754</v>
      </c>
      <c r="C478" s="597" t="s">
        <v>557</v>
      </c>
      <c r="D478" s="182" t="s">
        <v>431</v>
      </c>
      <c r="E478" s="598">
        <v>0</v>
      </c>
      <c r="F478" s="596">
        <v>0</v>
      </c>
      <c r="G478" s="598">
        <v>0</v>
      </c>
      <c r="H478" s="596"/>
      <c r="I478" s="596">
        <f t="shared" si="267"/>
        <v>0</v>
      </c>
      <c r="J478" s="728"/>
      <c r="K478" s="728"/>
      <c r="L478" s="731">
        <f t="shared" si="259"/>
        <v>0</v>
      </c>
      <c r="M478" s="947"/>
      <c r="N478" s="617"/>
      <c r="O478" s="602">
        <f t="shared" si="251"/>
        <v>0</v>
      </c>
      <c r="P478" s="940"/>
      <c r="Q478" s="600">
        <f t="shared" si="253"/>
        <v>0</v>
      </c>
      <c r="R478" s="940"/>
      <c r="S478" s="596">
        <v>0</v>
      </c>
      <c r="T478" s="724"/>
      <c r="U478" s="728"/>
      <c r="V478" s="728"/>
      <c r="W478" s="731">
        <f t="shared" si="260"/>
        <v>0</v>
      </c>
      <c r="X478" s="947"/>
      <c r="Y478" s="616"/>
      <c r="Z478" s="602">
        <f t="shared" si="263"/>
        <v>0</v>
      </c>
      <c r="AA478" s="835"/>
      <c r="AB478" s="602">
        <f t="shared" si="264"/>
        <v>0</v>
      </c>
      <c r="AC478" s="940"/>
      <c r="AD478" s="956"/>
      <c r="AE478" s="956"/>
      <c r="AF478" s="598">
        <v>61</v>
      </c>
      <c r="AG478" s="596"/>
      <c r="AH478" s="728">
        <v>32</v>
      </c>
      <c r="AI478" s="728">
        <v>49</v>
      </c>
      <c r="AJ478" s="729">
        <f t="shared" si="254"/>
        <v>81</v>
      </c>
      <c r="AK478" s="946"/>
      <c r="AL478" s="616">
        <v>915</v>
      </c>
      <c r="AM478" s="602">
        <f t="shared" si="268"/>
        <v>61</v>
      </c>
      <c r="AN478" s="835"/>
      <c r="AO478" s="835">
        <f t="shared" si="255"/>
        <v>0</v>
      </c>
      <c r="AP478" s="940"/>
      <c r="AQ478" s="722">
        <v>0</v>
      </c>
      <c r="AR478" s="728"/>
      <c r="AS478" s="728"/>
      <c r="AT478" s="729">
        <f t="shared" si="247"/>
        <v>0</v>
      </c>
      <c r="AU478" s="946"/>
      <c r="AV478" s="616"/>
      <c r="AW478" s="602">
        <f t="shared" si="265"/>
        <v>0</v>
      </c>
      <c r="AX478" s="940"/>
      <c r="AY478" s="602">
        <f t="shared" si="266"/>
        <v>0</v>
      </c>
      <c r="AZ478" s="940"/>
      <c r="BA478" s="962"/>
      <c r="BB478" s="962"/>
      <c r="BC478" s="611"/>
      <c r="BD478" s="712">
        <v>61</v>
      </c>
      <c r="BE478" s="596">
        <v>61</v>
      </c>
      <c r="BF478" s="596">
        <f t="shared" si="270"/>
        <v>0</v>
      </c>
      <c r="BG478" s="728">
        <v>32</v>
      </c>
      <c r="BH478" s="728">
        <v>49</v>
      </c>
      <c r="BI478" s="729">
        <f t="shared" si="261"/>
        <v>81</v>
      </c>
      <c r="BJ478" s="729"/>
      <c r="BK478" s="616">
        <v>3050</v>
      </c>
      <c r="BL478" s="603">
        <f t="shared" si="269"/>
        <v>61</v>
      </c>
      <c r="BM478" s="964"/>
      <c r="BN478" s="602">
        <f t="shared" si="256"/>
        <v>0</v>
      </c>
      <c r="BO478" s="940"/>
      <c r="BP478" s="593">
        <f t="shared" si="257"/>
        <v>0</v>
      </c>
      <c r="BS478" s="741">
        <v>0</v>
      </c>
      <c r="BT478" s="741">
        <v>0</v>
      </c>
      <c r="BU478" s="741">
        <f t="shared" si="248"/>
        <v>0</v>
      </c>
      <c r="BV478" s="741">
        <v>0</v>
      </c>
      <c r="BW478" s="741"/>
      <c r="BX478" s="741">
        <v>0</v>
      </c>
      <c r="BY478" s="741">
        <v>0</v>
      </c>
      <c r="BZ478" s="741">
        <f t="shared" si="262"/>
        <v>0</v>
      </c>
      <c r="CA478" s="741">
        <v>0</v>
      </c>
      <c r="CB478" s="741"/>
      <c r="CC478" s="741">
        <f t="shared" si="249"/>
        <v>0</v>
      </c>
      <c r="CD478" s="751"/>
      <c r="CE478" s="748"/>
      <c r="CF478" s="748"/>
      <c r="CG478" s="748">
        <f t="shared" si="250"/>
        <v>0</v>
      </c>
      <c r="CH478" s="759"/>
      <c r="CI478" s="742"/>
      <c r="CJ478" s="591">
        <f t="shared" si="258"/>
        <v>0</v>
      </c>
    </row>
    <row r="479" spans="1:88" ht="36" customHeight="1" x14ac:dyDescent="0.25">
      <c r="A479" s="596"/>
      <c r="B479" s="596" t="s">
        <v>754</v>
      </c>
      <c r="C479" s="597" t="s">
        <v>733</v>
      </c>
      <c r="D479" s="182" t="s">
        <v>431</v>
      </c>
      <c r="E479" s="598"/>
      <c r="F479" s="596"/>
      <c r="G479" s="598"/>
      <c r="H479" s="596"/>
      <c r="I479" s="596"/>
      <c r="J479" s="728"/>
      <c r="K479" s="728"/>
      <c r="L479" s="731">
        <f t="shared" si="259"/>
        <v>0</v>
      </c>
      <c r="M479" s="947"/>
      <c r="N479" s="617"/>
      <c r="O479" s="602"/>
      <c r="P479" s="940"/>
      <c r="Q479" s="600">
        <f t="shared" si="253"/>
        <v>0</v>
      </c>
      <c r="R479" s="940"/>
      <c r="S479" s="596">
        <v>0</v>
      </c>
      <c r="T479" s="724"/>
      <c r="U479" s="728"/>
      <c r="V479" s="728"/>
      <c r="W479" s="731">
        <f t="shared" si="260"/>
        <v>0</v>
      </c>
      <c r="X479" s="947"/>
      <c r="Y479" s="616"/>
      <c r="Z479" s="602">
        <f t="shared" si="263"/>
        <v>0</v>
      </c>
      <c r="AA479" s="835"/>
      <c r="AB479" s="602">
        <f t="shared" si="264"/>
        <v>0</v>
      </c>
      <c r="AC479" s="940"/>
      <c r="AD479" s="956"/>
      <c r="AE479" s="956"/>
      <c r="AF479" s="598"/>
      <c r="AG479" s="596"/>
      <c r="AH479" s="728"/>
      <c r="AI479" s="728"/>
      <c r="AJ479" s="729">
        <f t="shared" si="254"/>
        <v>0</v>
      </c>
      <c r="AK479" s="946"/>
      <c r="AL479" s="616"/>
      <c r="AM479" s="602"/>
      <c r="AN479" s="835"/>
      <c r="AO479" s="835"/>
      <c r="AP479" s="940"/>
      <c r="AQ479" s="722">
        <v>0</v>
      </c>
      <c r="AR479" s="728"/>
      <c r="AS479" s="728"/>
      <c r="AT479" s="729">
        <f t="shared" si="247"/>
        <v>0</v>
      </c>
      <c r="AU479" s="946"/>
      <c r="AV479" s="616"/>
      <c r="AW479" s="602">
        <f t="shared" si="265"/>
        <v>0</v>
      </c>
      <c r="AX479" s="940"/>
      <c r="AY479" s="602">
        <f t="shared" si="266"/>
        <v>0</v>
      </c>
      <c r="AZ479" s="940"/>
      <c r="BA479" s="962"/>
      <c r="BB479" s="962"/>
      <c r="BC479" s="611"/>
      <c r="BD479" s="712"/>
      <c r="BE479" s="596"/>
      <c r="BF479" s="596"/>
      <c r="BG479" s="728"/>
      <c r="BH479" s="728"/>
      <c r="BI479" s="729">
        <f t="shared" si="261"/>
        <v>0</v>
      </c>
      <c r="BJ479" s="729"/>
      <c r="BK479" s="616"/>
      <c r="BL479" s="603"/>
      <c r="BM479" s="964"/>
      <c r="BN479" s="602"/>
      <c r="BO479" s="940"/>
      <c r="BP479" s="593">
        <f t="shared" si="257"/>
        <v>0</v>
      </c>
      <c r="BS479" s="741">
        <v>0</v>
      </c>
      <c r="BT479" s="741">
        <v>0</v>
      </c>
      <c r="BU479" s="741">
        <f t="shared" si="248"/>
        <v>0</v>
      </c>
      <c r="BV479" s="741">
        <v>0</v>
      </c>
      <c r="BW479" s="741"/>
      <c r="BX479" s="741">
        <v>0</v>
      </c>
      <c r="BY479" s="741">
        <v>0</v>
      </c>
      <c r="BZ479" s="741">
        <f t="shared" si="262"/>
        <v>0</v>
      </c>
      <c r="CA479" s="741">
        <v>0</v>
      </c>
      <c r="CB479" s="741"/>
      <c r="CC479" s="741">
        <f t="shared" si="249"/>
        <v>0</v>
      </c>
      <c r="CD479" s="751"/>
      <c r="CE479" s="748"/>
      <c r="CF479" s="748"/>
      <c r="CG479" s="748">
        <f t="shared" si="250"/>
        <v>0</v>
      </c>
      <c r="CH479" s="759"/>
      <c r="CI479" s="742"/>
      <c r="CJ479" s="591">
        <f t="shared" si="258"/>
        <v>0</v>
      </c>
    </row>
    <row r="480" spans="1:88" ht="49.5" customHeight="1" x14ac:dyDescent="0.25">
      <c r="A480" s="596"/>
      <c r="B480" s="596" t="s">
        <v>754</v>
      </c>
      <c r="C480" s="597" t="s">
        <v>731</v>
      </c>
      <c r="D480" s="182" t="s">
        <v>431</v>
      </c>
      <c r="E480" s="598"/>
      <c r="F480" s="596"/>
      <c r="G480" s="598"/>
      <c r="H480" s="596"/>
      <c r="I480" s="596"/>
      <c r="J480" s="728"/>
      <c r="K480" s="728"/>
      <c r="L480" s="731">
        <f t="shared" si="259"/>
        <v>0</v>
      </c>
      <c r="M480" s="947"/>
      <c r="N480" s="617"/>
      <c r="O480" s="602"/>
      <c r="P480" s="940"/>
      <c r="Q480" s="600">
        <f t="shared" si="253"/>
        <v>0</v>
      </c>
      <c r="R480" s="940"/>
      <c r="S480" s="596">
        <v>0</v>
      </c>
      <c r="T480" s="724"/>
      <c r="U480" s="728"/>
      <c r="V480" s="728"/>
      <c r="W480" s="731">
        <f t="shared" si="260"/>
        <v>0</v>
      </c>
      <c r="X480" s="947"/>
      <c r="Y480" s="616"/>
      <c r="Z480" s="602">
        <f t="shared" si="263"/>
        <v>0</v>
      </c>
      <c r="AA480" s="835"/>
      <c r="AB480" s="602">
        <f t="shared" si="264"/>
        <v>0</v>
      </c>
      <c r="AC480" s="940"/>
      <c r="AD480" s="956"/>
      <c r="AE480" s="956"/>
      <c r="AF480" s="598"/>
      <c r="AG480" s="596"/>
      <c r="AH480" s="728"/>
      <c r="AI480" s="728"/>
      <c r="AJ480" s="729">
        <f t="shared" si="254"/>
        <v>0</v>
      </c>
      <c r="AK480" s="946"/>
      <c r="AL480" s="616"/>
      <c r="AM480" s="602"/>
      <c r="AN480" s="835"/>
      <c r="AO480" s="835"/>
      <c r="AP480" s="940"/>
      <c r="AQ480" s="722">
        <v>0</v>
      </c>
      <c r="AR480" s="728"/>
      <c r="AS480" s="728"/>
      <c r="AT480" s="729">
        <f t="shared" si="247"/>
        <v>0</v>
      </c>
      <c r="AU480" s="946"/>
      <c r="AV480" s="616"/>
      <c r="AW480" s="602">
        <f t="shared" si="265"/>
        <v>0</v>
      </c>
      <c r="AX480" s="940"/>
      <c r="AY480" s="602">
        <f t="shared" si="266"/>
        <v>0</v>
      </c>
      <c r="AZ480" s="940"/>
      <c r="BA480" s="962"/>
      <c r="BB480" s="962"/>
      <c r="BC480" s="611"/>
      <c r="BD480" s="712"/>
      <c r="BE480" s="596"/>
      <c r="BF480" s="596"/>
      <c r="BG480" s="728"/>
      <c r="BH480" s="728"/>
      <c r="BI480" s="729">
        <f t="shared" si="261"/>
        <v>0</v>
      </c>
      <c r="BJ480" s="729"/>
      <c r="BK480" s="616"/>
      <c r="BL480" s="603"/>
      <c r="BM480" s="964"/>
      <c r="BN480" s="602"/>
      <c r="BO480" s="940"/>
      <c r="BP480" s="593">
        <f t="shared" si="257"/>
        <v>0</v>
      </c>
      <c r="BS480" s="741">
        <v>0</v>
      </c>
      <c r="BT480" s="741">
        <v>0</v>
      </c>
      <c r="BU480" s="741">
        <f t="shared" si="248"/>
        <v>0</v>
      </c>
      <c r="BV480" s="741">
        <v>0</v>
      </c>
      <c r="BW480" s="741"/>
      <c r="BX480" s="741">
        <v>0</v>
      </c>
      <c r="BY480" s="741">
        <v>0</v>
      </c>
      <c r="BZ480" s="741">
        <f t="shared" si="262"/>
        <v>0</v>
      </c>
      <c r="CA480" s="741">
        <v>0</v>
      </c>
      <c r="CB480" s="741"/>
      <c r="CC480" s="741">
        <f t="shared" si="249"/>
        <v>0</v>
      </c>
      <c r="CD480" s="751"/>
      <c r="CE480" s="748"/>
      <c r="CF480" s="748"/>
      <c r="CG480" s="748">
        <f t="shared" si="250"/>
        <v>0</v>
      </c>
      <c r="CH480" s="759"/>
      <c r="CI480" s="742"/>
      <c r="CJ480" s="591">
        <f t="shared" si="258"/>
        <v>0</v>
      </c>
    </row>
    <row r="481" spans="1:88" ht="21.6" customHeight="1" x14ac:dyDescent="0.25">
      <c r="A481" s="596"/>
      <c r="B481" s="596" t="s">
        <v>754</v>
      </c>
      <c r="C481" s="597" t="s">
        <v>877</v>
      </c>
      <c r="D481" s="182" t="s">
        <v>431</v>
      </c>
      <c r="E481" s="598">
        <v>32.666666666666664</v>
      </c>
      <c r="F481" s="596">
        <v>0</v>
      </c>
      <c r="G481" s="598">
        <v>32.666666666666664</v>
      </c>
      <c r="H481" s="596"/>
      <c r="I481" s="596">
        <f t="shared" si="267"/>
        <v>0</v>
      </c>
      <c r="J481" s="728">
        <f>35</f>
        <v>35</v>
      </c>
      <c r="K481" s="728">
        <f>8</f>
        <v>8</v>
      </c>
      <c r="L481" s="731">
        <f t="shared" si="259"/>
        <v>43</v>
      </c>
      <c r="M481" s="947"/>
      <c r="N481" s="617">
        <v>489.99999999999994</v>
      </c>
      <c r="O481" s="602">
        <f t="shared" si="251"/>
        <v>32.666666666666664</v>
      </c>
      <c r="P481" s="940"/>
      <c r="Q481" s="600">
        <f t="shared" si="253"/>
        <v>0</v>
      </c>
      <c r="R481" s="940"/>
      <c r="S481" s="596">
        <v>0</v>
      </c>
      <c r="T481" s="724"/>
      <c r="U481" s="728"/>
      <c r="V481" s="728"/>
      <c r="W481" s="731">
        <f t="shared" si="260"/>
        <v>0</v>
      </c>
      <c r="X481" s="947"/>
      <c r="Y481" s="616"/>
      <c r="Z481" s="602">
        <f t="shared" si="263"/>
        <v>0</v>
      </c>
      <c r="AA481" s="835"/>
      <c r="AB481" s="602">
        <f t="shared" si="264"/>
        <v>0</v>
      </c>
      <c r="AC481" s="940"/>
      <c r="AD481" s="956"/>
      <c r="AE481" s="956"/>
      <c r="AF481" s="598">
        <v>0</v>
      </c>
      <c r="AG481" s="596"/>
      <c r="AH481" s="728"/>
      <c r="AI481" s="728"/>
      <c r="AJ481" s="729">
        <f t="shared" si="254"/>
        <v>0</v>
      </c>
      <c r="AK481" s="946"/>
      <c r="AL481" s="616"/>
      <c r="AM481" s="602">
        <f t="shared" si="268"/>
        <v>0</v>
      </c>
      <c r="AN481" s="835"/>
      <c r="AO481" s="835">
        <f t="shared" ref="AO481:AO490" si="271">AF481-AM481</f>
        <v>0</v>
      </c>
      <c r="AP481" s="940"/>
      <c r="AQ481" s="722">
        <v>0</v>
      </c>
      <c r="AR481" s="728"/>
      <c r="AS481" s="728"/>
      <c r="AT481" s="729">
        <f t="shared" si="247"/>
        <v>0</v>
      </c>
      <c r="AU481" s="946"/>
      <c r="AV481" s="616"/>
      <c r="AW481" s="602">
        <f t="shared" si="265"/>
        <v>0</v>
      </c>
      <c r="AX481" s="940"/>
      <c r="AY481" s="602">
        <f t="shared" si="266"/>
        <v>0</v>
      </c>
      <c r="AZ481" s="940"/>
      <c r="BA481" s="962"/>
      <c r="BB481" s="962"/>
      <c r="BC481" s="611"/>
      <c r="BD481" s="712">
        <v>32</v>
      </c>
      <c r="BE481" s="596">
        <v>32</v>
      </c>
      <c r="BF481" s="596">
        <f t="shared" si="270"/>
        <v>0</v>
      </c>
      <c r="BG481" s="728">
        <v>35</v>
      </c>
      <c r="BH481" s="728">
        <v>7</v>
      </c>
      <c r="BI481" s="729">
        <f t="shared" si="261"/>
        <v>42</v>
      </c>
      <c r="BJ481" s="729"/>
      <c r="BK481" s="616">
        <v>1600</v>
      </c>
      <c r="BL481" s="603">
        <f t="shared" si="269"/>
        <v>32</v>
      </c>
      <c r="BM481" s="964"/>
      <c r="BN481" s="602">
        <f t="shared" ref="BN481:BN490" si="272">BD481-BL481</f>
        <v>0</v>
      </c>
      <c r="BO481" s="940"/>
      <c r="BP481" s="593">
        <f t="shared" si="257"/>
        <v>0</v>
      </c>
      <c r="BS481" s="741">
        <v>0</v>
      </c>
      <c r="BT481" s="741">
        <v>0</v>
      </c>
      <c r="BU481" s="741">
        <f t="shared" si="248"/>
        <v>0</v>
      </c>
      <c r="BV481" s="741">
        <v>0</v>
      </c>
      <c r="BW481" s="741"/>
      <c r="BX481" s="741">
        <v>0</v>
      </c>
      <c r="BY481" s="741">
        <v>0</v>
      </c>
      <c r="BZ481" s="741">
        <f t="shared" si="262"/>
        <v>0</v>
      </c>
      <c r="CA481" s="741">
        <v>0</v>
      </c>
      <c r="CB481" s="741"/>
      <c r="CC481" s="741">
        <f t="shared" si="249"/>
        <v>0</v>
      </c>
      <c r="CD481" s="751"/>
      <c r="CE481" s="748"/>
      <c r="CF481" s="748"/>
      <c r="CG481" s="748">
        <f t="shared" si="250"/>
        <v>0</v>
      </c>
      <c r="CH481" s="759"/>
      <c r="CI481" s="742"/>
      <c r="CJ481" s="591">
        <f t="shared" si="258"/>
        <v>0</v>
      </c>
    </row>
    <row r="482" spans="1:88" ht="21.75" customHeight="1" x14ac:dyDescent="0.25">
      <c r="A482" s="596"/>
      <c r="B482" s="596" t="s">
        <v>754</v>
      </c>
      <c r="C482" s="597" t="s">
        <v>558</v>
      </c>
      <c r="D482" s="182" t="s">
        <v>431</v>
      </c>
      <c r="E482" s="598">
        <v>0</v>
      </c>
      <c r="F482" s="596">
        <v>0</v>
      </c>
      <c r="G482" s="598">
        <v>0</v>
      </c>
      <c r="H482" s="596"/>
      <c r="I482" s="596">
        <f t="shared" si="267"/>
        <v>0</v>
      </c>
      <c r="J482" s="728"/>
      <c r="K482" s="728"/>
      <c r="L482" s="731">
        <f t="shared" si="259"/>
        <v>0</v>
      </c>
      <c r="M482" s="947"/>
      <c r="N482" s="617"/>
      <c r="O482" s="602">
        <f t="shared" si="251"/>
        <v>0</v>
      </c>
      <c r="P482" s="940"/>
      <c r="Q482" s="600">
        <f t="shared" si="253"/>
        <v>0</v>
      </c>
      <c r="R482" s="940"/>
      <c r="S482" s="596">
        <v>0</v>
      </c>
      <c r="T482" s="724"/>
      <c r="U482" s="728"/>
      <c r="V482" s="728"/>
      <c r="W482" s="731">
        <f t="shared" si="260"/>
        <v>0</v>
      </c>
      <c r="X482" s="947"/>
      <c r="Y482" s="616"/>
      <c r="Z482" s="602">
        <f t="shared" si="263"/>
        <v>0</v>
      </c>
      <c r="AA482" s="835"/>
      <c r="AB482" s="602">
        <f t="shared" si="264"/>
        <v>0</v>
      </c>
      <c r="AC482" s="940"/>
      <c r="AD482" s="956"/>
      <c r="AE482" s="956"/>
      <c r="AF482" s="598">
        <v>14.666666666666666</v>
      </c>
      <c r="AG482" s="596"/>
      <c r="AH482" s="728">
        <v>13</v>
      </c>
      <c r="AI482" s="728">
        <v>11</v>
      </c>
      <c r="AJ482" s="729">
        <f t="shared" si="254"/>
        <v>24</v>
      </c>
      <c r="AK482" s="946"/>
      <c r="AL482" s="616">
        <v>223.5</v>
      </c>
      <c r="AM482" s="602">
        <f t="shared" si="268"/>
        <v>14.9</v>
      </c>
      <c r="AN482" s="835"/>
      <c r="AO482" s="835">
        <f t="shared" si="271"/>
        <v>-0.23333333333333428</v>
      </c>
      <c r="AP482" s="940"/>
      <c r="AQ482" s="722">
        <v>0</v>
      </c>
      <c r="AR482" s="728"/>
      <c r="AS482" s="728"/>
      <c r="AT482" s="729">
        <f t="shared" si="247"/>
        <v>0</v>
      </c>
      <c r="AU482" s="946"/>
      <c r="AV482" s="616"/>
      <c r="AW482" s="602">
        <f t="shared" si="265"/>
        <v>0</v>
      </c>
      <c r="AX482" s="940"/>
      <c r="AY482" s="602">
        <f t="shared" si="266"/>
        <v>0</v>
      </c>
      <c r="AZ482" s="940"/>
      <c r="BA482" s="962"/>
      <c r="BB482" s="962"/>
      <c r="BC482" s="611"/>
      <c r="BD482" s="712">
        <v>15</v>
      </c>
      <c r="BE482" s="596">
        <v>15</v>
      </c>
      <c r="BF482" s="596">
        <f t="shared" si="270"/>
        <v>0</v>
      </c>
      <c r="BG482" s="728">
        <v>13</v>
      </c>
      <c r="BH482" s="728">
        <v>11</v>
      </c>
      <c r="BI482" s="729">
        <f t="shared" si="261"/>
        <v>24</v>
      </c>
      <c r="BJ482" s="729"/>
      <c r="BK482" s="616">
        <v>745</v>
      </c>
      <c r="BL482" s="603">
        <f t="shared" si="269"/>
        <v>14.9</v>
      </c>
      <c r="BM482" s="964"/>
      <c r="BN482" s="602">
        <f t="shared" si="272"/>
        <v>9.9999999999999645E-2</v>
      </c>
      <c r="BO482" s="940"/>
      <c r="BP482" s="593">
        <f t="shared" si="257"/>
        <v>0</v>
      </c>
      <c r="BS482" s="741">
        <v>0</v>
      </c>
      <c r="BT482" s="741">
        <v>0</v>
      </c>
      <c r="BU482" s="741">
        <f t="shared" si="248"/>
        <v>0</v>
      </c>
      <c r="BV482" s="741">
        <v>0</v>
      </c>
      <c r="BW482" s="741"/>
      <c r="BX482" s="741">
        <v>0</v>
      </c>
      <c r="BY482" s="741">
        <v>0</v>
      </c>
      <c r="BZ482" s="741">
        <f t="shared" si="262"/>
        <v>0</v>
      </c>
      <c r="CA482" s="741">
        <v>0</v>
      </c>
      <c r="CB482" s="741"/>
      <c r="CC482" s="741">
        <f t="shared" si="249"/>
        <v>0</v>
      </c>
      <c r="CD482" s="751"/>
      <c r="CE482" s="748"/>
      <c r="CF482" s="748"/>
      <c r="CG482" s="748">
        <f t="shared" si="250"/>
        <v>0</v>
      </c>
      <c r="CH482" s="759"/>
      <c r="CI482" s="742"/>
      <c r="CJ482" s="591">
        <f t="shared" si="258"/>
        <v>-0.13333333333333464</v>
      </c>
    </row>
    <row r="483" spans="1:88" ht="32.25" customHeight="1" x14ac:dyDescent="0.25">
      <c r="A483" s="596"/>
      <c r="B483" s="596" t="s">
        <v>754</v>
      </c>
      <c r="C483" s="597" t="s">
        <v>579</v>
      </c>
      <c r="D483" s="260" t="s">
        <v>431</v>
      </c>
      <c r="E483" s="598">
        <v>11</v>
      </c>
      <c r="F483" s="596">
        <v>0</v>
      </c>
      <c r="G483" s="598">
        <v>0</v>
      </c>
      <c r="H483" s="596"/>
      <c r="I483" s="596">
        <f t="shared" si="267"/>
        <v>0</v>
      </c>
      <c r="J483" s="728">
        <v>13</v>
      </c>
      <c r="K483" s="728">
        <v>1</v>
      </c>
      <c r="L483" s="731">
        <f t="shared" si="259"/>
        <v>14</v>
      </c>
      <c r="M483" s="947"/>
      <c r="N483" s="617">
        <v>165</v>
      </c>
      <c r="O483" s="602">
        <f t="shared" si="251"/>
        <v>11</v>
      </c>
      <c r="P483" s="940"/>
      <c r="Q483" s="600">
        <f t="shared" ref="Q483:Q511" si="273">E483-O483</f>
        <v>0</v>
      </c>
      <c r="R483" s="940"/>
      <c r="S483" s="596">
        <v>0</v>
      </c>
      <c r="T483" s="724"/>
      <c r="U483" s="728"/>
      <c r="V483" s="728"/>
      <c r="W483" s="731">
        <f t="shared" si="260"/>
        <v>0</v>
      </c>
      <c r="X483" s="947"/>
      <c r="Y483" s="616"/>
      <c r="Z483" s="602">
        <f t="shared" si="263"/>
        <v>0</v>
      </c>
      <c r="AA483" s="835"/>
      <c r="AB483" s="602">
        <f t="shared" si="264"/>
        <v>0</v>
      </c>
      <c r="AC483" s="940"/>
      <c r="AD483" s="956"/>
      <c r="AE483" s="956"/>
      <c r="AF483" s="598">
        <v>0</v>
      </c>
      <c r="AG483" s="596"/>
      <c r="AH483" s="728"/>
      <c r="AI483" s="728"/>
      <c r="AJ483" s="729">
        <f t="shared" ref="AJ483:AJ512" si="274">AH483+AI483</f>
        <v>0</v>
      </c>
      <c r="AK483" s="946"/>
      <c r="AL483" s="616"/>
      <c r="AM483" s="602">
        <f t="shared" si="268"/>
        <v>0</v>
      </c>
      <c r="AN483" s="835"/>
      <c r="AO483" s="835">
        <f t="shared" si="271"/>
        <v>0</v>
      </c>
      <c r="AP483" s="940"/>
      <c r="AQ483" s="722">
        <v>0</v>
      </c>
      <c r="AR483" s="728"/>
      <c r="AS483" s="728"/>
      <c r="AT483" s="729">
        <f t="shared" si="247"/>
        <v>0</v>
      </c>
      <c r="AU483" s="946"/>
      <c r="AV483" s="616"/>
      <c r="AW483" s="602">
        <f t="shared" si="265"/>
        <v>0</v>
      </c>
      <c r="AX483" s="940"/>
      <c r="AY483" s="602">
        <f t="shared" si="266"/>
        <v>0</v>
      </c>
      <c r="AZ483" s="940"/>
      <c r="BA483" s="962"/>
      <c r="BB483" s="962"/>
      <c r="BC483" s="598"/>
      <c r="BD483" s="665">
        <v>11</v>
      </c>
      <c r="BE483" s="596">
        <v>0</v>
      </c>
      <c r="BF483" s="596">
        <f t="shared" si="270"/>
        <v>11</v>
      </c>
      <c r="BG483" s="728">
        <v>13</v>
      </c>
      <c r="BH483" s="728">
        <v>1</v>
      </c>
      <c r="BI483" s="729">
        <f t="shared" si="261"/>
        <v>14</v>
      </c>
      <c r="BJ483" s="729"/>
      <c r="BK483" s="616">
        <v>550</v>
      </c>
      <c r="BL483" s="603">
        <f t="shared" si="269"/>
        <v>11</v>
      </c>
      <c r="BM483" s="964"/>
      <c r="BN483" s="602">
        <f t="shared" si="272"/>
        <v>0</v>
      </c>
      <c r="BO483" s="940"/>
      <c r="BP483" s="593">
        <f t="shared" si="257"/>
        <v>0</v>
      </c>
      <c r="BS483" s="741">
        <v>0</v>
      </c>
      <c r="BT483" s="741">
        <v>0</v>
      </c>
      <c r="BU483" s="741">
        <f t="shared" si="248"/>
        <v>0</v>
      </c>
      <c r="BV483" s="741">
        <v>0</v>
      </c>
      <c r="BW483" s="741"/>
      <c r="BX483" s="741">
        <v>0</v>
      </c>
      <c r="BY483" s="741">
        <v>0</v>
      </c>
      <c r="BZ483" s="741">
        <f t="shared" si="262"/>
        <v>0</v>
      </c>
      <c r="CA483" s="741">
        <v>0</v>
      </c>
      <c r="CB483" s="741"/>
      <c r="CC483" s="741">
        <f t="shared" si="249"/>
        <v>0</v>
      </c>
      <c r="CD483" s="751"/>
      <c r="CE483" s="748"/>
      <c r="CF483" s="748"/>
      <c r="CG483" s="748">
        <f t="shared" si="250"/>
        <v>0</v>
      </c>
      <c r="CH483" s="759"/>
      <c r="CI483" s="742"/>
      <c r="CJ483" s="591">
        <f t="shared" si="258"/>
        <v>0</v>
      </c>
    </row>
    <row r="484" spans="1:88" ht="21.6" customHeight="1" x14ac:dyDescent="0.25">
      <c r="A484" s="596"/>
      <c r="B484" s="596" t="s">
        <v>754</v>
      </c>
      <c r="C484" s="597" t="s">
        <v>559</v>
      </c>
      <c r="D484" s="182" t="s">
        <v>431</v>
      </c>
      <c r="E484" s="598">
        <v>0</v>
      </c>
      <c r="F484" s="596">
        <v>0</v>
      </c>
      <c r="G484" s="598">
        <v>0</v>
      </c>
      <c r="H484" s="596"/>
      <c r="I484" s="596">
        <f t="shared" si="267"/>
        <v>0</v>
      </c>
      <c r="J484" s="728"/>
      <c r="K484" s="728"/>
      <c r="L484" s="731">
        <f t="shared" si="259"/>
        <v>0</v>
      </c>
      <c r="M484" s="947"/>
      <c r="N484" s="617"/>
      <c r="O484" s="602">
        <f t="shared" si="251"/>
        <v>0</v>
      </c>
      <c r="P484" s="940"/>
      <c r="Q484" s="600">
        <f t="shared" si="273"/>
        <v>0</v>
      </c>
      <c r="R484" s="940"/>
      <c r="S484" s="596">
        <v>0</v>
      </c>
      <c r="T484" s="724"/>
      <c r="U484" s="728"/>
      <c r="V484" s="728"/>
      <c r="W484" s="731">
        <f t="shared" si="260"/>
        <v>0</v>
      </c>
      <c r="X484" s="947"/>
      <c r="Y484" s="616"/>
      <c r="Z484" s="602">
        <f t="shared" si="263"/>
        <v>0</v>
      </c>
      <c r="AA484" s="835"/>
      <c r="AB484" s="602">
        <f t="shared" si="264"/>
        <v>0</v>
      </c>
      <c r="AC484" s="940"/>
      <c r="AD484" s="956"/>
      <c r="AE484" s="956"/>
      <c r="AF484" s="598">
        <v>39.333333333333336</v>
      </c>
      <c r="AG484" s="596"/>
      <c r="AH484" s="728">
        <v>36</v>
      </c>
      <c r="AI484" s="728">
        <v>9</v>
      </c>
      <c r="AJ484" s="729">
        <f t="shared" si="274"/>
        <v>45</v>
      </c>
      <c r="AK484" s="946"/>
      <c r="AL484" s="616">
        <v>594</v>
      </c>
      <c r="AM484" s="602">
        <f t="shared" si="268"/>
        <v>39.6</v>
      </c>
      <c r="AN484" s="835"/>
      <c r="AO484" s="835">
        <f t="shared" si="271"/>
        <v>-0.26666666666666572</v>
      </c>
      <c r="AP484" s="940"/>
      <c r="AQ484" s="722">
        <v>0</v>
      </c>
      <c r="AR484" s="728"/>
      <c r="AS484" s="728"/>
      <c r="AT484" s="729">
        <f t="shared" si="247"/>
        <v>0</v>
      </c>
      <c r="AU484" s="946"/>
      <c r="AV484" s="616"/>
      <c r="AW484" s="602">
        <f t="shared" si="265"/>
        <v>0</v>
      </c>
      <c r="AX484" s="940"/>
      <c r="AY484" s="602">
        <f t="shared" si="266"/>
        <v>0</v>
      </c>
      <c r="AZ484" s="940"/>
      <c r="BA484" s="962"/>
      <c r="BB484" s="962"/>
      <c r="BC484" s="611"/>
      <c r="BD484" s="712">
        <v>39</v>
      </c>
      <c r="BE484" s="596">
        <v>39</v>
      </c>
      <c r="BF484" s="596">
        <f t="shared" si="270"/>
        <v>0</v>
      </c>
      <c r="BG484" s="728">
        <v>36</v>
      </c>
      <c r="BH484" s="728">
        <v>11</v>
      </c>
      <c r="BI484" s="729">
        <f t="shared" si="261"/>
        <v>47</v>
      </c>
      <c r="BJ484" s="729"/>
      <c r="BK484" s="616">
        <v>1980</v>
      </c>
      <c r="BL484" s="603">
        <f t="shared" si="269"/>
        <v>39.6</v>
      </c>
      <c r="BM484" s="964"/>
      <c r="BN484" s="602">
        <f t="shared" si="272"/>
        <v>-0.60000000000000142</v>
      </c>
      <c r="BO484" s="940"/>
      <c r="BP484" s="593">
        <f t="shared" ref="BP484:BP512" si="275">BO484+AZ484+AP484+AC484+R484</f>
        <v>0</v>
      </c>
      <c r="BS484" s="741">
        <v>0</v>
      </c>
      <c r="BT484" s="741">
        <v>0</v>
      </c>
      <c r="BU484" s="741">
        <f t="shared" si="248"/>
        <v>0</v>
      </c>
      <c r="BV484" s="741">
        <v>0</v>
      </c>
      <c r="BW484" s="741"/>
      <c r="BX484" s="741">
        <v>0</v>
      </c>
      <c r="BY484" s="741">
        <v>0</v>
      </c>
      <c r="BZ484" s="741">
        <f t="shared" si="262"/>
        <v>0</v>
      </c>
      <c r="CA484" s="741">
        <v>0</v>
      </c>
      <c r="CB484" s="741"/>
      <c r="CC484" s="741">
        <f t="shared" si="249"/>
        <v>0</v>
      </c>
      <c r="CD484" s="751"/>
      <c r="CE484" s="748"/>
      <c r="CF484" s="748"/>
      <c r="CG484" s="748">
        <f t="shared" si="250"/>
        <v>0</v>
      </c>
      <c r="CH484" s="759"/>
      <c r="CI484" s="742"/>
      <c r="CJ484" s="591">
        <f t="shared" ref="CJ484:CJ512" si="276">BN484+AY484+AO484+AB484+Q484</f>
        <v>-0.86666666666666714</v>
      </c>
    </row>
    <row r="485" spans="1:88" ht="21.6" customHeight="1" x14ac:dyDescent="0.25">
      <c r="A485" s="596"/>
      <c r="B485" s="596" t="s">
        <v>754</v>
      </c>
      <c r="C485" s="597" t="s">
        <v>560</v>
      </c>
      <c r="D485" s="182" t="s">
        <v>431</v>
      </c>
      <c r="E485" s="598">
        <v>0</v>
      </c>
      <c r="F485" s="596">
        <v>0</v>
      </c>
      <c r="G485" s="598">
        <v>0</v>
      </c>
      <c r="H485" s="596"/>
      <c r="I485" s="596">
        <f t="shared" si="267"/>
        <v>0</v>
      </c>
      <c r="J485" s="728"/>
      <c r="K485" s="728"/>
      <c r="L485" s="731">
        <f t="shared" si="259"/>
        <v>0</v>
      </c>
      <c r="M485" s="947"/>
      <c r="N485" s="617"/>
      <c r="O485" s="602">
        <f t="shared" si="251"/>
        <v>0</v>
      </c>
      <c r="P485" s="940"/>
      <c r="Q485" s="600">
        <f t="shared" si="273"/>
        <v>0</v>
      </c>
      <c r="R485" s="940"/>
      <c r="S485" s="596">
        <v>0</v>
      </c>
      <c r="T485" s="724"/>
      <c r="U485" s="728"/>
      <c r="V485" s="728"/>
      <c r="W485" s="731">
        <f t="shared" si="260"/>
        <v>0</v>
      </c>
      <c r="X485" s="947"/>
      <c r="Y485" s="616"/>
      <c r="Z485" s="602">
        <f t="shared" si="263"/>
        <v>0</v>
      </c>
      <c r="AA485" s="835"/>
      <c r="AB485" s="602">
        <f t="shared" si="264"/>
        <v>0</v>
      </c>
      <c r="AC485" s="940"/>
      <c r="AD485" s="956"/>
      <c r="AE485" s="956"/>
      <c r="AF485" s="598">
        <v>0</v>
      </c>
      <c r="AG485" s="596"/>
      <c r="AH485" s="728"/>
      <c r="AI485" s="728"/>
      <c r="AJ485" s="729">
        <f t="shared" si="274"/>
        <v>0</v>
      </c>
      <c r="AK485" s="946"/>
      <c r="AL485" s="616"/>
      <c r="AM485" s="602">
        <f t="shared" si="268"/>
        <v>0</v>
      </c>
      <c r="AN485" s="835"/>
      <c r="AO485" s="835">
        <f t="shared" si="271"/>
        <v>0</v>
      </c>
      <c r="AP485" s="940"/>
      <c r="AQ485" s="722">
        <v>23.666666666666668</v>
      </c>
      <c r="AR485" s="728">
        <v>21</v>
      </c>
      <c r="AS485" s="728">
        <v>19</v>
      </c>
      <c r="AT485" s="729">
        <f t="shared" ref="AT485:AT512" si="277">AR485+AS485</f>
        <v>40</v>
      </c>
      <c r="AU485" s="946"/>
      <c r="AV485" s="616">
        <v>355</v>
      </c>
      <c r="AW485" s="602">
        <f t="shared" si="265"/>
        <v>23.666666666666668</v>
      </c>
      <c r="AX485" s="940"/>
      <c r="AY485" s="602">
        <f t="shared" si="266"/>
        <v>0</v>
      </c>
      <c r="AZ485" s="940"/>
      <c r="BA485" s="962"/>
      <c r="BB485" s="962"/>
      <c r="BC485" s="611"/>
      <c r="BD485" s="712">
        <v>0</v>
      </c>
      <c r="BE485" s="596">
        <v>0</v>
      </c>
      <c r="BF485" s="596">
        <f t="shared" si="270"/>
        <v>0</v>
      </c>
      <c r="BG485" s="728"/>
      <c r="BH485" s="728"/>
      <c r="BI485" s="729">
        <f t="shared" si="261"/>
        <v>0</v>
      </c>
      <c r="BJ485" s="729"/>
      <c r="BK485" s="616"/>
      <c r="BL485" s="603">
        <f t="shared" si="269"/>
        <v>0</v>
      </c>
      <c r="BM485" s="964"/>
      <c r="BN485" s="602">
        <f t="shared" si="272"/>
        <v>0</v>
      </c>
      <c r="BO485" s="940"/>
      <c r="BP485" s="593">
        <f t="shared" si="275"/>
        <v>0</v>
      </c>
      <c r="BS485" s="741">
        <v>0</v>
      </c>
      <c r="BT485" s="741">
        <v>0</v>
      </c>
      <c r="BU485" s="741">
        <f t="shared" si="248"/>
        <v>0</v>
      </c>
      <c r="BV485" s="741">
        <v>0</v>
      </c>
      <c r="BW485" s="741"/>
      <c r="BX485" s="741">
        <v>21</v>
      </c>
      <c r="BY485" s="741">
        <v>19</v>
      </c>
      <c r="BZ485" s="741">
        <f t="shared" si="262"/>
        <v>40</v>
      </c>
      <c r="CA485" s="741">
        <v>23.666666666666668</v>
      </c>
      <c r="CB485" s="741"/>
      <c r="CC485" s="741">
        <f t="shared" ref="CC485:CC512" si="278">BV485+CA485</f>
        <v>23.666666666666668</v>
      </c>
      <c r="CD485" s="751"/>
      <c r="CE485" s="748"/>
      <c r="CF485" s="748"/>
      <c r="CG485" s="748">
        <f t="shared" ref="CG485:CG512" si="279">CE485+CF485</f>
        <v>0</v>
      </c>
      <c r="CH485" s="759"/>
      <c r="CI485" s="742"/>
      <c r="CJ485" s="591">
        <f t="shared" si="276"/>
        <v>0</v>
      </c>
    </row>
    <row r="486" spans="1:88" ht="21.6" customHeight="1" x14ac:dyDescent="0.25">
      <c r="A486" s="596"/>
      <c r="B486" s="596" t="s">
        <v>754</v>
      </c>
      <c r="C486" s="597" t="s">
        <v>561</v>
      </c>
      <c r="D486" s="182" t="s">
        <v>431</v>
      </c>
      <c r="E486" s="598">
        <v>0</v>
      </c>
      <c r="F486" s="596">
        <v>0</v>
      </c>
      <c r="G486" s="598">
        <v>0</v>
      </c>
      <c r="H486" s="596"/>
      <c r="I486" s="596">
        <f t="shared" si="267"/>
        <v>0</v>
      </c>
      <c r="J486" s="728"/>
      <c r="K486" s="728"/>
      <c r="L486" s="731">
        <f t="shared" si="259"/>
        <v>0</v>
      </c>
      <c r="M486" s="947"/>
      <c r="N486" s="617"/>
      <c r="O486" s="602">
        <f t="shared" si="251"/>
        <v>0</v>
      </c>
      <c r="P486" s="940"/>
      <c r="Q486" s="600">
        <f t="shared" si="273"/>
        <v>0</v>
      </c>
      <c r="R486" s="940"/>
      <c r="S486" s="596">
        <v>0</v>
      </c>
      <c r="T486" s="724"/>
      <c r="U486" s="728"/>
      <c r="V486" s="728"/>
      <c r="W486" s="731">
        <f t="shared" si="260"/>
        <v>0</v>
      </c>
      <c r="X486" s="947"/>
      <c r="Y486" s="616"/>
      <c r="Z486" s="602">
        <f t="shared" si="263"/>
        <v>0</v>
      </c>
      <c r="AA486" s="835"/>
      <c r="AB486" s="602">
        <f t="shared" si="264"/>
        <v>0</v>
      </c>
      <c r="AC486" s="940"/>
      <c r="AD486" s="956"/>
      <c r="AE486" s="956"/>
      <c r="AF486" s="598">
        <v>21</v>
      </c>
      <c r="AG486" s="596"/>
      <c r="AH486" s="728">
        <v>17</v>
      </c>
      <c r="AI486" s="728">
        <v>21</v>
      </c>
      <c r="AJ486" s="729">
        <f t="shared" si="274"/>
        <v>38</v>
      </c>
      <c r="AK486" s="946"/>
      <c r="AL486" s="616">
        <v>315</v>
      </c>
      <c r="AM486" s="602">
        <f t="shared" si="268"/>
        <v>21</v>
      </c>
      <c r="AN486" s="835"/>
      <c r="AO486" s="835">
        <f t="shared" si="271"/>
        <v>0</v>
      </c>
      <c r="AP486" s="940"/>
      <c r="AQ486" s="722">
        <v>0</v>
      </c>
      <c r="AR486" s="728"/>
      <c r="AS486" s="728"/>
      <c r="AT486" s="729">
        <f t="shared" si="277"/>
        <v>0</v>
      </c>
      <c r="AU486" s="946"/>
      <c r="AV486" s="616"/>
      <c r="AW486" s="602">
        <f t="shared" si="265"/>
        <v>0</v>
      </c>
      <c r="AX486" s="940"/>
      <c r="AY486" s="602">
        <f t="shared" si="266"/>
        <v>0</v>
      </c>
      <c r="AZ486" s="940"/>
      <c r="BA486" s="962"/>
      <c r="BB486" s="962"/>
      <c r="BC486" s="611"/>
      <c r="BD486" s="712">
        <v>21</v>
      </c>
      <c r="BE486" s="596">
        <v>21</v>
      </c>
      <c r="BF486" s="596">
        <f t="shared" si="270"/>
        <v>0</v>
      </c>
      <c r="BG486" s="728">
        <v>17</v>
      </c>
      <c r="BH486" s="728">
        <v>21</v>
      </c>
      <c r="BI486" s="729">
        <f t="shared" si="261"/>
        <v>38</v>
      </c>
      <c r="BJ486" s="729"/>
      <c r="BK486" s="616">
        <v>1050</v>
      </c>
      <c r="BL486" s="603">
        <f t="shared" si="269"/>
        <v>21</v>
      </c>
      <c r="BM486" s="964"/>
      <c r="BN486" s="602">
        <f t="shared" si="272"/>
        <v>0</v>
      </c>
      <c r="BO486" s="940"/>
      <c r="BP486" s="593">
        <f t="shared" si="275"/>
        <v>0</v>
      </c>
      <c r="BS486" s="741">
        <v>0</v>
      </c>
      <c r="BT486" s="741">
        <v>0</v>
      </c>
      <c r="BU486" s="741">
        <f t="shared" ref="BU486:BU512" si="280">BS486+BT486</f>
        <v>0</v>
      </c>
      <c r="BV486" s="741">
        <v>0</v>
      </c>
      <c r="BW486" s="741"/>
      <c r="BX486" s="741">
        <v>0</v>
      </c>
      <c r="BY486" s="741">
        <v>0</v>
      </c>
      <c r="BZ486" s="741">
        <f t="shared" si="262"/>
        <v>0</v>
      </c>
      <c r="CA486" s="741">
        <v>0</v>
      </c>
      <c r="CB486" s="741"/>
      <c r="CC486" s="741">
        <f t="shared" si="278"/>
        <v>0</v>
      </c>
      <c r="CD486" s="751"/>
      <c r="CE486" s="748"/>
      <c r="CF486" s="748"/>
      <c r="CG486" s="748">
        <f t="shared" si="279"/>
        <v>0</v>
      </c>
      <c r="CH486" s="759"/>
      <c r="CI486" s="742"/>
      <c r="CJ486" s="591">
        <f t="shared" si="276"/>
        <v>0</v>
      </c>
    </row>
    <row r="487" spans="1:88" ht="37.5" customHeight="1" x14ac:dyDescent="0.25">
      <c r="A487" s="596"/>
      <c r="B487" s="596" t="s">
        <v>754</v>
      </c>
      <c r="C487" s="597" t="s">
        <v>569</v>
      </c>
      <c r="D487" s="182" t="s">
        <v>431</v>
      </c>
      <c r="E487" s="598">
        <v>34.333333333333336</v>
      </c>
      <c r="F487" s="596">
        <v>0</v>
      </c>
      <c r="G487" s="598">
        <v>34.333333333333336</v>
      </c>
      <c r="H487" s="596"/>
      <c r="I487" s="596">
        <f t="shared" si="267"/>
        <v>0</v>
      </c>
      <c r="J487" s="728">
        <v>25</v>
      </c>
      <c r="K487" s="728">
        <v>40</v>
      </c>
      <c r="L487" s="731">
        <f t="shared" si="259"/>
        <v>65</v>
      </c>
      <c r="M487" s="947"/>
      <c r="N487" s="617">
        <v>515</v>
      </c>
      <c r="O487" s="602">
        <f t="shared" si="251"/>
        <v>34.333333333333336</v>
      </c>
      <c r="P487" s="940"/>
      <c r="Q487" s="600">
        <f t="shared" si="273"/>
        <v>0</v>
      </c>
      <c r="R487" s="940"/>
      <c r="S487" s="596">
        <v>0</v>
      </c>
      <c r="T487" s="724"/>
      <c r="U487" s="728"/>
      <c r="V487" s="728"/>
      <c r="W487" s="731">
        <f t="shared" si="260"/>
        <v>0</v>
      </c>
      <c r="X487" s="947"/>
      <c r="Y487" s="616"/>
      <c r="Z487" s="602">
        <f t="shared" si="263"/>
        <v>0</v>
      </c>
      <c r="AA487" s="835"/>
      <c r="AB487" s="602">
        <f t="shared" si="264"/>
        <v>0</v>
      </c>
      <c r="AC487" s="940"/>
      <c r="AD487" s="956"/>
      <c r="AE487" s="956"/>
      <c r="AF487" s="598"/>
      <c r="AG487" s="596"/>
      <c r="AH487" s="728"/>
      <c r="AI487" s="728"/>
      <c r="AJ487" s="729">
        <f t="shared" si="274"/>
        <v>0</v>
      </c>
      <c r="AK487" s="946"/>
      <c r="AL487" s="616"/>
      <c r="AM487" s="602">
        <f t="shared" si="268"/>
        <v>0</v>
      </c>
      <c r="AN487" s="835"/>
      <c r="AO487" s="835">
        <f t="shared" si="271"/>
        <v>0</v>
      </c>
      <c r="AP487" s="940"/>
      <c r="AQ487" s="722">
        <v>0</v>
      </c>
      <c r="AR487" s="728"/>
      <c r="AS487" s="728"/>
      <c r="AT487" s="729">
        <f t="shared" si="277"/>
        <v>0</v>
      </c>
      <c r="AU487" s="946"/>
      <c r="AV487" s="616"/>
      <c r="AW487" s="602">
        <f t="shared" si="265"/>
        <v>0</v>
      </c>
      <c r="AX487" s="940"/>
      <c r="AY487" s="602">
        <f t="shared" si="266"/>
        <v>0</v>
      </c>
      <c r="AZ487" s="940"/>
      <c r="BA487" s="962"/>
      <c r="BB487" s="962"/>
      <c r="BC487" s="611"/>
      <c r="BD487" s="712">
        <v>34</v>
      </c>
      <c r="BE487" s="596">
        <v>34</v>
      </c>
      <c r="BF487" s="596">
        <f t="shared" si="270"/>
        <v>0</v>
      </c>
      <c r="BG487" s="728">
        <v>24</v>
      </c>
      <c r="BH487" s="728">
        <v>40</v>
      </c>
      <c r="BI487" s="729">
        <f t="shared" si="261"/>
        <v>64</v>
      </c>
      <c r="BJ487" s="729"/>
      <c r="BK487" s="616">
        <v>1700</v>
      </c>
      <c r="BL487" s="603">
        <f t="shared" si="269"/>
        <v>34</v>
      </c>
      <c r="BM487" s="964"/>
      <c r="BN487" s="602">
        <f t="shared" si="272"/>
        <v>0</v>
      </c>
      <c r="BO487" s="940"/>
      <c r="BP487" s="593">
        <f t="shared" si="275"/>
        <v>0</v>
      </c>
      <c r="BS487" s="741">
        <v>0</v>
      </c>
      <c r="BT487" s="741">
        <v>0</v>
      </c>
      <c r="BU487" s="741">
        <f t="shared" si="280"/>
        <v>0</v>
      </c>
      <c r="BV487" s="741">
        <v>0</v>
      </c>
      <c r="BW487" s="741"/>
      <c r="BX487" s="741">
        <v>0</v>
      </c>
      <c r="BY487" s="741">
        <v>0</v>
      </c>
      <c r="BZ487" s="741">
        <f t="shared" si="262"/>
        <v>0</v>
      </c>
      <c r="CA487" s="741">
        <v>0</v>
      </c>
      <c r="CB487" s="741"/>
      <c r="CC487" s="741">
        <f t="shared" si="278"/>
        <v>0</v>
      </c>
      <c r="CD487" s="751"/>
      <c r="CE487" s="748"/>
      <c r="CF487" s="748"/>
      <c r="CG487" s="748">
        <f t="shared" si="279"/>
        <v>0</v>
      </c>
      <c r="CH487" s="759"/>
      <c r="CI487" s="742"/>
      <c r="CJ487" s="591">
        <f t="shared" si="276"/>
        <v>0</v>
      </c>
    </row>
    <row r="488" spans="1:88" ht="21.6" customHeight="1" x14ac:dyDescent="0.25">
      <c r="A488" s="596"/>
      <c r="B488" s="596" t="s">
        <v>754</v>
      </c>
      <c r="C488" s="597" t="s">
        <v>562</v>
      </c>
      <c r="D488" s="182" t="s">
        <v>431</v>
      </c>
      <c r="E488" s="598">
        <v>0</v>
      </c>
      <c r="F488" s="596">
        <v>0</v>
      </c>
      <c r="G488" s="598">
        <v>0</v>
      </c>
      <c r="H488" s="596"/>
      <c r="I488" s="596">
        <f t="shared" si="267"/>
        <v>0</v>
      </c>
      <c r="J488" s="728"/>
      <c r="K488" s="728"/>
      <c r="L488" s="731">
        <f t="shared" si="259"/>
        <v>0</v>
      </c>
      <c r="M488" s="947"/>
      <c r="N488" s="617"/>
      <c r="O488" s="602">
        <f t="shared" si="251"/>
        <v>0</v>
      </c>
      <c r="P488" s="940"/>
      <c r="Q488" s="600">
        <f t="shared" si="273"/>
        <v>0</v>
      </c>
      <c r="R488" s="940"/>
      <c r="S488" s="596">
        <v>0</v>
      </c>
      <c r="T488" s="724"/>
      <c r="U488" s="728"/>
      <c r="V488" s="728"/>
      <c r="W488" s="731">
        <f t="shared" si="260"/>
        <v>0</v>
      </c>
      <c r="X488" s="947"/>
      <c r="Y488" s="616"/>
      <c r="Z488" s="602">
        <f t="shared" si="263"/>
        <v>0</v>
      </c>
      <c r="AA488" s="835"/>
      <c r="AB488" s="602">
        <f t="shared" si="264"/>
        <v>0</v>
      </c>
      <c r="AC488" s="940"/>
      <c r="AD488" s="956"/>
      <c r="AE488" s="956"/>
      <c r="AF488" s="598">
        <v>14.333333333333334</v>
      </c>
      <c r="AG488" s="596"/>
      <c r="AH488" s="728">
        <v>17</v>
      </c>
      <c r="AI488" s="728">
        <v>6</v>
      </c>
      <c r="AJ488" s="729">
        <f t="shared" si="274"/>
        <v>23</v>
      </c>
      <c r="AK488" s="946"/>
      <c r="AL488" s="616">
        <v>217.5</v>
      </c>
      <c r="AM488" s="602">
        <f t="shared" si="268"/>
        <v>14.5</v>
      </c>
      <c r="AN488" s="835"/>
      <c r="AO488" s="835">
        <f t="shared" si="271"/>
        <v>-0.16666666666666607</v>
      </c>
      <c r="AP488" s="940"/>
      <c r="AQ488" s="722">
        <v>0</v>
      </c>
      <c r="AR488" s="728"/>
      <c r="AS488" s="728"/>
      <c r="AT488" s="729">
        <f t="shared" si="277"/>
        <v>0</v>
      </c>
      <c r="AU488" s="946"/>
      <c r="AV488" s="616"/>
      <c r="AW488" s="602">
        <f t="shared" si="265"/>
        <v>0</v>
      </c>
      <c r="AX488" s="940"/>
      <c r="AY488" s="602">
        <f t="shared" si="266"/>
        <v>0</v>
      </c>
      <c r="AZ488" s="940"/>
      <c r="BA488" s="962"/>
      <c r="BB488" s="962"/>
      <c r="BC488" s="611"/>
      <c r="BD488" s="712">
        <v>14</v>
      </c>
      <c r="BE488" s="596">
        <v>14</v>
      </c>
      <c r="BF488" s="596">
        <f t="shared" si="270"/>
        <v>0</v>
      </c>
      <c r="BG488" s="728">
        <v>17</v>
      </c>
      <c r="BH488" s="728">
        <v>6</v>
      </c>
      <c r="BI488" s="729">
        <f t="shared" si="261"/>
        <v>23</v>
      </c>
      <c r="BJ488" s="729"/>
      <c r="BK488" s="616">
        <v>700</v>
      </c>
      <c r="BL488" s="603">
        <f t="shared" si="269"/>
        <v>14</v>
      </c>
      <c r="BM488" s="964"/>
      <c r="BN488" s="602">
        <f t="shared" si="272"/>
        <v>0</v>
      </c>
      <c r="BO488" s="940"/>
      <c r="BP488" s="593">
        <f t="shared" si="275"/>
        <v>0</v>
      </c>
      <c r="BS488" s="741">
        <v>0</v>
      </c>
      <c r="BT488" s="741">
        <v>0</v>
      </c>
      <c r="BU488" s="741">
        <f t="shared" si="280"/>
        <v>0</v>
      </c>
      <c r="BV488" s="741">
        <v>0</v>
      </c>
      <c r="BW488" s="741"/>
      <c r="BX488" s="741">
        <v>0</v>
      </c>
      <c r="BY488" s="741">
        <v>0</v>
      </c>
      <c r="BZ488" s="741">
        <f t="shared" si="262"/>
        <v>0</v>
      </c>
      <c r="CA488" s="741">
        <v>0</v>
      </c>
      <c r="CB488" s="741"/>
      <c r="CC488" s="741">
        <f t="shared" si="278"/>
        <v>0</v>
      </c>
      <c r="CD488" s="751"/>
      <c r="CE488" s="748"/>
      <c r="CF488" s="748"/>
      <c r="CG488" s="748">
        <f t="shared" si="279"/>
        <v>0</v>
      </c>
      <c r="CH488" s="759"/>
      <c r="CI488" s="742"/>
      <c r="CJ488" s="591">
        <f t="shared" si="276"/>
        <v>-0.16666666666666607</v>
      </c>
    </row>
    <row r="489" spans="1:88" ht="55.5" customHeight="1" x14ac:dyDescent="0.25">
      <c r="A489" s="596"/>
      <c r="B489" s="596" t="s">
        <v>754</v>
      </c>
      <c r="C489" s="597" t="s">
        <v>563</v>
      </c>
      <c r="D489" s="182" t="s">
        <v>489</v>
      </c>
      <c r="E489" s="598">
        <v>0</v>
      </c>
      <c r="F489" s="596">
        <v>0</v>
      </c>
      <c r="G489" s="598">
        <v>0</v>
      </c>
      <c r="H489" s="596"/>
      <c r="I489" s="596">
        <f t="shared" si="267"/>
        <v>0</v>
      </c>
      <c r="J489" s="728"/>
      <c r="K489" s="728"/>
      <c r="L489" s="731">
        <f t="shared" si="259"/>
        <v>0</v>
      </c>
      <c r="M489" s="947"/>
      <c r="N489" s="617"/>
      <c r="O489" s="602">
        <f t="shared" si="251"/>
        <v>0</v>
      </c>
      <c r="P489" s="940"/>
      <c r="Q489" s="600">
        <f t="shared" si="273"/>
        <v>0</v>
      </c>
      <c r="R489" s="940"/>
      <c r="S489" s="596">
        <v>0</v>
      </c>
      <c r="T489" s="724"/>
      <c r="U489" s="728"/>
      <c r="V489" s="728"/>
      <c r="W489" s="731">
        <f t="shared" si="260"/>
        <v>0</v>
      </c>
      <c r="X489" s="947"/>
      <c r="Y489" s="616"/>
      <c r="Z489" s="602">
        <f t="shared" si="263"/>
        <v>0</v>
      </c>
      <c r="AA489" s="835"/>
      <c r="AB489" s="602">
        <f t="shared" si="264"/>
        <v>0</v>
      </c>
      <c r="AC489" s="940"/>
      <c r="AD489" s="956"/>
      <c r="AE489" s="956"/>
      <c r="AF489" s="598">
        <v>0</v>
      </c>
      <c r="AG489" s="596"/>
      <c r="AH489" s="728"/>
      <c r="AI489" s="728"/>
      <c r="AJ489" s="729">
        <f t="shared" si="274"/>
        <v>0</v>
      </c>
      <c r="AK489" s="946"/>
      <c r="AL489" s="616"/>
      <c r="AM489" s="602">
        <f t="shared" si="268"/>
        <v>0</v>
      </c>
      <c r="AN489" s="835"/>
      <c r="AO489" s="835">
        <f t="shared" si="271"/>
        <v>0</v>
      </c>
      <c r="AP489" s="940"/>
      <c r="AQ489" s="722">
        <v>54.666666666666664</v>
      </c>
      <c r="AR489" s="728">
        <v>84</v>
      </c>
      <c r="AS489" s="728">
        <v>36</v>
      </c>
      <c r="AT489" s="729">
        <f t="shared" si="277"/>
        <v>120</v>
      </c>
      <c r="AU489" s="946"/>
      <c r="AV489" s="616">
        <v>820</v>
      </c>
      <c r="AW489" s="602">
        <f t="shared" si="265"/>
        <v>54.666666666666664</v>
      </c>
      <c r="AX489" s="940"/>
      <c r="AY489" s="602">
        <f t="shared" si="266"/>
        <v>0</v>
      </c>
      <c r="AZ489" s="940"/>
      <c r="BA489" s="962"/>
      <c r="BB489" s="962"/>
      <c r="BC489" s="611"/>
      <c r="BD489" s="712">
        <v>0</v>
      </c>
      <c r="BE489" s="596">
        <v>0</v>
      </c>
      <c r="BF489" s="596">
        <f t="shared" si="270"/>
        <v>0</v>
      </c>
      <c r="BG489" s="728"/>
      <c r="BH489" s="728"/>
      <c r="BI489" s="729">
        <f t="shared" si="261"/>
        <v>0</v>
      </c>
      <c r="BJ489" s="729"/>
      <c r="BK489" s="616"/>
      <c r="BL489" s="603">
        <f t="shared" si="269"/>
        <v>0</v>
      </c>
      <c r="BM489" s="964"/>
      <c r="BN489" s="602">
        <f t="shared" si="272"/>
        <v>0</v>
      </c>
      <c r="BO489" s="940"/>
      <c r="BP489" s="593">
        <f t="shared" si="275"/>
        <v>0</v>
      </c>
      <c r="BS489" s="741">
        <v>0</v>
      </c>
      <c r="BT489" s="741">
        <v>0</v>
      </c>
      <c r="BU489" s="741">
        <f t="shared" si="280"/>
        <v>0</v>
      </c>
      <c r="BV489" s="741">
        <v>0</v>
      </c>
      <c r="BW489" s="741"/>
      <c r="BX489" s="741">
        <v>84</v>
      </c>
      <c r="BY489" s="741">
        <v>36</v>
      </c>
      <c r="BZ489" s="741">
        <f t="shared" si="262"/>
        <v>120</v>
      </c>
      <c r="CA489" s="741">
        <v>54.666666666666664</v>
      </c>
      <c r="CB489" s="741"/>
      <c r="CC489" s="741">
        <f t="shared" si="278"/>
        <v>54.666666666666664</v>
      </c>
      <c r="CD489" s="751"/>
      <c r="CE489" s="748"/>
      <c r="CF489" s="748"/>
      <c r="CG489" s="748">
        <f t="shared" si="279"/>
        <v>0</v>
      </c>
      <c r="CH489" s="759"/>
      <c r="CI489" s="742"/>
      <c r="CJ489" s="591">
        <f t="shared" si="276"/>
        <v>0</v>
      </c>
    </row>
    <row r="490" spans="1:88" ht="21.6" customHeight="1" x14ac:dyDescent="0.25">
      <c r="A490" s="596"/>
      <c r="B490" s="596" t="s">
        <v>754</v>
      </c>
      <c r="C490" s="597" t="s">
        <v>570</v>
      </c>
      <c r="D490" s="182" t="s">
        <v>431</v>
      </c>
      <c r="E490" s="598">
        <v>34.333333333333336</v>
      </c>
      <c r="F490" s="596">
        <v>0</v>
      </c>
      <c r="G490" s="598">
        <v>34.333333333333336</v>
      </c>
      <c r="H490" s="596"/>
      <c r="I490" s="596">
        <f t="shared" si="267"/>
        <v>0</v>
      </c>
      <c r="J490" s="728">
        <f>38</f>
        <v>38</v>
      </c>
      <c r="K490" s="728">
        <f>4</f>
        <v>4</v>
      </c>
      <c r="L490" s="731">
        <f t="shared" si="259"/>
        <v>42</v>
      </c>
      <c r="M490" s="947"/>
      <c r="N490" s="617">
        <v>517.5</v>
      </c>
      <c r="O490" s="602">
        <f t="shared" si="251"/>
        <v>34.5</v>
      </c>
      <c r="P490" s="940"/>
      <c r="Q490" s="600">
        <f t="shared" si="273"/>
        <v>-0.1666666666666643</v>
      </c>
      <c r="R490" s="940"/>
      <c r="S490" s="596">
        <v>0</v>
      </c>
      <c r="T490" s="724"/>
      <c r="U490" s="728"/>
      <c r="V490" s="728"/>
      <c r="W490" s="731">
        <f t="shared" si="260"/>
        <v>0</v>
      </c>
      <c r="X490" s="947"/>
      <c r="Y490" s="616"/>
      <c r="Z490" s="602">
        <f t="shared" si="263"/>
        <v>0</v>
      </c>
      <c r="AA490" s="835"/>
      <c r="AB490" s="602">
        <f t="shared" si="264"/>
        <v>0</v>
      </c>
      <c r="AC490" s="940"/>
      <c r="AD490" s="956"/>
      <c r="AE490" s="956"/>
      <c r="AF490" s="598">
        <v>0</v>
      </c>
      <c r="AG490" s="596"/>
      <c r="AH490" s="728"/>
      <c r="AI490" s="728"/>
      <c r="AJ490" s="729">
        <f t="shared" si="274"/>
        <v>0</v>
      </c>
      <c r="AK490" s="946"/>
      <c r="AL490" s="616"/>
      <c r="AM490" s="602">
        <f t="shared" si="268"/>
        <v>0</v>
      </c>
      <c r="AN490" s="835"/>
      <c r="AO490" s="835">
        <f t="shared" si="271"/>
        <v>0</v>
      </c>
      <c r="AP490" s="940"/>
      <c r="AQ490" s="722">
        <v>0</v>
      </c>
      <c r="AR490" s="728"/>
      <c r="AS490" s="728"/>
      <c r="AT490" s="729">
        <f t="shared" si="277"/>
        <v>0</v>
      </c>
      <c r="AU490" s="946"/>
      <c r="AV490" s="616"/>
      <c r="AW490" s="602">
        <f t="shared" si="265"/>
        <v>0</v>
      </c>
      <c r="AX490" s="940"/>
      <c r="AY490" s="602">
        <f t="shared" si="266"/>
        <v>0</v>
      </c>
      <c r="AZ490" s="940"/>
      <c r="BA490" s="962"/>
      <c r="BB490" s="962"/>
      <c r="BC490" s="611"/>
      <c r="BD490" s="712">
        <v>34</v>
      </c>
      <c r="BE490" s="596">
        <v>34</v>
      </c>
      <c r="BF490" s="596">
        <f t="shared" si="270"/>
        <v>0</v>
      </c>
      <c r="BG490" s="728">
        <v>38</v>
      </c>
      <c r="BH490" s="728">
        <v>4</v>
      </c>
      <c r="BI490" s="729">
        <f t="shared" si="261"/>
        <v>42</v>
      </c>
      <c r="BJ490" s="729"/>
      <c r="BK490" s="616">
        <v>1725</v>
      </c>
      <c r="BL490" s="603">
        <f t="shared" si="269"/>
        <v>34.5</v>
      </c>
      <c r="BM490" s="964"/>
      <c r="BN490" s="602">
        <f t="shared" si="272"/>
        <v>-0.5</v>
      </c>
      <c r="BO490" s="940"/>
      <c r="BP490" s="593">
        <f t="shared" si="275"/>
        <v>0</v>
      </c>
      <c r="BS490" s="741">
        <v>0</v>
      </c>
      <c r="BT490" s="741">
        <v>0</v>
      </c>
      <c r="BU490" s="741">
        <f t="shared" si="280"/>
        <v>0</v>
      </c>
      <c r="BV490" s="741">
        <v>0</v>
      </c>
      <c r="BW490" s="741"/>
      <c r="BX490" s="741">
        <v>0</v>
      </c>
      <c r="BY490" s="741">
        <v>0</v>
      </c>
      <c r="BZ490" s="741">
        <f t="shared" si="262"/>
        <v>0</v>
      </c>
      <c r="CA490" s="741">
        <v>0</v>
      </c>
      <c r="CB490" s="741"/>
      <c r="CC490" s="741">
        <f t="shared" si="278"/>
        <v>0</v>
      </c>
      <c r="CD490" s="751"/>
      <c r="CE490" s="748"/>
      <c r="CF490" s="748"/>
      <c r="CG490" s="748">
        <f t="shared" si="279"/>
        <v>0</v>
      </c>
      <c r="CH490" s="759"/>
      <c r="CI490" s="742"/>
      <c r="CJ490" s="591">
        <f t="shared" si="276"/>
        <v>-0.6666666666666643</v>
      </c>
    </row>
    <row r="491" spans="1:88" ht="49.5" customHeight="1" x14ac:dyDescent="0.25">
      <c r="A491" s="596"/>
      <c r="B491" s="596" t="s">
        <v>754</v>
      </c>
      <c r="C491" s="597" t="s">
        <v>729</v>
      </c>
      <c r="D491" s="182" t="s">
        <v>431</v>
      </c>
      <c r="E491" s="598"/>
      <c r="F491" s="596"/>
      <c r="G491" s="598"/>
      <c r="H491" s="596"/>
      <c r="I491" s="596"/>
      <c r="J491" s="728"/>
      <c r="K491" s="728"/>
      <c r="L491" s="731">
        <f t="shared" si="259"/>
        <v>0</v>
      </c>
      <c r="M491" s="947"/>
      <c r="N491" s="617"/>
      <c r="O491" s="602"/>
      <c r="P491" s="940"/>
      <c r="Q491" s="600">
        <f t="shared" si="273"/>
        <v>0</v>
      </c>
      <c r="R491" s="940"/>
      <c r="S491" s="596">
        <v>0</v>
      </c>
      <c r="T491" s="724"/>
      <c r="U491" s="728"/>
      <c r="V491" s="728"/>
      <c r="W491" s="731">
        <f t="shared" si="260"/>
        <v>0</v>
      </c>
      <c r="X491" s="947"/>
      <c r="Y491" s="616"/>
      <c r="Z491" s="602">
        <f t="shared" si="263"/>
        <v>0</v>
      </c>
      <c r="AA491" s="835"/>
      <c r="AB491" s="602">
        <f t="shared" si="264"/>
        <v>0</v>
      </c>
      <c r="AC491" s="940"/>
      <c r="AD491" s="956"/>
      <c r="AE491" s="956"/>
      <c r="AF491" s="598"/>
      <c r="AG491" s="596"/>
      <c r="AH491" s="728"/>
      <c r="AI491" s="728"/>
      <c r="AJ491" s="729">
        <f t="shared" si="274"/>
        <v>0</v>
      </c>
      <c r="AK491" s="946"/>
      <c r="AL491" s="616"/>
      <c r="AM491" s="602"/>
      <c r="AN491" s="835"/>
      <c r="AO491" s="835"/>
      <c r="AP491" s="940"/>
      <c r="AQ491" s="722">
        <v>0</v>
      </c>
      <c r="AR491" s="728"/>
      <c r="AS491" s="728"/>
      <c r="AT491" s="729">
        <f t="shared" si="277"/>
        <v>0</v>
      </c>
      <c r="AU491" s="946"/>
      <c r="AV491" s="616"/>
      <c r="AW491" s="602">
        <f t="shared" si="265"/>
        <v>0</v>
      </c>
      <c r="AX491" s="940"/>
      <c r="AY491" s="602">
        <f t="shared" si="266"/>
        <v>0</v>
      </c>
      <c r="AZ491" s="940"/>
      <c r="BA491" s="962"/>
      <c r="BB491" s="962"/>
      <c r="BC491" s="611"/>
      <c r="BD491" s="712"/>
      <c r="BE491" s="596"/>
      <c r="BF491" s="596"/>
      <c r="BG491" s="728"/>
      <c r="BH491" s="728"/>
      <c r="BI491" s="729">
        <f t="shared" si="261"/>
        <v>0</v>
      </c>
      <c r="BJ491" s="729"/>
      <c r="BK491" s="616"/>
      <c r="BL491" s="603"/>
      <c r="BM491" s="964"/>
      <c r="BN491" s="602"/>
      <c r="BO491" s="940"/>
      <c r="BP491" s="593">
        <f t="shared" si="275"/>
        <v>0</v>
      </c>
      <c r="BS491" s="741">
        <v>0</v>
      </c>
      <c r="BT491" s="741">
        <v>0</v>
      </c>
      <c r="BU491" s="741">
        <f t="shared" si="280"/>
        <v>0</v>
      </c>
      <c r="BV491" s="741">
        <v>0</v>
      </c>
      <c r="BW491" s="741"/>
      <c r="BX491" s="741">
        <v>0</v>
      </c>
      <c r="BY491" s="741">
        <v>0</v>
      </c>
      <c r="BZ491" s="741">
        <f t="shared" si="262"/>
        <v>0</v>
      </c>
      <c r="CA491" s="741">
        <v>0</v>
      </c>
      <c r="CB491" s="741"/>
      <c r="CC491" s="741">
        <f t="shared" si="278"/>
        <v>0</v>
      </c>
      <c r="CD491" s="751"/>
      <c r="CE491" s="748"/>
      <c r="CF491" s="748"/>
      <c r="CG491" s="748">
        <f t="shared" si="279"/>
        <v>0</v>
      </c>
      <c r="CH491" s="759"/>
      <c r="CI491" s="742"/>
      <c r="CJ491" s="591">
        <f t="shared" si="276"/>
        <v>0</v>
      </c>
    </row>
    <row r="492" spans="1:88" ht="21.6" customHeight="1" x14ac:dyDescent="0.25">
      <c r="A492" s="596"/>
      <c r="B492" s="596" t="s">
        <v>754</v>
      </c>
      <c r="C492" s="597" t="s">
        <v>564</v>
      </c>
      <c r="D492" s="182" t="s">
        <v>489</v>
      </c>
      <c r="E492" s="598">
        <v>0</v>
      </c>
      <c r="F492" s="596">
        <v>0</v>
      </c>
      <c r="G492" s="598">
        <v>0</v>
      </c>
      <c r="H492" s="596"/>
      <c r="I492" s="596">
        <f t="shared" si="267"/>
        <v>0</v>
      </c>
      <c r="J492" s="728"/>
      <c r="K492" s="728"/>
      <c r="L492" s="731">
        <f t="shared" si="259"/>
        <v>0</v>
      </c>
      <c r="M492" s="947"/>
      <c r="N492" s="617"/>
      <c r="O492" s="602">
        <f t="shared" si="251"/>
        <v>0</v>
      </c>
      <c r="P492" s="940"/>
      <c r="Q492" s="600">
        <f t="shared" si="273"/>
        <v>0</v>
      </c>
      <c r="R492" s="940"/>
      <c r="S492" s="596">
        <v>0</v>
      </c>
      <c r="T492" s="724"/>
      <c r="U492" s="728"/>
      <c r="V492" s="728"/>
      <c r="W492" s="731">
        <f t="shared" si="260"/>
        <v>0</v>
      </c>
      <c r="X492" s="947"/>
      <c r="Y492" s="616"/>
      <c r="Z492" s="602">
        <f t="shared" si="263"/>
        <v>0</v>
      </c>
      <c r="AA492" s="835"/>
      <c r="AB492" s="602">
        <f t="shared" si="264"/>
        <v>0</v>
      </c>
      <c r="AC492" s="940"/>
      <c r="AD492" s="956"/>
      <c r="AE492" s="956"/>
      <c r="AF492" s="598">
        <v>83</v>
      </c>
      <c r="AG492" s="596"/>
      <c r="AH492" s="728">
        <v>143</v>
      </c>
      <c r="AI492" s="728">
        <v>23</v>
      </c>
      <c r="AJ492" s="729">
        <f t="shared" si="274"/>
        <v>166</v>
      </c>
      <c r="AK492" s="946"/>
      <c r="AL492" s="616">
        <v>1245</v>
      </c>
      <c r="AM492" s="602">
        <f t="shared" si="268"/>
        <v>83</v>
      </c>
      <c r="AN492" s="835"/>
      <c r="AO492" s="835">
        <f t="shared" ref="AO492:AO499" si="281">AF492-AM492</f>
        <v>0</v>
      </c>
      <c r="AP492" s="940"/>
      <c r="AQ492" s="722">
        <v>0</v>
      </c>
      <c r="AR492" s="728"/>
      <c r="AS492" s="728"/>
      <c r="AT492" s="729">
        <f t="shared" si="277"/>
        <v>0</v>
      </c>
      <c r="AU492" s="946"/>
      <c r="AV492" s="616"/>
      <c r="AW492" s="602">
        <f t="shared" si="265"/>
        <v>0</v>
      </c>
      <c r="AX492" s="940"/>
      <c r="AY492" s="602">
        <f t="shared" si="266"/>
        <v>0</v>
      </c>
      <c r="AZ492" s="940"/>
      <c r="BA492" s="962"/>
      <c r="BB492" s="962"/>
      <c r="BC492" s="611"/>
      <c r="BD492" s="712">
        <v>83</v>
      </c>
      <c r="BE492" s="596">
        <v>83</v>
      </c>
      <c r="BF492" s="596">
        <f t="shared" si="270"/>
        <v>0</v>
      </c>
      <c r="BG492" s="728">
        <v>143</v>
      </c>
      <c r="BH492" s="728">
        <v>23</v>
      </c>
      <c r="BI492" s="729">
        <f t="shared" si="261"/>
        <v>166</v>
      </c>
      <c r="BJ492" s="729"/>
      <c r="BK492" s="616">
        <v>4150</v>
      </c>
      <c r="BL492" s="603">
        <f t="shared" si="269"/>
        <v>83</v>
      </c>
      <c r="BM492" s="964"/>
      <c r="BN492" s="602">
        <f t="shared" ref="BN492:BN499" si="282">BD492-BL492</f>
        <v>0</v>
      </c>
      <c r="BO492" s="940"/>
      <c r="BP492" s="593">
        <f t="shared" si="275"/>
        <v>0</v>
      </c>
      <c r="BS492" s="741">
        <v>0</v>
      </c>
      <c r="BT492" s="741">
        <v>0</v>
      </c>
      <c r="BU492" s="741">
        <f t="shared" si="280"/>
        <v>0</v>
      </c>
      <c r="BV492" s="741">
        <v>0</v>
      </c>
      <c r="BW492" s="741"/>
      <c r="BX492" s="741">
        <v>0</v>
      </c>
      <c r="BY492" s="741">
        <v>0</v>
      </c>
      <c r="BZ492" s="741">
        <f t="shared" si="262"/>
        <v>0</v>
      </c>
      <c r="CA492" s="741">
        <v>0</v>
      </c>
      <c r="CB492" s="741"/>
      <c r="CC492" s="741">
        <f t="shared" si="278"/>
        <v>0</v>
      </c>
      <c r="CD492" s="751"/>
      <c r="CE492" s="748"/>
      <c r="CF492" s="748"/>
      <c r="CG492" s="748">
        <f t="shared" si="279"/>
        <v>0</v>
      </c>
      <c r="CH492" s="759"/>
      <c r="CI492" s="742"/>
      <c r="CJ492" s="591">
        <f t="shared" si="276"/>
        <v>0</v>
      </c>
    </row>
    <row r="493" spans="1:88" ht="43.5" customHeight="1" x14ac:dyDescent="0.25">
      <c r="A493" s="596"/>
      <c r="B493" s="596" t="s">
        <v>754</v>
      </c>
      <c r="C493" s="597" t="s">
        <v>571</v>
      </c>
      <c r="D493" s="182" t="s">
        <v>431</v>
      </c>
      <c r="E493" s="598">
        <v>24.666666666666668</v>
      </c>
      <c r="F493" s="596">
        <v>0</v>
      </c>
      <c r="G493" s="598">
        <v>24.666666666666668</v>
      </c>
      <c r="H493" s="596"/>
      <c r="I493" s="596">
        <f t="shared" si="267"/>
        <v>0</v>
      </c>
      <c r="J493" s="728">
        <f>21</f>
        <v>21</v>
      </c>
      <c r="K493" s="728">
        <f>4</f>
        <v>4</v>
      </c>
      <c r="L493" s="731">
        <f t="shared" si="259"/>
        <v>25</v>
      </c>
      <c r="M493" s="947"/>
      <c r="N493" s="617">
        <v>370</v>
      </c>
      <c r="O493" s="602">
        <f t="shared" ref="O493:O511" si="283">N493/15</f>
        <v>24.666666666666668</v>
      </c>
      <c r="P493" s="940"/>
      <c r="Q493" s="600">
        <f t="shared" si="273"/>
        <v>0</v>
      </c>
      <c r="R493" s="940"/>
      <c r="S493" s="596">
        <v>0</v>
      </c>
      <c r="T493" s="724"/>
      <c r="U493" s="728"/>
      <c r="V493" s="728"/>
      <c r="W493" s="731">
        <f t="shared" si="260"/>
        <v>0</v>
      </c>
      <c r="X493" s="947"/>
      <c r="Y493" s="616"/>
      <c r="Z493" s="602">
        <f t="shared" si="263"/>
        <v>0</v>
      </c>
      <c r="AA493" s="835"/>
      <c r="AB493" s="602">
        <f t="shared" si="264"/>
        <v>0</v>
      </c>
      <c r="AC493" s="940"/>
      <c r="AD493" s="956"/>
      <c r="AE493" s="956"/>
      <c r="AF493" s="598">
        <v>0</v>
      </c>
      <c r="AG493" s="596"/>
      <c r="AH493" s="728"/>
      <c r="AI493" s="728"/>
      <c r="AJ493" s="729">
        <f t="shared" si="274"/>
        <v>0</v>
      </c>
      <c r="AK493" s="946"/>
      <c r="AL493" s="616"/>
      <c r="AM493" s="602">
        <f t="shared" si="268"/>
        <v>0</v>
      </c>
      <c r="AN493" s="835"/>
      <c r="AO493" s="835">
        <f t="shared" si="281"/>
        <v>0</v>
      </c>
      <c r="AP493" s="940"/>
      <c r="AQ493" s="722">
        <v>0</v>
      </c>
      <c r="AR493" s="728"/>
      <c r="AS493" s="728"/>
      <c r="AT493" s="729">
        <f t="shared" si="277"/>
        <v>0</v>
      </c>
      <c r="AU493" s="946"/>
      <c r="AV493" s="616"/>
      <c r="AW493" s="602">
        <f t="shared" si="265"/>
        <v>0</v>
      </c>
      <c r="AX493" s="940"/>
      <c r="AY493" s="602">
        <f t="shared" si="266"/>
        <v>0</v>
      </c>
      <c r="AZ493" s="940"/>
      <c r="BA493" s="962"/>
      <c r="BB493" s="962"/>
      <c r="BC493" s="611"/>
      <c r="BD493" s="712">
        <v>24</v>
      </c>
      <c r="BE493" s="596">
        <v>24</v>
      </c>
      <c r="BF493" s="596">
        <f t="shared" si="270"/>
        <v>0</v>
      </c>
      <c r="BG493" s="728">
        <v>21</v>
      </c>
      <c r="BH493" s="728">
        <v>4</v>
      </c>
      <c r="BI493" s="729">
        <f t="shared" si="261"/>
        <v>25</v>
      </c>
      <c r="BJ493" s="729"/>
      <c r="BK493" s="616">
        <v>1200</v>
      </c>
      <c r="BL493" s="603">
        <f t="shared" si="269"/>
        <v>24</v>
      </c>
      <c r="BM493" s="964"/>
      <c r="BN493" s="602">
        <f t="shared" si="282"/>
        <v>0</v>
      </c>
      <c r="BO493" s="940"/>
      <c r="BP493" s="593">
        <f t="shared" si="275"/>
        <v>0</v>
      </c>
      <c r="BS493" s="741">
        <v>0</v>
      </c>
      <c r="BT493" s="741">
        <v>0</v>
      </c>
      <c r="BU493" s="741">
        <f t="shared" si="280"/>
        <v>0</v>
      </c>
      <c r="BV493" s="741">
        <v>0</v>
      </c>
      <c r="BW493" s="741"/>
      <c r="BX493" s="741">
        <v>0</v>
      </c>
      <c r="BY493" s="741">
        <v>0</v>
      </c>
      <c r="BZ493" s="741">
        <f t="shared" si="262"/>
        <v>0</v>
      </c>
      <c r="CA493" s="741">
        <v>0</v>
      </c>
      <c r="CB493" s="741"/>
      <c r="CC493" s="741">
        <f t="shared" si="278"/>
        <v>0</v>
      </c>
      <c r="CD493" s="751"/>
      <c r="CE493" s="748"/>
      <c r="CF493" s="748"/>
      <c r="CG493" s="748">
        <f t="shared" si="279"/>
        <v>0</v>
      </c>
      <c r="CH493" s="759"/>
      <c r="CI493" s="742"/>
      <c r="CJ493" s="591">
        <f t="shared" si="276"/>
        <v>0</v>
      </c>
    </row>
    <row r="494" spans="1:88" ht="21.6" customHeight="1" x14ac:dyDescent="0.25">
      <c r="A494" s="596"/>
      <c r="B494" s="596" t="s">
        <v>754</v>
      </c>
      <c r="C494" s="597" t="s">
        <v>566</v>
      </c>
      <c r="D494" s="182" t="s">
        <v>431</v>
      </c>
      <c r="E494" s="598">
        <v>0</v>
      </c>
      <c r="F494" s="596">
        <v>0</v>
      </c>
      <c r="G494" s="598">
        <v>0</v>
      </c>
      <c r="H494" s="596"/>
      <c r="I494" s="596">
        <f t="shared" si="267"/>
        <v>0</v>
      </c>
      <c r="J494" s="728"/>
      <c r="K494" s="728"/>
      <c r="L494" s="731">
        <f t="shared" si="259"/>
        <v>0</v>
      </c>
      <c r="M494" s="947"/>
      <c r="N494" s="617"/>
      <c r="O494" s="602">
        <f t="shared" si="283"/>
        <v>0</v>
      </c>
      <c r="P494" s="940"/>
      <c r="Q494" s="600">
        <f t="shared" si="273"/>
        <v>0</v>
      </c>
      <c r="R494" s="940"/>
      <c r="S494" s="596">
        <v>0</v>
      </c>
      <c r="T494" s="724"/>
      <c r="U494" s="728"/>
      <c r="V494" s="728"/>
      <c r="W494" s="731">
        <f t="shared" si="260"/>
        <v>0</v>
      </c>
      <c r="X494" s="947"/>
      <c r="Y494" s="616"/>
      <c r="Z494" s="602">
        <f t="shared" si="263"/>
        <v>0</v>
      </c>
      <c r="AA494" s="835"/>
      <c r="AB494" s="602">
        <f t="shared" si="264"/>
        <v>0</v>
      </c>
      <c r="AC494" s="940"/>
      <c r="AD494" s="956"/>
      <c r="AE494" s="956"/>
      <c r="AF494" s="598">
        <v>99.666666666666671</v>
      </c>
      <c r="AG494" s="596"/>
      <c r="AH494" s="728">
        <v>51</v>
      </c>
      <c r="AI494" s="728">
        <v>152</v>
      </c>
      <c r="AJ494" s="729">
        <f t="shared" si="274"/>
        <v>203</v>
      </c>
      <c r="AK494" s="946"/>
      <c r="AL494" s="616">
        <v>1495</v>
      </c>
      <c r="AM494" s="602">
        <f t="shared" si="268"/>
        <v>99.666666666666671</v>
      </c>
      <c r="AN494" s="835"/>
      <c r="AO494" s="835">
        <f t="shared" si="281"/>
        <v>0</v>
      </c>
      <c r="AP494" s="940"/>
      <c r="AQ494" s="722">
        <v>0</v>
      </c>
      <c r="AR494" s="728"/>
      <c r="AS494" s="728"/>
      <c r="AT494" s="729">
        <f t="shared" si="277"/>
        <v>0</v>
      </c>
      <c r="AU494" s="946"/>
      <c r="AV494" s="616"/>
      <c r="AW494" s="602">
        <f t="shared" si="265"/>
        <v>0</v>
      </c>
      <c r="AX494" s="940"/>
      <c r="AY494" s="602">
        <f t="shared" si="266"/>
        <v>0</v>
      </c>
      <c r="AZ494" s="940"/>
      <c r="BA494" s="962"/>
      <c r="BB494" s="962"/>
      <c r="BC494" s="611"/>
      <c r="BD494" s="712">
        <v>99</v>
      </c>
      <c r="BE494" s="596">
        <v>99</v>
      </c>
      <c r="BF494" s="596">
        <f t="shared" si="270"/>
        <v>0</v>
      </c>
      <c r="BG494" s="728">
        <v>51</v>
      </c>
      <c r="BH494" s="728">
        <v>152</v>
      </c>
      <c r="BI494" s="729">
        <f t="shared" si="261"/>
        <v>203</v>
      </c>
      <c r="BJ494" s="729"/>
      <c r="BK494" s="616">
        <v>4950</v>
      </c>
      <c r="BL494" s="603">
        <f t="shared" si="269"/>
        <v>99</v>
      </c>
      <c r="BM494" s="964"/>
      <c r="BN494" s="602">
        <f t="shared" si="282"/>
        <v>0</v>
      </c>
      <c r="BO494" s="940"/>
      <c r="BP494" s="593">
        <f t="shared" si="275"/>
        <v>0</v>
      </c>
      <c r="BS494" s="741">
        <v>0</v>
      </c>
      <c r="BT494" s="741">
        <v>0</v>
      </c>
      <c r="BU494" s="741">
        <f t="shared" si="280"/>
        <v>0</v>
      </c>
      <c r="BV494" s="741">
        <v>0</v>
      </c>
      <c r="BW494" s="741"/>
      <c r="BX494" s="741">
        <v>0</v>
      </c>
      <c r="BY494" s="741">
        <v>0</v>
      </c>
      <c r="BZ494" s="741">
        <f t="shared" si="262"/>
        <v>0</v>
      </c>
      <c r="CA494" s="741">
        <v>0</v>
      </c>
      <c r="CB494" s="741"/>
      <c r="CC494" s="741">
        <f t="shared" si="278"/>
        <v>0</v>
      </c>
      <c r="CD494" s="751"/>
      <c r="CE494" s="748"/>
      <c r="CF494" s="748"/>
      <c r="CG494" s="748">
        <f t="shared" si="279"/>
        <v>0</v>
      </c>
      <c r="CH494" s="759"/>
      <c r="CI494" s="742"/>
      <c r="CJ494" s="591">
        <f t="shared" si="276"/>
        <v>0</v>
      </c>
    </row>
    <row r="495" spans="1:88" ht="21.6" customHeight="1" x14ac:dyDescent="0.25">
      <c r="A495" s="596"/>
      <c r="B495" s="596" t="s">
        <v>754</v>
      </c>
      <c r="C495" s="597" t="s">
        <v>572</v>
      </c>
      <c r="D495" s="182" t="s">
        <v>431</v>
      </c>
      <c r="E495" s="598">
        <v>26.333333333333332</v>
      </c>
      <c r="F495" s="596">
        <v>0</v>
      </c>
      <c r="G495" s="598">
        <v>26.333333333333332</v>
      </c>
      <c r="H495" s="596"/>
      <c r="I495" s="596">
        <f t="shared" si="267"/>
        <v>0</v>
      </c>
      <c r="J495" s="728">
        <f>25</f>
        <v>25</v>
      </c>
      <c r="K495" s="728">
        <f>22</f>
        <v>22</v>
      </c>
      <c r="L495" s="731">
        <f t="shared" si="259"/>
        <v>47</v>
      </c>
      <c r="M495" s="947"/>
      <c r="N495" s="617">
        <v>395</v>
      </c>
      <c r="O495" s="602">
        <f t="shared" si="283"/>
        <v>26.333333333333332</v>
      </c>
      <c r="P495" s="940"/>
      <c r="Q495" s="600">
        <f t="shared" si="273"/>
        <v>0</v>
      </c>
      <c r="R495" s="940"/>
      <c r="S495" s="596">
        <v>0</v>
      </c>
      <c r="T495" s="724"/>
      <c r="U495" s="728"/>
      <c r="V495" s="728"/>
      <c r="W495" s="731">
        <f t="shared" si="260"/>
        <v>0</v>
      </c>
      <c r="X495" s="947"/>
      <c r="Y495" s="616"/>
      <c r="Z495" s="602">
        <f t="shared" si="263"/>
        <v>0</v>
      </c>
      <c r="AA495" s="835"/>
      <c r="AB495" s="602">
        <f t="shared" si="264"/>
        <v>0</v>
      </c>
      <c r="AC495" s="940"/>
      <c r="AD495" s="956"/>
      <c r="AE495" s="956"/>
      <c r="AF495" s="598">
        <v>0</v>
      </c>
      <c r="AG495" s="596"/>
      <c r="AH495" s="728"/>
      <c r="AI495" s="728"/>
      <c r="AJ495" s="729">
        <f t="shared" si="274"/>
        <v>0</v>
      </c>
      <c r="AK495" s="946"/>
      <c r="AL495" s="616"/>
      <c r="AM495" s="602">
        <f t="shared" si="268"/>
        <v>0</v>
      </c>
      <c r="AN495" s="835"/>
      <c r="AO495" s="835">
        <f t="shared" si="281"/>
        <v>0</v>
      </c>
      <c r="AP495" s="940"/>
      <c r="AQ495" s="722">
        <v>0</v>
      </c>
      <c r="AR495" s="728"/>
      <c r="AS495" s="728"/>
      <c r="AT495" s="729">
        <f t="shared" si="277"/>
        <v>0</v>
      </c>
      <c r="AU495" s="946"/>
      <c r="AV495" s="616"/>
      <c r="AW495" s="602">
        <f t="shared" si="265"/>
        <v>0</v>
      </c>
      <c r="AX495" s="940"/>
      <c r="AY495" s="602">
        <f t="shared" si="266"/>
        <v>0</v>
      </c>
      <c r="AZ495" s="940"/>
      <c r="BA495" s="962"/>
      <c r="BB495" s="962"/>
      <c r="BC495" s="611"/>
      <c r="BD495" s="712">
        <v>26</v>
      </c>
      <c r="BE495" s="596">
        <v>26</v>
      </c>
      <c r="BF495" s="596">
        <f t="shared" si="270"/>
        <v>0</v>
      </c>
      <c r="BG495" s="728">
        <v>25</v>
      </c>
      <c r="BH495" s="728">
        <v>22</v>
      </c>
      <c r="BI495" s="729">
        <f t="shared" si="261"/>
        <v>47</v>
      </c>
      <c r="BJ495" s="729"/>
      <c r="BK495" s="616">
        <v>1300</v>
      </c>
      <c r="BL495" s="603">
        <f t="shared" si="269"/>
        <v>26</v>
      </c>
      <c r="BM495" s="964"/>
      <c r="BN495" s="602">
        <f t="shared" si="282"/>
        <v>0</v>
      </c>
      <c r="BO495" s="940"/>
      <c r="BP495" s="593">
        <f t="shared" si="275"/>
        <v>0</v>
      </c>
      <c r="BS495" s="741">
        <v>0</v>
      </c>
      <c r="BT495" s="741">
        <v>0</v>
      </c>
      <c r="BU495" s="741">
        <f t="shared" si="280"/>
        <v>0</v>
      </c>
      <c r="BV495" s="741">
        <v>0</v>
      </c>
      <c r="BW495" s="741"/>
      <c r="BX495" s="741">
        <v>0</v>
      </c>
      <c r="BY495" s="741">
        <v>0</v>
      </c>
      <c r="BZ495" s="741">
        <f t="shared" si="262"/>
        <v>0</v>
      </c>
      <c r="CA495" s="741">
        <v>0</v>
      </c>
      <c r="CB495" s="741"/>
      <c r="CC495" s="741">
        <f t="shared" si="278"/>
        <v>0</v>
      </c>
      <c r="CD495" s="751"/>
      <c r="CE495" s="748"/>
      <c r="CF495" s="748"/>
      <c r="CG495" s="748">
        <f t="shared" si="279"/>
        <v>0</v>
      </c>
      <c r="CH495" s="759"/>
      <c r="CI495" s="742"/>
      <c r="CJ495" s="591">
        <f t="shared" si="276"/>
        <v>0</v>
      </c>
    </row>
    <row r="496" spans="1:88" ht="21.6" customHeight="1" x14ac:dyDescent="0.25">
      <c r="A496" s="596"/>
      <c r="B496" s="596" t="s">
        <v>754</v>
      </c>
      <c r="C496" s="597" t="s">
        <v>573</v>
      </c>
      <c r="D496" s="182" t="s">
        <v>431</v>
      </c>
      <c r="E496" s="598">
        <v>20.333333333333332</v>
      </c>
      <c r="F496" s="596">
        <v>0</v>
      </c>
      <c r="G496" s="598">
        <v>20.333333333333332</v>
      </c>
      <c r="H496" s="596"/>
      <c r="I496" s="596">
        <f t="shared" si="267"/>
        <v>0</v>
      </c>
      <c r="J496" s="728">
        <f>40</f>
        <v>40</v>
      </c>
      <c r="K496" s="728">
        <f>3</f>
        <v>3</v>
      </c>
      <c r="L496" s="731">
        <f t="shared" si="259"/>
        <v>43</v>
      </c>
      <c r="M496" s="947"/>
      <c r="N496" s="617">
        <v>305</v>
      </c>
      <c r="O496" s="602">
        <f t="shared" si="283"/>
        <v>20.333333333333332</v>
      </c>
      <c r="P496" s="940"/>
      <c r="Q496" s="600">
        <f t="shared" si="273"/>
        <v>0</v>
      </c>
      <c r="R496" s="940"/>
      <c r="S496" s="596">
        <v>0</v>
      </c>
      <c r="T496" s="724"/>
      <c r="U496" s="728"/>
      <c r="V496" s="728"/>
      <c r="W496" s="731">
        <f t="shared" si="260"/>
        <v>0</v>
      </c>
      <c r="X496" s="947"/>
      <c r="Y496" s="616"/>
      <c r="Z496" s="602">
        <f t="shared" si="263"/>
        <v>0</v>
      </c>
      <c r="AA496" s="835"/>
      <c r="AB496" s="602">
        <f t="shared" si="264"/>
        <v>0</v>
      </c>
      <c r="AC496" s="940"/>
      <c r="AD496" s="956"/>
      <c r="AE496" s="956"/>
      <c r="AF496" s="598">
        <v>0</v>
      </c>
      <c r="AG496" s="596"/>
      <c r="AH496" s="728"/>
      <c r="AI496" s="728"/>
      <c r="AJ496" s="729">
        <f t="shared" si="274"/>
        <v>0</v>
      </c>
      <c r="AK496" s="946"/>
      <c r="AL496" s="616"/>
      <c r="AM496" s="602">
        <f t="shared" si="268"/>
        <v>0</v>
      </c>
      <c r="AN496" s="835"/>
      <c r="AO496" s="835">
        <f t="shared" si="281"/>
        <v>0</v>
      </c>
      <c r="AP496" s="940"/>
      <c r="AQ496" s="722">
        <v>0</v>
      </c>
      <c r="AR496" s="728"/>
      <c r="AS496" s="728"/>
      <c r="AT496" s="729">
        <f t="shared" si="277"/>
        <v>0</v>
      </c>
      <c r="AU496" s="946"/>
      <c r="AV496" s="616"/>
      <c r="AW496" s="602">
        <f t="shared" si="265"/>
        <v>0</v>
      </c>
      <c r="AX496" s="940"/>
      <c r="AY496" s="602">
        <f t="shared" si="266"/>
        <v>0</v>
      </c>
      <c r="AZ496" s="940"/>
      <c r="BA496" s="962"/>
      <c r="BB496" s="962"/>
      <c r="BC496" s="611"/>
      <c r="BD496" s="712">
        <v>20</v>
      </c>
      <c r="BE496" s="596">
        <v>20</v>
      </c>
      <c r="BF496" s="596">
        <f t="shared" si="270"/>
        <v>0</v>
      </c>
      <c r="BG496" s="728">
        <v>40</v>
      </c>
      <c r="BH496" s="728">
        <v>3</v>
      </c>
      <c r="BI496" s="729">
        <f t="shared" si="261"/>
        <v>43</v>
      </c>
      <c r="BJ496" s="729"/>
      <c r="BK496" s="616">
        <v>1000</v>
      </c>
      <c r="BL496" s="603">
        <f t="shared" si="269"/>
        <v>20</v>
      </c>
      <c r="BM496" s="964"/>
      <c r="BN496" s="602">
        <f t="shared" si="282"/>
        <v>0</v>
      </c>
      <c r="BO496" s="940"/>
      <c r="BP496" s="593">
        <f t="shared" si="275"/>
        <v>0</v>
      </c>
      <c r="BS496" s="741">
        <v>0</v>
      </c>
      <c r="BT496" s="741">
        <v>0</v>
      </c>
      <c r="BU496" s="741">
        <f t="shared" si="280"/>
        <v>0</v>
      </c>
      <c r="BV496" s="741">
        <v>0</v>
      </c>
      <c r="BW496" s="741"/>
      <c r="BX496" s="741">
        <v>0</v>
      </c>
      <c r="BY496" s="741">
        <v>0</v>
      </c>
      <c r="BZ496" s="741">
        <f t="shared" si="262"/>
        <v>0</v>
      </c>
      <c r="CA496" s="741">
        <v>0</v>
      </c>
      <c r="CB496" s="741"/>
      <c r="CC496" s="741">
        <f t="shared" si="278"/>
        <v>0</v>
      </c>
      <c r="CD496" s="751"/>
      <c r="CE496" s="748"/>
      <c r="CF496" s="748"/>
      <c r="CG496" s="748">
        <f t="shared" si="279"/>
        <v>0</v>
      </c>
      <c r="CH496" s="759"/>
      <c r="CI496" s="742"/>
      <c r="CJ496" s="591">
        <f t="shared" si="276"/>
        <v>0</v>
      </c>
    </row>
    <row r="497" spans="1:88" ht="42.75" customHeight="1" x14ac:dyDescent="0.25">
      <c r="A497" s="596"/>
      <c r="B497" s="596" t="s">
        <v>754</v>
      </c>
      <c r="C497" s="597" t="s">
        <v>576</v>
      </c>
      <c r="D497" s="182" t="s">
        <v>431</v>
      </c>
      <c r="E497" s="598">
        <v>18.333333333333332</v>
      </c>
      <c r="F497" s="596">
        <v>0</v>
      </c>
      <c r="G497" s="598">
        <v>0</v>
      </c>
      <c r="H497" s="596"/>
      <c r="I497" s="596">
        <f t="shared" si="267"/>
        <v>0</v>
      </c>
      <c r="J497" s="728">
        <f>14+8</f>
        <v>22</v>
      </c>
      <c r="K497" s="728">
        <f>13+5</f>
        <v>18</v>
      </c>
      <c r="L497" s="731">
        <f t="shared" si="259"/>
        <v>40</v>
      </c>
      <c r="M497" s="947"/>
      <c r="N497" s="617">
        <f>189.75+93.75</f>
        <v>283.5</v>
      </c>
      <c r="O497" s="602">
        <f t="shared" si="283"/>
        <v>18.899999999999999</v>
      </c>
      <c r="P497" s="940"/>
      <c r="Q497" s="600">
        <f t="shared" si="273"/>
        <v>-0.56666666666666643</v>
      </c>
      <c r="R497" s="940"/>
      <c r="S497" s="596">
        <v>0</v>
      </c>
      <c r="T497" s="724"/>
      <c r="U497" s="728"/>
      <c r="V497" s="728"/>
      <c r="W497" s="731">
        <f t="shared" si="260"/>
        <v>0</v>
      </c>
      <c r="X497" s="947"/>
      <c r="Y497" s="616"/>
      <c r="Z497" s="602">
        <f t="shared" si="263"/>
        <v>0</v>
      </c>
      <c r="AA497" s="835"/>
      <c r="AB497" s="602">
        <f t="shared" si="264"/>
        <v>0</v>
      </c>
      <c r="AC497" s="940"/>
      <c r="AD497" s="956"/>
      <c r="AE497" s="956"/>
      <c r="AF497" s="598">
        <v>0</v>
      </c>
      <c r="AG497" s="596"/>
      <c r="AH497" s="728"/>
      <c r="AI497" s="728"/>
      <c r="AJ497" s="729">
        <f t="shared" si="274"/>
        <v>0</v>
      </c>
      <c r="AK497" s="946"/>
      <c r="AL497" s="616"/>
      <c r="AM497" s="602">
        <f t="shared" si="268"/>
        <v>0</v>
      </c>
      <c r="AN497" s="835"/>
      <c r="AO497" s="835">
        <f t="shared" si="281"/>
        <v>0</v>
      </c>
      <c r="AP497" s="940"/>
      <c r="AQ497" s="722">
        <v>0</v>
      </c>
      <c r="AR497" s="728"/>
      <c r="AS497" s="728"/>
      <c r="AT497" s="729">
        <f t="shared" si="277"/>
        <v>0</v>
      </c>
      <c r="AU497" s="946"/>
      <c r="AV497" s="616"/>
      <c r="AW497" s="602">
        <f t="shared" si="265"/>
        <v>0</v>
      </c>
      <c r="AX497" s="940"/>
      <c r="AY497" s="602">
        <f t="shared" si="266"/>
        <v>0</v>
      </c>
      <c r="AZ497" s="940"/>
      <c r="BA497" s="962"/>
      <c r="BB497" s="962"/>
      <c r="BC497" s="611"/>
      <c r="BD497" s="712">
        <v>18</v>
      </c>
      <c r="BE497" s="596">
        <v>0</v>
      </c>
      <c r="BF497" s="596">
        <f t="shared" si="270"/>
        <v>18</v>
      </c>
      <c r="BG497" s="728">
        <v>22</v>
      </c>
      <c r="BH497" s="728">
        <v>18</v>
      </c>
      <c r="BI497" s="729">
        <f t="shared" si="261"/>
        <v>40</v>
      </c>
      <c r="BJ497" s="729"/>
      <c r="BK497" s="616">
        <v>950</v>
      </c>
      <c r="BL497" s="603">
        <f t="shared" si="269"/>
        <v>19</v>
      </c>
      <c r="BM497" s="964"/>
      <c r="BN497" s="602">
        <f t="shared" si="282"/>
        <v>-1</v>
      </c>
      <c r="BO497" s="940"/>
      <c r="BP497" s="593">
        <f t="shared" si="275"/>
        <v>0</v>
      </c>
      <c r="BS497" s="741">
        <v>22</v>
      </c>
      <c r="BT497" s="741">
        <v>18</v>
      </c>
      <c r="BU497" s="741">
        <f t="shared" si="280"/>
        <v>40</v>
      </c>
      <c r="BV497" s="741">
        <v>19</v>
      </c>
      <c r="BW497" s="741"/>
      <c r="BX497" s="741">
        <v>0</v>
      </c>
      <c r="BY497" s="741">
        <v>0</v>
      </c>
      <c r="BZ497" s="741">
        <f t="shared" si="262"/>
        <v>0</v>
      </c>
      <c r="CA497" s="741">
        <v>0</v>
      </c>
      <c r="CB497" s="741"/>
      <c r="CC497" s="741">
        <f t="shared" si="278"/>
        <v>19</v>
      </c>
      <c r="CD497" s="751"/>
      <c r="CE497" s="748">
        <v>22</v>
      </c>
      <c r="CF497" s="748">
        <v>18</v>
      </c>
      <c r="CG497" s="748">
        <f t="shared" si="279"/>
        <v>40</v>
      </c>
      <c r="CH497" s="759">
        <v>19</v>
      </c>
      <c r="CI497" s="742"/>
      <c r="CJ497" s="591">
        <f t="shared" si="276"/>
        <v>-1.5666666666666664</v>
      </c>
    </row>
    <row r="498" spans="1:88" ht="21.6" customHeight="1" x14ac:dyDescent="0.25">
      <c r="A498" s="596"/>
      <c r="B498" s="596" t="s">
        <v>754</v>
      </c>
      <c r="C498" s="597" t="s">
        <v>578</v>
      </c>
      <c r="D498" s="300" t="s">
        <v>431</v>
      </c>
      <c r="E498" s="598">
        <v>13</v>
      </c>
      <c r="F498" s="596">
        <v>0</v>
      </c>
      <c r="G498" s="598">
        <v>0</v>
      </c>
      <c r="H498" s="596"/>
      <c r="I498" s="596">
        <f t="shared" si="267"/>
        <v>0</v>
      </c>
      <c r="J498" s="728">
        <v>9</v>
      </c>
      <c r="K498" s="728">
        <v>11</v>
      </c>
      <c r="L498" s="731">
        <f t="shared" si="259"/>
        <v>20</v>
      </c>
      <c r="M498" s="947"/>
      <c r="N498" s="617">
        <v>196.5</v>
      </c>
      <c r="O498" s="602">
        <f t="shared" si="283"/>
        <v>13.1</v>
      </c>
      <c r="P498" s="940"/>
      <c r="Q498" s="600">
        <f t="shared" si="273"/>
        <v>-9.9999999999999645E-2</v>
      </c>
      <c r="R498" s="940"/>
      <c r="S498" s="596">
        <v>0</v>
      </c>
      <c r="T498" s="724"/>
      <c r="U498" s="728"/>
      <c r="V498" s="728"/>
      <c r="W498" s="731">
        <f t="shared" si="260"/>
        <v>0</v>
      </c>
      <c r="X498" s="947"/>
      <c r="Y498" s="616"/>
      <c r="Z498" s="602">
        <f t="shared" si="263"/>
        <v>0</v>
      </c>
      <c r="AA498" s="835"/>
      <c r="AB498" s="602">
        <f t="shared" si="264"/>
        <v>0</v>
      </c>
      <c r="AC498" s="940"/>
      <c r="AD498" s="956"/>
      <c r="AE498" s="956"/>
      <c r="AF498" s="598">
        <v>0</v>
      </c>
      <c r="AG498" s="596"/>
      <c r="AH498" s="728"/>
      <c r="AI498" s="728"/>
      <c r="AJ498" s="729">
        <f t="shared" si="274"/>
        <v>0</v>
      </c>
      <c r="AK498" s="946"/>
      <c r="AL498" s="616"/>
      <c r="AM498" s="602">
        <f t="shared" si="268"/>
        <v>0</v>
      </c>
      <c r="AN498" s="835"/>
      <c r="AO498" s="835">
        <f t="shared" si="281"/>
        <v>0</v>
      </c>
      <c r="AP498" s="940"/>
      <c r="AQ498" s="722">
        <v>0</v>
      </c>
      <c r="AR498" s="728"/>
      <c r="AS498" s="728"/>
      <c r="AT498" s="729">
        <f t="shared" si="277"/>
        <v>0</v>
      </c>
      <c r="AU498" s="946"/>
      <c r="AV498" s="616"/>
      <c r="AW498" s="602">
        <f t="shared" si="265"/>
        <v>0</v>
      </c>
      <c r="AX498" s="940"/>
      <c r="AY498" s="602">
        <f t="shared" si="266"/>
        <v>0</v>
      </c>
      <c r="AZ498" s="940"/>
      <c r="BA498" s="962"/>
      <c r="BB498" s="962"/>
      <c r="BC498" s="611"/>
      <c r="BD498" s="712">
        <v>13</v>
      </c>
      <c r="BE498" s="596">
        <v>0</v>
      </c>
      <c r="BF498" s="596">
        <f t="shared" si="270"/>
        <v>13</v>
      </c>
      <c r="BG498" s="728">
        <v>9</v>
      </c>
      <c r="BH498" s="728">
        <v>11</v>
      </c>
      <c r="BI498" s="729">
        <f t="shared" si="261"/>
        <v>20</v>
      </c>
      <c r="BJ498" s="729"/>
      <c r="BK498" s="616">
        <v>655</v>
      </c>
      <c r="BL498" s="603">
        <f t="shared" si="269"/>
        <v>13.1</v>
      </c>
      <c r="BM498" s="964"/>
      <c r="BN498" s="602">
        <f t="shared" si="282"/>
        <v>-9.9999999999999645E-2</v>
      </c>
      <c r="BO498" s="940"/>
      <c r="BP498" s="593">
        <f t="shared" si="275"/>
        <v>0</v>
      </c>
      <c r="BS498" s="741">
        <v>0</v>
      </c>
      <c r="BT498" s="741">
        <v>0</v>
      </c>
      <c r="BU498" s="741">
        <f t="shared" si="280"/>
        <v>0</v>
      </c>
      <c r="BV498" s="741">
        <v>0</v>
      </c>
      <c r="BW498" s="741"/>
      <c r="BX498" s="741">
        <v>0</v>
      </c>
      <c r="BY498" s="741">
        <v>0</v>
      </c>
      <c r="BZ498" s="741">
        <f t="shared" si="262"/>
        <v>0</v>
      </c>
      <c r="CA498" s="741">
        <v>0</v>
      </c>
      <c r="CB498" s="741"/>
      <c r="CC498" s="741">
        <f t="shared" si="278"/>
        <v>0</v>
      </c>
      <c r="CD498" s="751"/>
      <c r="CE498" s="748"/>
      <c r="CF498" s="748"/>
      <c r="CG498" s="748">
        <f t="shared" si="279"/>
        <v>0</v>
      </c>
      <c r="CH498" s="759"/>
      <c r="CI498" s="742"/>
      <c r="CJ498" s="591">
        <f t="shared" si="276"/>
        <v>-0.19999999999999929</v>
      </c>
    </row>
    <row r="499" spans="1:88" ht="21.6" customHeight="1" x14ac:dyDescent="0.25">
      <c r="A499" s="596"/>
      <c r="B499" s="596" t="s">
        <v>754</v>
      </c>
      <c r="C499" s="597" t="s">
        <v>574</v>
      </c>
      <c r="D499" s="182" t="s">
        <v>489</v>
      </c>
      <c r="E499" s="598">
        <v>26.333333333333332</v>
      </c>
      <c r="F499" s="596">
        <v>0</v>
      </c>
      <c r="G499" s="598">
        <v>26.333333333333332</v>
      </c>
      <c r="H499" s="596"/>
      <c r="I499" s="596">
        <f t="shared" si="267"/>
        <v>0</v>
      </c>
      <c r="J499" s="728">
        <f>44</f>
        <v>44</v>
      </c>
      <c r="K499" s="728">
        <f>4</f>
        <v>4</v>
      </c>
      <c r="L499" s="731">
        <f t="shared" si="259"/>
        <v>48</v>
      </c>
      <c r="M499" s="947"/>
      <c r="N499" s="617">
        <v>395</v>
      </c>
      <c r="O499" s="602">
        <f t="shared" si="283"/>
        <v>26.333333333333332</v>
      </c>
      <c r="P499" s="940"/>
      <c r="Q499" s="600">
        <f t="shared" si="273"/>
        <v>0</v>
      </c>
      <c r="R499" s="940"/>
      <c r="S499" s="596">
        <v>0</v>
      </c>
      <c r="T499" s="724"/>
      <c r="U499" s="728"/>
      <c r="V499" s="728"/>
      <c r="W499" s="731">
        <f t="shared" si="260"/>
        <v>0</v>
      </c>
      <c r="X499" s="947"/>
      <c r="Y499" s="616"/>
      <c r="Z499" s="602">
        <f t="shared" si="263"/>
        <v>0</v>
      </c>
      <c r="AA499" s="835"/>
      <c r="AB499" s="602">
        <f t="shared" si="264"/>
        <v>0</v>
      </c>
      <c r="AC499" s="940"/>
      <c r="AD499" s="956"/>
      <c r="AE499" s="956"/>
      <c r="AF499" s="598">
        <v>0</v>
      </c>
      <c r="AG499" s="596"/>
      <c r="AH499" s="728"/>
      <c r="AI499" s="728"/>
      <c r="AJ499" s="729">
        <f t="shared" si="274"/>
        <v>0</v>
      </c>
      <c r="AK499" s="946"/>
      <c r="AL499" s="616"/>
      <c r="AM499" s="602">
        <f t="shared" si="268"/>
        <v>0</v>
      </c>
      <c r="AN499" s="835"/>
      <c r="AO499" s="835">
        <f t="shared" si="281"/>
        <v>0</v>
      </c>
      <c r="AP499" s="940"/>
      <c r="AQ499" s="722">
        <v>0</v>
      </c>
      <c r="AR499" s="728"/>
      <c r="AS499" s="728"/>
      <c r="AT499" s="729">
        <f t="shared" si="277"/>
        <v>0</v>
      </c>
      <c r="AU499" s="946"/>
      <c r="AV499" s="616"/>
      <c r="AW499" s="602">
        <f t="shared" si="265"/>
        <v>0</v>
      </c>
      <c r="AX499" s="940"/>
      <c r="AY499" s="602">
        <f t="shared" si="266"/>
        <v>0</v>
      </c>
      <c r="AZ499" s="940"/>
      <c r="BA499" s="962"/>
      <c r="BB499" s="962"/>
      <c r="BC499" s="611"/>
      <c r="BD499" s="712">
        <v>27</v>
      </c>
      <c r="BE499" s="596">
        <v>27</v>
      </c>
      <c r="BF499" s="596">
        <f t="shared" si="270"/>
        <v>0</v>
      </c>
      <c r="BG499" s="728">
        <v>43</v>
      </c>
      <c r="BH499" s="728">
        <v>4</v>
      </c>
      <c r="BI499" s="729">
        <f t="shared" si="261"/>
        <v>47</v>
      </c>
      <c r="BJ499" s="729"/>
      <c r="BK499" s="616">
        <v>1350</v>
      </c>
      <c r="BL499" s="603">
        <f t="shared" si="269"/>
        <v>27</v>
      </c>
      <c r="BM499" s="964"/>
      <c r="BN499" s="602">
        <f t="shared" si="282"/>
        <v>0</v>
      </c>
      <c r="BO499" s="940"/>
      <c r="BP499" s="593">
        <f t="shared" si="275"/>
        <v>0</v>
      </c>
      <c r="BS499" s="741">
        <v>0</v>
      </c>
      <c r="BT499" s="741">
        <v>0</v>
      </c>
      <c r="BU499" s="741">
        <f t="shared" si="280"/>
        <v>0</v>
      </c>
      <c r="BV499" s="741">
        <v>0</v>
      </c>
      <c r="BW499" s="741"/>
      <c r="BX499" s="741">
        <v>0</v>
      </c>
      <c r="BY499" s="741">
        <v>0</v>
      </c>
      <c r="BZ499" s="741">
        <f t="shared" si="262"/>
        <v>0</v>
      </c>
      <c r="CA499" s="741">
        <v>0</v>
      </c>
      <c r="CB499" s="741"/>
      <c r="CC499" s="741">
        <f t="shared" si="278"/>
        <v>0</v>
      </c>
      <c r="CD499" s="751"/>
      <c r="CE499" s="748"/>
      <c r="CF499" s="748"/>
      <c r="CG499" s="748">
        <f t="shared" si="279"/>
        <v>0</v>
      </c>
      <c r="CH499" s="759"/>
      <c r="CI499" s="742"/>
      <c r="CJ499" s="591">
        <f t="shared" si="276"/>
        <v>0</v>
      </c>
    </row>
    <row r="500" spans="1:88" ht="42" customHeight="1" x14ac:dyDescent="0.25">
      <c r="A500" s="596"/>
      <c r="B500" s="596" t="s">
        <v>754</v>
      </c>
      <c r="C500" s="597" t="s">
        <v>726</v>
      </c>
      <c r="D500" s="182" t="s">
        <v>489</v>
      </c>
      <c r="E500" s="598"/>
      <c r="F500" s="596"/>
      <c r="G500" s="598"/>
      <c r="H500" s="596"/>
      <c r="I500" s="596"/>
      <c r="J500" s="728"/>
      <c r="K500" s="728"/>
      <c r="L500" s="731">
        <f t="shared" si="259"/>
        <v>0</v>
      </c>
      <c r="M500" s="947"/>
      <c r="N500" s="617"/>
      <c r="O500" s="602"/>
      <c r="P500" s="940"/>
      <c r="Q500" s="600">
        <f t="shared" si="273"/>
        <v>0</v>
      </c>
      <c r="R500" s="940"/>
      <c r="S500" s="596">
        <v>0</v>
      </c>
      <c r="T500" s="724"/>
      <c r="U500" s="728"/>
      <c r="V500" s="728"/>
      <c r="W500" s="731">
        <f t="shared" si="260"/>
        <v>0</v>
      </c>
      <c r="X500" s="947"/>
      <c r="Y500" s="616"/>
      <c r="Z500" s="602">
        <f t="shared" si="263"/>
        <v>0</v>
      </c>
      <c r="AA500" s="835"/>
      <c r="AB500" s="602">
        <f t="shared" si="264"/>
        <v>0</v>
      </c>
      <c r="AC500" s="940"/>
      <c r="AD500" s="956"/>
      <c r="AE500" s="956"/>
      <c r="AF500" s="598"/>
      <c r="AG500" s="596"/>
      <c r="AH500" s="728"/>
      <c r="AI500" s="728"/>
      <c r="AJ500" s="729">
        <f t="shared" si="274"/>
        <v>0</v>
      </c>
      <c r="AK500" s="946"/>
      <c r="AL500" s="616"/>
      <c r="AM500" s="602"/>
      <c r="AN500" s="835"/>
      <c r="AO500" s="835"/>
      <c r="AP500" s="940"/>
      <c r="AQ500" s="722">
        <v>0</v>
      </c>
      <c r="AR500" s="728"/>
      <c r="AS500" s="728"/>
      <c r="AT500" s="729">
        <f t="shared" si="277"/>
        <v>0</v>
      </c>
      <c r="AU500" s="946"/>
      <c r="AV500" s="616"/>
      <c r="AW500" s="602">
        <f t="shared" si="265"/>
        <v>0</v>
      </c>
      <c r="AX500" s="940"/>
      <c r="AY500" s="602">
        <f t="shared" si="266"/>
        <v>0</v>
      </c>
      <c r="AZ500" s="940"/>
      <c r="BA500" s="962"/>
      <c r="BB500" s="962"/>
      <c r="BC500" s="611"/>
      <c r="BD500" s="712"/>
      <c r="BE500" s="596"/>
      <c r="BF500" s="596"/>
      <c r="BG500" s="728"/>
      <c r="BH500" s="728"/>
      <c r="BI500" s="729">
        <f t="shared" si="261"/>
        <v>0</v>
      </c>
      <c r="BJ500" s="729"/>
      <c r="BK500" s="616"/>
      <c r="BL500" s="603"/>
      <c r="BM500" s="964"/>
      <c r="BN500" s="602"/>
      <c r="BO500" s="940"/>
      <c r="BP500" s="593">
        <f t="shared" si="275"/>
        <v>0</v>
      </c>
      <c r="BS500" s="741">
        <v>0</v>
      </c>
      <c r="BT500" s="741">
        <v>0</v>
      </c>
      <c r="BU500" s="741">
        <f t="shared" si="280"/>
        <v>0</v>
      </c>
      <c r="BV500" s="741">
        <v>0</v>
      </c>
      <c r="BW500" s="741"/>
      <c r="BX500" s="741">
        <v>0</v>
      </c>
      <c r="BY500" s="741">
        <v>0</v>
      </c>
      <c r="BZ500" s="741">
        <f t="shared" si="262"/>
        <v>0</v>
      </c>
      <c r="CA500" s="741">
        <v>0</v>
      </c>
      <c r="CB500" s="741"/>
      <c r="CC500" s="741">
        <f t="shared" si="278"/>
        <v>0</v>
      </c>
      <c r="CD500" s="751"/>
      <c r="CE500" s="748"/>
      <c r="CF500" s="748"/>
      <c r="CG500" s="748">
        <f t="shared" si="279"/>
        <v>0</v>
      </c>
      <c r="CH500" s="759"/>
      <c r="CI500" s="742"/>
      <c r="CJ500" s="591">
        <f t="shared" si="276"/>
        <v>0</v>
      </c>
    </row>
    <row r="501" spans="1:88" ht="40.5" customHeight="1" x14ac:dyDescent="0.25">
      <c r="A501" s="596"/>
      <c r="B501" s="596" t="s">
        <v>754</v>
      </c>
      <c r="C501" s="597" t="s">
        <v>575</v>
      </c>
      <c r="D501" s="182" t="s">
        <v>489</v>
      </c>
      <c r="E501" s="598">
        <v>26</v>
      </c>
      <c r="F501" s="596">
        <v>0</v>
      </c>
      <c r="G501" s="598">
        <v>26</v>
      </c>
      <c r="H501" s="596"/>
      <c r="I501" s="596">
        <f t="shared" si="267"/>
        <v>0</v>
      </c>
      <c r="J501" s="728">
        <f>31</f>
        <v>31</v>
      </c>
      <c r="K501" s="728">
        <f>6</f>
        <v>6</v>
      </c>
      <c r="L501" s="731">
        <f t="shared" si="259"/>
        <v>37</v>
      </c>
      <c r="M501" s="947"/>
      <c r="N501" s="617">
        <v>390</v>
      </c>
      <c r="O501" s="602">
        <f t="shared" si="283"/>
        <v>26</v>
      </c>
      <c r="P501" s="940"/>
      <c r="Q501" s="600">
        <f t="shared" si="273"/>
        <v>0</v>
      </c>
      <c r="R501" s="940"/>
      <c r="S501" s="596">
        <v>0</v>
      </c>
      <c r="T501" s="724"/>
      <c r="U501" s="728"/>
      <c r="V501" s="728"/>
      <c r="W501" s="731">
        <f t="shared" si="260"/>
        <v>0</v>
      </c>
      <c r="X501" s="947"/>
      <c r="Y501" s="616"/>
      <c r="Z501" s="602">
        <f t="shared" si="263"/>
        <v>0</v>
      </c>
      <c r="AA501" s="835"/>
      <c r="AB501" s="602">
        <f t="shared" si="264"/>
        <v>0</v>
      </c>
      <c r="AC501" s="940"/>
      <c r="AD501" s="956"/>
      <c r="AE501" s="956"/>
      <c r="AF501" s="598">
        <v>0</v>
      </c>
      <c r="AG501" s="596"/>
      <c r="AH501" s="728"/>
      <c r="AI501" s="728"/>
      <c r="AJ501" s="729">
        <f t="shared" si="274"/>
        <v>0</v>
      </c>
      <c r="AK501" s="946"/>
      <c r="AL501" s="616"/>
      <c r="AM501" s="602">
        <f t="shared" si="268"/>
        <v>0</v>
      </c>
      <c r="AN501" s="835"/>
      <c r="AO501" s="835">
        <f t="shared" ref="AO501:AO512" si="284">AF501-AM501</f>
        <v>0</v>
      </c>
      <c r="AP501" s="940"/>
      <c r="AQ501" s="722">
        <v>0</v>
      </c>
      <c r="AR501" s="728"/>
      <c r="AS501" s="728"/>
      <c r="AT501" s="729">
        <f t="shared" si="277"/>
        <v>0</v>
      </c>
      <c r="AU501" s="946"/>
      <c r="AV501" s="616"/>
      <c r="AW501" s="602">
        <f t="shared" si="265"/>
        <v>0</v>
      </c>
      <c r="AX501" s="940"/>
      <c r="AY501" s="602">
        <f t="shared" si="266"/>
        <v>0</v>
      </c>
      <c r="AZ501" s="940"/>
      <c r="BA501" s="962"/>
      <c r="BB501" s="962"/>
      <c r="BC501" s="611"/>
      <c r="BD501" s="712">
        <v>26</v>
      </c>
      <c r="BE501" s="596">
        <v>26</v>
      </c>
      <c r="BF501" s="596">
        <f t="shared" si="270"/>
        <v>0</v>
      </c>
      <c r="BG501" s="728">
        <v>31</v>
      </c>
      <c r="BH501" s="728">
        <v>6</v>
      </c>
      <c r="BI501" s="729">
        <f t="shared" si="261"/>
        <v>37</v>
      </c>
      <c r="BJ501" s="729"/>
      <c r="BK501" s="616">
        <v>1300</v>
      </c>
      <c r="BL501" s="603">
        <f t="shared" si="269"/>
        <v>26</v>
      </c>
      <c r="BM501" s="964"/>
      <c r="BN501" s="602">
        <f t="shared" ref="BN501:BN512" si="285">BD501-BL501</f>
        <v>0</v>
      </c>
      <c r="BO501" s="940"/>
      <c r="BP501" s="593">
        <f t="shared" si="275"/>
        <v>0</v>
      </c>
      <c r="BS501" s="741">
        <v>0</v>
      </c>
      <c r="BT501" s="741">
        <v>0</v>
      </c>
      <c r="BU501" s="741">
        <f t="shared" si="280"/>
        <v>0</v>
      </c>
      <c r="BV501" s="741">
        <v>0</v>
      </c>
      <c r="BW501" s="741"/>
      <c r="BX501" s="741">
        <v>0</v>
      </c>
      <c r="BY501" s="741">
        <v>0</v>
      </c>
      <c r="BZ501" s="741">
        <f t="shared" si="262"/>
        <v>0</v>
      </c>
      <c r="CA501" s="741">
        <v>0</v>
      </c>
      <c r="CB501" s="741"/>
      <c r="CC501" s="741">
        <f t="shared" si="278"/>
        <v>0</v>
      </c>
      <c r="CD501" s="751"/>
      <c r="CE501" s="748"/>
      <c r="CF501" s="748"/>
      <c r="CG501" s="748">
        <f t="shared" si="279"/>
        <v>0</v>
      </c>
      <c r="CH501" s="759"/>
      <c r="CI501" s="742"/>
      <c r="CJ501" s="591">
        <f t="shared" si="276"/>
        <v>0</v>
      </c>
    </row>
    <row r="502" spans="1:88" ht="49.5" customHeight="1" x14ac:dyDescent="0.25">
      <c r="A502" s="596"/>
      <c r="B502" s="596" t="s">
        <v>754</v>
      </c>
      <c r="C502" s="597" t="s">
        <v>577</v>
      </c>
      <c r="D502" s="300" t="s">
        <v>489</v>
      </c>
      <c r="E502" s="598">
        <v>41.333333333333336</v>
      </c>
      <c r="F502" s="596">
        <v>0</v>
      </c>
      <c r="G502" s="598">
        <v>0</v>
      </c>
      <c r="H502" s="596"/>
      <c r="I502" s="596">
        <f t="shared" si="267"/>
        <v>0</v>
      </c>
      <c r="J502" s="728">
        <v>43</v>
      </c>
      <c r="K502" s="728">
        <v>11</v>
      </c>
      <c r="L502" s="731">
        <f t="shared" si="259"/>
        <v>54</v>
      </c>
      <c r="M502" s="947"/>
      <c r="N502" s="617">
        <v>624</v>
      </c>
      <c r="O502" s="602">
        <f t="shared" si="283"/>
        <v>41.6</v>
      </c>
      <c r="P502" s="940"/>
      <c r="Q502" s="600">
        <f t="shared" si="273"/>
        <v>-0.26666666666666572</v>
      </c>
      <c r="R502" s="940"/>
      <c r="S502" s="596">
        <v>0</v>
      </c>
      <c r="T502" s="724"/>
      <c r="U502" s="728"/>
      <c r="V502" s="728"/>
      <c r="W502" s="731">
        <f t="shared" si="260"/>
        <v>0</v>
      </c>
      <c r="X502" s="947"/>
      <c r="Y502" s="616"/>
      <c r="Z502" s="602">
        <f t="shared" si="263"/>
        <v>0</v>
      </c>
      <c r="AA502" s="835"/>
      <c r="AB502" s="602">
        <f t="shared" si="264"/>
        <v>0</v>
      </c>
      <c r="AC502" s="940"/>
      <c r="AD502" s="956"/>
      <c r="AE502" s="956"/>
      <c r="AF502" s="598">
        <v>0</v>
      </c>
      <c r="AG502" s="596"/>
      <c r="AH502" s="728"/>
      <c r="AI502" s="728"/>
      <c r="AJ502" s="729">
        <f t="shared" si="274"/>
        <v>0</v>
      </c>
      <c r="AK502" s="946"/>
      <c r="AL502" s="616"/>
      <c r="AM502" s="602">
        <f t="shared" si="268"/>
        <v>0</v>
      </c>
      <c r="AN502" s="835"/>
      <c r="AO502" s="835">
        <f t="shared" si="284"/>
        <v>0</v>
      </c>
      <c r="AP502" s="940"/>
      <c r="AQ502" s="722">
        <v>0</v>
      </c>
      <c r="AR502" s="728"/>
      <c r="AS502" s="728"/>
      <c r="AT502" s="729">
        <f t="shared" si="277"/>
        <v>0</v>
      </c>
      <c r="AU502" s="946"/>
      <c r="AV502" s="616"/>
      <c r="AW502" s="602">
        <f t="shared" si="265"/>
        <v>0</v>
      </c>
      <c r="AX502" s="940"/>
      <c r="AY502" s="602">
        <f t="shared" si="266"/>
        <v>0</v>
      </c>
      <c r="AZ502" s="940"/>
      <c r="BA502" s="962"/>
      <c r="BB502" s="962"/>
      <c r="BC502" s="611"/>
      <c r="BD502" s="712">
        <v>41</v>
      </c>
      <c r="BE502" s="596">
        <v>0</v>
      </c>
      <c r="BF502" s="596">
        <f t="shared" si="270"/>
        <v>41</v>
      </c>
      <c r="BG502" s="728">
        <v>42</v>
      </c>
      <c r="BH502" s="728">
        <v>11</v>
      </c>
      <c r="BI502" s="729">
        <f t="shared" si="261"/>
        <v>53</v>
      </c>
      <c r="BJ502" s="729"/>
      <c r="BK502" s="616">
        <v>2050</v>
      </c>
      <c r="BL502" s="603">
        <f t="shared" si="269"/>
        <v>41</v>
      </c>
      <c r="BM502" s="964"/>
      <c r="BN502" s="602">
        <f t="shared" si="285"/>
        <v>0</v>
      </c>
      <c r="BO502" s="940"/>
      <c r="BP502" s="593">
        <f t="shared" si="275"/>
        <v>0</v>
      </c>
      <c r="BS502" s="741">
        <v>0</v>
      </c>
      <c r="BT502" s="741">
        <v>0</v>
      </c>
      <c r="BU502" s="741">
        <f t="shared" si="280"/>
        <v>0</v>
      </c>
      <c r="BV502" s="741">
        <v>0</v>
      </c>
      <c r="BW502" s="741"/>
      <c r="BX502" s="741">
        <v>0</v>
      </c>
      <c r="BY502" s="741">
        <v>0</v>
      </c>
      <c r="BZ502" s="741">
        <f t="shared" si="262"/>
        <v>0</v>
      </c>
      <c r="CA502" s="741">
        <v>0</v>
      </c>
      <c r="CB502" s="741"/>
      <c r="CC502" s="741">
        <f t="shared" si="278"/>
        <v>0</v>
      </c>
      <c r="CD502" s="751"/>
      <c r="CE502" s="748"/>
      <c r="CF502" s="748"/>
      <c r="CG502" s="748">
        <f t="shared" si="279"/>
        <v>0</v>
      </c>
      <c r="CH502" s="759"/>
      <c r="CI502" s="742"/>
      <c r="CJ502" s="591">
        <f t="shared" si="276"/>
        <v>-0.26666666666666572</v>
      </c>
    </row>
    <row r="503" spans="1:88" ht="21.6" customHeight="1" x14ac:dyDescent="0.25">
      <c r="A503" s="596"/>
      <c r="B503" s="596"/>
      <c r="C503" s="597"/>
      <c r="D503" s="143"/>
      <c r="E503" s="598">
        <v>0</v>
      </c>
      <c r="F503" s="596">
        <v>0</v>
      </c>
      <c r="G503" s="598"/>
      <c r="H503" s="596"/>
      <c r="I503" s="596">
        <f t="shared" si="267"/>
        <v>0</v>
      </c>
      <c r="J503" s="728"/>
      <c r="K503" s="728"/>
      <c r="L503" s="731">
        <f t="shared" si="259"/>
        <v>0</v>
      </c>
      <c r="M503" s="947"/>
      <c r="N503" s="617"/>
      <c r="O503" s="602">
        <f t="shared" si="283"/>
        <v>0</v>
      </c>
      <c r="P503" s="940"/>
      <c r="Q503" s="600">
        <f t="shared" si="273"/>
        <v>0</v>
      </c>
      <c r="R503" s="940"/>
      <c r="S503" s="596">
        <v>0</v>
      </c>
      <c r="T503" s="724"/>
      <c r="U503" s="728"/>
      <c r="V503" s="728"/>
      <c r="W503" s="731">
        <f t="shared" si="260"/>
        <v>0</v>
      </c>
      <c r="X503" s="947"/>
      <c r="Y503" s="616"/>
      <c r="Z503" s="602">
        <f t="shared" si="263"/>
        <v>0</v>
      </c>
      <c r="AA503" s="835"/>
      <c r="AB503" s="602">
        <f t="shared" si="264"/>
        <v>0</v>
      </c>
      <c r="AC503" s="940"/>
      <c r="AD503" s="956"/>
      <c r="AE503" s="956"/>
      <c r="AF503" s="598"/>
      <c r="AG503" s="596"/>
      <c r="AH503" s="728"/>
      <c r="AI503" s="728"/>
      <c r="AJ503" s="729">
        <f t="shared" si="274"/>
        <v>0</v>
      </c>
      <c r="AK503" s="946"/>
      <c r="AL503" s="616"/>
      <c r="AM503" s="602">
        <f t="shared" si="268"/>
        <v>0</v>
      </c>
      <c r="AN503" s="835"/>
      <c r="AO503" s="835">
        <f t="shared" si="284"/>
        <v>0</v>
      </c>
      <c r="AP503" s="940"/>
      <c r="AQ503" s="722">
        <v>0</v>
      </c>
      <c r="AR503" s="728"/>
      <c r="AS503" s="728"/>
      <c r="AT503" s="729">
        <f t="shared" si="277"/>
        <v>0</v>
      </c>
      <c r="AU503" s="946"/>
      <c r="AV503" s="616"/>
      <c r="AW503" s="602">
        <f t="shared" si="265"/>
        <v>0</v>
      </c>
      <c r="AX503" s="940"/>
      <c r="AY503" s="602">
        <f t="shared" si="266"/>
        <v>0</v>
      </c>
      <c r="AZ503" s="940"/>
      <c r="BA503" s="962"/>
      <c r="BB503" s="962"/>
      <c r="BC503" s="611"/>
      <c r="BD503" s="712"/>
      <c r="BE503" s="596"/>
      <c r="BF503" s="596">
        <f t="shared" si="270"/>
        <v>0</v>
      </c>
      <c r="BG503" s="728"/>
      <c r="BH503" s="728"/>
      <c r="BI503" s="729">
        <f t="shared" si="261"/>
        <v>0</v>
      </c>
      <c r="BJ503" s="729"/>
      <c r="BK503" s="616"/>
      <c r="BL503" s="603">
        <f t="shared" si="269"/>
        <v>0</v>
      </c>
      <c r="BM503" s="964"/>
      <c r="BN503" s="602">
        <f t="shared" si="285"/>
        <v>0</v>
      </c>
      <c r="BO503" s="940"/>
      <c r="BP503" s="593">
        <f t="shared" si="275"/>
        <v>0</v>
      </c>
      <c r="BS503" s="741">
        <v>0</v>
      </c>
      <c r="BT503" s="741">
        <v>0</v>
      </c>
      <c r="BU503" s="741">
        <f t="shared" si="280"/>
        <v>0</v>
      </c>
      <c r="BV503" s="741">
        <v>0</v>
      </c>
      <c r="BW503" s="741"/>
      <c r="BX503" s="741">
        <v>0</v>
      </c>
      <c r="BY503" s="741">
        <v>0</v>
      </c>
      <c r="BZ503" s="741">
        <f t="shared" si="262"/>
        <v>0</v>
      </c>
      <c r="CA503" s="741">
        <v>0</v>
      </c>
      <c r="CB503" s="741"/>
      <c r="CC503" s="741">
        <f t="shared" si="278"/>
        <v>0</v>
      </c>
      <c r="CD503" s="751"/>
      <c r="CE503" s="748"/>
      <c r="CF503" s="748"/>
      <c r="CG503" s="748">
        <f t="shared" si="279"/>
        <v>0</v>
      </c>
      <c r="CH503" s="759"/>
      <c r="CI503" s="742"/>
      <c r="CJ503" s="591">
        <f t="shared" si="276"/>
        <v>0</v>
      </c>
    </row>
    <row r="504" spans="1:88" s="594" customFormat="1" ht="28.9" customHeight="1" x14ac:dyDescent="0.25">
      <c r="A504" s="612" t="s">
        <v>130</v>
      </c>
      <c r="B504" s="612" t="s">
        <v>256</v>
      </c>
      <c r="C504" s="613" t="s">
        <v>200</v>
      </c>
      <c r="D504" s="182" t="s">
        <v>431</v>
      </c>
      <c r="E504" s="614">
        <v>3</v>
      </c>
      <c r="F504" s="612">
        <f>SUM(E504:E512)</f>
        <v>65.333333333333343</v>
      </c>
      <c r="G504" s="614">
        <v>3</v>
      </c>
      <c r="H504" s="612">
        <f>SUM(G504:G512)</f>
        <v>34</v>
      </c>
      <c r="I504" s="612">
        <f t="shared" si="267"/>
        <v>31.333333333333343</v>
      </c>
      <c r="J504" s="728">
        <f>1+4</f>
        <v>5</v>
      </c>
      <c r="K504" s="728">
        <f>2+2</f>
        <v>4</v>
      </c>
      <c r="L504" s="731">
        <f t="shared" si="259"/>
        <v>9</v>
      </c>
      <c r="M504" s="947">
        <f>SUM(L504:L512)</f>
        <v>149</v>
      </c>
      <c r="N504" s="617">
        <v>45</v>
      </c>
      <c r="O504" s="602">
        <f t="shared" si="283"/>
        <v>3</v>
      </c>
      <c r="P504" s="940">
        <f>SUM(O504:O512)</f>
        <v>65.333333333333343</v>
      </c>
      <c r="Q504" s="600">
        <f t="shared" si="273"/>
        <v>0</v>
      </c>
      <c r="R504" s="940">
        <f>SUM(Q504:Q512)</f>
        <v>0</v>
      </c>
      <c r="S504" s="596">
        <v>0</v>
      </c>
      <c r="T504" s="724">
        <f>SUM(S504:S512)</f>
        <v>20.333333333333332</v>
      </c>
      <c r="U504" s="728"/>
      <c r="V504" s="728"/>
      <c r="W504" s="731">
        <f t="shared" si="260"/>
        <v>0</v>
      </c>
      <c r="X504" s="947">
        <f>SUM(W504:W512)</f>
        <v>61</v>
      </c>
      <c r="Y504" s="616"/>
      <c r="Z504" s="602">
        <f t="shared" si="263"/>
        <v>0</v>
      </c>
      <c r="AA504" s="835">
        <f>SUM(Z504:Z512)</f>
        <v>20.333333333333332</v>
      </c>
      <c r="AB504" s="602">
        <f t="shared" si="264"/>
        <v>0</v>
      </c>
      <c r="AC504" s="940">
        <f>SUM(AB504:AB512)</f>
        <v>0</v>
      </c>
      <c r="AD504" s="955">
        <f>M504+X504</f>
        <v>210</v>
      </c>
      <c r="AE504" s="955">
        <f>R504+AC504</f>
        <v>0</v>
      </c>
      <c r="AF504" s="614">
        <v>1</v>
      </c>
      <c r="AG504" s="612">
        <f>SUM(AF504:AF512)</f>
        <v>29.000000000000004</v>
      </c>
      <c r="AH504" s="728">
        <v>2</v>
      </c>
      <c r="AI504" s="728">
        <v>1</v>
      </c>
      <c r="AJ504" s="729">
        <f t="shared" si="274"/>
        <v>3</v>
      </c>
      <c r="AK504" s="946">
        <f>SUM(AJ504:AJ512)</f>
        <v>74</v>
      </c>
      <c r="AL504" s="616">
        <v>15</v>
      </c>
      <c r="AM504" s="602">
        <f t="shared" si="268"/>
        <v>1</v>
      </c>
      <c r="AN504" s="835">
        <f>SUM(AM504:AM512)</f>
        <v>29.000000000000004</v>
      </c>
      <c r="AO504" s="835">
        <f t="shared" si="284"/>
        <v>0</v>
      </c>
      <c r="AP504" s="940">
        <f>SUM(AO504:AO512)</f>
        <v>0</v>
      </c>
      <c r="AQ504" s="722">
        <v>0</v>
      </c>
      <c r="AR504" s="728"/>
      <c r="AS504" s="728"/>
      <c r="AT504" s="729">
        <f t="shared" si="277"/>
        <v>0</v>
      </c>
      <c r="AU504" s="946">
        <f>SUM(AT504:AT512)</f>
        <v>12</v>
      </c>
      <c r="AV504" s="616"/>
      <c r="AW504" s="602">
        <f t="shared" si="265"/>
        <v>0</v>
      </c>
      <c r="AX504" s="940">
        <f>SUM(AW504:AW512)</f>
        <v>3.6666666666666665</v>
      </c>
      <c r="AY504" s="602">
        <f t="shared" si="266"/>
        <v>0</v>
      </c>
      <c r="AZ504" s="940">
        <f>SUM(AY504:AY512)</f>
        <v>0</v>
      </c>
      <c r="BA504" s="961">
        <f>AK504+AU504</f>
        <v>86</v>
      </c>
      <c r="BB504" s="961">
        <f>AP504+AZ504</f>
        <v>0</v>
      </c>
      <c r="BC504" s="614">
        <f>SUM(BD504:BD512)</f>
        <v>117</v>
      </c>
      <c r="BD504" s="716">
        <v>4</v>
      </c>
      <c r="BE504" s="612">
        <v>0</v>
      </c>
      <c r="BF504" s="596">
        <f t="shared" si="270"/>
        <v>4</v>
      </c>
      <c r="BG504" s="728">
        <f>2+4+1</f>
        <v>7</v>
      </c>
      <c r="BH504" s="728">
        <f>1+2+2</f>
        <v>5</v>
      </c>
      <c r="BI504" s="729">
        <f t="shared" si="261"/>
        <v>12</v>
      </c>
      <c r="BJ504" s="729">
        <f>SUM(BI504:BI512)</f>
        <v>307</v>
      </c>
      <c r="BK504" s="616">
        <f>100+50+50</f>
        <v>200</v>
      </c>
      <c r="BL504" s="603">
        <f t="shared" si="269"/>
        <v>4</v>
      </c>
      <c r="BM504" s="964">
        <f>SUM(BL504:BL512)</f>
        <v>119.56</v>
      </c>
      <c r="BN504" s="602">
        <f t="shared" si="285"/>
        <v>0</v>
      </c>
      <c r="BO504" s="940">
        <f>SUM(BN504:BN512)</f>
        <v>-2.5599999999999996</v>
      </c>
      <c r="BP504" s="593">
        <f t="shared" si="275"/>
        <v>-2.5599999999999996</v>
      </c>
      <c r="BS504" s="745">
        <v>0</v>
      </c>
      <c r="BT504" s="745">
        <v>0</v>
      </c>
      <c r="BU504" s="741">
        <f t="shared" si="280"/>
        <v>0</v>
      </c>
      <c r="BV504" s="745">
        <v>0</v>
      </c>
      <c r="BW504" s="745">
        <f>SUM(BV504:BV512)</f>
        <v>51.666666666666671</v>
      </c>
      <c r="BX504" s="745">
        <v>0</v>
      </c>
      <c r="BY504" s="745">
        <v>0</v>
      </c>
      <c r="BZ504" s="741">
        <f t="shared" si="262"/>
        <v>0</v>
      </c>
      <c r="CA504" s="745">
        <v>0</v>
      </c>
      <c r="CB504" s="745">
        <f>SUM(CA504:CA512)</f>
        <v>28</v>
      </c>
      <c r="CC504" s="741">
        <f t="shared" si="278"/>
        <v>0</v>
      </c>
      <c r="CD504" s="756">
        <f>SUM(CC504:CC512)</f>
        <v>79.666666666666671</v>
      </c>
      <c r="CE504" s="748">
        <f>2+4</f>
        <v>6</v>
      </c>
      <c r="CF504" s="748">
        <f>1+2</f>
        <v>3</v>
      </c>
      <c r="CG504" s="748">
        <f t="shared" si="279"/>
        <v>9</v>
      </c>
      <c r="CH504" s="766">
        <v>3</v>
      </c>
      <c r="CI504" s="745">
        <f>SUM(CH504:CH512)</f>
        <v>67</v>
      </c>
      <c r="CJ504" s="594">
        <f t="shared" si="276"/>
        <v>0</v>
      </c>
    </row>
    <row r="505" spans="1:88" ht="30" customHeight="1" x14ac:dyDescent="0.25">
      <c r="A505" s="596"/>
      <c r="B505" s="596" t="s">
        <v>256</v>
      </c>
      <c r="C505" s="597" t="s">
        <v>616</v>
      </c>
      <c r="D505" s="182" t="s">
        <v>437</v>
      </c>
      <c r="E505" s="598">
        <v>0</v>
      </c>
      <c r="F505" s="596">
        <v>0</v>
      </c>
      <c r="G505" s="598"/>
      <c r="H505" s="596"/>
      <c r="I505" s="596">
        <f t="shared" si="267"/>
        <v>0</v>
      </c>
      <c r="J505" s="728">
        <f>5</f>
        <v>5</v>
      </c>
      <c r="K505" s="728">
        <f>5</f>
        <v>5</v>
      </c>
      <c r="L505" s="731">
        <f t="shared" si="259"/>
        <v>10</v>
      </c>
      <c r="M505" s="947"/>
      <c r="N505" s="617"/>
      <c r="O505" s="602">
        <f t="shared" si="283"/>
        <v>0</v>
      </c>
      <c r="P505" s="940"/>
      <c r="Q505" s="600">
        <f t="shared" si="273"/>
        <v>0</v>
      </c>
      <c r="R505" s="940"/>
      <c r="S505" s="596">
        <v>0</v>
      </c>
      <c r="T505" s="724"/>
      <c r="U505" s="728"/>
      <c r="V505" s="728"/>
      <c r="W505" s="731">
        <f t="shared" si="260"/>
        <v>0</v>
      </c>
      <c r="X505" s="947"/>
      <c r="Y505" s="616"/>
      <c r="Z505" s="602">
        <f t="shared" si="263"/>
        <v>0</v>
      </c>
      <c r="AA505" s="835"/>
      <c r="AB505" s="602">
        <f t="shared" si="264"/>
        <v>0</v>
      </c>
      <c r="AC505" s="940"/>
      <c r="AD505" s="956"/>
      <c r="AE505" s="956"/>
      <c r="AF505" s="598"/>
      <c r="AG505" s="596"/>
      <c r="AH505" s="728"/>
      <c r="AI505" s="728"/>
      <c r="AJ505" s="729">
        <f t="shared" si="274"/>
        <v>0</v>
      </c>
      <c r="AK505" s="946"/>
      <c r="AL505" s="616"/>
      <c r="AM505" s="602">
        <f t="shared" si="268"/>
        <v>0</v>
      </c>
      <c r="AN505" s="835"/>
      <c r="AO505" s="835">
        <f t="shared" si="284"/>
        <v>0</v>
      </c>
      <c r="AP505" s="940"/>
      <c r="AQ505" s="722">
        <v>0</v>
      </c>
      <c r="AR505" s="728"/>
      <c r="AS505" s="728"/>
      <c r="AT505" s="729">
        <f t="shared" si="277"/>
        <v>0</v>
      </c>
      <c r="AU505" s="946"/>
      <c r="AV505" s="616"/>
      <c r="AW505" s="602">
        <f t="shared" si="265"/>
        <v>0</v>
      </c>
      <c r="AX505" s="940"/>
      <c r="AY505" s="602">
        <f t="shared" si="266"/>
        <v>0</v>
      </c>
      <c r="AZ505" s="940"/>
      <c r="BA505" s="962"/>
      <c r="BB505" s="962"/>
      <c r="BC505" s="598"/>
      <c r="BD505" s="665">
        <v>10</v>
      </c>
      <c r="BE505" s="596">
        <v>0</v>
      </c>
      <c r="BF505" s="596">
        <f t="shared" si="270"/>
        <v>10</v>
      </c>
      <c r="BG505" s="728">
        <v>5</v>
      </c>
      <c r="BH505" s="728">
        <v>5</v>
      </c>
      <c r="BI505" s="729">
        <f t="shared" si="261"/>
        <v>10</v>
      </c>
      <c r="BJ505" s="729"/>
      <c r="BK505" s="616">
        <v>500</v>
      </c>
      <c r="BL505" s="603">
        <f t="shared" si="269"/>
        <v>10</v>
      </c>
      <c r="BM505" s="964"/>
      <c r="BN505" s="602">
        <f t="shared" si="285"/>
        <v>0</v>
      </c>
      <c r="BO505" s="940"/>
      <c r="BP505" s="593">
        <f t="shared" si="275"/>
        <v>0</v>
      </c>
      <c r="BS505" s="741">
        <v>0</v>
      </c>
      <c r="BT505" s="741">
        <v>0</v>
      </c>
      <c r="BU505" s="741">
        <f t="shared" si="280"/>
        <v>0</v>
      </c>
      <c r="BV505" s="741">
        <v>0</v>
      </c>
      <c r="BW505" s="741"/>
      <c r="BX505" s="741">
        <v>0</v>
      </c>
      <c r="BY505" s="741">
        <v>0</v>
      </c>
      <c r="BZ505" s="741">
        <f t="shared" si="262"/>
        <v>0</v>
      </c>
      <c r="CA505" s="741">
        <v>0</v>
      </c>
      <c r="CB505" s="741"/>
      <c r="CC505" s="741">
        <f t="shared" si="278"/>
        <v>0</v>
      </c>
      <c r="CD505" s="751"/>
      <c r="CE505" s="748"/>
      <c r="CF505" s="748"/>
      <c r="CG505" s="748">
        <f t="shared" si="279"/>
        <v>0</v>
      </c>
      <c r="CH505" s="759"/>
      <c r="CI505" s="742"/>
      <c r="CJ505" s="591">
        <f t="shared" si="276"/>
        <v>0</v>
      </c>
    </row>
    <row r="506" spans="1:88" ht="40.5" customHeight="1" x14ac:dyDescent="0.25">
      <c r="A506" s="596" t="s">
        <v>130</v>
      </c>
      <c r="B506" s="596" t="s">
        <v>256</v>
      </c>
      <c r="C506" s="597" t="s">
        <v>257</v>
      </c>
      <c r="D506" s="182" t="s">
        <v>437</v>
      </c>
      <c r="E506" s="598">
        <v>14</v>
      </c>
      <c r="F506" s="596">
        <v>0</v>
      </c>
      <c r="G506" s="598">
        <v>0</v>
      </c>
      <c r="H506" s="596"/>
      <c r="I506" s="596">
        <f t="shared" si="267"/>
        <v>0</v>
      </c>
      <c r="J506" s="728">
        <f>27+9</f>
        <v>36</v>
      </c>
      <c r="K506" s="728"/>
      <c r="L506" s="731">
        <f t="shared" si="259"/>
        <v>36</v>
      </c>
      <c r="M506" s="947"/>
      <c r="N506" s="617">
        <f>45+165</f>
        <v>210</v>
      </c>
      <c r="O506" s="602">
        <f t="shared" si="283"/>
        <v>14</v>
      </c>
      <c r="P506" s="940"/>
      <c r="Q506" s="600">
        <f t="shared" si="273"/>
        <v>0</v>
      </c>
      <c r="R506" s="940"/>
      <c r="S506" s="596">
        <v>0</v>
      </c>
      <c r="T506" s="724"/>
      <c r="U506" s="728"/>
      <c r="V506" s="728"/>
      <c r="W506" s="731">
        <f t="shared" si="260"/>
        <v>0</v>
      </c>
      <c r="X506" s="947"/>
      <c r="Y506" s="616"/>
      <c r="Z506" s="602">
        <f t="shared" si="263"/>
        <v>0</v>
      </c>
      <c r="AA506" s="835"/>
      <c r="AB506" s="602">
        <f t="shared" si="264"/>
        <v>0</v>
      </c>
      <c r="AC506" s="940"/>
      <c r="AD506" s="956"/>
      <c r="AE506" s="956"/>
      <c r="AF506" s="598">
        <v>7</v>
      </c>
      <c r="AG506" s="596"/>
      <c r="AH506" s="728">
        <v>15</v>
      </c>
      <c r="AI506" s="728">
        <v>1</v>
      </c>
      <c r="AJ506" s="729">
        <f t="shared" si="274"/>
        <v>16</v>
      </c>
      <c r="AK506" s="946"/>
      <c r="AL506" s="616">
        <v>105</v>
      </c>
      <c r="AM506" s="602">
        <f t="shared" si="268"/>
        <v>7</v>
      </c>
      <c r="AN506" s="835"/>
      <c r="AO506" s="835">
        <f t="shared" si="284"/>
        <v>0</v>
      </c>
      <c r="AP506" s="940"/>
      <c r="AQ506" s="722">
        <v>0</v>
      </c>
      <c r="AR506" s="728"/>
      <c r="AS506" s="728"/>
      <c r="AT506" s="729">
        <f t="shared" si="277"/>
        <v>0</v>
      </c>
      <c r="AU506" s="946"/>
      <c r="AV506" s="616"/>
      <c r="AW506" s="602">
        <f t="shared" si="265"/>
        <v>0</v>
      </c>
      <c r="AX506" s="940"/>
      <c r="AY506" s="602">
        <f t="shared" si="266"/>
        <v>0</v>
      </c>
      <c r="AZ506" s="940"/>
      <c r="BA506" s="962"/>
      <c r="BB506" s="962"/>
      <c r="BC506" s="611"/>
      <c r="BD506" s="712">
        <v>21</v>
      </c>
      <c r="BE506" s="596">
        <v>0</v>
      </c>
      <c r="BF506" s="596">
        <f t="shared" si="270"/>
        <v>21</v>
      </c>
      <c r="BG506" s="728">
        <f>15+27+9</f>
        <v>51</v>
      </c>
      <c r="BH506" s="728">
        <v>1</v>
      </c>
      <c r="BI506" s="729">
        <f t="shared" si="261"/>
        <v>52</v>
      </c>
      <c r="BJ506" s="729"/>
      <c r="BK506" s="616">
        <f>350+550+150</f>
        <v>1050</v>
      </c>
      <c r="BL506" s="603">
        <f t="shared" si="269"/>
        <v>21</v>
      </c>
      <c r="BM506" s="964"/>
      <c r="BN506" s="602">
        <f t="shared" si="285"/>
        <v>0</v>
      </c>
      <c r="BO506" s="940"/>
      <c r="BP506" s="593">
        <f t="shared" si="275"/>
        <v>0</v>
      </c>
      <c r="BS506" s="741">
        <v>36</v>
      </c>
      <c r="BT506" s="741">
        <v>0</v>
      </c>
      <c r="BU506" s="741">
        <f t="shared" si="280"/>
        <v>36</v>
      </c>
      <c r="BV506" s="741">
        <v>14</v>
      </c>
      <c r="BW506" s="741"/>
      <c r="BX506" s="741">
        <v>15</v>
      </c>
      <c r="BY506" s="741">
        <v>1</v>
      </c>
      <c r="BZ506" s="741">
        <f t="shared" si="262"/>
        <v>16</v>
      </c>
      <c r="CA506" s="741">
        <v>7</v>
      </c>
      <c r="CB506" s="741"/>
      <c r="CC506" s="741">
        <f t="shared" si="278"/>
        <v>21</v>
      </c>
      <c r="CD506" s="751"/>
      <c r="CE506" s="748">
        <f>15+27</f>
        <v>42</v>
      </c>
      <c r="CF506" s="748">
        <v>1</v>
      </c>
      <c r="CG506" s="748">
        <f t="shared" si="279"/>
        <v>43</v>
      </c>
      <c r="CH506" s="759">
        <v>18</v>
      </c>
      <c r="CI506" s="742"/>
      <c r="CJ506" s="591">
        <f t="shared" si="276"/>
        <v>0</v>
      </c>
    </row>
    <row r="507" spans="1:88" ht="38.25" customHeight="1" x14ac:dyDescent="0.25">
      <c r="A507" s="596" t="s">
        <v>130</v>
      </c>
      <c r="B507" s="596" t="s">
        <v>256</v>
      </c>
      <c r="C507" s="597" t="s">
        <v>258</v>
      </c>
      <c r="D507" s="182" t="s">
        <v>431</v>
      </c>
      <c r="E507" s="598">
        <v>5</v>
      </c>
      <c r="F507" s="596">
        <v>0</v>
      </c>
      <c r="G507" s="598">
        <v>5</v>
      </c>
      <c r="H507" s="596"/>
      <c r="I507" s="596">
        <f t="shared" si="267"/>
        <v>0</v>
      </c>
      <c r="J507" s="728">
        <f>5+5+2+10</f>
        <v>22</v>
      </c>
      <c r="K507" s="728">
        <f>4+5+1+10</f>
        <v>20</v>
      </c>
      <c r="L507" s="731">
        <f t="shared" si="259"/>
        <v>42</v>
      </c>
      <c r="M507" s="947"/>
      <c r="N507" s="617">
        <v>75</v>
      </c>
      <c r="O507" s="602">
        <f t="shared" si="283"/>
        <v>5</v>
      </c>
      <c r="P507" s="940"/>
      <c r="Q507" s="600">
        <f t="shared" si="273"/>
        <v>0</v>
      </c>
      <c r="R507" s="940"/>
      <c r="S507" s="596">
        <v>0</v>
      </c>
      <c r="T507" s="724"/>
      <c r="U507" s="728"/>
      <c r="V507" s="728"/>
      <c r="W507" s="731">
        <f t="shared" si="260"/>
        <v>0</v>
      </c>
      <c r="X507" s="947"/>
      <c r="Y507" s="616"/>
      <c r="Z507" s="602">
        <f t="shared" si="263"/>
        <v>0</v>
      </c>
      <c r="AA507" s="835"/>
      <c r="AB507" s="602">
        <f t="shared" si="264"/>
        <v>0</v>
      </c>
      <c r="AC507" s="940"/>
      <c r="AD507" s="956"/>
      <c r="AE507" s="956"/>
      <c r="AF507" s="598">
        <v>4.666666666666667</v>
      </c>
      <c r="AG507" s="596"/>
      <c r="AH507" s="728">
        <f>3+5</f>
        <v>8</v>
      </c>
      <c r="AI507" s="728">
        <v>6</v>
      </c>
      <c r="AJ507" s="729">
        <f t="shared" si="274"/>
        <v>14</v>
      </c>
      <c r="AK507" s="946"/>
      <c r="AL507" s="616">
        <f>45+25</f>
        <v>70</v>
      </c>
      <c r="AM507" s="602">
        <f t="shared" si="268"/>
        <v>4.666666666666667</v>
      </c>
      <c r="AN507" s="835"/>
      <c r="AO507" s="835">
        <f t="shared" si="284"/>
        <v>0</v>
      </c>
      <c r="AP507" s="940"/>
      <c r="AQ507" s="722">
        <v>0</v>
      </c>
      <c r="AR507" s="728"/>
      <c r="AS507" s="728"/>
      <c r="AT507" s="729">
        <f t="shared" si="277"/>
        <v>0</v>
      </c>
      <c r="AU507" s="946"/>
      <c r="AV507" s="616"/>
      <c r="AW507" s="602">
        <f t="shared" si="265"/>
        <v>0</v>
      </c>
      <c r="AX507" s="940"/>
      <c r="AY507" s="602">
        <f t="shared" si="266"/>
        <v>0</v>
      </c>
      <c r="AZ507" s="940"/>
      <c r="BA507" s="962"/>
      <c r="BB507" s="962"/>
      <c r="BC507" s="611"/>
      <c r="BD507" s="712">
        <v>12</v>
      </c>
      <c r="BE507" s="596">
        <v>0</v>
      </c>
      <c r="BF507" s="596">
        <f t="shared" si="270"/>
        <v>12</v>
      </c>
      <c r="BG507" s="728">
        <f>2+3+2+5+5</f>
        <v>17</v>
      </c>
      <c r="BH507" s="728">
        <f>10+6+1+4</f>
        <v>21</v>
      </c>
      <c r="BI507" s="729">
        <f t="shared" si="261"/>
        <v>38</v>
      </c>
      <c r="BJ507" s="729"/>
      <c r="BK507" s="616">
        <f>200+150+50+150+82.5</f>
        <v>632.5</v>
      </c>
      <c r="BL507" s="603">
        <f t="shared" si="269"/>
        <v>12.65</v>
      </c>
      <c r="BM507" s="964"/>
      <c r="BN507" s="602">
        <f t="shared" si="285"/>
        <v>-0.65000000000000036</v>
      </c>
      <c r="BO507" s="940"/>
      <c r="BP507" s="593">
        <f t="shared" si="275"/>
        <v>0</v>
      </c>
      <c r="BS507" s="741">
        <v>0</v>
      </c>
      <c r="BT507" s="741">
        <v>0</v>
      </c>
      <c r="BU507" s="741">
        <f t="shared" si="280"/>
        <v>0</v>
      </c>
      <c r="BV507" s="741">
        <v>0</v>
      </c>
      <c r="BW507" s="741"/>
      <c r="BX507" s="741">
        <v>3</v>
      </c>
      <c r="BY507" s="741">
        <v>6</v>
      </c>
      <c r="BZ507" s="741">
        <f t="shared" si="262"/>
        <v>9</v>
      </c>
      <c r="CA507" s="741">
        <v>3</v>
      </c>
      <c r="CB507" s="741"/>
      <c r="CC507" s="741">
        <f t="shared" si="278"/>
        <v>3</v>
      </c>
      <c r="CD507" s="751"/>
      <c r="CE507" s="748">
        <f>2+3</f>
        <v>5</v>
      </c>
      <c r="CF507" s="748">
        <f>10+6</f>
        <v>16</v>
      </c>
      <c r="CG507" s="748">
        <f t="shared" si="279"/>
        <v>21</v>
      </c>
      <c r="CH507" s="759">
        <v>7</v>
      </c>
      <c r="CI507" s="742"/>
      <c r="CJ507" s="591">
        <f t="shared" si="276"/>
        <v>-0.65000000000000036</v>
      </c>
    </row>
    <row r="508" spans="1:88" ht="18.75" customHeight="1" x14ac:dyDescent="0.25">
      <c r="A508" s="596"/>
      <c r="B508" s="596" t="s">
        <v>256</v>
      </c>
      <c r="C508" s="597" t="s">
        <v>615</v>
      </c>
      <c r="D508" s="182" t="s">
        <v>431</v>
      </c>
      <c r="E508" s="598">
        <v>11.333333333333334</v>
      </c>
      <c r="F508" s="596">
        <v>0</v>
      </c>
      <c r="G508" s="598"/>
      <c r="H508" s="596"/>
      <c r="I508" s="596">
        <f t="shared" si="267"/>
        <v>0</v>
      </c>
      <c r="J508" s="728"/>
      <c r="K508" s="728"/>
      <c r="L508" s="731">
        <f t="shared" si="259"/>
        <v>0</v>
      </c>
      <c r="M508" s="947"/>
      <c r="N508" s="617">
        <v>170</v>
      </c>
      <c r="O508" s="602">
        <f t="shared" si="283"/>
        <v>11.333333333333334</v>
      </c>
      <c r="P508" s="940"/>
      <c r="Q508" s="600">
        <f t="shared" si="273"/>
        <v>0</v>
      </c>
      <c r="R508" s="940"/>
      <c r="S508" s="596">
        <v>0</v>
      </c>
      <c r="T508" s="724"/>
      <c r="U508" s="728"/>
      <c r="V508" s="728"/>
      <c r="W508" s="731">
        <f t="shared" si="260"/>
        <v>0</v>
      </c>
      <c r="X508" s="947"/>
      <c r="Y508" s="616"/>
      <c r="Z508" s="602">
        <f t="shared" si="263"/>
        <v>0</v>
      </c>
      <c r="AA508" s="835"/>
      <c r="AB508" s="602">
        <f t="shared" si="264"/>
        <v>0</v>
      </c>
      <c r="AC508" s="940"/>
      <c r="AD508" s="956"/>
      <c r="AE508" s="956"/>
      <c r="AF508" s="598">
        <v>1</v>
      </c>
      <c r="AG508" s="596"/>
      <c r="AH508" s="728"/>
      <c r="AI508" s="728"/>
      <c r="AJ508" s="729">
        <f t="shared" si="274"/>
        <v>0</v>
      </c>
      <c r="AK508" s="946"/>
      <c r="AL508" s="616">
        <v>15</v>
      </c>
      <c r="AM508" s="602">
        <f t="shared" si="268"/>
        <v>1</v>
      </c>
      <c r="AN508" s="835"/>
      <c r="AO508" s="835">
        <f t="shared" si="284"/>
        <v>0</v>
      </c>
      <c r="AP508" s="940"/>
      <c r="AQ508" s="722">
        <v>0</v>
      </c>
      <c r="AR508" s="728"/>
      <c r="AS508" s="728"/>
      <c r="AT508" s="729">
        <f t="shared" si="277"/>
        <v>0</v>
      </c>
      <c r="AU508" s="946"/>
      <c r="AV508" s="616"/>
      <c r="AW508" s="602">
        <f t="shared" si="265"/>
        <v>0</v>
      </c>
      <c r="AX508" s="940"/>
      <c r="AY508" s="602">
        <f t="shared" si="266"/>
        <v>0</v>
      </c>
      <c r="AZ508" s="940"/>
      <c r="BA508" s="962"/>
      <c r="BB508" s="962"/>
      <c r="BC508" s="611"/>
      <c r="BD508" s="712">
        <v>12</v>
      </c>
      <c r="BE508" s="596">
        <v>0</v>
      </c>
      <c r="BF508" s="596">
        <f t="shared" si="270"/>
        <v>12</v>
      </c>
      <c r="BG508" s="728">
        <f>10+6</f>
        <v>16</v>
      </c>
      <c r="BH508" s="728">
        <f>6+9</f>
        <v>15</v>
      </c>
      <c r="BI508" s="729">
        <f t="shared" si="261"/>
        <v>31</v>
      </c>
      <c r="BJ508" s="729"/>
      <c r="BK508" s="616">
        <f>50+264+300</f>
        <v>614</v>
      </c>
      <c r="BL508" s="603">
        <f t="shared" si="269"/>
        <v>12.28</v>
      </c>
      <c r="BM508" s="964"/>
      <c r="BN508" s="602">
        <f t="shared" si="285"/>
        <v>-0.27999999999999936</v>
      </c>
      <c r="BO508" s="940"/>
      <c r="BP508" s="593">
        <f t="shared" si="275"/>
        <v>0</v>
      </c>
      <c r="BS508" s="741">
        <v>15</v>
      </c>
      <c r="BT508" s="741">
        <v>16</v>
      </c>
      <c r="BU508" s="741">
        <f t="shared" si="280"/>
        <v>31</v>
      </c>
      <c r="BV508" s="741">
        <v>11.333333333333334</v>
      </c>
      <c r="BW508" s="741"/>
      <c r="BX508" s="741">
        <v>0</v>
      </c>
      <c r="BY508" s="741">
        <v>0</v>
      </c>
      <c r="BZ508" s="741">
        <f t="shared" si="262"/>
        <v>0</v>
      </c>
      <c r="CA508" s="741">
        <v>1</v>
      </c>
      <c r="CB508" s="741"/>
      <c r="CC508" s="741">
        <f t="shared" si="278"/>
        <v>12.333333333333334</v>
      </c>
      <c r="CD508" s="751"/>
      <c r="CE508" s="748"/>
      <c r="CF508" s="748"/>
      <c r="CG508" s="748">
        <f t="shared" si="279"/>
        <v>0</v>
      </c>
      <c r="CH508" s="759"/>
      <c r="CI508" s="742"/>
      <c r="CJ508" s="591">
        <f t="shared" si="276"/>
        <v>-0.27999999999999936</v>
      </c>
    </row>
    <row r="509" spans="1:88" ht="38.25" customHeight="1" x14ac:dyDescent="0.25">
      <c r="A509" s="596" t="s">
        <v>130</v>
      </c>
      <c r="B509" s="596" t="s">
        <v>256</v>
      </c>
      <c r="C509" s="597" t="s">
        <v>259</v>
      </c>
      <c r="D509" s="182" t="s">
        <v>437</v>
      </c>
      <c r="E509" s="598">
        <v>0</v>
      </c>
      <c r="F509" s="596">
        <v>0</v>
      </c>
      <c r="G509" s="598">
        <v>0</v>
      </c>
      <c r="H509" s="596"/>
      <c r="I509" s="596">
        <f t="shared" si="267"/>
        <v>0</v>
      </c>
      <c r="J509" s="728"/>
      <c r="K509" s="728"/>
      <c r="L509" s="731">
        <f t="shared" si="259"/>
        <v>0</v>
      </c>
      <c r="M509" s="947"/>
      <c r="N509" s="617"/>
      <c r="O509" s="602">
        <f t="shared" si="283"/>
        <v>0</v>
      </c>
      <c r="P509" s="940"/>
      <c r="Q509" s="600">
        <f t="shared" si="273"/>
        <v>0</v>
      </c>
      <c r="R509" s="940"/>
      <c r="S509" s="596">
        <v>20.333333333333332</v>
      </c>
      <c r="T509" s="724"/>
      <c r="U509" s="728">
        <v>57</v>
      </c>
      <c r="V509" s="728">
        <v>4</v>
      </c>
      <c r="W509" s="731">
        <f t="shared" si="260"/>
        <v>61</v>
      </c>
      <c r="X509" s="947"/>
      <c r="Y509" s="616">
        <v>305</v>
      </c>
      <c r="Z509" s="602">
        <f t="shared" si="263"/>
        <v>20.333333333333332</v>
      </c>
      <c r="AA509" s="835"/>
      <c r="AB509" s="602">
        <f t="shared" si="264"/>
        <v>0</v>
      </c>
      <c r="AC509" s="940"/>
      <c r="AD509" s="956"/>
      <c r="AE509" s="956"/>
      <c r="AF509" s="598">
        <v>0</v>
      </c>
      <c r="AG509" s="596"/>
      <c r="AH509" s="728"/>
      <c r="AI509" s="728"/>
      <c r="AJ509" s="729">
        <f t="shared" si="274"/>
        <v>0</v>
      </c>
      <c r="AK509" s="946"/>
      <c r="AL509" s="616"/>
      <c r="AM509" s="602">
        <f t="shared" si="268"/>
        <v>0</v>
      </c>
      <c r="AN509" s="835"/>
      <c r="AO509" s="835">
        <f t="shared" si="284"/>
        <v>0</v>
      </c>
      <c r="AP509" s="940"/>
      <c r="AQ509" s="722">
        <v>3.6666666666666665</v>
      </c>
      <c r="AR509" s="728">
        <v>10</v>
      </c>
      <c r="AS509" s="728">
        <v>2</v>
      </c>
      <c r="AT509" s="729">
        <f t="shared" si="277"/>
        <v>12</v>
      </c>
      <c r="AU509" s="946"/>
      <c r="AV509" s="616">
        <v>55</v>
      </c>
      <c r="AW509" s="602">
        <f t="shared" si="265"/>
        <v>3.6666666666666665</v>
      </c>
      <c r="AX509" s="940"/>
      <c r="AY509" s="602">
        <f t="shared" si="266"/>
        <v>0</v>
      </c>
      <c r="AZ509" s="940"/>
      <c r="BA509" s="962"/>
      <c r="BB509" s="962"/>
      <c r="BC509" s="611"/>
      <c r="BD509" s="712">
        <v>23</v>
      </c>
      <c r="BE509" s="596">
        <v>0</v>
      </c>
      <c r="BF509" s="596">
        <f t="shared" si="270"/>
        <v>23</v>
      </c>
      <c r="BG509" s="728">
        <f>57+10</f>
        <v>67</v>
      </c>
      <c r="BH509" s="728">
        <v>4</v>
      </c>
      <c r="BI509" s="729">
        <f t="shared" si="261"/>
        <v>71</v>
      </c>
      <c r="BJ509" s="729"/>
      <c r="BK509" s="616">
        <f>1151.5+185</f>
        <v>1336.5</v>
      </c>
      <c r="BL509" s="603">
        <f t="shared" si="269"/>
        <v>26.73</v>
      </c>
      <c r="BM509" s="964"/>
      <c r="BN509" s="602">
        <f t="shared" si="285"/>
        <v>-3.7300000000000004</v>
      </c>
      <c r="BO509" s="940"/>
      <c r="BP509" s="593">
        <f t="shared" si="275"/>
        <v>0</v>
      </c>
      <c r="BS509" s="741">
        <v>57</v>
      </c>
      <c r="BT509" s="741">
        <v>4</v>
      </c>
      <c r="BU509" s="741">
        <f t="shared" si="280"/>
        <v>61</v>
      </c>
      <c r="BV509" s="741">
        <v>20.333333333333332</v>
      </c>
      <c r="BW509" s="741"/>
      <c r="BX509" s="741">
        <v>10</v>
      </c>
      <c r="BY509" s="741">
        <v>2</v>
      </c>
      <c r="BZ509" s="741">
        <f t="shared" si="262"/>
        <v>12</v>
      </c>
      <c r="CA509" s="741">
        <v>3.6666666666666665</v>
      </c>
      <c r="CB509" s="741"/>
      <c r="CC509" s="741">
        <f t="shared" si="278"/>
        <v>24</v>
      </c>
      <c r="CD509" s="751"/>
      <c r="CE509" s="748">
        <f>57+10</f>
        <v>67</v>
      </c>
      <c r="CF509" s="748">
        <v>4</v>
      </c>
      <c r="CG509" s="748">
        <f t="shared" si="279"/>
        <v>71</v>
      </c>
      <c r="CH509" s="759">
        <v>23</v>
      </c>
      <c r="CI509" s="742"/>
      <c r="CJ509" s="591">
        <f t="shared" si="276"/>
        <v>-3.7300000000000004</v>
      </c>
    </row>
    <row r="510" spans="1:88" ht="21.6" customHeight="1" x14ac:dyDescent="0.25">
      <c r="A510" s="596" t="s">
        <v>130</v>
      </c>
      <c r="B510" s="596" t="s">
        <v>256</v>
      </c>
      <c r="C510" s="597" t="s">
        <v>260</v>
      </c>
      <c r="D510" s="182" t="s">
        <v>437</v>
      </c>
      <c r="E510" s="598">
        <v>26</v>
      </c>
      <c r="F510" s="596">
        <v>0</v>
      </c>
      <c r="G510" s="598">
        <v>26</v>
      </c>
      <c r="H510" s="596"/>
      <c r="I510" s="596">
        <f t="shared" si="267"/>
        <v>0</v>
      </c>
      <c r="J510" s="728">
        <f>29</f>
        <v>29</v>
      </c>
      <c r="K510" s="728">
        <f>5</f>
        <v>5</v>
      </c>
      <c r="L510" s="731">
        <f t="shared" si="259"/>
        <v>34</v>
      </c>
      <c r="M510" s="947"/>
      <c r="N510" s="617">
        <v>390</v>
      </c>
      <c r="O510" s="602">
        <f>N510/15</f>
        <v>26</v>
      </c>
      <c r="P510" s="940"/>
      <c r="Q510" s="600">
        <f t="shared" si="273"/>
        <v>0</v>
      </c>
      <c r="R510" s="940"/>
      <c r="S510" s="596">
        <v>0</v>
      </c>
      <c r="T510" s="724"/>
      <c r="U510" s="728"/>
      <c r="V510" s="728"/>
      <c r="W510" s="731">
        <f t="shared" si="260"/>
        <v>0</v>
      </c>
      <c r="X510" s="947"/>
      <c r="Y510" s="616"/>
      <c r="Z510" s="602">
        <f t="shared" si="263"/>
        <v>0</v>
      </c>
      <c r="AA510" s="835"/>
      <c r="AB510" s="602">
        <f t="shared" si="264"/>
        <v>0</v>
      </c>
      <c r="AC510" s="940"/>
      <c r="AD510" s="956"/>
      <c r="AE510" s="956"/>
      <c r="AF510" s="665">
        <v>5.666666666666667</v>
      </c>
      <c r="AG510" s="596"/>
      <c r="AH510" s="728">
        <f>6+5</f>
        <v>11</v>
      </c>
      <c r="AI510" s="728">
        <f>4+1</f>
        <v>5</v>
      </c>
      <c r="AJ510" s="729">
        <f t="shared" si="274"/>
        <v>16</v>
      </c>
      <c r="AK510" s="946"/>
      <c r="AL510" s="616">
        <f>55+30</f>
        <v>85</v>
      </c>
      <c r="AM510" s="602">
        <f t="shared" si="268"/>
        <v>5.666666666666667</v>
      </c>
      <c r="AN510" s="835"/>
      <c r="AO510" s="835">
        <f t="shared" si="284"/>
        <v>0</v>
      </c>
      <c r="AP510" s="940"/>
      <c r="AQ510" s="722">
        <v>0</v>
      </c>
      <c r="AR510" s="728"/>
      <c r="AS510" s="728"/>
      <c r="AT510" s="729">
        <f t="shared" si="277"/>
        <v>0</v>
      </c>
      <c r="AU510" s="946"/>
      <c r="AV510" s="616"/>
      <c r="AW510" s="602">
        <f t="shared" si="265"/>
        <v>0</v>
      </c>
      <c r="AX510" s="940"/>
      <c r="AY510" s="602">
        <f t="shared" si="266"/>
        <v>0</v>
      </c>
      <c r="AZ510" s="940"/>
      <c r="BA510" s="962"/>
      <c r="BB510" s="962"/>
      <c r="BC510" s="611"/>
      <c r="BD510" s="712">
        <v>21</v>
      </c>
      <c r="BE510" s="596">
        <v>0</v>
      </c>
      <c r="BF510" s="596">
        <f t="shared" si="270"/>
        <v>21</v>
      </c>
      <c r="BG510" s="728">
        <f>6+30+5</f>
        <v>41</v>
      </c>
      <c r="BH510" s="728">
        <f>5+6+0</f>
        <v>11</v>
      </c>
      <c r="BI510" s="729">
        <f t="shared" si="261"/>
        <v>52</v>
      </c>
      <c r="BJ510" s="729"/>
      <c r="BK510" s="616">
        <f>198.5+613+85</f>
        <v>896.5</v>
      </c>
      <c r="BL510" s="603">
        <f t="shared" si="269"/>
        <v>17.93</v>
      </c>
      <c r="BM510" s="964"/>
      <c r="BN510" s="602">
        <f t="shared" si="285"/>
        <v>3.0700000000000003</v>
      </c>
      <c r="BO510" s="940"/>
      <c r="BP510" s="593">
        <f t="shared" si="275"/>
        <v>0</v>
      </c>
      <c r="BS510" s="741">
        <v>0</v>
      </c>
      <c r="BT510" s="741">
        <v>0</v>
      </c>
      <c r="BU510" s="741">
        <f t="shared" si="280"/>
        <v>0</v>
      </c>
      <c r="BV510" s="741">
        <v>0</v>
      </c>
      <c r="BW510" s="741"/>
      <c r="BX510" s="741">
        <v>6</v>
      </c>
      <c r="BY510" s="741">
        <v>4</v>
      </c>
      <c r="BZ510" s="741">
        <f t="shared" si="262"/>
        <v>10</v>
      </c>
      <c r="CA510" s="741">
        <v>3.6666666666666665</v>
      </c>
      <c r="CB510" s="741"/>
      <c r="CC510" s="741">
        <f t="shared" si="278"/>
        <v>3.6666666666666665</v>
      </c>
      <c r="CD510" s="751"/>
      <c r="CE510" s="748">
        <v>6</v>
      </c>
      <c r="CF510" s="748">
        <v>5</v>
      </c>
      <c r="CG510" s="748">
        <f t="shared" si="279"/>
        <v>11</v>
      </c>
      <c r="CH510" s="759">
        <v>3</v>
      </c>
      <c r="CI510" s="742"/>
      <c r="CJ510" s="591">
        <f t="shared" si="276"/>
        <v>3.0700000000000003</v>
      </c>
    </row>
    <row r="511" spans="1:88" ht="21.6" customHeight="1" x14ac:dyDescent="0.25">
      <c r="A511" s="596" t="s">
        <v>130</v>
      </c>
      <c r="B511" s="596" t="s">
        <v>256</v>
      </c>
      <c r="C511" s="597" t="s">
        <v>261</v>
      </c>
      <c r="D511" s="688" t="s">
        <v>437</v>
      </c>
      <c r="E511" s="598">
        <v>6</v>
      </c>
      <c r="F511" s="596">
        <v>0</v>
      </c>
      <c r="G511" s="598">
        <v>0</v>
      </c>
      <c r="H511" s="596"/>
      <c r="I511" s="596">
        <f t="shared" si="267"/>
        <v>0</v>
      </c>
      <c r="J511" s="728">
        <f>1+5</f>
        <v>6</v>
      </c>
      <c r="K511" s="728">
        <f>2+10</f>
        <v>12</v>
      </c>
      <c r="L511" s="731">
        <f t="shared" si="259"/>
        <v>18</v>
      </c>
      <c r="M511" s="947"/>
      <c r="N511" s="617">
        <f>15+75</f>
        <v>90</v>
      </c>
      <c r="O511" s="602">
        <f t="shared" si="283"/>
        <v>6</v>
      </c>
      <c r="P511" s="940"/>
      <c r="Q511" s="600">
        <f t="shared" si="273"/>
        <v>0</v>
      </c>
      <c r="R511" s="940"/>
      <c r="S511" s="596">
        <v>0</v>
      </c>
      <c r="T511" s="724"/>
      <c r="U511" s="728"/>
      <c r="V511" s="728"/>
      <c r="W511" s="731">
        <f t="shared" si="260"/>
        <v>0</v>
      </c>
      <c r="X511" s="947"/>
      <c r="Y511" s="616"/>
      <c r="Z511" s="602">
        <f t="shared" si="263"/>
        <v>0</v>
      </c>
      <c r="AA511" s="835"/>
      <c r="AB511" s="602">
        <f t="shared" si="264"/>
        <v>0</v>
      </c>
      <c r="AC511" s="940"/>
      <c r="AD511" s="956"/>
      <c r="AE511" s="956"/>
      <c r="AF511" s="665">
        <v>3</v>
      </c>
      <c r="AG511" s="596"/>
      <c r="AH511" s="728">
        <v>5</v>
      </c>
      <c r="AI511" s="728">
        <v>4</v>
      </c>
      <c r="AJ511" s="729">
        <f t="shared" si="274"/>
        <v>9</v>
      </c>
      <c r="AK511" s="946"/>
      <c r="AL511" s="616">
        <v>45</v>
      </c>
      <c r="AM511" s="602">
        <f t="shared" si="268"/>
        <v>3</v>
      </c>
      <c r="AN511" s="835"/>
      <c r="AO511" s="835">
        <f t="shared" si="284"/>
        <v>0</v>
      </c>
      <c r="AP511" s="940"/>
      <c r="AQ511" s="722">
        <v>0</v>
      </c>
      <c r="AR511" s="728"/>
      <c r="AS511" s="728"/>
      <c r="AT511" s="729">
        <f t="shared" si="277"/>
        <v>0</v>
      </c>
      <c r="AU511" s="946"/>
      <c r="AV511" s="616"/>
      <c r="AW511" s="602">
        <f t="shared" si="265"/>
        <v>0</v>
      </c>
      <c r="AX511" s="940"/>
      <c r="AY511" s="602">
        <f t="shared" si="266"/>
        <v>0</v>
      </c>
      <c r="AZ511" s="940"/>
      <c r="BA511" s="962"/>
      <c r="BB511" s="962"/>
      <c r="BC511" s="611"/>
      <c r="BD511" s="712">
        <v>8</v>
      </c>
      <c r="BE511" s="596">
        <v>0</v>
      </c>
      <c r="BF511" s="596">
        <f t="shared" si="270"/>
        <v>8</v>
      </c>
      <c r="BG511" s="728">
        <f>4+5+2</f>
        <v>11</v>
      </c>
      <c r="BH511" s="728">
        <f>9+4+1</f>
        <v>14</v>
      </c>
      <c r="BI511" s="729">
        <f t="shared" si="261"/>
        <v>25</v>
      </c>
      <c r="BJ511" s="729"/>
      <c r="BK511" s="616">
        <f>150+216.5+50</f>
        <v>416.5</v>
      </c>
      <c r="BL511" s="603">
        <f t="shared" si="269"/>
        <v>8.33</v>
      </c>
      <c r="BM511" s="964"/>
      <c r="BN511" s="602">
        <f t="shared" si="285"/>
        <v>-0.33000000000000007</v>
      </c>
      <c r="BO511" s="940"/>
      <c r="BP511" s="593">
        <f t="shared" si="275"/>
        <v>0</v>
      </c>
      <c r="BS511" s="741">
        <v>6</v>
      </c>
      <c r="BT511" s="741">
        <v>12</v>
      </c>
      <c r="BU511" s="741">
        <f t="shared" si="280"/>
        <v>18</v>
      </c>
      <c r="BV511" s="741">
        <v>6</v>
      </c>
      <c r="BW511" s="741"/>
      <c r="BX511" s="741">
        <v>5</v>
      </c>
      <c r="BY511" s="741">
        <v>4</v>
      </c>
      <c r="BZ511" s="741">
        <f t="shared" si="262"/>
        <v>9</v>
      </c>
      <c r="CA511" s="741">
        <v>3</v>
      </c>
      <c r="CB511" s="741"/>
      <c r="CC511" s="741">
        <f t="shared" si="278"/>
        <v>9</v>
      </c>
      <c r="CD511" s="751"/>
      <c r="CE511" s="748">
        <f>4+5</f>
        <v>9</v>
      </c>
      <c r="CF511" s="748">
        <f>9+4</f>
        <v>13</v>
      </c>
      <c r="CG511" s="748">
        <f t="shared" si="279"/>
        <v>22</v>
      </c>
      <c r="CH511" s="759">
        <v>7</v>
      </c>
      <c r="CI511" s="742"/>
      <c r="CJ511" s="591">
        <f t="shared" si="276"/>
        <v>-0.33000000000000007</v>
      </c>
    </row>
    <row r="512" spans="1:88" ht="21.6" customHeight="1" x14ac:dyDescent="0.25">
      <c r="B512" s="596" t="s">
        <v>256</v>
      </c>
      <c r="C512" s="597" t="s">
        <v>756</v>
      </c>
      <c r="D512" s="182" t="s">
        <v>431</v>
      </c>
      <c r="E512" s="597"/>
      <c r="F512" s="596"/>
      <c r="G512" s="596"/>
      <c r="H512" s="596"/>
      <c r="I512" s="596"/>
      <c r="J512" s="728"/>
      <c r="K512" s="728"/>
      <c r="L512" s="731">
        <f t="shared" si="259"/>
        <v>0</v>
      </c>
      <c r="M512" s="947"/>
      <c r="N512" s="616"/>
      <c r="O512" s="835"/>
      <c r="P512" s="940"/>
      <c r="Q512" s="600"/>
      <c r="R512" s="940"/>
      <c r="S512" s="596"/>
      <c r="T512" s="724"/>
      <c r="U512" s="728"/>
      <c r="V512" s="728"/>
      <c r="W512" s="731">
        <f t="shared" si="260"/>
        <v>0</v>
      </c>
      <c r="X512" s="947"/>
      <c r="Y512" s="616"/>
      <c r="Z512" s="835"/>
      <c r="AA512" s="835"/>
      <c r="AB512" s="835"/>
      <c r="AC512" s="940"/>
      <c r="AD512" s="956"/>
      <c r="AE512" s="956"/>
      <c r="AF512" s="665">
        <v>6.666666666666667</v>
      </c>
      <c r="AG512" s="596"/>
      <c r="AH512" s="728">
        <v>14</v>
      </c>
      <c r="AI512" s="728">
        <v>2</v>
      </c>
      <c r="AJ512" s="729">
        <f t="shared" si="274"/>
        <v>16</v>
      </c>
      <c r="AK512" s="946"/>
      <c r="AL512" s="616">
        <v>100</v>
      </c>
      <c r="AM512" s="602">
        <f t="shared" si="268"/>
        <v>6.666666666666667</v>
      </c>
      <c r="AN512" s="835"/>
      <c r="AO512" s="835">
        <f t="shared" si="284"/>
        <v>0</v>
      </c>
      <c r="AP512" s="940"/>
      <c r="AQ512" s="722"/>
      <c r="AR512" s="728"/>
      <c r="AS512" s="728"/>
      <c r="AT512" s="729">
        <f t="shared" si="277"/>
        <v>0</v>
      </c>
      <c r="AU512" s="946"/>
      <c r="AV512" s="616"/>
      <c r="AW512" s="602">
        <f t="shared" si="265"/>
        <v>0</v>
      </c>
      <c r="AX512" s="940"/>
      <c r="AY512" s="602">
        <f t="shared" si="266"/>
        <v>0</v>
      </c>
      <c r="AZ512" s="940"/>
      <c r="BA512" s="962"/>
      <c r="BB512" s="962"/>
      <c r="BC512" s="596"/>
      <c r="BD512" s="665">
        <v>6</v>
      </c>
      <c r="BE512" s="596"/>
      <c r="BF512" s="596"/>
      <c r="BG512" s="728">
        <v>14</v>
      </c>
      <c r="BH512" s="728">
        <v>2</v>
      </c>
      <c r="BI512" s="729">
        <f t="shared" si="261"/>
        <v>16</v>
      </c>
      <c r="BJ512" s="729"/>
      <c r="BK512" s="616">
        <v>332</v>
      </c>
      <c r="BL512" s="603">
        <f t="shared" si="269"/>
        <v>6.64</v>
      </c>
      <c r="BM512" s="964"/>
      <c r="BN512" s="602">
        <f t="shared" si="285"/>
        <v>-0.63999999999999968</v>
      </c>
      <c r="BO512" s="940"/>
      <c r="BP512" s="593">
        <f t="shared" si="275"/>
        <v>0</v>
      </c>
      <c r="BS512" s="747">
        <v>0</v>
      </c>
      <c r="BT512" s="747">
        <v>0</v>
      </c>
      <c r="BU512" s="747">
        <f t="shared" si="280"/>
        <v>0</v>
      </c>
      <c r="BV512" s="747">
        <v>0</v>
      </c>
      <c r="BW512" s="747"/>
      <c r="BX512" s="747">
        <v>14</v>
      </c>
      <c r="BY512" s="747">
        <v>2</v>
      </c>
      <c r="BZ512" s="747">
        <f t="shared" si="262"/>
        <v>16</v>
      </c>
      <c r="CA512" s="747">
        <v>6.666666666666667</v>
      </c>
      <c r="CB512" s="747"/>
      <c r="CC512" s="747">
        <f t="shared" si="278"/>
        <v>6.666666666666667</v>
      </c>
      <c r="CD512" s="758"/>
      <c r="CE512" s="749">
        <v>14</v>
      </c>
      <c r="CF512" s="749">
        <v>2</v>
      </c>
      <c r="CG512" s="749">
        <f t="shared" si="279"/>
        <v>16</v>
      </c>
      <c r="CH512" s="768">
        <v>6</v>
      </c>
      <c r="CI512" s="747"/>
      <c r="CJ512" s="591">
        <f t="shared" si="276"/>
        <v>-0.63999999999999968</v>
      </c>
    </row>
  </sheetData>
  <sortState ref="A370:CZ388">
    <sortCondition ref="C370:C388"/>
  </sortState>
  <mergeCells count="49">
    <mergeCell ref="CH4:CI4"/>
    <mergeCell ref="CE2:CI3"/>
    <mergeCell ref="BS1:CI1"/>
    <mergeCell ref="BS2:BW3"/>
    <mergeCell ref="BV4:BW4"/>
    <mergeCell ref="CA4:CB4"/>
    <mergeCell ref="CC2:CD4"/>
    <mergeCell ref="BX2:CB3"/>
    <mergeCell ref="AL4:AM4"/>
    <mergeCell ref="BK4:BL4"/>
    <mergeCell ref="AL3:AN3"/>
    <mergeCell ref="AO3:AP3"/>
    <mergeCell ref="BK3:BM3"/>
    <mergeCell ref="AV4:AW4"/>
    <mergeCell ref="BC2:BD3"/>
    <mergeCell ref="BG3:BJ3"/>
    <mergeCell ref="Y4:Z4"/>
    <mergeCell ref="Y3:AA3"/>
    <mergeCell ref="AB3:AC3"/>
    <mergeCell ref="S2:T3"/>
    <mergeCell ref="J2:R2"/>
    <mergeCell ref="U2:AC2"/>
    <mergeCell ref="B2:B4"/>
    <mergeCell ref="C2:C4"/>
    <mergeCell ref="N3:P3"/>
    <mergeCell ref="Q3:R3"/>
    <mergeCell ref="N4:O4"/>
    <mergeCell ref="J3:M3"/>
    <mergeCell ref="G4:H4"/>
    <mergeCell ref="CJ2:CJ3"/>
    <mergeCell ref="BC1:BO1"/>
    <mergeCell ref="BG2:BO2"/>
    <mergeCell ref="AV3:AX3"/>
    <mergeCell ref="AY3:AZ3"/>
    <mergeCell ref="BN3:BO3"/>
    <mergeCell ref="AR2:AZ2"/>
    <mergeCell ref="E1:AE1"/>
    <mergeCell ref="E2:I3"/>
    <mergeCell ref="AD2:AD3"/>
    <mergeCell ref="AE2:AE3"/>
    <mergeCell ref="U3:X3"/>
    <mergeCell ref="AF2:AG3"/>
    <mergeCell ref="AH3:AK3"/>
    <mergeCell ref="AQ2:AQ3"/>
    <mergeCell ref="AR3:AU3"/>
    <mergeCell ref="AF1:BB1"/>
    <mergeCell ref="BA2:BA3"/>
    <mergeCell ref="BB2:BB3"/>
    <mergeCell ref="AH2:AP2"/>
  </mergeCells>
  <pageMargins left="0.5" right="0.25" top="0.5" bottom="0.25" header="0.3" footer="0.3"/>
  <pageSetup paperSize="14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0" tint="-0.249977111117893"/>
  </sheetPr>
  <dimension ref="A1:EN884"/>
  <sheetViews>
    <sheetView zoomScaleNormal="10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F15" sqref="F15"/>
    </sheetView>
  </sheetViews>
  <sheetFormatPr defaultColWidth="8.85546875" defaultRowHeight="21.6" customHeight="1" x14ac:dyDescent="0.25"/>
  <cols>
    <col min="1" max="1" width="6" style="619" customWidth="1"/>
    <col min="2" max="2" width="1.5703125" style="619" customWidth="1"/>
    <col min="3" max="3" width="2.85546875" style="619" customWidth="1"/>
    <col min="4" max="4" width="17.28515625" style="639" customWidth="1"/>
    <col min="5" max="5" width="5" style="639" customWidth="1"/>
    <col min="6" max="6" width="18.7109375" style="804" customWidth="1"/>
    <col min="7" max="7" width="5.28515625" style="641" customWidth="1"/>
    <col min="8" max="8" width="6.7109375" style="642" customWidth="1"/>
    <col min="9" max="9" width="7.42578125" style="643" customWidth="1"/>
    <col min="10" max="10" width="5.5703125" style="644" customWidth="1"/>
    <col min="11" max="11" width="10.28515625" style="803" customWidth="1"/>
    <col min="12" max="14" width="9.140625" style="319" customWidth="1"/>
    <col min="15" max="15" width="9.140625" style="320" customWidth="1"/>
    <col min="16" max="16" width="9.7109375" style="320" customWidth="1"/>
    <col min="17" max="17" width="9.140625" style="320" customWidth="1"/>
    <col min="18" max="18" width="3" style="645" customWidth="1"/>
    <col min="19" max="19" width="10.28515625" style="318" customWidth="1"/>
    <col min="20" max="21" width="10" style="317" customWidth="1"/>
    <col min="22" max="22" width="10.140625" style="396" customWidth="1"/>
    <col min="23" max="23" width="11.5703125" style="396" customWidth="1"/>
    <col min="24" max="24" width="10.42578125" style="396" customWidth="1"/>
    <col min="25" max="25" width="10.7109375" style="619" customWidth="1"/>
    <col min="26" max="26" width="12.7109375" style="619" customWidth="1"/>
    <col min="27" max="27" width="11.5703125" style="641" customWidth="1"/>
    <col min="28" max="28" width="9.140625" style="647" customWidth="1"/>
    <col min="29" max="31" width="9.140625" style="95" customWidth="1"/>
    <col min="32" max="32" width="9.140625" style="647" customWidth="1"/>
    <col min="33" max="33" width="10" style="647" customWidth="1"/>
    <col min="34" max="36" width="9.140625" style="95" customWidth="1"/>
    <col min="37" max="37" width="9.140625" style="647" customWidth="1"/>
    <col min="38" max="38" width="32.28515625" style="640" customWidth="1"/>
    <col min="39" max="39" width="15.7109375" style="640" customWidth="1"/>
    <col min="40" max="81" width="8.85546875" style="139"/>
    <col min="82" max="16384" width="8.85546875" style="619"/>
  </cols>
  <sheetData>
    <row r="1" spans="1:144" s="646" customFormat="1" ht="21.6" customHeight="1" x14ac:dyDescent="0.25">
      <c r="D1" s="1094"/>
      <c r="F1" s="801"/>
      <c r="K1" s="801"/>
      <c r="AB1" s="660"/>
      <c r="AC1" s="978"/>
      <c r="AD1" s="978"/>
      <c r="AE1" s="978"/>
      <c r="AF1" s="660"/>
      <c r="AG1" s="660"/>
      <c r="AH1" s="978"/>
      <c r="AI1" s="978"/>
      <c r="AJ1" s="978"/>
      <c r="AK1" s="660"/>
    </row>
    <row r="2" spans="1:144" ht="20.45" hidden="1" customHeight="1" x14ac:dyDescent="0.25">
      <c r="A2" s="1498" t="s">
        <v>671</v>
      </c>
      <c r="B2" s="1498"/>
      <c r="C2" s="1498"/>
      <c r="D2" s="1498"/>
      <c r="E2" s="1498"/>
      <c r="F2" s="1498"/>
      <c r="G2" s="1498"/>
      <c r="H2" s="1498"/>
      <c r="I2" s="1498"/>
      <c r="J2" s="1498"/>
      <c r="K2" s="1498"/>
      <c r="L2" s="1498"/>
      <c r="M2" s="1498"/>
      <c r="N2" s="1498"/>
      <c r="O2" s="1498"/>
      <c r="P2" s="1498"/>
      <c r="Q2" s="1498"/>
      <c r="R2" s="1498"/>
      <c r="S2" s="1498"/>
      <c r="T2" s="1498"/>
      <c r="U2" s="1498"/>
      <c r="V2" s="1498"/>
      <c r="W2" s="1498"/>
      <c r="X2" s="1498"/>
      <c r="Y2" s="139"/>
      <c r="Z2" s="139"/>
      <c r="AA2" s="647"/>
      <c r="AL2" s="618"/>
      <c r="AM2" s="618">
        <v>9163177995</v>
      </c>
      <c r="AN2" s="1497" t="s">
        <v>739</v>
      </c>
      <c r="AO2" s="1497"/>
      <c r="AP2" s="1497"/>
    </row>
    <row r="3" spans="1:144" s="622" customFormat="1" ht="21.6" customHeight="1" x14ac:dyDescent="0.25">
      <c r="A3" s="1507" t="s">
        <v>3</v>
      </c>
      <c r="B3" s="836"/>
      <c r="C3" s="836"/>
      <c r="D3" s="1086"/>
      <c r="E3" s="1508" t="s">
        <v>430</v>
      </c>
      <c r="F3" s="1509" t="s">
        <v>4</v>
      </c>
      <c r="G3" s="1507"/>
      <c r="H3" s="1501" t="s">
        <v>266</v>
      </c>
      <c r="I3" s="1502" t="s">
        <v>272</v>
      </c>
      <c r="J3" s="1503" t="s">
        <v>670</v>
      </c>
      <c r="K3" s="1503"/>
      <c r="L3" s="1500" t="s">
        <v>423</v>
      </c>
      <c r="M3" s="1500"/>
      <c r="N3" s="1500"/>
      <c r="O3" s="1500"/>
      <c r="P3" s="1500"/>
      <c r="Q3" s="1500"/>
      <c r="R3" s="853"/>
      <c r="S3" s="1504" t="s">
        <v>268</v>
      </c>
      <c r="T3" s="1504"/>
      <c r="U3" s="1504"/>
      <c r="V3" s="1500" t="s">
        <v>662</v>
      </c>
      <c r="W3" s="1500"/>
      <c r="X3" s="1500"/>
      <c r="Y3" s="1513" t="s">
        <v>6</v>
      </c>
      <c r="Z3" s="1513"/>
      <c r="AA3" s="1513"/>
      <c r="AB3" s="1505" t="s">
        <v>769</v>
      </c>
      <c r="AC3" s="1514" t="s">
        <v>789</v>
      </c>
      <c r="AD3" s="1514"/>
      <c r="AE3" s="1514"/>
      <c r="AF3" s="1514"/>
      <c r="AG3" s="1514"/>
      <c r="AH3" s="1514"/>
      <c r="AI3" s="1514"/>
      <c r="AJ3" s="1514"/>
      <c r="AK3" s="1514"/>
      <c r="AL3" s="1510" t="s">
        <v>711</v>
      </c>
      <c r="AM3" s="1511"/>
      <c r="AN3" s="1506" t="s">
        <v>738</v>
      </c>
      <c r="AO3" s="1506"/>
      <c r="AP3" s="1506"/>
      <c r="AQ3" s="621"/>
      <c r="AR3" s="621"/>
      <c r="AS3" s="621"/>
      <c r="AT3" s="621"/>
      <c r="AU3" s="621"/>
      <c r="AV3" s="621"/>
      <c r="AW3" s="621"/>
      <c r="AX3" s="621"/>
      <c r="AY3" s="621"/>
      <c r="AZ3" s="621"/>
      <c r="BA3" s="621"/>
      <c r="BB3" s="621"/>
      <c r="BC3" s="621"/>
      <c r="BD3" s="621"/>
      <c r="BE3" s="621"/>
      <c r="BF3" s="621"/>
      <c r="BG3" s="621"/>
      <c r="BH3" s="621"/>
      <c r="BI3" s="621"/>
      <c r="BJ3" s="621"/>
      <c r="BK3" s="621"/>
      <c r="BL3" s="621"/>
      <c r="BM3" s="621"/>
      <c r="BN3" s="621"/>
      <c r="BO3" s="621"/>
      <c r="BP3" s="621"/>
      <c r="BQ3" s="621"/>
      <c r="BR3" s="621"/>
      <c r="BS3" s="621"/>
      <c r="BT3" s="621"/>
      <c r="BU3" s="621"/>
      <c r="BV3" s="621"/>
      <c r="BW3" s="621"/>
      <c r="BX3" s="621"/>
      <c r="BY3" s="621"/>
      <c r="BZ3" s="621"/>
      <c r="CA3" s="621"/>
      <c r="CB3" s="621"/>
      <c r="CC3" s="621"/>
      <c r="CD3" s="620"/>
      <c r="CE3" s="620"/>
      <c r="CF3" s="620"/>
      <c r="CG3" s="620"/>
      <c r="CH3" s="620"/>
      <c r="CI3" s="620"/>
      <c r="CJ3" s="620"/>
      <c r="CK3" s="620"/>
      <c r="CL3" s="620"/>
      <c r="CM3" s="620"/>
      <c r="CN3" s="620"/>
      <c r="CO3" s="620"/>
      <c r="CP3" s="620"/>
      <c r="CQ3" s="620"/>
      <c r="CR3" s="620"/>
      <c r="CS3" s="620"/>
      <c r="CT3" s="620"/>
      <c r="CU3" s="620"/>
      <c r="CV3" s="620"/>
      <c r="CW3" s="620"/>
      <c r="CX3" s="620"/>
      <c r="CY3" s="620"/>
      <c r="CZ3" s="620"/>
      <c r="DA3" s="620"/>
      <c r="DB3" s="620"/>
      <c r="DC3" s="620"/>
      <c r="DD3" s="620"/>
      <c r="DE3" s="620"/>
      <c r="DF3" s="620"/>
      <c r="DG3" s="620"/>
      <c r="DH3" s="620"/>
      <c r="DI3" s="620"/>
      <c r="DJ3" s="620"/>
      <c r="DK3" s="620"/>
      <c r="DL3" s="620"/>
      <c r="DM3" s="620"/>
      <c r="DN3" s="620"/>
      <c r="DO3" s="620"/>
      <c r="DP3" s="620"/>
      <c r="DQ3" s="620"/>
      <c r="DR3" s="620"/>
      <c r="DS3" s="620"/>
      <c r="DT3" s="620"/>
      <c r="DU3" s="620"/>
      <c r="DV3" s="620"/>
      <c r="DW3" s="620"/>
      <c r="DX3" s="620"/>
      <c r="DY3" s="620"/>
      <c r="DZ3" s="620"/>
      <c r="EA3" s="620"/>
      <c r="EB3" s="620"/>
      <c r="EC3" s="620"/>
      <c r="ED3" s="620"/>
      <c r="EE3" s="620"/>
      <c r="EF3" s="620"/>
      <c r="EG3" s="620"/>
      <c r="EH3" s="620"/>
      <c r="EI3" s="620"/>
      <c r="EJ3" s="620"/>
      <c r="EK3" s="620"/>
      <c r="EL3" s="620"/>
      <c r="EM3" s="620"/>
      <c r="EN3" s="620"/>
    </row>
    <row r="4" spans="1:144" s="622" customFormat="1" ht="21.6" customHeight="1" x14ac:dyDescent="0.25">
      <c r="A4" s="1507"/>
      <c r="B4" s="836"/>
      <c r="C4" s="836"/>
      <c r="D4" s="1086"/>
      <c r="E4" s="1508"/>
      <c r="F4" s="1509"/>
      <c r="G4" s="1507"/>
      <c r="H4" s="1501"/>
      <c r="I4" s="1502"/>
      <c r="J4" s="1503"/>
      <c r="K4" s="1503"/>
      <c r="L4" s="1500"/>
      <c r="M4" s="1500"/>
      <c r="N4" s="1500"/>
      <c r="O4" s="1500"/>
      <c r="P4" s="1500"/>
      <c r="Q4" s="1500"/>
      <c r="R4" s="853"/>
      <c r="S4" s="1504"/>
      <c r="T4" s="1504"/>
      <c r="U4" s="1504"/>
      <c r="V4" s="1500"/>
      <c r="W4" s="1500"/>
      <c r="X4" s="1500"/>
      <c r="Y4" s="1513"/>
      <c r="Z4" s="1513"/>
      <c r="AA4" s="1513"/>
      <c r="AB4" s="1505"/>
      <c r="AC4" s="1516" t="s">
        <v>267</v>
      </c>
      <c r="AD4" s="1517"/>
      <c r="AE4" s="1517"/>
      <c r="AF4" s="1518"/>
      <c r="AG4" s="1514" t="s">
        <v>703</v>
      </c>
      <c r="AH4" s="1514"/>
      <c r="AI4" s="1514"/>
      <c r="AJ4" s="1514" t="s">
        <v>660</v>
      </c>
      <c r="AK4" s="1514"/>
      <c r="AL4" s="623" t="s">
        <v>712</v>
      </c>
      <c r="AM4" s="623" t="s">
        <v>713</v>
      </c>
      <c r="AN4" s="621" t="s">
        <v>735</v>
      </c>
      <c r="AO4" s="621" t="s">
        <v>736</v>
      </c>
      <c r="AP4" s="621" t="s">
        <v>737</v>
      </c>
      <c r="AQ4" s="621">
        <f>AQ5/10</f>
        <v>1800</v>
      </c>
      <c r="AR4" s="621"/>
      <c r="AS4" s="621"/>
      <c r="AT4" s="621"/>
      <c r="AU4" s="621"/>
      <c r="AV4" s="621"/>
      <c r="AW4" s="621"/>
      <c r="AX4" s="621"/>
      <c r="AY4" s="621"/>
      <c r="AZ4" s="621"/>
      <c r="BA4" s="621"/>
      <c r="BB4" s="621"/>
      <c r="BC4" s="621"/>
      <c r="BD4" s="621"/>
      <c r="BE4" s="621"/>
      <c r="BF4" s="621"/>
      <c r="BG4" s="621"/>
      <c r="BH4" s="621"/>
      <c r="BI4" s="621"/>
      <c r="BJ4" s="621"/>
      <c r="BK4" s="621"/>
      <c r="BL4" s="621"/>
      <c r="BM4" s="621"/>
      <c r="BN4" s="621"/>
      <c r="BO4" s="621"/>
      <c r="BP4" s="621"/>
      <c r="BQ4" s="621"/>
      <c r="BR4" s="621"/>
      <c r="BS4" s="621"/>
      <c r="BT4" s="621"/>
      <c r="BU4" s="621"/>
      <c r="BV4" s="621"/>
      <c r="BW4" s="621"/>
      <c r="BX4" s="621"/>
      <c r="BY4" s="621"/>
      <c r="BZ4" s="621"/>
      <c r="CA4" s="621"/>
      <c r="CB4" s="621"/>
      <c r="CC4" s="621"/>
      <c r="CD4" s="620"/>
      <c r="CE4" s="620"/>
      <c r="CF4" s="620"/>
      <c r="CG4" s="620"/>
      <c r="CH4" s="620"/>
      <c r="CI4" s="620"/>
      <c r="CJ4" s="620"/>
      <c r="CK4" s="620"/>
      <c r="CL4" s="620"/>
      <c r="CM4" s="620"/>
      <c r="CN4" s="620"/>
      <c r="CO4" s="620"/>
      <c r="CP4" s="620"/>
      <c r="CQ4" s="620"/>
      <c r="CR4" s="620"/>
      <c r="CS4" s="620"/>
      <c r="CT4" s="620"/>
      <c r="CU4" s="620"/>
      <c r="CV4" s="620"/>
      <c r="CW4" s="620"/>
      <c r="CX4" s="620"/>
      <c r="CY4" s="620"/>
      <c r="CZ4" s="620"/>
      <c r="DA4" s="620"/>
      <c r="DB4" s="620"/>
      <c r="DC4" s="620"/>
      <c r="DD4" s="620"/>
      <c r="DE4" s="620"/>
      <c r="DF4" s="620"/>
      <c r="DG4" s="620"/>
      <c r="DH4" s="620"/>
      <c r="DI4" s="620"/>
      <c r="DJ4" s="620"/>
      <c r="DK4" s="620"/>
      <c r="DL4" s="620"/>
      <c r="DM4" s="620"/>
      <c r="DN4" s="620"/>
      <c r="DO4" s="620"/>
      <c r="DP4" s="620"/>
      <c r="DQ4" s="620"/>
      <c r="DR4" s="620"/>
      <c r="DS4" s="620"/>
      <c r="DT4" s="620"/>
      <c r="DU4" s="620"/>
      <c r="DV4" s="620"/>
      <c r="DW4" s="620"/>
      <c r="DX4" s="620"/>
      <c r="DY4" s="620"/>
      <c r="DZ4" s="620"/>
      <c r="EA4" s="620"/>
      <c r="EB4" s="620"/>
      <c r="EC4" s="620"/>
      <c r="ED4" s="620"/>
      <c r="EE4" s="620"/>
      <c r="EF4" s="620"/>
      <c r="EG4" s="620"/>
      <c r="EH4" s="620"/>
      <c r="EI4" s="620"/>
      <c r="EJ4" s="620"/>
      <c r="EK4" s="620"/>
      <c r="EL4" s="620"/>
      <c r="EM4" s="620"/>
      <c r="EN4" s="620"/>
    </row>
    <row r="5" spans="1:144" s="622" customFormat="1" ht="21.6" customHeight="1" x14ac:dyDescent="0.25">
      <c r="A5" s="1507"/>
      <c r="B5" s="836"/>
      <c r="C5" s="836"/>
      <c r="D5" s="1086"/>
      <c r="E5" s="1508"/>
      <c r="F5" s="1509"/>
      <c r="G5" s="1507"/>
      <c r="H5" s="1501"/>
      <c r="I5" s="1502"/>
      <c r="J5" s="1503"/>
      <c r="K5" s="1503"/>
      <c r="L5" s="1512" t="s">
        <v>267</v>
      </c>
      <c r="M5" s="1512"/>
      <c r="N5" s="1512"/>
      <c r="O5" s="1499" t="s">
        <v>277</v>
      </c>
      <c r="P5" s="1499"/>
      <c r="Q5" s="1499"/>
      <c r="R5" s="854"/>
      <c r="S5" s="855"/>
      <c r="T5" s="839" t="s">
        <v>672</v>
      </c>
      <c r="U5" s="839" t="s">
        <v>532</v>
      </c>
      <c r="V5" s="856"/>
      <c r="W5" s="857" t="s">
        <v>672</v>
      </c>
      <c r="X5" s="857" t="s">
        <v>532</v>
      </c>
      <c r="Y5" s="664"/>
      <c r="Z5" s="664" t="s">
        <v>672</v>
      </c>
      <c r="AA5" s="836" t="s">
        <v>532</v>
      </c>
      <c r="AB5" s="982"/>
      <c r="AC5" s="858" t="s">
        <v>264</v>
      </c>
      <c r="AD5" s="858" t="s">
        <v>263</v>
      </c>
      <c r="AE5" s="859" t="s">
        <v>672</v>
      </c>
      <c r="AF5" s="977" t="s">
        <v>532</v>
      </c>
      <c r="AG5" s="1515" t="s">
        <v>431</v>
      </c>
      <c r="AH5" s="1515"/>
      <c r="AI5" s="860" t="s">
        <v>532</v>
      </c>
      <c r="AJ5" s="860" t="s">
        <v>431</v>
      </c>
      <c r="AK5" s="860" t="s">
        <v>532</v>
      </c>
      <c r="AL5" s="624"/>
      <c r="AM5" s="624"/>
      <c r="AN5" s="621">
        <v>3</v>
      </c>
      <c r="AO5" s="621">
        <v>10</v>
      </c>
      <c r="AP5" s="621">
        <f>AO5*AN5</f>
        <v>30</v>
      </c>
      <c r="AQ5" s="621">
        <v>18000</v>
      </c>
      <c r="AR5" s="621">
        <v>5</v>
      </c>
      <c r="AS5" s="621">
        <f>AQ5/AR5</f>
        <v>3600</v>
      </c>
      <c r="AT5" s="621"/>
      <c r="AU5" s="621"/>
      <c r="AV5" s="621"/>
      <c r="AW5" s="621"/>
      <c r="AX5" s="621"/>
      <c r="AY5" s="621"/>
      <c r="AZ5" s="621"/>
      <c r="BA5" s="621"/>
      <c r="BB5" s="621"/>
      <c r="BC5" s="621"/>
      <c r="BD5" s="621"/>
      <c r="BE5" s="621"/>
      <c r="BF5" s="621"/>
      <c r="BG5" s="621"/>
      <c r="BH5" s="621"/>
      <c r="BI5" s="621"/>
      <c r="BJ5" s="621"/>
      <c r="BK5" s="621"/>
      <c r="BL5" s="621"/>
      <c r="BM5" s="621"/>
      <c r="BN5" s="621"/>
      <c r="BO5" s="621"/>
      <c r="BP5" s="621"/>
      <c r="BQ5" s="621"/>
      <c r="BR5" s="621"/>
      <c r="BS5" s="621"/>
      <c r="BT5" s="621"/>
      <c r="BU5" s="621"/>
      <c r="BV5" s="621"/>
      <c r="BW5" s="621"/>
      <c r="BX5" s="621"/>
      <c r="BY5" s="621"/>
      <c r="BZ5" s="621"/>
      <c r="CA5" s="621"/>
      <c r="CB5" s="621"/>
      <c r="CC5" s="621"/>
      <c r="CD5" s="620"/>
      <c r="CE5" s="620"/>
      <c r="CF5" s="620"/>
      <c r="CG5" s="620"/>
      <c r="CH5" s="620"/>
      <c r="CI5" s="620"/>
      <c r="CJ5" s="620"/>
      <c r="CK5" s="620"/>
      <c r="CL5" s="620"/>
      <c r="CM5" s="620"/>
      <c r="CN5" s="620"/>
      <c r="CO5" s="620"/>
      <c r="CP5" s="620"/>
      <c r="CQ5" s="620"/>
      <c r="CR5" s="620"/>
      <c r="CS5" s="620"/>
      <c r="CT5" s="620"/>
      <c r="CU5" s="620"/>
      <c r="CV5" s="620"/>
      <c r="CW5" s="620"/>
      <c r="CX5" s="620"/>
      <c r="CY5" s="620"/>
      <c r="CZ5" s="620"/>
      <c r="DA5" s="620"/>
      <c r="DB5" s="620"/>
      <c r="DC5" s="620"/>
      <c r="DD5" s="620"/>
      <c r="DE5" s="620"/>
      <c r="DF5" s="620"/>
      <c r="DG5" s="620"/>
      <c r="DH5" s="620"/>
      <c r="DI5" s="620"/>
      <c r="DJ5" s="620"/>
      <c r="DK5" s="620"/>
      <c r="DL5" s="620"/>
      <c r="DM5" s="620"/>
      <c r="DN5" s="620"/>
      <c r="DO5" s="620"/>
      <c r="DP5" s="620"/>
      <c r="DQ5" s="620"/>
      <c r="DR5" s="620"/>
      <c r="DS5" s="620"/>
      <c r="DT5" s="620"/>
      <c r="DU5" s="620"/>
      <c r="DV5" s="620"/>
      <c r="DW5" s="620"/>
      <c r="DX5" s="620"/>
      <c r="DY5" s="620"/>
      <c r="DZ5" s="620"/>
      <c r="EA5" s="620"/>
      <c r="EB5" s="620"/>
      <c r="EC5" s="620"/>
      <c r="ED5" s="620"/>
      <c r="EE5" s="620"/>
      <c r="EF5" s="620"/>
      <c r="EG5" s="620"/>
      <c r="EH5" s="620"/>
      <c r="EI5" s="620"/>
      <c r="EJ5" s="620"/>
      <c r="EK5" s="620"/>
      <c r="EL5" s="620"/>
      <c r="EM5" s="620"/>
      <c r="EN5" s="620"/>
    </row>
    <row r="6" spans="1:144" s="631" customFormat="1" ht="31.5" customHeight="1" x14ac:dyDescent="0.25">
      <c r="A6" s="836"/>
      <c r="B6" s="836"/>
      <c r="C6" s="836"/>
      <c r="D6" s="1086"/>
      <c r="E6" s="845"/>
      <c r="F6" s="846"/>
      <c r="G6" s="836"/>
      <c r="H6" s="844"/>
      <c r="I6" s="625"/>
      <c r="J6" s="626" t="s">
        <v>304</v>
      </c>
      <c r="K6" s="627" t="s">
        <v>305</v>
      </c>
      <c r="L6" s="843" t="s">
        <v>264</v>
      </c>
      <c r="M6" s="843" t="s">
        <v>263</v>
      </c>
      <c r="N6" s="843" t="s">
        <v>2</v>
      </c>
      <c r="O6" s="840" t="s">
        <v>278</v>
      </c>
      <c r="P6" s="840" t="s">
        <v>279</v>
      </c>
      <c r="Q6" s="841" t="s">
        <v>2</v>
      </c>
      <c r="R6" s="861"/>
      <c r="S6" s="842" t="s">
        <v>271</v>
      </c>
      <c r="T6" s="862" t="s">
        <v>669</v>
      </c>
      <c r="U6" s="862" t="s">
        <v>262</v>
      </c>
      <c r="V6" s="863" t="s">
        <v>271</v>
      </c>
      <c r="W6" s="863" t="s">
        <v>262</v>
      </c>
      <c r="X6" s="863" t="s">
        <v>262</v>
      </c>
      <c r="Y6" s="836" t="s">
        <v>271</v>
      </c>
      <c r="Z6" s="836" t="s">
        <v>262</v>
      </c>
      <c r="AA6" s="836" t="s">
        <v>262</v>
      </c>
      <c r="AB6" s="982"/>
      <c r="AC6" s="864"/>
      <c r="AD6" s="864"/>
      <c r="AE6" s="865"/>
      <c r="AF6" s="865"/>
      <c r="AG6" s="866" t="s">
        <v>271</v>
      </c>
      <c r="AH6" s="860" t="s">
        <v>262</v>
      </c>
      <c r="AI6" s="860" t="s">
        <v>262</v>
      </c>
      <c r="AJ6" s="860" t="s">
        <v>262</v>
      </c>
      <c r="AK6" s="860" t="s">
        <v>262</v>
      </c>
      <c r="AL6" s="628"/>
      <c r="AM6" s="628"/>
      <c r="AN6" s="630"/>
      <c r="AO6" s="630"/>
      <c r="AP6" s="630"/>
      <c r="AQ6" s="630"/>
      <c r="AR6" s="630"/>
      <c r="AS6" s="630"/>
      <c r="AT6" s="630"/>
      <c r="AU6" s="630"/>
      <c r="AV6" s="630"/>
      <c r="AW6" s="630"/>
      <c r="AX6" s="630"/>
      <c r="AY6" s="630"/>
      <c r="AZ6" s="630"/>
      <c r="BA6" s="630"/>
      <c r="BB6" s="630"/>
      <c r="BC6" s="630"/>
      <c r="BD6" s="630"/>
      <c r="BE6" s="630"/>
      <c r="BF6" s="630"/>
      <c r="BG6" s="630"/>
      <c r="BH6" s="630"/>
      <c r="BI6" s="630"/>
      <c r="BJ6" s="630"/>
      <c r="BK6" s="630"/>
      <c r="BL6" s="630"/>
      <c r="BM6" s="630"/>
      <c r="BN6" s="630"/>
      <c r="BO6" s="630"/>
      <c r="BP6" s="630"/>
      <c r="BQ6" s="630"/>
      <c r="BR6" s="630"/>
      <c r="BS6" s="630"/>
      <c r="BT6" s="630"/>
      <c r="BU6" s="630"/>
      <c r="BV6" s="630"/>
      <c r="BW6" s="630"/>
      <c r="BX6" s="630"/>
      <c r="BY6" s="630"/>
      <c r="BZ6" s="630"/>
      <c r="CA6" s="630"/>
      <c r="CB6" s="630"/>
      <c r="CC6" s="630"/>
      <c r="CD6" s="629"/>
      <c r="CE6" s="629"/>
      <c r="CF6" s="629"/>
      <c r="CG6" s="629"/>
      <c r="CH6" s="629"/>
      <c r="CI6" s="629"/>
      <c r="CJ6" s="629"/>
      <c r="CK6" s="629"/>
      <c r="CL6" s="629"/>
      <c r="CM6" s="629"/>
      <c r="CN6" s="629"/>
      <c r="CO6" s="629"/>
      <c r="CP6" s="629"/>
      <c r="CQ6" s="629"/>
      <c r="CR6" s="629"/>
      <c r="CS6" s="629"/>
      <c r="CT6" s="629"/>
      <c r="CU6" s="629"/>
      <c r="CV6" s="629"/>
      <c r="CW6" s="629"/>
      <c r="CX6" s="629"/>
      <c r="CY6" s="629"/>
      <c r="CZ6" s="629"/>
      <c r="DA6" s="629"/>
      <c r="DB6" s="629"/>
      <c r="DC6" s="629"/>
      <c r="DD6" s="629"/>
      <c r="DE6" s="629"/>
      <c r="DF6" s="629"/>
      <c r="DG6" s="629"/>
      <c r="DH6" s="629"/>
      <c r="DI6" s="629"/>
      <c r="DJ6" s="629"/>
      <c r="DK6" s="629"/>
      <c r="DL6" s="629"/>
      <c r="DM6" s="629"/>
      <c r="DN6" s="629"/>
      <c r="DO6" s="629"/>
      <c r="DP6" s="629"/>
      <c r="DQ6" s="629"/>
      <c r="DR6" s="629"/>
      <c r="DS6" s="629"/>
      <c r="DT6" s="629"/>
      <c r="DU6" s="629"/>
      <c r="DV6" s="629"/>
      <c r="DW6" s="629"/>
      <c r="DX6" s="629"/>
      <c r="DY6" s="629"/>
      <c r="DZ6" s="629"/>
      <c r="EA6" s="629"/>
      <c r="EB6" s="629"/>
      <c r="EC6" s="629"/>
      <c r="ED6" s="629"/>
      <c r="EE6" s="629"/>
      <c r="EF6" s="629"/>
      <c r="EG6" s="629"/>
      <c r="EH6" s="629"/>
      <c r="EI6" s="629"/>
      <c r="EJ6" s="629"/>
      <c r="EK6" s="629"/>
      <c r="EL6" s="629"/>
      <c r="EM6" s="629"/>
      <c r="EN6" s="629"/>
    </row>
    <row r="7" spans="1:144" s="629" customFormat="1" ht="31.5" hidden="1" customHeight="1" x14ac:dyDescent="0.25">
      <c r="A7" s="1005"/>
      <c r="B7" s="1005"/>
      <c r="C7" s="1005"/>
      <c r="D7" s="1086"/>
      <c r="E7" s="1006"/>
      <c r="F7" s="1007"/>
      <c r="G7" s="1005"/>
      <c r="H7" s="1004"/>
      <c r="I7" s="625"/>
      <c r="J7" s="626"/>
      <c r="K7" s="627"/>
      <c r="L7" s="1012"/>
      <c r="M7" s="1012"/>
      <c r="N7" s="1012"/>
      <c r="O7" s="1009"/>
      <c r="P7" s="1009"/>
      <c r="Q7" s="1010"/>
      <c r="R7" s="861"/>
      <c r="S7" s="1011"/>
      <c r="T7" s="862"/>
      <c r="U7" s="862"/>
      <c r="V7" s="863"/>
      <c r="W7" s="863"/>
      <c r="X7" s="863"/>
      <c r="Y7" s="1005"/>
      <c r="Z7" s="1005"/>
      <c r="AA7" s="1005"/>
      <c r="AB7" s="982"/>
      <c r="AC7" s="864"/>
      <c r="AD7" s="864"/>
      <c r="AE7" s="865"/>
      <c r="AF7" s="865"/>
      <c r="AG7" s="866"/>
      <c r="AH7" s="1008"/>
      <c r="AI7" s="1008"/>
      <c r="AJ7" s="1008"/>
      <c r="AK7" s="1008"/>
      <c r="AL7" s="628"/>
      <c r="AM7" s="628"/>
      <c r="AN7" s="630"/>
      <c r="AO7" s="630"/>
      <c r="AP7" s="630"/>
      <c r="AQ7" s="630"/>
      <c r="AR7" s="630"/>
      <c r="AS7" s="630"/>
      <c r="AT7" s="630"/>
      <c r="AU7" s="630"/>
      <c r="AV7" s="630"/>
      <c r="AW7" s="630"/>
      <c r="AX7" s="630"/>
      <c r="AY7" s="630"/>
      <c r="AZ7" s="630"/>
      <c r="BA7" s="630"/>
      <c r="BB7" s="630"/>
      <c r="BC7" s="630"/>
      <c r="BD7" s="630"/>
      <c r="BE7" s="630"/>
      <c r="BF7" s="630"/>
      <c r="BG7" s="630"/>
      <c r="BH7" s="630"/>
      <c r="BI7" s="630"/>
      <c r="BJ7" s="630"/>
      <c r="BK7" s="630"/>
      <c r="BL7" s="630"/>
      <c r="BM7" s="630"/>
      <c r="BN7" s="630"/>
      <c r="BO7" s="630"/>
      <c r="BP7" s="630"/>
      <c r="BQ7" s="630"/>
      <c r="BR7" s="630"/>
      <c r="BS7" s="630"/>
      <c r="BT7" s="630"/>
      <c r="BU7" s="630"/>
      <c r="BV7" s="630"/>
      <c r="BW7" s="630"/>
      <c r="BX7" s="630"/>
      <c r="BY7" s="630"/>
      <c r="BZ7" s="630"/>
      <c r="CA7" s="630"/>
      <c r="CB7" s="630"/>
      <c r="CC7" s="630"/>
    </row>
    <row r="8" spans="1:144" s="629" customFormat="1" ht="31.5" hidden="1" customHeight="1" x14ac:dyDescent="0.25">
      <c r="A8" s="1005"/>
      <c r="B8" s="1005"/>
      <c r="C8" s="1005"/>
      <c r="D8" s="1086"/>
      <c r="E8" s="1006"/>
      <c r="F8" s="1007"/>
      <c r="G8" s="1005"/>
      <c r="H8" s="1004"/>
      <c r="I8" s="625"/>
      <c r="J8" s="626"/>
      <c r="K8" s="627"/>
      <c r="L8" s="1012"/>
      <c r="M8" s="1012"/>
      <c r="N8" s="1012"/>
      <c r="O8" s="1009"/>
      <c r="P8" s="1009"/>
      <c r="Q8" s="1010"/>
      <c r="R8" s="861"/>
      <c r="S8" s="1011"/>
      <c r="T8" s="862"/>
      <c r="U8" s="862"/>
      <c r="V8" s="863"/>
      <c r="W8" s="863"/>
      <c r="X8" s="863"/>
      <c r="Y8" s="1005"/>
      <c r="Z8" s="1005"/>
      <c r="AA8" s="1005"/>
      <c r="AB8" s="982"/>
      <c r="AC8" s="864"/>
      <c r="AD8" s="864"/>
      <c r="AE8" s="865"/>
      <c r="AF8" s="865"/>
      <c r="AG8" s="866"/>
      <c r="AH8" s="1008"/>
      <c r="AI8" s="1008"/>
      <c r="AJ8" s="1008"/>
      <c r="AK8" s="1008"/>
      <c r="AL8" s="628"/>
      <c r="AM8" s="628"/>
      <c r="AN8" s="630"/>
      <c r="AO8" s="630"/>
      <c r="AP8" s="630"/>
      <c r="AQ8" s="630"/>
      <c r="AR8" s="630"/>
      <c r="AS8" s="630"/>
      <c r="AT8" s="630"/>
      <c r="AU8" s="630"/>
      <c r="AV8" s="630"/>
      <c r="AW8" s="630"/>
      <c r="AX8" s="630"/>
      <c r="AY8" s="630"/>
      <c r="AZ8" s="630"/>
      <c r="BA8" s="630"/>
      <c r="BB8" s="630"/>
      <c r="BC8" s="630"/>
      <c r="BD8" s="630"/>
      <c r="BE8" s="630"/>
      <c r="BF8" s="630"/>
      <c r="BG8" s="630"/>
      <c r="BH8" s="630"/>
      <c r="BI8" s="630"/>
      <c r="BJ8" s="630"/>
      <c r="BK8" s="630"/>
      <c r="BL8" s="630"/>
      <c r="BM8" s="630"/>
      <c r="BN8" s="630"/>
      <c r="BO8" s="630"/>
      <c r="BP8" s="630"/>
      <c r="BQ8" s="630"/>
      <c r="BR8" s="630"/>
      <c r="BS8" s="630"/>
      <c r="BT8" s="630"/>
      <c r="BU8" s="630"/>
      <c r="BV8" s="630"/>
      <c r="BW8" s="630"/>
      <c r="BX8" s="630"/>
      <c r="BY8" s="630"/>
      <c r="BZ8" s="630"/>
      <c r="CA8" s="630"/>
      <c r="CB8" s="630"/>
      <c r="CC8" s="630"/>
    </row>
    <row r="9" spans="1:144" s="789" customFormat="1" ht="21.6" customHeight="1" x14ac:dyDescent="0.25">
      <c r="A9" s="867"/>
      <c r="B9" s="335"/>
      <c r="C9" s="335"/>
      <c r="D9" s="1087"/>
      <c r="E9" s="837"/>
      <c r="F9" s="868">
        <f>COUNTA(F11:F539)</f>
        <v>484</v>
      </c>
      <c r="G9" s="869"/>
      <c r="H9" s="870"/>
      <c r="I9" s="871"/>
      <c r="J9" s="872"/>
      <c r="K9" s="873"/>
      <c r="L9" s="874">
        <f t="shared" ref="L9:Q9" si="0">L10+L54+L246</f>
        <v>1868</v>
      </c>
      <c r="M9" s="874">
        <f t="shared" si="0"/>
        <v>847</v>
      </c>
      <c r="N9" s="874">
        <f t="shared" si="0"/>
        <v>2490</v>
      </c>
      <c r="O9" s="871">
        <f t="shared" si="0"/>
        <v>1649.838</v>
      </c>
      <c r="P9" s="871">
        <f t="shared" si="0"/>
        <v>751.18000000000006</v>
      </c>
      <c r="Q9" s="871">
        <f t="shared" si="0"/>
        <v>2209.518</v>
      </c>
      <c r="R9" s="875"/>
      <c r="S9" s="51">
        <f t="shared" ref="S9:AK9" si="1">S10+S54+S246</f>
        <v>5165.2</v>
      </c>
      <c r="T9" s="875">
        <f t="shared" si="1"/>
        <v>344.34666666666669</v>
      </c>
      <c r="U9" s="875">
        <f t="shared" si="1"/>
        <v>344.34666666666669</v>
      </c>
      <c r="V9" s="875">
        <f t="shared" si="1"/>
        <v>36399.800000000003</v>
      </c>
      <c r="W9" s="876">
        <f t="shared" si="1"/>
        <v>2426.6533333333332</v>
      </c>
      <c r="X9" s="335">
        <f t="shared" si="1"/>
        <v>2426.6533333333332</v>
      </c>
      <c r="Y9" s="50">
        <f t="shared" si="1"/>
        <v>41212.199999999997</v>
      </c>
      <c r="Z9" s="50">
        <f t="shared" si="1"/>
        <v>2771</v>
      </c>
      <c r="AA9" s="51">
        <f t="shared" si="1"/>
        <v>2771</v>
      </c>
      <c r="AB9" s="983">
        <f t="shared" si="1"/>
        <v>2771</v>
      </c>
      <c r="AC9" s="50">
        <f t="shared" si="1"/>
        <v>2377</v>
      </c>
      <c r="AD9" s="50">
        <f t="shared" si="1"/>
        <v>983</v>
      </c>
      <c r="AE9" s="906">
        <f t="shared" si="1"/>
        <v>3114</v>
      </c>
      <c r="AF9" s="903">
        <f t="shared" si="1"/>
        <v>3114</v>
      </c>
      <c r="AG9" s="51">
        <f t="shared" si="1"/>
        <v>42401.47</v>
      </c>
      <c r="AH9" s="906">
        <f t="shared" si="1"/>
        <v>2796.7646666666669</v>
      </c>
      <c r="AI9" s="906">
        <f t="shared" si="1"/>
        <v>2796.7646666666669</v>
      </c>
      <c r="AJ9" s="906">
        <f t="shared" si="1"/>
        <v>-55.764666666666642</v>
      </c>
      <c r="AK9" s="903">
        <f t="shared" si="1"/>
        <v>-55.764666666666649</v>
      </c>
      <c r="AL9" s="790"/>
      <c r="AM9" s="790"/>
      <c r="AN9" s="789">
        <f>Z9-AA9</f>
        <v>0</v>
      </c>
    </row>
    <row r="10" spans="1:144" s="787" customFormat="1" ht="21.6" customHeight="1" x14ac:dyDescent="0.25">
      <c r="A10" s="877"/>
      <c r="B10" s="877"/>
      <c r="C10" s="877"/>
      <c r="D10" s="879" t="s">
        <v>9</v>
      </c>
      <c r="E10" s="879"/>
      <c r="F10" s="880"/>
      <c r="G10" s="881"/>
      <c r="H10" s="882"/>
      <c r="I10" s="77"/>
      <c r="J10" s="883"/>
      <c r="K10" s="884"/>
      <c r="L10" s="885">
        <f t="shared" ref="L10:Q10" si="2">SUM(L11:L53)</f>
        <v>0</v>
      </c>
      <c r="M10" s="885">
        <f t="shared" si="2"/>
        <v>0</v>
      </c>
      <c r="N10" s="885">
        <f t="shared" si="2"/>
        <v>0</v>
      </c>
      <c r="O10" s="885">
        <f t="shared" si="2"/>
        <v>0</v>
      </c>
      <c r="P10" s="885">
        <f t="shared" si="2"/>
        <v>0</v>
      </c>
      <c r="Q10" s="885">
        <f t="shared" si="2"/>
        <v>0</v>
      </c>
      <c r="R10" s="77"/>
      <c r="S10" s="77">
        <f t="shared" ref="S10:AK10" si="3">SUM(S11:S53)</f>
        <v>1311</v>
      </c>
      <c r="T10" s="885">
        <f t="shared" si="3"/>
        <v>87.4</v>
      </c>
      <c r="U10" s="885">
        <f t="shared" si="3"/>
        <v>87.4</v>
      </c>
      <c r="V10" s="885">
        <f t="shared" si="3"/>
        <v>0</v>
      </c>
      <c r="W10" s="885">
        <f t="shared" si="3"/>
        <v>0</v>
      </c>
      <c r="X10" s="885">
        <f t="shared" si="3"/>
        <v>0</v>
      </c>
      <c r="Y10" s="877">
        <f t="shared" si="3"/>
        <v>1311</v>
      </c>
      <c r="Z10" s="877">
        <f t="shared" si="3"/>
        <v>87.4</v>
      </c>
      <c r="AA10" s="878">
        <f t="shared" si="3"/>
        <v>87.4</v>
      </c>
      <c r="AB10" s="982">
        <f t="shared" si="3"/>
        <v>87.4</v>
      </c>
      <c r="AC10" s="867">
        <f t="shared" si="3"/>
        <v>142</v>
      </c>
      <c r="AD10" s="867">
        <f t="shared" si="3"/>
        <v>41</v>
      </c>
      <c r="AE10" s="979">
        <f t="shared" si="3"/>
        <v>166</v>
      </c>
      <c r="AF10" s="878">
        <f t="shared" si="3"/>
        <v>166</v>
      </c>
      <c r="AG10" s="335">
        <f t="shared" si="3"/>
        <v>1343</v>
      </c>
      <c r="AH10" s="979">
        <f t="shared" si="3"/>
        <v>89.533333333333331</v>
      </c>
      <c r="AI10" s="979">
        <f t="shared" si="3"/>
        <v>89.533333333333331</v>
      </c>
      <c r="AJ10" s="979">
        <f t="shared" si="3"/>
        <v>-2.1333333333333258</v>
      </c>
      <c r="AK10" s="878">
        <f t="shared" si="3"/>
        <v>-2.1333333333333258</v>
      </c>
      <c r="AL10" s="788"/>
      <c r="AM10" s="788"/>
    </row>
    <row r="11" spans="1:144" s="641" customFormat="1" ht="21.6" customHeight="1" x14ac:dyDescent="0.25">
      <c r="A11" s="836"/>
      <c r="B11" s="836"/>
      <c r="C11" s="836"/>
      <c r="D11" s="1086" t="s">
        <v>310</v>
      </c>
      <c r="E11" s="836"/>
      <c r="F11" s="846" t="s">
        <v>399</v>
      </c>
      <c r="G11" s="886" t="s">
        <v>276</v>
      </c>
      <c r="H11" s="844"/>
      <c r="I11" s="887"/>
      <c r="J11" s="888"/>
      <c r="K11" s="889"/>
      <c r="L11" s="890"/>
      <c r="M11" s="890"/>
      <c r="N11" s="890">
        <f>M11+L11</f>
        <v>0</v>
      </c>
      <c r="O11" s="467"/>
      <c r="P11" s="467"/>
      <c r="Q11" s="467">
        <f>P11+O11</f>
        <v>0</v>
      </c>
      <c r="R11" s="625"/>
      <c r="S11" s="842"/>
      <c r="T11" s="862">
        <f>S11/15</f>
        <v>0</v>
      </c>
      <c r="U11" s="862">
        <f>SUM(T11:T13)</f>
        <v>0</v>
      </c>
      <c r="V11" s="863"/>
      <c r="W11" s="863">
        <f>V11/15</f>
        <v>0</v>
      </c>
      <c r="X11" s="863">
        <f>SUM(W11:W13)</f>
        <v>0</v>
      </c>
      <c r="Y11" s="836">
        <f>V11+S11</f>
        <v>0</v>
      </c>
      <c r="Z11" s="836">
        <f>W11+T11</f>
        <v>0</v>
      </c>
      <c r="AA11" s="836">
        <f>SUM(Z11:Z13)</f>
        <v>0</v>
      </c>
      <c r="AB11" s="982">
        <v>0</v>
      </c>
      <c r="AC11" s="867"/>
      <c r="AD11" s="867"/>
      <c r="AE11" s="979">
        <f>AC11+AD11</f>
        <v>0</v>
      </c>
      <c r="AF11" s="878">
        <f>SUM(AE11:AE13)</f>
        <v>0</v>
      </c>
      <c r="AG11" s="335"/>
      <c r="AH11" s="979">
        <f>AG11/15</f>
        <v>0</v>
      </c>
      <c r="AI11" s="979">
        <f>SUM(AH11:AH13)</f>
        <v>0</v>
      </c>
      <c r="AJ11" s="979">
        <f>Z11-AH11</f>
        <v>0</v>
      </c>
      <c r="AK11" s="878">
        <f>SUM(AJ11:AJ13)</f>
        <v>0</v>
      </c>
      <c r="AL11" s="648"/>
      <c r="AM11" s="648"/>
      <c r="AN11" s="647"/>
      <c r="AO11" s="647"/>
      <c r="AP11" s="647"/>
      <c r="AQ11" s="647"/>
      <c r="AR11" s="647"/>
      <c r="AS11" s="647"/>
      <c r="AT11" s="647"/>
      <c r="AU11" s="647"/>
      <c r="AV11" s="647"/>
      <c r="AW11" s="647"/>
      <c r="AX11" s="647"/>
      <c r="AY11" s="647"/>
      <c r="AZ11" s="647"/>
      <c r="BA11" s="647"/>
      <c r="BB11" s="647"/>
      <c r="BC11" s="647"/>
      <c r="BD11" s="647"/>
      <c r="BE11" s="647"/>
      <c r="BF11" s="647"/>
      <c r="BG11" s="647"/>
      <c r="BH11" s="647"/>
      <c r="BI11" s="647"/>
      <c r="BJ11" s="647"/>
      <c r="BK11" s="647"/>
      <c r="BL11" s="647"/>
      <c r="BM11" s="647"/>
      <c r="BN11" s="647"/>
      <c r="BO11" s="647"/>
      <c r="BP11" s="647"/>
      <c r="BQ11" s="647"/>
      <c r="BR11" s="647"/>
      <c r="BS11" s="647"/>
      <c r="BT11" s="647"/>
      <c r="BU11" s="647"/>
      <c r="BV11" s="647"/>
      <c r="BW11" s="647"/>
      <c r="BX11" s="647"/>
      <c r="BY11" s="647"/>
      <c r="BZ11" s="647"/>
      <c r="CA11" s="647"/>
      <c r="CB11" s="647"/>
      <c r="CC11" s="647"/>
    </row>
    <row r="12" spans="1:144" s="634" customFormat="1" ht="29.25" customHeight="1" x14ac:dyDescent="0.25">
      <c r="A12" s="891"/>
      <c r="B12" s="891"/>
      <c r="C12" s="891"/>
      <c r="D12" s="1086"/>
      <c r="E12" s="836"/>
      <c r="F12" s="846" t="s">
        <v>311</v>
      </c>
      <c r="G12" s="886" t="s">
        <v>276</v>
      </c>
      <c r="H12" s="844"/>
      <c r="I12" s="887"/>
      <c r="J12" s="892"/>
      <c r="K12" s="889"/>
      <c r="L12" s="893"/>
      <c r="M12" s="893"/>
      <c r="N12" s="893">
        <f t="shared" ref="N12:N53" si="4">M12+L12</f>
        <v>0</v>
      </c>
      <c r="O12" s="856"/>
      <c r="P12" s="856"/>
      <c r="Q12" s="856">
        <f t="shared" ref="Q12:Q53" si="5">P12+O12</f>
        <v>0</v>
      </c>
      <c r="R12" s="894"/>
      <c r="S12" s="895"/>
      <c r="T12" s="896">
        <f t="shared" ref="T12:T53" si="6">S12/15</f>
        <v>0</v>
      </c>
      <c r="U12" s="862"/>
      <c r="V12" s="897"/>
      <c r="W12" s="897">
        <f t="shared" ref="W12:W53" si="7">V12/15</f>
        <v>0</v>
      </c>
      <c r="X12" s="863"/>
      <c r="Y12" s="891">
        <f t="shared" ref="Y12:Y53" si="8">V12+S12</f>
        <v>0</v>
      </c>
      <c r="Z12" s="891">
        <f>W12+T12</f>
        <v>0</v>
      </c>
      <c r="AA12" s="836"/>
      <c r="AB12" s="982"/>
      <c r="AC12" s="867"/>
      <c r="AD12" s="867"/>
      <c r="AE12" s="979">
        <f t="shared" ref="AE12:AE53" si="9">AC12+AD12</f>
        <v>0</v>
      </c>
      <c r="AF12" s="878"/>
      <c r="AG12" s="335"/>
      <c r="AH12" s="979">
        <f t="shared" ref="AH12:AH53" si="10">AG12/15</f>
        <v>0</v>
      </c>
      <c r="AI12" s="979"/>
      <c r="AJ12" s="979">
        <f t="shared" ref="AJ12:AJ53" si="11">Z12-AH12</f>
        <v>0</v>
      </c>
      <c r="AK12" s="878"/>
      <c r="AL12" s="633"/>
      <c r="AM12" s="633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</row>
    <row r="13" spans="1:144" s="634" customFormat="1" ht="28.5" customHeight="1" x14ac:dyDescent="0.25">
      <c r="A13" s="891"/>
      <c r="B13" s="891"/>
      <c r="C13" s="891"/>
      <c r="D13" s="1086"/>
      <c r="E13" s="836"/>
      <c r="F13" s="846" t="s">
        <v>312</v>
      </c>
      <c r="G13" s="886" t="s">
        <v>276</v>
      </c>
      <c r="H13" s="844"/>
      <c r="I13" s="887"/>
      <c r="J13" s="892"/>
      <c r="K13" s="889"/>
      <c r="L13" s="893"/>
      <c r="M13" s="893"/>
      <c r="N13" s="893">
        <f t="shared" si="4"/>
        <v>0</v>
      </c>
      <c r="O13" s="856"/>
      <c r="P13" s="856"/>
      <c r="Q13" s="856">
        <f t="shared" si="5"/>
        <v>0</v>
      </c>
      <c r="R13" s="894"/>
      <c r="S13" s="895"/>
      <c r="T13" s="896">
        <f t="shared" si="6"/>
        <v>0</v>
      </c>
      <c r="U13" s="862"/>
      <c r="V13" s="897"/>
      <c r="W13" s="897">
        <f t="shared" si="7"/>
        <v>0</v>
      </c>
      <c r="X13" s="863"/>
      <c r="Y13" s="891">
        <f t="shared" si="8"/>
        <v>0</v>
      </c>
      <c r="Z13" s="891">
        <f t="shared" ref="Z13:Z53" si="12">W13+T13</f>
        <v>0</v>
      </c>
      <c r="AA13" s="836"/>
      <c r="AB13" s="982"/>
      <c r="AC13" s="867"/>
      <c r="AD13" s="867"/>
      <c r="AE13" s="979">
        <f t="shared" si="9"/>
        <v>0</v>
      </c>
      <c r="AF13" s="878"/>
      <c r="AG13" s="335"/>
      <c r="AH13" s="979">
        <f t="shared" si="10"/>
        <v>0</v>
      </c>
      <c r="AI13" s="979"/>
      <c r="AJ13" s="979">
        <f t="shared" si="11"/>
        <v>0</v>
      </c>
      <c r="AK13" s="878"/>
      <c r="AL13" s="633"/>
      <c r="AM13" s="633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</row>
    <row r="14" spans="1:144" s="634" customFormat="1" ht="21.6" customHeight="1" x14ac:dyDescent="0.25">
      <c r="A14" s="891"/>
      <c r="B14" s="891"/>
      <c r="C14" s="891"/>
      <c r="D14" s="1086"/>
      <c r="E14" s="845"/>
      <c r="F14" s="846"/>
      <c r="G14" s="898"/>
      <c r="H14" s="626"/>
      <c r="I14" s="899"/>
      <c r="J14" s="889"/>
      <c r="K14" s="889"/>
      <c r="L14" s="893"/>
      <c r="M14" s="893"/>
      <c r="N14" s="893">
        <f t="shared" si="4"/>
        <v>0</v>
      </c>
      <c r="O14" s="856"/>
      <c r="P14" s="856"/>
      <c r="Q14" s="856">
        <f t="shared" si="5"/>
        <v>0</v>
      </c>
      <c r="R14" s="894"/>
      <c r="S14" s="895"/>
      <c r="T14" s="896">
        <f t="shared" si="6"/>
        <v>0</v>
      </c>
      <c r="U14" s="862"/>
      <c r="V14" s="897"/>
      <c r="W14" s="897">
        <f t="shared" si="7"/>
        <v>0</v>
      </c>
      <c r="X14" s="863"/>
      <c r="Y14" s="891">
        <f t="shared" si="8"/>
        <v>0</v>
      </c>
      <c r="Z14" s="891">
        <f t="shared" si="12"/>
        <v>0</v>
      </c>
      <c r="AA14" s="836"/>
      <c r="AB14" s="982"/>
      <c r="AC14" s="867"/>
      <c r="AD14" s="867"/>
      <c r="AE14" s="979">
        <f t="shared" si="9"/>
        <v>0</v>
      </c>
      <c r="AF14" s="878"/>
      <c r="AG14" s="335"/>
      <c r="AH14" s="979">
        <f t="shared" si="10"/>
        <v>0</v>
      </c>
      <c r="AI14" s="979"/>
      <c r="AJ14" s="979">
        <f t="shared" si="11"/>
        <v>0</v>
      </c>
      <c r="AK14" s="878"/>
      <c r="AL14" s="633"/>
      <c r="AM14" s="633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</row>
    <row r="15" spans="1:144" s="641" customFormat="1" ht="14.25" customHeight="1" x14ac:dyDescent="0.25">
      <c r="A15" s="836">
        <v>1</v>
      </c>
      <c r="B15" s="836" t="s">
        <v>9</v>
      </c>
      <c r="C15" s="836">
        <v>1</v>
      </c>
      <c r="D15" s="1086" t="s">
        <v>10</v>
      </c>
      <c r="E15" s="900"/>
      <c r="F15" s="846" t="s">
        <v>333</v>
      </c>
      <c r="G15" s="836" t="s">
        <v>265</v>
      </c>
      <c r="H15" s="844"/>
      <c r="I15" s="836"/>
      <c r="J15" s="844"/>
      <c r="K15" s="626"/>
      <c r="L15" s="890"/>
      <c r="M15" s="890"/>
      <c r="N15" s="890">
        <f t="shared" si="4"/>
        <v>0</v>
      </c>
      <c r="O15" s="467"/>
      <c r="P15" s="467"/>
      <c r="Q15" s="467">
        <f t="shared" si="5"/>
        <v>0</v>
      </c>
      <c r="R15" s="625"/>
      <c r="S15" s="842"/>
      <c r="T15" s="862">
        <f t="shared" si="6"/>
        <v>0</v>
      </c>
      <c r="U15" s="862">
        <f>T15</f>
        <v>0</v>
      </c>
      <c r="V15" s="863"/>
      <c r="W15" s="897">
        <f t="shared" si="7"/>
        <v>0</v>
      </c>
      <c r="X15" s="863">
        <f>W15</f>
        <v>0</v>
      </c>
      <c r="Y15" s="836">
        <f t="shared" si="8"/>
        <v>0</v>
      </c>
      <c r="Z15" s="891">
        <f t="shared" si="12"/>
        <v>0</v>
      </c>
      <c r="AA15" s="836">
        <f>Z15</f>
        <v>0</v>
      </c>
      <c r="AB15" s="982">
        <v>0</v>
      </c>
      <c r="AC15" s="867"/>
      <c r="AD15" s="867"/>
      <c r="AE15" s="979">
        <f t="shared" si="9"/>
        <v>0</v>
      </c>
      <c r="AF15" s="878">
        <f>AE15</f>
        <v>0</v>
      </c>
      <c r="AG15" s="335"/>
      <c r="AH15" s="979">
        <f t="shared" si="10"/>
        <v>0</v>
      </c>
      <c r="AI15" s="979">
        <f>AH15</f>
        <v>0</v>
      </c>
      <c r="AJ15" s="979">
        <f t="shared" si="11"/>
        <v>0</v>
      </c>
      <c r="AK15" s="878">
        <f>AJ15</f>
        <v>0</v>
      </c>
      <c r="AL15" s="648"/>
      <c r="AM15" s="648"/>
      <c r="AN15" s="647"/>
      <c r="AO15" s="647"/>
      <c r="AP15" s="647"/>
      <c r="AQ15" s="647"/>
      <c r="AR15" s="647"/>
      <c r="AS15" s="647"/>
      <c r="AT15" s="647"/>
      <c r="AU15" s="647"/>
      <c r="AV15" s="647"/>
      <c r="AW15" s="647"/>
      <c r="AX15" s="647"/>
      <c r="AY15" s="647"/>
      <c r="AZ15" s="647"/>
      <c r="BA15" s="647"/>
      <c r="BB15" s="647"/>
      <c r="BC15" s="647"/>
      <c r="BD15" s="647"/>
      <c r="BE15" s="647"/>
      <c r="BF15" s="647"/>
      <c r="BG15" s="647"/>
      <c r="BH15" s="647"/>
      <c r="BI15" s="647"/>
      <c r="BJ15" s="647"/>
      <c r="BK15" s="647"/>
      <c r="BL15" s="647"/>
      <c r="BM15" s="647"/>
      <c r="BN15" s="647"/>
      <c r="BO15" s="647"/>
      <c r="BP15" s="647"/>
      <c r="BQ15" s="647"/>
      <c r="BR15" s="647"/>
      <c r="BS15" s="647"/>
      <c r="BT15" s="647"/>
      <c r="BU15" s="647"/>
      <c r="BV15" s="647"/>
      <c r="BW15" s="647"/>
      <c r="BX15" s="647"/>
      <c r="BY15" s="647"/>
      <c r="BZ15" s="647"/>
      <c r="CA15" s="647"/>
      <c r="CB15" s="647"/>
      <c r="CC15" s="647"/>
    </row>
    <row r="16" spans="1:144" ht="21.6" customHeight="1" x14ac:dyDescent="0.25">
      <c r="A16" s="664"/>
      <c r="B16" s="664"/>
      <c r="C16" s="664"/>
      <c r="D16" s="1086"/>
      <c r="E16" s="845"/>
      <c r="F16" s="846"/>
      <c r="G16" s="836"/>
      <c r="H16" s="844"/>
      <c r="I16" s="836"/>
      <c r="J16" s="844"/>
      <c r="K16" s="626"/>
      <c r="L16" s="893"/>
      <c r="M16" s="893"/>
      <c r="N16" s="893">
        <f t="shared" si="4"/>
        <v>0</v>
      </c>
      <c r="O16" s="856"/>
      <c r="P16" s="856"/>
      <c r="Q16" s="856">
        <f t="shared" si="5"/>
        <v>0</v>
      </c>
      <c r="R16" s="894"/>
      <c r="S16" s="855"/>
      <c r="T16" s="896">
        <f t="shared" si="6"/>
        <v>0</v>
      </c>
      <c r="U16" s="862"/>
      <c r="V16" s="857"/>
      <c r="W16" s="897">
        <f t="shared" si="7"/>
        <v>0</v>
      </c>
      <c r="X16" s="863"/>
      <c r="Y16" s="664">
        <f t="shared" si="8"/>
        <v>0</v>
      </c>
      <c r="Z16" s="891">
        <f t="shared" si="12"/>
        <v>0</v>
      </c>
      <c r="AA16" s="836"/>
      <c r="AB16" s="982"/>
      <c r="AC16" s="867"/>
      <c r="AD16" s="867"/>
      <c r="AE16" s="979">
        <f t="shared" si="9"/>
        <v>0</v>
      </c>
      <c r="AF16" s="878"/>
      <c r="AG16" s="335"/>
      <c r="AH16" s="979">
        <f t="shared" si="10"/>
        <v>0</v>
      </c>
      <c r="AI16" s="979"/>
      <c r="AJ16" s="979">
        <f t="shared" si="11"/>
        <v>0</v>
      </c>
      <c r="AK16" s="878"/>
      <c r="AL16" s="618"/>
      <c r="AM16" s="618"/>
    </row>
    <row r="17" spans="1:81" s="641" customFormat="1" ht="21.6" customHeight="1" x14ac:dyDescent="0.25">
      <c r="A17" s="836">
        <v>3</v>
      </c>
      <c r="B17" s="836" t="s">
        <v>9</v>
      </c>
      <c r="C17" s="836">
        <v>1</v>
      </c>
      <c r="D17" s="1086" t="s">
        <v>13</v>
      </c>
      <c r="E17" s="836"/>
      <c r="F17" s="846" t="s">
        <v>14</v>
      </c>
      <c r="G17" s="836" t="s">
        <v>265</v>
      </c>
      <c r="H17" s="844"/>
      <c r="I17" s="836"/>
      <c r="J17" s="844"/>
      <c r="K17" s="626"/>
      <c r="L17" s="890"/>
      <c r="M17" s="890"/>
      <c r="N17" s="890">
        <f t="shared" si="4"/>
        <v>0</v>
      </c>
      <c r="O17" s="467"/>
      <c r="P17" s="863"/>
      <c r="Q17" s="467">
        <f t="shared" si="5"/>
        <v>0</v>
      </c>
      <c r="R17" s="625"/>
      <c r="S17" s="842"/>
      <c r="T17" s="862">
        <f t="shared" si="6"/>
        <v>0</v>
      </c>
      <c r="U17" s="862">
        <f>SUM(T17:T18)</f>
        <v>0</v>
      </c>
      <c r="V17" s="863"/>
      <c r="W17" s="897">
        <f t="shared" si="7"/>
        <v>0</v>
      </c>
      <c r="X17" s="863">
        <f>SUM(W17:W18)</f>
        <v>0</v>
      </c>
      <c r="Y17" s="836">
        <f t="shared" si="8"/>
        <v>0</v>
      </c>
      <c r="Z17" s="891">
        <f t="shared" si="12"/>
        <v>0</v>
      </c>
      <c r="AA17" s="836">
        <f>SUM(Z17:Z18)</f>
        <v>0</v>
      </c>
      <c r="AB17" s="982">
        <v>0</v>
      </c>
      <c r="AC17" s="867"/>
      <c r="AD17" s="867"/>
      <c r="AE17" s="979">
        <f t="shared" si="9"/>
        <v>0</v>
      </c>
      <c r="AF17" s="878">
        <f>SUM(AE17:AE18)</f>
        <v>0</v>
      </c>
      <c r="AG17" s="335"/>
      <c r="AH17" s="979">
        <f t="shared" si="10"/>
        <v>0</v>
      </c>
      <c r="AI17" s="979">
        <f>SUM(AH17:AH18)</f>
        <v>0</v>
      </c>
      <c r="AJ17" s="979">
        <f t="shared" si="11"/>
        <v>0</v>
      </c>
      <c r="AK17" s="878">
        <f>SUM(AJ17:AJ18)</f>
        <v>0</v>
      </c>
      <c r="AL17" s="648"/>
      <c r="AM17" s="648"/>
      <c r="AN17" s="647"/>
      <c r="AO17" s="647"/>
      <c r="AP17" s="647"/>
      <c r="AQ17" s="647"/>
      <c r="AR17" s="647"/>
      <c r="AS17" s="647"/>
      <c r="AT17" s="647"/>
      <c r="AU17" s="647"/>
      <c r="AV17" s="647"/>
      <c r="AW17" s="647"/>
      <c r="AX17" s="647"/>
      <c r="AY17" s="647"/>
      <c r="AZ17" s="647"/>
      <c r="BA17" s="647"/>
      <c r="BB17" s="647"/>
      <c r="BC17" s="647"/>
      <c r="BD17" s="647"/>
      <c r="BE17" s="647"/>
      <c r="BF17" s="647"/>
      <c r="BG17" s="647"/>
      <c r="BH17" s="647"/>
      <c r="BI17" s="647"/>
      <c r="BJ17" s="647"/>
      <c r="BK17" s="647"/>
      <c r="BL17" s="647"/>
      <c r="BM17" s="647"/>
      <c r="BN17" s="647"/>
      <c r="BO17" s="647"/>
      <c r="BP17" s="647"/>
      <c r="BQ17" s="647"/>
      <c r="BR17" s="647"/>
      <c r="BS17" s="647"/>
      <c r="BT17" s="647"/>
      <c r="BU17" s="647"/>
      <c r="BV17" s="647"/>
      <c r="BW17" s="647"/>
      <c r="BX17" s="647"/>
      <c r="BY17" s="647"/>
      <c r="BZ17" s="647"/>
      <c r="CA17" s="647"/>
      <c r="CB17" s="647"/>
      <c r="CC17" s="647"/>
    </row>
    <row r="18" spans="1:81" ht="31.15" customHeight="1" x14ac:dyDescent="0.25">
      <c r="A18" s="664"/>
      <c r="B18" s="664"/>
      <c r="C18" s="664"/>
      <c r="D18" s="1086" t="s">
        <v>13</v>
      </c>
      <c r="E18" s="836"/>
      <c r="F18" s="846" t="s">
        <v>464</v>
      </c>
      <c r="G18" s="836" t="s">
        <v>276</v>
      </c>
      <c r="H18" s="844"/>
      <c r="I18" s="836"/>
      <c r="J18" s="844"/>
      <c r="K18" s="626"/>
      <c r="L18" s="893"/>
      <c r="M18" s="893"/>
      <c r="N18" s="893">
        <f t="shared" si="4"/>
        <v>0</v>
      </c>
      <c r="O18" s="856"/>
      <c r="P18" s="857"/>
      <c r="Q18" s="856">
        <f t="shared" si="5"/>
        <v>0</v>
      </c>
      <c r="R18" s="894"/>
      <c r="S18" s="855"/>
      <c r="T18" s="896">
        <f t="shared" si="6"/>
        <v>0</v>
      </c>
      <c r="U18" s="862"/>
      <c r="V18" s="857"/>
      <c r="W18" s="897">
        <f t="shared" si="7"/>
        <v>0</v>
      </c>
      <c r="X18" s="863"/>
      <c r="Y18" s="664">
        <f t="shared" si="8"/>
        <v>0</v>
      </c>
      <c r="Z18" s="891">
        <f t="shared" si="12"/>
        <v>0</v>
      </c>
      <c r="AA18" s="836"/>
      <c r="AB18" s="982"/>
      <c r="AC18" s="867"/>
      <c r="AD18" s="867"/>
      <c r="AE18" s="979">
        <f t="shared" si="9"/>
        <v>0</v>
      </c>
      <c r="AF18" s="878"/>
      <c r="AG18" s="335"/>
      <c r="AH18" s="979">
        <f t="shared" si="10"/>
        <v>0</v>
      </c>
      <c r="AI18" s="979"/>
      <c r="AJ18" s="979">
        <f t="shared" si="11"/>
        <v>0</v>
      </c>
      <c r="AK18" s="878"/>
      <c r="AL18" s="618"/>
      <c r="AM18" s="618"/>
    </row>
    <row r="19" spans="1:81" ht="21.6" customHeight="1" x14ac:dyDescent="0.25">
      <c r="A19" s="664"/>
      <c r="B19" s="664"/>
      <c r="C19" s="664"/>
      <c r="D19" s="1086"/>
      <c r="E19" s="836"/>
      <c r="F19" s="846"/>
      <c r="G19" s="836"/>
      <c r="H19" s="844"/>
      <c r="I19" s="836"/>
      <c r="J19" s="844"/>
      <c r="K19" s="626"/>
      <c r="L19" s="893"/>
      <c r="M19" s="893"/>
      <c r="N19" s="893">
        <f t="shared" si="4"/>
        <v>0</v>
      </c>
      <c r="O19" s="856"/>
      <c r="P19" s="856"/>
      <c r="Q19" s="856">
        <f t="shared" si="5"/>
        <v>0</v>
      </c>
      <c r="R19" s="894"/>
      <c r="S19" s="855"/>
      <c r="T19" s="896">
        <f t="shared" si="6"/>
        <v>0</v>
      </c>
      <c r="U19" s="862"/>
      <c r="V19" s="857"/>
      <c r="W19" s="897">
        <f t="shared" si="7"/>
        <v>0</v>
      </c>
      <c r="X19" s="863"/>
      <c r="Y19" s="664">
        <f t="shared" si="8"/>
        <v>0</v>
      </c>
      <c r="Z19" s="891">
        <f t="shared" si="12"/>
        <v>0</v>
      </c>
      <c r="AA19" s="836"/>
      <c r="AB19" s="982"/>
      <c r="AC19" s="867"/>
      <c r="AD19" s="867"/>
      <c r="AE19" s="979">
        <f t="shared" si="9"/>
        <v>0</v>
      </c>
      <c r="AF19" s="878"/>
      <c r="AG19" s="335"/>
      <c r="AH19" s="979">
        <f t="shared" si="10"/>
        <v>0</v>
      </c>
      <c r="AI19" s="979"/>
      <c r="AJ19" s="979">
        <f t="shared" si="11"/>
        <v>0</v>
      </c>
      <c r="AK19" s="878"/>
      <c r="AL19" s="618"/>
      <c r="AM19" s="618"/>
    </row>
    <row r="20" spans="1:81" s="641" customFormat="1" ht="30.75" customHeight="1" x14ac:dyDescent="0.25">
      <c r="A20" s="836"/>
      <c r="B20" s="836"/>
      <c r="C20" s="836"/>
      <c r="D20" s="1086" t="s">
        <v>371</v>
      </c>
      <c r="E20" s="836"/>
      <c r="F20" s="846" t="s">
        <v>467</v>
      </c>
      <c r="G20" s="836" t="s">
        <v>276</v>
      </c>
      <c r="H20" s="844"/>
      <c r="I20" s="625"/>
      <c r="J20" s="844"/>
      <c r="K20" s="626"/>
      <c r="L20" s="890"/>
      <c r="M20" s="890"/>
      <c r="N20" s="890">
        <f t="shared" si="4"/>
        <v>0</v>
      </c>
      <c r="O20" s="467"/>
      <c r="P20" s="467"/>
      <c r="Q20" s="467">
        <f t="shared" si="5"/>
        <v>0</v>
      </c>
      <c r="R20" s="625"/>
      <c r="S20" s="842"/>
      <c r="T20" s="862">
        <f t="shared" si="6"/>
        <v>0</v>
      </c>
      <c r="U20" s="862"/>
      <c r="V20" s="863"/>
      <c r="W20" s="897">
        <f t="shared" si="7"/>
        <v>0</v>
      </c>
      <c r="X20" s="863"/>
      <c r="Y20" s="836">
        <f t="shared" si="8"/>
        <v>0</v>
      </c>
      <c r="Z20" s="891">
        <f t="shared" si="12"/>
        <v>0</v>
      </c>
      <c r="AA20" s="836">
        <f>Z20</f>
        <v>0</v>
      </c>
      <c r="AB20" s="982">
        <v>0</v>
      </c>
      <c r="AC20" s="867"/>
      <c r="AD20" s="867"/>
      <c r="AE20" s="979">
        <f t="shared" si="9"/>
        <v>0</v>
      </c>
      <c r="AF20" s="878"/>
      <c r="AG20" s="335"/>
      <c r="AH20" s="979">
        <f t="shared" si="10"/>
        <v>0</v>
      </c>
      <c r="AI20" s="979"/>
      <c r="AJ20" s="979">
        <f t="shared" si="11"/>
        <v>0</v>
      </c>
      <c r="AK20" s="878"/>
      <c r="AL20" s="648"/>
      <c r="AM20" s="648"/>
      <c r="AN20" s="647"/>
      <c r="AO20" s="647"/>
      <c r="AP20" s="647"/>
      <c r="AQ20" s="647"/>
      <c r="AR20" s="647"/>
      <c r="AS20" s="647"/>
      <c r="AT20" s="647"/>
      <c r="AU20" s="647"/>
      <c r="AV20" s="647"/>
      <c r="AW20" s="647"/>
      <c r="AX20" s="647"/>
      <c r="AY20" s="647"/>
      <c r="AZ20" s="647"/>
      <c r="BA20" s="647"/>
      <c r="BB20" s="647"/>
      <c r="BC20" s="647"/>
      <c r="BD20" s="647"/>
      <c r="BE20" s="647"/>
      <c r="BF20" s="647"/>
      <c r="BG20" s="647"/>
      <c r="BH20" s="647"/>
      <c r="BI20" s="647"/>
      <c r="BJ20" s="647"/>
      <c r="BK20" s="647"/>
      <c r="BL20" s="647"/>
      <c r="BM20" s="647"/>
      <c r="BN20" s="647"/>
      <c r="BO20" s="647"/>
      <c r="BP20" s="647"/>
      <c r="BQ20" s="647"/>
      <c r="BR20" s="647"/>
      <c r="BS20" s="647"/>
      <c r="BT20" s="647"/>
      <c r="BU20" s="647"/>
      <c r="BV20" s="647"/>
      <c r="BW20" s="647"/>
      <c r="BX20" s="647"/>
      <c r="BY20" s="647"/>
      <c r="BZ20" s="647"/>
      <c r="CA20" s="647"/>
      <c r="CB20" s="647"/>
      <c r="CC20" s="647"/>
    </row>
    <row r="21" spans="1:81" ht="21.6" customHeight="1" x14ac:dyDescent="0.25">
      <c r="A21" s="664"/>
      <c r="B21" s="664"/>
      <c r="C21" s="664"/>
      <c r="D21" s="1086"/>
      <c r="E21" s="845"/>
      <c r="F21" s="846"/>
      <c r="G21" s="836"/>
      <c r="H21" s="844"/>
      <c r="I21" s="836"/>
      <c r="J21" s="844"/>
      <c r="K21" s="626"/>
      <c r="L21" s="893"/>
      <c r="M21" s="893"/>
      <c r="N21" s="893">
        <f t="shared" si="4"/>
        <v>0</v>
      </c>
      <c r="O21" s="856"/>
      <c r="P21" s="856"/>
      <c r="Q21" s="856">
        <f t="shared" si="5"/>
        <v>0</v>
      </c>
      <c r="R21" s="894"/>
      <c r="S21" s="855"/>
      <c r="T21" s="896">
        <f t="shared" si="6"/>
        <v>0</v>
      </c>
      <c r="U21" s="862"/>
      <c r="V21" s="857"/>
      <c r="W21" s="897">
        <f t="shared" si="7"/>
        <v>0</v>
      </c>
      <c r="X21" s="863"/>
      <c r="Y21" s="664">
        <f t="shared" si="8"/>
        <v>0</v>
      </c>
      <c r="Z21" s="891">
        <f t="shared" si="12"/>
        <v>0</v>
      </c>
      <c r="AA21" s="836"/>
      <c r="AB21" s="982"/>
      <c r="AC21" s="867"/>
      <c r="AD21" s="867"/>
      <c r="AE21" s="979">
        <f t="shared" si="9"/>
        <v>0</v>
      </c>
      <c r="AF21" s="878"/>
      <c r="AG21" s="335"/>
      <c r="AH21" s="979">
        <f t="shared" si="10"/>
        <v>0</v>
      </c>
      <c r="AI21" s="979"/>
      <c r="AJ21" s="979">
        <f t="shared" si="11"/>
        <v>0</v>
      </c>
      <c r="AK21" s="878"/>
      <c r="AL21" s="618"/>
      <c r="AM21" s="618"/>
    </row>
    <row r="22" spans="1:81" s="641" customFormat="1" ht="31.5" customHeight="1" x14ac:dyDescent="0.3">
      <c r="A22" s="836">
        <v>4</v>
      </c>
      <c r="B22" s="836" t="s">
        <v>9</v>
      </c>
      <c r="C22" s="836">
        <v>1</v>
      </c>
      <c r="D22" s="1086" t="s">
        <v>15</v>
      </c>
      <c r="E22" s="845"/>
      <c r="F22" s="846" t="s">
        <v>16</v>
      </c>
      <c r="G22" s="836" t="s">
        <v>265</v>
      </c>
      <c r="H22" s="844"/>
      <c r="I22" s="625"/>
      <c r="J22" s="844"/>
      <c r="K22" s="626"/>
      <c r="L22" s="890"/>
      <c r="M22" s="890"/>
      <c r="N22" s="890">
        <f t="shared" si="4"/>
        <v>0</v>
      </c>
      <c r="O22" s="467"/>
      <c r="P22" s="467"/>
      <c r="Q22" s="467">
        <f t="shared" si="5"/>
        <v>0</v>
      </c>
      <c r="R22" s="625"/>
      <c r="S22" s="842"/>
      <c r="T22" s="862">
        <f t="shared" si="6"/>
        <v>0</v>
      </c>
      <c r="U22" s="862">
        <f>SUM(T22:T24)</f>
        <v>0</v>
      </c>
      <c r="V22" s="863"/>
      <c r="W22" s="897">
        <f t="shared" si="7"/>
        <v>0</v>
      </c>
      <c r="X22" s="863">
        <f>SUM(W22:W24)</f>
        <v>0</v>
      </c>
      <c r="Y22" s="836">
        <f t="shared" si="8"/>
        <v>0</v>
      </c>
      <c r="Z22" s="891">
        <f t="shared" si="12"/>
        <v>0</v>
      </c>
      <c r="AA22" s="836">
        <f>SUM(Z22:Z24)</f>
        <v>0</v>
      </c>
      <c r="AB22" s="982">
        <v>0</v>
      </c>
      <c r="AC22" s="867"/>
      <c r="AD22" s="867"/>
      <c r="AE22" s="979">
        <f t="shared" si="9"/>
        <v>0</v>
      </c>
      <c r="AF22" s="878">
        <f>SUM(AE22:AE24)</f>
        <v>0</v>
      </c>
      <c r="AG22" s="335"/>
      <c r="AH22" s="979">
        <f t="shared" si="10"/>
        <v>0</v>
      </c>
      <c r="AI22" s="979">
        <f>SUM(AH22:AH24)</f>
        <v>0</v>
      </c>
      <c r="AJ22" s="979">
        <f t="shared" si="11"/>
        <v>0</v>
      </c>
      <c r="AK22" s="878">
        <f>SUM(AJ22:AJ24)</f>
        <v>0</v>
      </c>
      <c r="AL22" s="648"/>
      <c r="AM22" s="648"/>
      <c r="AN22" s="647"/>
      <c r="AO22" s="647"/>
      <c r="AP22" s="647"/>
      <c r="AQ22" s="647"/>
      <c r="AR22" s="647"/>
      <c r="AS22" s="647"/>
      <c r="AT22" s="647"/>
      <c r="AU22" s="647"/>
      <c r="AV22" s="647"/>
      <c r="AW22" s="647"/>
      <c r="AX22" s="647"/>
      <c r="AY22" s="647"/>
      <c r="AZ22" s="647"/>
      <c r="BA22" s="647"/>
      <c r="BB22" s="647"/>
      <c r="BC22" s="647"/>
      <c r="BD22" s="647"/>
      <c r="BE22" s="647"/>
      <c r="BF22" s="647"/>
      <c r="BG22" s="647"/>
      <c r="BH22" s="647"/>
      <c r="BI22" s="647"/>
      <c r="BJ22" s="647"/>
      <c r="BK22" s="647"/>
      <c r="BL22" s="647"/>
      <c r="BM22" s="647"/>
      <c r="BN22" s="647"/>
      <c r="BO22" s="647"/>
      <c r="BP22" s="647"/>
      <c r="BQ22" s="647"/>
      <c r="BR22" s="647"/>
      <c r="BS22" s="647"/>
      <c r="BT22" s="647"/>
      <c r="BU22" s="647"/>
      <c r="BV22" s="647"/>
      <c r="BW22" s="647"/>
      <c r="BX22" s="647"/>
      <c r="BY22" s="647"/>
      <c r="BZ22" s="647"/>
      <c r="CA22" s="647"/>
      <c r="CB22" s="647"/>
      <c r="CC22" s="647"/>
    </row>
    <row r="23" spans="1:81" ht="16.5" customHeight="1" x14ac:dyDescent="0.3">
      <c r="A23" s="664"/>
      <c r="B23" s="664"/>
      <c r="C23" s="664"/>
      <c r="D23" s="1086" t="s">
        <v>15</v>
      </c>
      <c r="E23" s="845"/>
      <c r="F23" s="846" t="s">
        <v>595</v>
      </c>
      <c r="G23" s="836" t="s">
        <v>276</v>
      </c>
      <c r="H23" s="844"/>
      <c r="I23" s="625"/>
      <c r="J23" s="844"/>
      <c r="K23" s="626"/>
      <c r="L23" s="893"/>
      <c r="M23" s="893"/>
      <c r="N23" s="893">
        <f t="shared" si="4"/>
        <v>0</v>
      </c>
      <c r="O23" s="856"/>
      <c r="P23" s="856"/>
      <c r="Q23" s="856">
        <f t="shared" si="5"/>
        <v>0</v>
      </c>
      <c r="R23" s="894"/>
      <c r="S23" s="855"/>
      <c r="T23" s="896">
        <f t="shared" si="6"/>
        <v>0</v>
      </c>
      <c r="U23" s="862"/>
      <c r="V23" s="857"/>
      <c r="W23" s="897">
        <f t="shared" si="7"/>
        <v>0</v>
      </c>
      <c r="X23" s="863"/>
      <c r="Y23" s="664">
        <f t="shared" si="8"/>
        <v>0</v>
      </c>
      <c r="Z23" s="891">
        <f t="shared" si="12"/>
        <v>0</v>
      </c>
      <c r="AA23" s="836"/>
      <c r="AB23" s="982"/>
      <c r="AC23" s="867"/>
      <c r="AD23" s="867"/>
      <c r="AE23" s="979">
        <f t="shared" si="9"/>
        <v>0</v>
      </c>
      <c r="AF23" s="878"/>
      <c r="AG23" s="335"/>
      <c r="AH23" s="979">
        <f t="shared" si="10"/>
        <v>0</v>
      </c>
      <c r="AI23" s="979"/>
      <c r="AJ23" s="979">
        <f t="shared" si="11"/>
        <v>0</v>
      </c>
      <c r="AK23" s="878"/>
      <c r="AL23" s="618"/>
      <c r="AM23" s="618"/>
    </row>
    <row r="24" spans="1:81" ht="15" customHeight="1" x14ac:dyDescent="0.3">
      <c r="A24" s="664"/>
      <c r="B24" s="664"/>
      <c r="C24" s="664"/>
      <c r="D24" s="1086" t="s">
        <v>15</v>
      </c>
      <c r="E24" s="845"/>
      <c r="F24" s="846" t="s">
        <v>597</v>
      </c>
      <c r="G24" s="836" t="s">
        <v>276</v>
      </c>
      <c r="H24" s="844"/>
      <c r="I24" s="625"/>
      <c r="J24" s="844"/>
      <c r="K24" s="626"/>
      <c r="L24" s="893"/>
      <c r="M24" s="893"/>
      <c r="N24" s="893">
        <f t="shared" si="4"/>
        <v>0</v>
      </c>
      <c r="O24" s="856"/>
      <c r="P24" s="856"/>
      <c r="Q24" s="856">
        <f t="shared" si="5"/>
        <v>0</v>
      </c>
      <c r="R24" s="894"/>
      <c r="S24" s="855"/>
      <c r="T24" s="896">
        <f t="shared" si="6"/>
        <v>0</v>
      </c>
      <c r="U24" s="862"/>
      <c r="V24" s="857"/>
      <c r="W24" s="897">
        <f t="shared" si="7"/>
        <v>0</v>
      </c>
      <c r="X24" s="863"/>
      <c r="Y24" s="664">
        <f t="shared" si="8"/>
        <v>0</v>
      </c>
      <c r="Z24" s="891">
        <f t="shared" si="12"/>
        <v>0</v>
      </c>
      <c r="AA24" s="836"/>
      <c r="AB24" s="982"/>
      <c r="AC24" s="867"/>
      <c r="AD24" s="867"/>
      <c r="AE24" s="979">
        <f t="shared" si="9"/>
        <v>0</v>
      </c>
      <c r="AF24" s="878"/>
      <c r="AG24" s="335"/>
      <c r="AH24" s="979">
        <f t="shared" si="10"/>
        <v>0</v>
      </c>
      <c r="AI24" s="979"/>
      <c r="AJ24" s="979">
        <f t="shared" si="11"/>
        <v>0</v>
      </c>
      <c r="AK24" s="878"/>
      <c r="AL24" s="618"/>
      <c r="AM24" s="618"/>
    </row>
    <row r="25" spans="1:81" ht="21.6" customHeight="1" x14ac:dyDescent="0.3">
      <c r="A25" s="664"/>
      <c r="B25" s="664"/>
      <c r="C25" s="664"/>
      <c r="D25" s="1086"/>
      <c r="E25" s="845"/>
      <c r="F25" s="846"/>
      <c r="G25" s="836"/>
      <c r="H25" s="844"/>
      <c r="I25" s="625"/>
      <c r="J25" s="844"/>
      <c r="K25" s="626"/>
      <c r="L25" s="893"/>
      <c r="M25" s="893"/>
      <c r="N25" s="893">
        <f t="shared" si="4"/>
        <v>0</v>
      </c>
      <c r="O25" s="856"/>
      <c r="P25" s="856"/>
      <c r="Q25" s="856">
        <f t="shared" si="5"/>
        <v>0</v>
      </c>
      <c r="R25" s="894"/>
      <c r="S25" s="855"/>
      <c r="T25" s="896">
        <f t="shared" si="6"/>
        <v>0</v>
      </c>
      <c r="U25" s="862"/>
      <c r="V25" s="857"/>
      <c r="W25" s="897">
        <f t="shared" si="7"/>
        <v>0</v>
      </c>
      <c r="X25" s="863"/>
      <c r="Y25" s="664">
        <f t="shared" si="8"/>
        <v>0</v>
      </c>
      <c r="Z25" s="891">
        <f t="shared" si="12"/>
        <v>0</v>
      </c>
      <c r="AA25" s="836"/>
      <c r="AB25" s="982"/>
      <c r="AC25" s="867"/>
      <c r="AD25" s="867"/>
      <c r="AE25" s="979">
        <f t="shared" si="9"/>
        <v>0</v>
      </c>
      <c r="AF25" s="878"/>
      <c r="AG25" s="335"/>
      <c r="AH25" s="979">
        <f t="shared" si="10"/>
        <v>0</v>
      </c>
      <c r="AI25" s="979"/>
      <c r="AJ25" s="979">
        <f t="shared" si="11"/>
        <v>0</v>
      </c>
      <c r="AK25" s="878"/>
      <c r="AL25" s="618"/>
      <c r="AM25" s="618"/>
    </row>
    <row r="26" spans="1:81" s="641" customFormat="1" ht="21.6" customHeight="1" x14ac:dyDescent="0.3">
      <c r="A26" s="836">
        <v>5</v>
      </c>
      <c r="B26" s="836" t="s">
        <v>9</v>
      </c>
      <c r="C26" s="836">
        <v>1</v>
      </c>
      <c r="D26" s="1086" t="s">
        <v>17</v>
      </c>
      <c r="E26" s="845"/>
      <c r="F26" s="846" t="s">
        <v>18</v>
      </c>
      <c r="G26" s="836" t="s">
        <v>265</v>
      </c>
      <c r="H26" s="844"/>
      <c r="I26" s="625"/>
      <c r="J26" s="844"/>
      <c r="K26" s="626"/>
      <c r="L26" s="890"/>
      <c r="M26" s="890"/>
      <c r="N26" s="890">
        <f t="shared" si="4"/>
        <v>0</v>
      </c>
      <c r="O26" s="467"/>
      <c r="P26" s="467"/>
      <c r="Q26" s="467">
        <f t="shared" si="5"/>
        <v>0</v>
      </c>
      <c r="R26" s="625"/>
      <c r="S26" s="842">
        <v>75</v>
      </c>
      <c r="T26" s="862">
        <f t="shared" si="6"/>
        <v>5</v>
      </c>
      <c r="U26" s="862">
        <f>SUM(T26:T30)</f>
        <v>5</v>
      </c>
      <c r="V26" s="863"/>
      <c r="W26" s="897">
        <f t="shared" si="7"/>
        <v>0</v>
      </c>
      <c r="X26" s="863">
        <f>SUM(W26:W30)</f>
        <v>0</v>
      </c>
      <c r="Y26" s="836">
        <f t="shared" si="8"/>
        <v>75</v>
      </c>
      <c r="Z26" s="891">
        <f t="shared" si="12"/>
        <v>5</v>
      </c>
      <c r="AA26" s="836">
        <f>SUM(Z26:Z30)</f>
        <v>5</v>
      </c>
      <c r="AB26" s="982">
        <v>5</v>
      </c>
      <c r="AC26" s="867">
        <f>2</f>
        <v>2</v>
      </c>
      <c r="AD26" s="867">
        <f>3</f>
        <v>3</v>
      </c>
      <c r="AE26" s="979">
        <f t="shared" si="9"/>
        <v>5</v>
      </c>
      <c r="AF26" s="878">
        <f>SUM(AE26:AE30)</f>
        <v>5</v>
      </c>
      <c r="AG26" s="335">
        <f>75</f>
        <v>75</v>
      </c>
      <c r="AH26" s="979">
        <f t="shared" si="10"/>
        <v>5</v>
      </c>
      <c r="AI26" s="979">
        <f>SUM(AH26:AH30)</f>
        <v>5</v>
      </c>
      <c r="AJ26" s="979">
        <f t="shared" si="11"/>
        <v>0</v>
      </c>
      <c r="AK26" s="878">
        <f>SUM(AJ26:AJ30)</f>
        <v>0</v>
      </c>
      <c r="AL26" s="648"/>
      <c r="AM26" s="648"/>
      <c r="AN26" s="647"/>
      <c r="AO26" s="647"/>
      <c r="AP26" s="647"/>
      <c r="AQ26" s="647"/>
      <c r="AR26" s="647"/>
      <c r="AS26" s="647"/>
      <c r="AT26" s="647"/>
      <c r="AU26" s="647"/>
      <c r="AV26" s="647"/>
      <c r="AW26" s="647"/>
      <c r="AX26" s="647"/>
      <c r="AY26" s="647"/>
      <c r="AZ26" s="647"/>
      <c r="BA26" s="647"/>
      <c r="BB26" s="647"/>
      <c r="BC26" s="647"/>
      <c r="BD26" s="647"/>
      <c r="BE26" s="647"/>
      <c r="BF26" s="647"/>
      <c r="BG26" s="647"/>
      <c r="BH26" s="647"/>
      <c r="BI26" s="647"/>
      <c r="BJ26" s="647"/>
      <c r="BK26" s="647"/>
      <c r="BL26" s="647"/>
      <c r="BM26" s="647"/>
      <c r="BN26" s="647"/>
      <c r="BO26" s="647"/>
      <c r="BP26" s="647"/>
      <c r="BQ26" s="647"/>
      <c r="BR26" s="647"/>
      <c r="BS26" s="647"/>
      <c r="BT26" s="647"/>
      <c r="BU26" s="647"/>
      <c r="BV26" s="647"/>
      <c r="BW26" s="647"/>
      <c r="BX26" s="647"/>
      <c r="BY26" s="647"/>
      <c r="BZ26" s="647"/>
      <c r="CA26" s="647"/>
      <c r="CB26" s="647"/>
      <c r="CC26" s="647"/>
    </row>
    <row r="27" spans="1:81" ht="21.6" customHeight="1" x14ac:dyDescent="0.25">
      <c r="A27" s="664">
        <v>6</v>
      </c>
      <c r="B27" s="664" t="s">
        <v>9</v>
      </c>
      <c r="C27" s="664">
        <v>2</v>
      </c>
      <c r="D27" s="1086" t="s">
        <v>17</v>
      </c>
      <c r="E27" s="845"/>
      <c r="F27" s="846" t="s">
        <v>19</v>
      </c>
      <c r="G27" s="836" t="s">
        <v>265</v>
      </c>
      <c r="H27" s="844"/>
      <c r="I27" s="625"/>
      <c r="J27" s="844"/>
      <c r="K27" s="626"/>
      <c r="L27" s="893"/>
      <c r="M27" s="893"/>
      <c r="N27" s="893">
        <f t="shared" si="4"/>
        <v>0</v>
      </c>
      <c r="O27" s="856"/>
      <c r="P27" s="856"/>
      <c r="Q27" s="856">
        <f t="shared" si="5"/>
        <v>0</v>
      </c>
      <c r="R27" s="894"/>
      <c r="S27" s="855"/>
      <c r="T27" s="896">
        <f t="shared" si="6"/>
        <v>0</v>
      </c>
      <c r="U27" s="862"/>
      <c r="V27" s="857"/>
      <c r="W27" s="897">
        <f t="shared" si="7"/>
        <v>0</v>
      </c>
      <c r="X27" s="863"/>
      <c r="Y27" s="664">
        <f t="shared" si="8"/>
        <v>0</v>
      </c>
      <c r="Z27" s="891">
        <f t="shared" si="12"/>
        <v>0</v>
      </c>
      <c r="AA27" s="836"/>
      <c r="AB27" s="982"/>
      <c r="AC27" s="867"/>
      <c r="AD27" s="867"/>
      <c r="AE27" s="979">
        <f t="shared" si="9"/>
        <v>0</v>
      </c>
      <c r="AF27" s="878"/>
      <c r="AG27" s="335"/>
      <c r="AH27" s="979">
        <f t="shared" si="10"/>
        <v>0</v>
      </c>
      <c r="AI27" s="979"/>
      <c r="AJ27" s="979">
        <f t="shared" si="11"/>
        <v>0</v>
      </c>
      <c r="AK27" s="878"/>
      <c r="AL27" s="618"/>
      <c r="AM27" s="618"/>
    </row>
    <row r="28" spans="1:81" ht="21.6" customHeight="1" x14ac:dyDescent="0.25">
      <c r="A28" s="664">
        <v>7</v>
      </c>
      <c r="B28" s="664" t="s">
        <v>9</v>
      </c>
      <c r="C28" s="664">
        <v>3</v>
      </c>
      <c r="D28" s="1086" t="s">
        <v>17</v>
      </c>
      <c r="E28" s="845"/>
      <c r="F28" s="846" t="s">
        <v>20</v>
      </c>
      <c r="G28" s="836" t="s">
        <v>265</v>
      </c>
      <c r="H28" s="844"/>
      <c r="I28" s="625"/>
      <c r="J28" s="844"/>
      <c r="K28" s="626"/>
      <c r="L28" s="893"/>
      <c r="M28" s="893"/>
      <c r="N28" s="893">
        <f t="shared" si="4"/>
        <v>0</v>
      </c>
      <c r="O28" s="856"/>
      <c r="P28" s="856"/>
      <c r="Q28" s="856">
        <f t="shared" si="5"/>
        <v>0</v>
      </c>
      <c r="R28" s="894"/>
      <c r="S28" s="855"/>
      <c r="T28" s="896">
        <f t="shared" si="6"/>
        <v>0</v>
      </c>
      <c r="U28" s="862"/>
      <c r="V28" s="857"/>
      <c r="W28" s="897">
        <f t="shared" si="7"/>
        <v>0</v>
      </c>
      <c r="X28" s="863"/>
      <c r="Y28" s="664">
        <f t="shared" si="8"/>
        <v>0</v>
      </c>
      <c r="Z28" s="891">
        <f t="shared" si="12"/>
        <v>0</v>
      </c>
      <c r="AA28" s="836"/>
      <c r="AB28" s="982"/>
      <c r="AC28" s="867"/>
      <c r="AD28" s="867"/>
      <c r="AE28" s="979">
        <f t="shared" si="9"/>
        <v>0</v>
      </c>
      <c r="AF28" s="878"/>
      <c r="AG28" s="335"/>
      <c r="AH28" s="979">
        <f t="shared" si="10"/>
        <v>0</v>
      </c>
      <c r="AI28" s="979"/>
      <c r="AJ28" s="979">
        <f t="shared" si="11"/>
        <v>0</v>
      </c>
      <c r="AK28" s="878"/>
      <c r="AL28" s="618"/>
      <c r="AM28" s="618"/>
    </row>
    <row r="29" spans="1:81" ht="21.6" customHeight="1" x14ac:dyDescent="0.25">
      <c r="A29" s="664">
        <v>8</v>
      </c>
      <c r="B29" s="664" t="s">
        <v>9</v>
      </c>
      <c r="C29" s="664">
        <v>4</v>
      </c>
      <c r="D29" s="1086" t="s">
        <v>17</v>
      </c>
      <c r="E29" s="845"/>
      <c r="F29" s="846" t="s">
        <v>21</v>
      </c>
      <c r="G29" s="836" t="s">
        <v>265</v>
      </c>
      <c r="H29" s="844"/>
      <c r="I29" s="625"/>
      <c r="J29" s="844"/>
      <c r="K29" s="626"/>
      <c r="L29" s="893"/>
      <c r="M29" s="893"/>
      <c r="N29" s="893">
        <f t="shared" si="4"/>
        <v>0</v>
      </c>
      <c r="O29" s="856"/>
      <c r="P29" s="856"/>
      <c r="Q29" s="856">
        <f t="shared" si="5"/>
        <v>0</v>
      </c>
      <c r="R29" s="894"/>
      <c r="S29" s="855"/>
      <c r="T29" s="896">
        <f t="shared" si="6"/>
        <v>0</v>
      </c>
      <c r="U29" s="862"/>
      <c r="V29" s="857"/>
      <c r="W29" s="897">
        <f t="shared" si="7"/>
        <v>0</v>
      </c>
      <c r="X29" s="863"/>
      <c r="Y29" s="664">
        <f t="shared" si="8"/>
        <v>0</v>
      </c>
      <c r="Z29" s="891">
        <f t="shared" si="12"/>
        <v>0</v>
      </c>
      <c r="AA29" s="836"/>
      <c r="AB29" s="982"/>
      <c r="AC29" s="867"/>
      <c r="AD29" s="867"/>
      <c r="AE29" s="979">
        <f t="shared" si="9"/>
        <v>0</v>
      </c>
      <c r="AF29" s="878"/>
      <c r="AG29" s="335"/>
      <c r="AH29" s="979">
        <f t="shared" si="10"/>
        <v>0</v>
      </c>
      <c r="AI29" s="979"/>
      <c r="AJ29" s="979">
        <f t="shared" si="11"/>
        <v>0</v>
      </c>
      <c r="AK29" s="878"/>
      <c r="AL29" s="618"/>
      <c r="AM29" s="618"/>
    </row>
    <row r="30" spans="1:81" ht="21.6" customHeight="1" x14ac:dyDescent="0.25">
      <c r="A30" s="664">
        <v>9</v>
      </c>
      <c r="B30" s="664" t="s">
        <v>9</v>
      </c>
      <c r="C30" s="664">
        <v>5</v>
      </c>
      <c r="D30" s="1086" t="s">
        <v>17</v>
      </c>
      <c r="E30" s="845"/>
      <c r="F30" s="846" t="s">
        <v>22</v>
      </c>
      <c r="G30" s="836" t="s">
        <v>265</v>
      </c>
      <c r="H30" s="844"/>
      <c r="I30" s="625"/>
      <c r="J30" s="844"/>
      <c r="K30" s="626"/>
      <c r="L30" s="893"/>
      <c r="M30" s="893"/>
      <c r="N30" s="893">
        <f t="shared" si="4"/>
        <v>0</v>
      </c>
      <c r="O30" s="856"/>
      <c r="P30" s="856"/>
      <c r="Q30" s="856">
        <f t="shared" si="5"/>
        <v>0</v>
      </c>
      <c r="R30" s="894"/>
      <c r="S30" s="855"/>
      <c r="T30" s="896">
        <f t="shared" si="6"/>
        <v>0</v>
      </c>
      <c r="U30" s="862"/>
      <c r="V30" s="857"/>
      <c r="W30" s="897">
        <f t="shared" si="7"/>
        <v>0</v>
      </c>
      <c r="X30" s="863"/>
      <c r="Y30" s="664">
        <f t="shared" si="8"/>
        <v>0</v>
      </c>
      <c r="Z30" s="891">
        <f t="shared" si="12"/>
        <v>0</v>
      </c>
      <c r="AA30" s="836"/>
      <c r="AB30" s="982"/>
      <c r="AC30" s="867"/>
      <c r="AD30" s="867"/>
      <c r="AE30" s="979">
        <f t="shared" si="9"/>
        <v>0</v>
      </c>
      <c r="AF30" s="878"/>
      <c r="AG30" s="335"/>
      <c r="AH30" s="979">
        <f t="shared" si="10"/>
        <v>0</v>
      </c>
      <c r="AI30" s="979"/>
      <c r="AJ30" s="979">
        <f t="shared" si="11"/>
        <v>0</v>
      </c>
      <c r="AK30" s="878"/>
      <c r="AL30" s="618"/>
      <c r="AM30" s="618"/>
    </row>
    <row r="31" spans="1:81" ht="21.6" customHeight="1" x14ac:dyDescent="0.25">
      <c r="A31" s="664"/>
      <c r="B31" s="664"/>
      <c r="C31" s="664"/>
      <c r="D31" s="1086"/>
      <c r="E31" s="845"/>
      <c r="F31" s="846"/>
      <c r="G31" s="836"/>
      <c r="H31" s="844"/>
      <c r="I31" s="625"/>
      <c r="J31" s="844"/>
      <c r="K31" s="626"/>
      <c r="L31" s="893"/>
      <c r="M31" s="893"/>
      <c r="N31" s="893">
        <f t="shared" si="4"/>
        <v>0</v>
      </c>
      <c r="O31" s="856"/>
      <c r="P31" s="856"/>
      <c r="Q31" s="856">
        <f t="shared" si="5"/>
        <v>0</v>
      </c>
      <c r="R31" s="894"/>
      <c r="S31" s="855"/>
      <c r="T31" s="896">
        <f t="shared" si="6"/>
        <v>0</v>
      </c>
      <c r="U31" s="862"/>
      <c r="V31" s="857"/>
      <c r="W31" s="897">
        <f t="shared" si="7"/>
        <v>0</v>
      </c>
      <c r="X31" s="863"/>
      <c r="Y31" s="664">
        <f t="shared" si="8"/>
        <v>0</v>
      </c>
      <c r="Z31" s="891">
        <f t="shared" si="12"/>
        <v>0</v>
      </c>
      <c r="AA31" s="836"/>
      <c r="AB31" s="982"/>
      <c r="AC31" s="867"/>
      <c r="AD31" s="867"/>
      <c r="AE31" s="979">
        <f t="shared" si="9"/>
        <v>0</v>
      </c>
      <c r="AF31" s="878"/>
      <c r="AG31" s="335"/>
      <c r="AH31" s="979">
        <f t="shared" si="10"/>
        <v>0</v>
      </c>
      <c r="AI31" s="979"/>
      <c r="AJ31" s="979">
        <f t="shared" si="11"/>
        <v>0</v>
      </c>
      <c r="AK31" s="878"/>
      <c r="AL31" s="618"/>
      <c r="AM31" s="618"/>
    </row>
    <row r="32" spans="1:81" s="641" customFormat="1" ht="21.6" customHeight="1" x14ac:dyDescent="0.25">
      <c r="A32" s="836"/>
      <c r="B32" s="836"/>
      <c r="C32" s="836"/>
      <c r="D32" s="1086" t="s">
        <v>351</v>
      </c>
      <c r="E32" s="900" t="s">
        <v>431</v>
      </c>
      <c r="F32" s="846" t="s">
        <v>352</v>
      </c>
      <c r="G32" s="836" t="s">
        <v>276</v>
      </c>
      <c r="H32" s="844"/>
      <c r="I32" s="625"/>
      <c r="J32" s="844"/>
      <c r="K32" s="626"/>
      <c r="L32" s="890"/>
      <c r="M32" s="890"/>
      <c r="N32" s="890">
        <f t="shared" si="4"/>
        <v>0</v>
      </c>
      <c r="O32" s="467"/>
      <c r="P32" s="467"/>
      <c r="Q32" s="467">
        <f t="shared" si="5"/>
        <v>0</v>
      </c>
      <c r="R32" s="625"/>
      <c r="S32" s="842"/>
      <c r="T32" s="862">
        <f t="shared" si="6"/>
        <v>0</v>
      </c>
      <c r="U32" s="862">
        <f>SUM(T32:T40)</f>
        <v>0</v>
      </c>
      <c r="V32" s="863"/>
      <c r="W32" s="897">
        <f t="shared" si="7"/>
        <v>0</v>
      </c>
      <c r="X32" s="863">
        <f>SUM(W32:W40)</f>
        <v>0</v>
      </c>
      <c r="Y32" s="836">
        <f t="shared" si="8"/>
        <v>0</v>
      </c>
      <c r="Z32" s="891">
        <f t="shared" si="12"/>
        <v>0</v>
      </c>
      <c r="AA32" s="836">
        <f>SUM(Z32:Z40)</f>
        <v>0</v>
      </c>
      <c r="AB32" s="982">
        <v>0</v>
      </c>
      <c r="AC32" s="867"/>
      <c r="AD32" s="867"/>
      <c r="AE32" s="979">
        <f t="shared" si="9"/>
        <v>0</v>
      </c>
      <c r="AF32" s="878">
        <f>SUM(AE32:AE40)</f>
        <v>0</v>
      </c>
      <c r="AG32" s="335"/>
      <c r="AH32" s="979">
        <f t="shared" si="10"/>
        <v>0</v>
      </c>
      <c r="AI32" s="979">
        <f>SUM(AH32:AH40)</f>
        <v>0</v>
      </c>
      <c r="AJ32" s="979">
        <f t="shared" si="11"/>
        <v>0</v>
      </c>
      <c r="AK32" s="878">
        <f>SUM(AJ32:AJ40)</f>
        <v>0</v>
      </c>
      <c r="AL32" s="648"/>
      <c r="AM32" s="648"/>
      <c r="AN32" s="647"/>
      <c r="AO32" s="647"/>
      <c r="AP32" s="647"/>
      <c r="AQ32" s="647"/>
      <c r="AR32" s="647"/>
      <c r="AS32" s="647"/>
      <c r="AT32" s="647"/>
      <c r="AU32" s="647"/>
      <c r="AV32" s="647"/>
      <c r="AW32" s="647"/>
      <c r="AX32" s="647"/>
      <c r="AY32" s="647"/>
      <c r="AZ32" s="647"/>
      <c r="BA32" s="647"/>
      <c r="BB32" s="647"/>
      <c r="BC32" s="647"/>
      <c r="BD32" s="647"/>
      <c r="BE32" s="647"/>
      <c r="BF32" s="647"/>
      <c r="BG32" s="647"/>
      <c r="BH32" s="647"/>
      <c r="BI32" s="647"/>
      <c r="BJ32" s="647"/>
      <c r="BK32" s="647"/>
      <c r="BL32" s="647"/>
      <c r="BM32" s="647"/>
      <c r="BN32" s="647"/>
      <c r="BO32" s="647"/>
      <c r="BP32" s="647"/>
      <c r="BQ32" s="647"/>
      <c r="BR32" s="647"/>
      <c r="BS32" s="647"/>
      <c r="BT32" s="647"/>
      <c r="BU32" s="647"/>
      <c r="BV32" s="647"/>
      <c r="BW32" s="647"/>
      <c r="BX32" s="647"/>
      <c r="BY32" s="647"/>
      <c r="BZ32" s="647"/>
      <c r="CA32" s="647"/>
      <c r="CB32" s="647"/>
      <c r="CC32" s="647"/>
    </row>
    <row r="33" spans="1:81" ht="26.45" customHeight="1" x14ac:dyDescent="0.25">
      <c r="A33" s="664"/>
      <c r="B33" s="664"/>
      <c r="C33" s="664"/>
      <c r="D33" s="1086" t="s">
        <v>351</v>
      </c>
      <c r="E33" s="900"/>
      <c r="F33" s="846" t="s">
        <v>353</v>
      </c>
      <c r="G33" s="836" t="s">
        <v>276</v>
      </c>
      <c r="H33" s="844"/>
      <c r="I33" s="625"/>
      <c r="J33" s="844"/>
      <c r="K33" s="626"/>
      <c r="L33" s="893"/>
      <c r="M33" s="893"/>
      <c r="N33" s="893">
        <f t="shared" si="4"/>
        <v>0</v>
      </c>
      <c r="O33" s="856"/>
      <c r="P33" s="856"/>
      <c r="Q33" s="856">
        <f t="shared" si="5"/>
        <v>0</v>
      </c>
      <c r="R33" s="894"/>
      <c r="S33" s="855"/>
      <c r="T33" s="896">
        <f t="shared" si="6"/>
        <v>0</v>
      </c>
      <c r="U33" s="862"/>
      <c r="V33" s="857"/>
      <c r="W33" s="897">
        <f t="shared" si="7"/>
        <v>0</v>
      </c>
      <c r="X33" s="863"/>
      <c r="Y33" s="664">
        <f t="shared" si="8"/>
        <v>0</v>
      </c>
      <c r="Z33" s="891">
        <f t="shared" si="12"/>
        <v>0</v>
      </c>
      <c r="AA33" s="836"/>
      <c r="AB33" s="982"/>
      <c r="AC33" s="867"/>
      <c r="AD33" s="867"/>
      <c r="AE33" s="979">
        <f t="shared" si="9"/>
        <v>0</v>
      </c>
      <c r="AF33" s="878"/>
      <c r="AG33" s="335"/>
      <c r="AH33" s="979">
        <f t="shared" si="10"/>
        <v>0</v>
      </c>
      <c r="AI33" s="979"/>
      <c r="AJ33" s="979">
        <f t="shared" si="11"/>
        <v>0</v>
      </c>
      <c r="AK33" s="878"/>
      <c r="AL33" s="618"/>
      <c r="AM33" s="618"/>
    </row>
    <row r="34" spans="1:81" ht="21.6" customHeight="1" x14ac:dyDescent="0.25">
      <c r="A34" s="664"/>
      <c r="B34" s="664"/>
      <c r="C34" s="664"/>
      <c r="D34" s="1086" t="s">
        <v>351</v>
      </c>
      <c r="E34" s="900"/>
      <c r="F34" s="846" t="s">
        <v>397</v>
      </c>
      <c r="G34" s="836" t="s">
        <v>276</v>
      </c>
      <c r="H34" s="844"/>
      <c r="I34" s="625"/>
      <c r="J34" s="844"/>
      <c r="K34" s="626"/>
      <c r="L34" s="893"/>
      <c r="M34" s="893"/>
      <c r="N34" s="893">
        <f t="shared" si="4"/>
        <v>0</v>
      </c>
      <c r="O34" s="856"/>
      <c r="P34" s="856"/>
      <c r="Q34" s="856">
        <f t="shared" si="5"/>
        <v>0</v>
      </c>
      <c r="R34" s="894"/>
      <c r="S34" s="855"/>
      <c r="T34" s="896">
        <f t="shared" si="6"/>
        <v>0</v>
      </c>
      <c r="U34" s="862"/>
      <c r="V34" s="857"/>
      <c r="W34" s="897">
        <f t="shared" si="7"/>
        <v>0</v>
      </c>
      <c r="X34" s="863"/>
      <c r="Y34" s="664">
        <f t="shared" si="8"/>
        <v>0</v>
      </c>
      <c r="Z34" s="891">
        <f t="shared" si="12"/>
        <v>0</v>
      </c>
      <c r="AA34" s="836"/>
      <c r="AB34" s="982"/>
      <c r="AC34" s="867"/>
      <c r="AD34" s="867"/>
      <c r="AE34" s="979">
        <f t="shared" si="9"/>
        <v>0</v>
      </c>
      <c r="AF34" s="878"/>
      <c r="AG34" s="335"/>
      <c r="AH34" s="979">
        <f t="shared" si="10"/>
        <v>0</v>
      </c>
      <c r="AI34" s="979"/>
      <c r="AJ34" s="979">
        <f t="shared" si="11"/>
        <v>0</v>
      </c>
      <c r="AK34" s="878"/>
      <c r="AL34" s="618"/>
      <c r="AM34" s="618"/>
    </row>
    <row r="35" spans="1:81" ht="21.6" customHeight="1" x14ac:dyDescent="0.25">
      <c r="A35" s="664"/>
      <c r="B35" s="664"/>
      <c r="C35" s="664"/>
      <c r="D35" s="1086" t="s">
        <v>351</v>
      </c>
      <c r="E35" s="900"/>
      <c r="F35" s="846" t="s">
        <v>354</v>
      </c>
      <c r="G35" s="836" t="s">
        <v>276</v>
      </c>
      <c r="H35" s="901"/>
      <c r="I35" s="625"/>
      <c r="J35" s="844"/>
      <c r="K35" s="626"/>
      <c r="L35" s="893"/>
      <c r="M35" s="893"/>
      <c r="N35" s="893">
        <f t="shared" si="4"/>
        <v>0</v>
      </c>
      <c r="O35" s="856"/>
      <c r="P35" s="856"/>
      <c r="Q35" s="856">
        <f t="shared" si="5"/>
        <v>0</v>
      </c>
      <c r="R35" s="894"/>
      <c r="S35" s="855"/>
      <c r="T35" s="896">
        <f t="shared" si="6"/>
        <v>0</v>
      </c>
      <c r="U35" s="862"/>
      <c r="V35" s="857"/>
      <c r="W35" s="897">
        <f t="shared" si="7"/>
        <v>0</v>
      </c>
      <c r="X35" s="863"/>
      <c r="Y35" s="664">
        <f t="shared" si="8"/>
        <v>0</v>
      </c>
      <c r="Z35" s="891">
        <f t="shared" si="12"/>
        <v>0</v>
      </c>
      <c r="AA35" s="836"/>
      <c r="AB35" s="982"/>
      <c r="AC35" s="867"/>
      <c r="AD35" s="867"/>
      <c r="AE35" s="979">
        <f t="shared" si="9"/>
        <v>0</v>
      </c>
      <c r="AF35" s="878"/>
      <c r="AG35" s="335"/>
      <c r="AH35" s="979">
        <f t="shared" si="10"/>
        <v>0</v>
      </c>
      <c r="AI35" s="979"/>
      <c r="AJ35" s="979">
        <f t="shared" si="11"/>
        <v>0</v>
      </c>
      <c r="AK35" s="878"/>
      <c r="AL35" s="618"/>
      <c r="AM35" s="618"/>
    </row>
    <row r="36" spans="1:81" ht="21.6" customHeight="1" x14ac:dyDescent="0.25">
      <c r="A36" s="664"/>
      <c r="B36" s="664"/>
      <c r="C36" s="664"/>
      <c r="D36" s="1086" t="s">
        <v>351</v>
      </c>
      <c r="E36" s="900"/>
      <c r="F36" s="846" t="s">
        <v>355</v>
      </c>
      <c r="G36" s="836" t="s">
        <v>276</v>
      </c>
      <c r="H36" s="901"/>
      <c r="I36" s="625"/>
      <c r="J36" s="844"/>
      <c r="K36" s="626"/>
      <c r="L36" s="893"/>
      <c r="M36" s="893"/>
      <c r="N36" s="893">
        <f t="shared" si="4"/>
        <v>0</v>
      </c>
      <c r="O36" s="856"/>
      <c r="P36" s="856"/>
      <c r="Q36" s="856">
        <f t="shared" si="5"/>
        <v>0</v>
      </c>
      <c r="R36" s="894"/>
      <c r="S36" s="855"/>
      <c r="T36" s="896">
        <f t="shared" si="6"/>
        <v>0</v>
      </c>
      <c r="U36" s="862"/>
      <c r="V36" s="857"/>
      <c r="W36" s="897">
        <f t="shared" si="7"/>
        <v>0</v>
      </c>
      <c r="X36" s="863"/>
      <c r="Y36" s="664">
        <f t="shared" si="8"/>
        <v>0</v>
      </c>
      <c r="Z36" s="891">
        <f t="shared" si="12"/>
        <v>0</v>
      </c>
      <c r="AA36" s="836"/>
      <c r="AB36" s="982"/>
      <c r="AC36" s="867"/>
      <c r="AD36" s="867"/>
      <c r="AE36" s="979">
        <f t="shared" si="9"/>
        <v>0</v>
      </c>
      <c r="AF36" s="878"/>
      <c r="AG36" s="335"/>
      <c r="AH36" s="979">
        <f t="shared" si="10"/>
        <v>0</v>
      </c>
      <c r="AI36" s="979"/>
      <c r="AJ36" s="979">
        <f t="shared" si="11"/>
        <v>0</v>
      </c>
      <c r="AK36" s="878"/>
      <c r="AL36" s="618"/>
      <c r="AM36" s="618"/>
    </row>
    <row r="37" spans="1:81" ht="21.6" customHeight="1" x14ac:dyDescent="0.25">
      <c r="A37" s="664"/>
      <c r="B37" s="664"/>
      <c r="C37" s="664"/>
      <c r="D37" s="1086" t="s">
        <v>351</v>
      </c>
      <c r="E37" s="900" t="s">
        <v>431</v>
      </c>
      <c r="F37" s="846" t="s">
        <v>356</v>
      </c>
      <c r="G37" s="836" t="s">
        <v>276</v>
      </c>
      <c r="H37" s="844"/>
      <c r="I37" s="625"/>
      <c r="J37" s="844"/>
      <c r="K37" s="626"/>
      <c r="L37" s="893"/>
      <c r="M37" s="893"/>
      <c r="N37" s="893">
        <f t="shared" si="4"/>
        <v>0</v>
      </c>
      <c r="O37" s="856"/>
      <c r="P37" s="856"/>
      <c r="Q37" s="856">
        <f t="shared" si="5"/>
        <v>0</v>
      </c>
      <c r="R37" s="894"/>
      <c r="S37" s="855"/>
      <c r="T37" s="896">
        <f t="shared" si="6"/>
        <v>0</v>
      </c>
      <c r="U37" s="862"/>
      <c r="V37" s="857"/>
      <c r="W37" s="897">
        <f t="shared" si="7"/>
        <v>0</v>
      </c>
      <c r="X37" s="863"/>
      <c r="Y37" s="664">
        <f t="shared" si="8"/>
        <v>0</v>
      </c>
      <c r="Z37" s="891">
        <f t="shared" si="12"/>
        <v>0</v>
      </c>
      <c r="AA37" s="836"/>
      <c r="AB37" s="982"/>
      <c r="AC37" s="867"/>
      <c r="AD37" s="867"/>
      <c r="AE37" s="979">
        <f t="shared" si="9"/>
        <v>0</v>
      </c>
      <c r="AF37" s="878"/>
      <c r="AG37" s="335"/>
      <c r="AH37" s="979">
        <f t="shared" si="10"/>
        <v>0</v>
      </c>
      <c r="AI37" s="979"/>
      <c r="AJ37" s="979">
        <f t="shared" si="11"/>
        <v>0</v>
      </c>
      <c r="AK37" s="878"/>
      <c r="AL37" s="618"/>
      <c r="AM37" s="618"/>
    </row>
    <row r="38" spans="1:81" ht="21.6" customHeight="1" x14ac:dyDescent="0.25">
      <c r="A38" s="664"/>
      <c r="B38" s="664"/>
      <c r="C38" s="664"/>
      <c r="D38" s="1086" t="s">
        <v>351</v>
      </c>
      <c r="E38" s="900"/>
      <c r="F38" s="846" t="s">
        <v>396</v>
      </c>
      <c r="G38" s="836" t="s">
        <v>276</v>
      </c>
      <c r="H38" s="844"/>
      <c r="I38" s="625"/>
      <c r="J38" s="844"/>
      <c r="K38" s="626"/>
      <c r="L38" s="893"/>
      <c r="M38" s="893"/>
      <c r="N38" s="893">
        <f t="shared" si="4"/>
        <v>0</v>
      </c>
      <c r="O38" s="856"/>
      <c r="P38" s="856"/>
      <c r="Q38" s="856">
        <f t="shared" si="5"/>
        <v>0</v>
      </c>
      <c r="R38" s="894"/>
      <c r="S38" s="855"/>
      <c r="T38" s="896">
        <f t="shared" si="6"/>
        <v>0</v>
      </c>
      <c r="U38" s="862"/>
      <c r="V38" s="857"/>
      <c r="W38" s="897">
        <f t="shared" si="7"/>
        <v>0</v>
      </c>
      <c r="X38" s="863"/>
      <c r="Y38" s="664">
        <f t="shared" si="8"/>
        <v>0</v>
      </c>
      <c r="Z38" s="891">
        <f t="shared" si="12"/>
        <v>0</v>
      </c>
      <c r="AA38" s="836"/>
      <c r="AB38" s="982"/>
      <c r="AC38" s="867"/>
      <c r="AD38" s="867"/>
      <c r="AE38" s="979">
        <f t="shared" si="9"/>
        <v>0</v>
      </c>
      <c r="AF38" s="878"/>
      <c r="AG38" s="335"/>
      <c r="AH38" s="979">
        <f t="shared" si="10"/>
        <v>0</v>
      </c>
      <c r="AI38" s="979"/>
      <c r="AJ38" s="979">
        <f t="shared" si="11"/>
        <v>0</v>
      </c>
      <c r="AK38" s="878"/>
      <c r="AL38" s="618"/>
      <c r="AM38" s="618"/>
    </row>
    <row r="39" spans="1:81" ht="21.6" customHeight="1" x14ac:dyDescent="0.25">
      <c r="A39" s="664"/>
      <c r="B39" s="664"/>
      <c r="C39" s="664"/>
      <c r="D39" s="1086" t="s">
        <v>351</v>
      </c>
      <c r="E39" s="900" t="s">
        <v>431</v>
      </c>
      <c r="F39" s="846" t="s">
        <v>357</v>
      </c>
      <c r="G39" s="836" t="s">
        <v>276</v>
      </c>
      <c r="H39" s="844"/>
      <c r="I39" s="625"/>
      <c r="J39" s="844"/>
      <c r="K39" s="626"/>
      <c r="L39" s="893"/>
      <c r="M39" s="893"/>
      <c r="N39" s="893">
        <f t="shared" si="4"/>
        <v>0</v>
      </c>
      <c r="O39" s="856"/>
      <c r="P39" s="856"/>
      <c r="Q39" s="856">
        <f t="shared" si="5"/>
        <v>0</v>
      </c>
      <c r="R39" s="894"/>
      <c r="S39" s="855"/>
      <c r="T39" s="896">
        <f t="shared" si="6"/>
        <v>0</v>
      </c>
      <c r="U39" s="862"/>
      <c r="V39" s="857"/>
      <c r="W39" s="897">
        <f t="shared" si="7"/>
        <v>0</v>
      </c>
      <c r="X39" s="863"/>
      <c r="Y39" s="664">
        <f t="shared" si="8"/>
        <v>0</v>
      </c>
      <c r="Z39" s="891">
        <f t="shared" si="12"/>
        <v>0</v>
      </c>
      <c r="AA39" s="836"/>
      <c r="AB39" s="982"/>
      <c r="AC39" s="867"/>
      <c r="AD39" s="867"/>
      <c r="AE39" s="979">
        <f t="shared" si="9"/>
        <v>0</v>
      </c>
      <c r="AF39" s="878"/>
      <c r="AG39" s="335"/>
      <c r="AH39" s="979">
        <f t="shared" si="10"/>
        <v>0</v>
      </c>
      <c r="AI39" s="979"/>
      <c r="AJ39" s="979">
        <f t="shared" si="11"/>
        <v>0</v>
      </c>
      <c r="AK39" s="878"/>
      <c r="AL39" s="618"/>
      <c r="AM39" s="618"/>
    </row>
    <row r="40" spans="1:81" ht="21.6" customHeight="1" x14ac:dyDescent="0.25">
      <c r="A40" s="664"/>
      <c r="B40" s="664"/>
      <c r="C40" s="664"/>
      <c r="D40" s="1086" t="s">
        <v>351</v>
      </c>
      <c r="E40" s="900"/>
      <c r="F40" s="846" t="s">
        <v>358</v>
      </c>
      <c r="G40" s="836" t="s">
        <v>276</v>
      </c>
      <c r="H40" s="844"/>
      <c r="I40" s="625"/>
      <c r="J40" s="844"/>
      <c r="K40" s="626"/>
      <c r="L40" s="893"/>
      <c r="M40" s="893"/>
      <c r="N40" s="893">
        <f t="shared" si="4"/>
        <v>0</v>
      </c>
      <c r="O40" s="856"/>
      <c r="P40" s="856"/>
      <c r="Q40" s="856">
        <f t="shared" si="5"/>
        <v>0</v>
      </c>
      <c r="R40" s="894"/>
      <c r="S40" s="855"/>
      <c r="T40" s="896">
        <f t="shared" si="6"/>
        <v>0</v>
      </c>
      <c r="U40" s="862"/>
      <c r="V40" s="857"/>
      <c r="W40" s="897">
        <f t="shared" si="7"/>
        <v>0</v>
      </c>
      <c r="X40" s="863"/>
      <c r="Y40" s="664">
        <f t="shared" si="8"/>
        <v>0</v>
      </c>
      <c r="Z40" s="891">
        <f t="shared" si="12"/>
        <v>0</v>
      </c>
      <c r="AA40" s="836"/>
      <c r="AB40" s="982"/>
      <c r="AC40" s="867"/>
      <c r="AD40" s="867"/>
      <c r="AE40" s="979">
        <f t="shared" si="9"/>
        <v>0</v>
      </c>
      <c r="AF40" s="878"/>
      <c r="AG40" s="335"/>
      <c r="AH40" s="979">
        <f t="shared" si="10"/>
        <v>0</v>
      </c>
      <c r="AI40" s="979"/>
      <c r="AJ40" s="979">
        <f t="shared" si="11"/>
        <v>0</v>
      </c>
      <c r="AK40" s="878"/>
      <c r="AL40" s="618"/>
      <c r="AM40" s="618"/>
    </row>
    <row r="41" spans="1:81" ht="21.6" customHeight="1" x14ac:dyDescent="0.25">
      <c r="A41" s="664"/>
      <c r="B41" s="664"/>
      <c r="C41" s="664"/>
      <c r="D41" s="1086"/>
      <c r="E41" s="845"/>
      <c r="F41" s="846"/>
      <c r="G41" s="836"/>
      <c r="H41" s="844"/>
      <c r="I41" s="625"/>
      <c r="J41" s="844"/>
      <c r="K41" s="626"/>
      <c r="L41" s="893"/>
      <c r="M41" s="893"/>
      <c r="N41" s="893">
        <f t="shared" si="4"/>
        <v>0</v>
      </c>
      <c r="O41" s="856"/>
      <c r="P41" s="856"/>
      <c r="Q41" s="856">
        <f t="shared" si="5"/>
        <v>0</v>
      </c>
      <c r="R41" s="894"/>
      <c r="S41" s="855"/>
      <c r="T41" s="896">
        <f t="shared" si="6"/>
        <v>0</v>
      </c>
      <c r="U41" s="862"/>
      <c r="V41" s="857"/>
      <c r="W41" s="897">
        <f t="shared" si="7"/>
        <v>0</v>
      </c>
      <c r="X41" s="863"/>
      <c r="Y41" s="664">
        <f t="shared" si="8"/>
        <v>0</v>
      </c>
      <c r="Z41" s="891">
        <f t="shared" si="12"/>
        <v>0</v>
      </c>
      <c r="AA41" s="836"/>
      <c r="AB41" s="982"/>
      <c r="AC41" s="867"/>
      <c r="AD41" s="867"/>
      <c r="AE41" s="979">
        <f t="shared" si="9"/>
        <v>0</v>
      </c>
      <c r="AF41" s="878"/>
      <c r="AG41" s="335"/>
      <c r="AH41" s="979">
        <f t="shared" si="10"/>
        <v>0</v>
      </c>
      <c r="AI41" s="979"/>
      <c r="AJ41" s="979">
        <f t="shared" si="11"/>
        <v>0</v>
      </c>
      <c r="AK41" s="878"/>
      <c r="AL41" s="618"/>
      <c r="AM41" s="618"/>
    </row>
    <row r="42" spans="1:81" s="641" customFormat="1" ht="21.6" customHeight="1" x14ac:dyDescent="0.25">
      <c r="A42" s="836">
        <v>10</v>
      </c>
      <c r="B42" s="836" t="s">
        <v>9</v>
      </c>
      <c r="C42" s="836">
        <v>1</v>
      </c>
      <c r="D42" s="1086" t="s">
        <v>23</v>
      </c>
      <c r="E42" s="845"/>
      <c r="F42" s="846" t="s">
        <v>24</v>
      </c>
      <c r="G42" s="836" t="s">
        <v>265</v>
      </c>
      <c r="H42" s="844"/>
      <c r="I42" s="625"/>
      <c r="J42" s="844"/>
      <c r="K42" s="626"/>
      <c r="L42" s="890"/>
      <c r="M42" s="890"/>
      <c r="N42" s="890">
        <f t="shared" si="4"/>
        <v>0</v>
      </c>
      <c r="O42" s="467"/>
      <c r="P42" s="467"/>
      <c r="Q42" s="467">
        <f t="shared" si="5"/>
        <v>0</v>
      </c>
      <c r="R42" s="625"/>
      <c r="S42" s="842"/>
      <c r="T42" s="862">
        <f t="shared" si="6"/>
        <v>0</v>
      </c>
      <c r="U42" s="862">
        <f>SUM(T42:T43)</f>
        <v>0</v>
      </c>
      <c r="V42" s="863"/>
      <c r="W42" s="897">
        <f t="shared" si="7"/>
        <v>0</v>
      </c>
      <c r="X42" s="863">
        <f>SUM(W42:W43)</f>
        <v>0</v>
      </c>
      <c r="Y42" s="836">
        <f t="shared" si="8"/>
        <v>0</v>
      </c>
      <c r="Z42" s="891">
        <f t="shared" si="12"/>
        <v>0</v>
      </c>
      <c r="AA42" s="836">
        <f>SUM(Z42:Z43)</f>
        <v>0</v>
      </c>
      <c r="AB42" s="982">
        <v>0</v>
      </c>
      <c r="AC42" s="867"/>
      <c r="AD42" s="867"/>
      <c r="AE42" s="979">
        <f t="shared" si="9"/>
        <v>0</v>
      </c>
      <c r="AF42" s="878">
        <f>SUM(AE42:AE43)</f>
        <v>0</v>
      </c>
      <c r="AG42" s="335"/>
      <c r="AH42" s="979">
        <f t="shared" si="10"/>
        <v>0</v>
      </c>
      <c r="AI42" s="979">
        <f>SUM(AH42:AH43)</f>
        <v>0</v>
      </c>
      <c r="AJ42" s="979">
        <f t="shared" si="11"/>
        <v>0</v>
      </c>
      <c r="AK42" s="878">
        <f>SUM(AJ42:AJ43)</f>
        <v>0</v>
      </c>
      <c r="AL42" s="648"/>
      <c r="AM42" s="648"/>
      <c r="AN42" s="647"/>
      <c r="AO42" s="647"/>
      <c r="AP42" s="647"/>
      <c r="AQ42" s="647"/>
      <c r="AR42" s="647"/>
      <c r="AS42" s="647"/>
      <c r="AT42" s="647"/>
      <c r="AU42" s="647"/>
      <c r="AV42" s="647"/>
      <c r="AW42" s="647"/>
      <c r="AX42" s="647"/>
      <c r="AY42" s="647"/>
      <c r="AZ42" s="647"/>
      <c r="BA42" s="647"/>
      <c r="BB42" s="647"/>
      <c r="BC42" s="647"/>
      <c r="BD42" s="647"/>
      <c r="BE42" s="647"/>
      <c r="BF42" s="647"/>
      <c r="BG42" s="647"/>
      <c r="BH42" s="647"/>
      <c r="BI42" s="647"/>
      <c r="BJ42" s="647"/>
      <c r="BK42" s="647"/>
      <c r="BL42" s="647"/>
      <c r="BM42" s="647"/>
      <c r="BN42" s="647"/>
      <c r="BO42" s="647"/>
      <c r="BP42" s="647"/>
      <c r="BQ42" s="647"/>
      <c r="BR42" s="647"/>
      <c r="BS42" s="647"/>
      <c r="BT42" s="647"/>
      <c r="BU42" s="647"/>
      <c r="BV42" s="647"/>
      <c r="BW42" s="647"/>
      <c r="BX42" s="647"/>
      <c r="BY42" s="647"/>
      <c r="BZ42" s="647"/>
      <c r="CA42" s="647"/>
      <c r="CB42" s="647"/>
      <c r="CC42" s="647"/>
    </row>
    <row r="43" spans="1:81" ht="21.6" customHeight="1" x14ac:dyDescent="0.25">
      <c r="A43" s="664">
        <v>11</v>
      </c>
      <c r="B43" s="664" t="s">
        <v>9</v>
      </c>
      <c r="C43" s="664">
        <v>2</v>
      </c>
      <c r="D43" s="1086" t="s">
        <v>23</v>
      </c>
      <c r="E43" s="845"/>
      <c r="F43" s="846" t="s">
        <v>25</v>
      </c>
      <c r="G43" s="836" t="s">
        <v>265</v>
      </c>
      <c r="H43" s="844"/>
      <c r="I43" s="625"/>
      <c r="J43" s="844"/>
      <c r="K43" s="626"/>
      <c r="L43" s="893"/>
      <c r="M43" s="893"/>
      <c r="N43" s="893">
        <f t="shared" si="4"/>
        <v>0</v>
      </c>
      <c r="O43" s="856"/>
      <c r="P43" s="856"/>
      <c r="Q43" s="856">
        <f t="shared" si="5"/>
        <v>0</v>
      </c>
      <c r="R43" s="894"/>
      <c r="S43" s="855"/>
      <c r="T43" s="896">
        <f t="shared" si="6"/>
        <v>0</v>
      </c>
      <c r="U43" s="862"/>
      <c r="V43" s="857"/>
      <c r="W43" s="897">
        <f t="shared" si="7"/>
        <v>0</v>
      </c>
      <c r="X43" s="863"/>
      <c r="Y43" s="664">
        <f t="shared" si="8"/>
        <v>0</v>
      </c>
      <c r="Z43" s="891">
        <f t="shared" si="12"/>
        <v>0</v>
      </c>
      <c r="AA43" s="836"/>
      <c r="AB43" s="982"/>
      <c r="AC43" s="867"/>
      <c r="AD43" s="867"/>
      <c r="AE43" s="979">
        <f t="shared" si="9"/>
        <v>0</v>
      </c>
      <c r="AF43" s="878"/>
      <c r="AG43" s="335"/>
      <c r="AH43" s="979">
        <f t="shared" si="10"/>
        <v>0</v>
      </c>
      <c r="AI43" s="979"/>
      <c r="AJ43" s="979">
        <f t="shared" si="11"/>
        <v>0</v>
      </c>
      <c r="AK43" s="878"/>
      <c r="AL43" s="618"/>
      <c r="AM43" s="618"/>
    </row>
    <row r="44" spans="1:81" ht="21.6" customHeight="1" x14ac:dyDescent="0.25">
      <c r="A44" s="664"/>
      <c r="B44" s="664"/>
      <c r="C44" s="664"/>
      <c r="D44" s="1086"/>
      <c r="E44" s="845"/>
      <c r="F44" s="846"/>
      <c r="G44" s="836"/>
      <c r="H44" s="844"/>
      <c r="I44" s="625"/>
      <c r="J44" s="844"/>
      <c r="K44" s="626"/>
      <c r="L44" s="893"/>
      <c r="M44" s="893"/>
      <c r="N44" s="893">
        <f t="shared" si="4"/>
        <v>0</v>
      </c>
      <c r="O44" s="856"/>
      <c r="P44" s="856"/>
      <c r="Q44" s="856">
        <f t="shared" si="5"/>
        <v>0</v>
      </c>
      <c r="R44" s="894"/>
      <c r="S44" s="855"/>
      <c r="T44" s="896">
        <f t="shared" si="6"/>
        <v>0</v>
      </c>
      <c r="U44" s="862"/>
      <c r="V44" s="857"/>
      <c r="W44" s="897">
        <f t="shared" si="7"/>
        <v>0</v>
      </c>
      <c r="X44" s="863"/>
      <c r="Y44" s="664">
        <f t="shared" si="8"/>
        <v>0</v>
      </c>
      <c r="Z44" s="891">
        <f t="shared" si="12"/>
        <v>0</v>
      </c>
      <c r="AA44" s="836"/>
      <c r="AB44" s="982"/>
      <c r="AC44" s="867"/>
      <c r="AD44" s="867"/>
      <c r="AE44" s="979">
        <f t="shared" si="9"/>
        <v>0</v>
      </c>
      <c r="AF44" s="878"/>
      <c r="AG44" s="335"/>
      <c r="AH44" s="979">
        <f t="shared" si="10"/>
        <v>0</v>
      </c>
      <c r="AI44" s="979"/>
      <c r="AJ44" s="979">
        <f t="shared" si="11"/>
        <v>0</v>
      </c>
      <c r="AK44" s="878"/>
      <c r="AL44" s="618"/>
      <c r="AM44" s="618"/>
    </row>
    <row r="45" spans="1:81" s="641" customFormat="1" ht="21.6" customHeight="1" x14ac:dyDescent="0.25">
      <c r="A45" s="836"/>
      <c r="B45" s="836"/>
      <c r="C45" s="836"/>
      <c r="D45" s="1086" t="s">
        <v>26</v>
      </c>
      <c r="E45" s="845"/>
      <c r="F45" s="846" t="s">
        <v>334</v>
      </c>
      <c r="G45" s="836" t="s">
        <v>276</v>
      </c>
      <c r="H45" s="844"/>
      <c r="I45" s="836"/>
      <c r="J45" s="844"/>
      <c r="K45" s="626"/>
      <c r="L45" s="890"/>
      <c r="M45" s="890"/>
      <c r="N45" s="890">
        <f t="shared" si="4"/>
        <v>0</v>
      </c>
      <c r="O45" s="467"/>
      <c r="P45" s="467"/>
      <c r="Q45" s="467">
        <f t="shared" si="5"/>
        <v>0</v>
      </c>
      <c r="R45" s="625"/>
      <c r="S45" s="842">
        <v>1236</v>
      </c>
      <c r="T45" s="862">
        <f t="shared" si="6"/>
        <v>82.4</v>
      </c>
      <c r="U45" s="862">
        <f>SUM(T45:T53)</f>
        <v>82.4</v>
      </c>
      <c r="V45" s="863"/>
      <c r="W45" s="897">
        <f t="shared" si="7"/>
        <v>0</v>
      </c>
      <c r="X45" s="863">
        <f>SUM(W45:W53)</f>
        <v>0</v>
      </c>
      <c r="Y45" s="836">
        <f t="shared" si="8"/>
        <v>1236</v>
      </c>
      <c r="Z45" s="891">
        <f t="shared" si="12"/>
        <v>82.4</v>
      </c>
      <c r="AA45" s="836">
        <f>SUM(Z45:Z53)</f>
        <v>82.4</v>
      </c>
      <c r="AB45" s="982">
        <v>82.4</v>
      </c>
      <c r="AC45" s="867"/>
      <c r="AD45" s="867"/>
      <c r="AE45" s="979">
        <f t="shared" si="9"/>
        <v>0</v>
      </c>
      <c r="AF45" s="878">
        <f>SUM(AE45:AE53)</f>
        <v>161</v>
      </c>
      <c r="AG45" s="335"/>
      <c r="AH45" s="979">
        <f t="shared" si="10"/>
        <v>0</v>
      </c>
      <c r="AI45" s="979">
        <f>SUM(AH45:AH53)</f>
        <v>84.533333333333331</v>
      </c>
      <c r="AJ45" s="979">
        <f t="shared" si="11"/>
        <v>82.4</v>
      </c>
      <c r="AK45" s="878">
        <f>SUM(AJ45:AJ53)</f>
        <v>-2.1333333333333258</v>
      </c>
      <c r="AL45" s="648"/>
      <c r="AM45" s="648"/>
      <c r="AN45" s="647"/>
      <c r="AO45" s="647"/>
      <c r="AP45" s="647"/>
      <c r="AQ45" s="647"/>
      <c r="AR45" s="647"/>
      <c r="AS45" s="647"/>
      <c r="AT45" s="647"/>
      <c r="AU45" s="647"/>
      <c r="AV45" s="647"/>
      <c r="AW45" s="647"/>
      <c r="AX45" s="647"/>
      <c r="AY45" s="647"/>
      <c r="AZ45" s="647"/>
      <c r="BA45" s="647"/>
      <c r="BB45" s="647"/>
      <c r="BC45" s="647"/>
      <c r="BD45" s="647"/>
      <c r="BE45" s="647"/>
      <c r="BF45" s="647"/>
      <c r="BG45" s="647"/>
      <c r="BH45" s="647"/>
      <c r="BI45" s="647"/>
      <c r="BJ45" s="647"/>
      <c r="BK45" s="647"/>
      <c r="BL45" s="647"/>
      <c r="BM45" s="647"/>
      <c r="BN45" s="647"/>
      <c r="BO45" s="647"/>
      <c r="BP45" s="647"/>
      <c r="BQ45" s="647"/>
      <c r="BR45" s="647"/>
      <c r="BS45" s="647"/>
      <c r="BT45" s="647"/>
      <c r="BU45" s="647"/>
      <c r="BV45" s="647"/>
      <c r="BW45" s="647"/>
      <c r="BX45" s="647"/>
      <c r="BY45" s="647"/>
      <c r="BZ45" s="647"/>
      <c r="CA45" s="647"/>
      <c r="CB45" s="647"/>
      <c r="CC45" s="647"/>
    </row>
    <row r="46" spans="1:81" s="641" customFormat="1" ht="32.25" customHeight="1" x14ac:dyDescent="0.25">
      <c r="A46" s="1202"/>
      <c r="B46" s="1202"/>
      <c r="C46" s="1202"/>
      <c r="D46" s="1204" t="s">
        <v>26</v>
      </c>
      <c r="E46" s="1204"/>
      <c r="F46" s="1205" t="s">
        <v>902</v>
      </c>
      <c r="G46" s="1202"/>
      <c r="H46" s="1203"/>
      <c r="I46" s="1202"/>
      <c r="J46" s="1203"/>
      <c r="K46" s="626"/>
      <c r="L46" s="890"/>
      <c r="M46" s="890"/>
      <c r="N46" s="890">
        <f t="shared" si="4"/>
        <v>0</v>
      </c>
      <c r="O46" s="467"/>
      <c r="P46" s="467"/>
      <c r="Q46" s="467">
        <f t="shared" si="5"/>
        <v>0</v>
      </c>
      <c r="R46" s="625"/>
      <c r="S46" s="1200"/>
      <c r="T46" s="862">
        <f t="shared" si="6"/>
        <v>0</v>
      </c>
      <c r="U46" s="862"/>
      <c r="V46" s="863"/>
      <c r="W46" s="897"/>
      <c r="X46" s="863"/>
      <c r="Y46" s="1207">
        <f t="shared" si="8"/>
        <v>0</v>
      </c>
      <c r="Z46" s="891">
        <f t="shared" si="12"/>
        <v>0</v>
      </c>
      <c r="AA46" s="1202"/>
      <c r="AB46" s="982"/>
      <c r="AC46" s="867">
        <f>13</f>
        <v>13</v>
      </c>
      <c r="AD46" s="867">
        <f>3</f>
        <v>3</v>
      </c>
      <c r="AE46" s="979">
        <f t="shared" si="9"/>
        <v>16</v>
      </c>
      <c r="AF46" s="878"/>
      <c r="AG46" s="335">
        <f>200</f>
        <v>200</v>
      </c>
      <c r="AH46" s="979">
        <f t="shared" si="10"/>
        <v>13.333333333333334</v>
      </c>
      <c r="AI46" s="979"/>
      <c r="AJ46" s="979">
        <f t="shared" si="11"/>
        <v>-13.333333333333334</v>
      </c>
      <c r="AK46" s="878"/>
      <c r="AL46" s="648"/>
      <c r="AM46" s="648"/>
      <c r="AN46" s="647"/>
      <c r="AO46" s="647"/>
      <c r="AP46" s="647"/>
      <c r="AQ46" s="647"/>
      <c r="AR46" s="647"/>
      <c r="AS46" s="647"/>
      <c r="AT46" s="647"/>
      <c r="AU46" s="647"/>
      <c r="AV46" s="647"/>
      <c r="AW46" s="647"/>
      <c r="AX46" s="647"/>
      <c r="AY46" s="647"/>
      <c r="AZ46" s="647"/>
      <c r="BA46" s="647"/>
      <c r="BB46" s="647"/>
      <c r="BC46" s="647"/>
      <c r="BD46" s="647"/>
      <c r="BE46" s="647"/>
      <c r="BF46" s="647"/>
      <c r="BG46" s="647"/>
      <c r="BH46" s="647"/>
      <c r="BI46" s="647"/>
      <c r="BJ46" s="647"/>
      <c r="BK46" s="647"/>
      <c r="BL46" s="647"/>
      <c r="BM46" s="647"/>
      <c r="BN46" s="647"/>
      <c r="BO46" s="647"/>
      <c r="BP46" s="647"/>
      <c r="BQ46" s="647"/>
      <c r="BR46" s="647"/>
      <c r="BS46" s="647"/>
      <c r="BT46" s="647"/>
      <c r="BU46" s="647"/>
      <c r="BV46" s="647"/>
      <c r="BW46" s="647"/>
      <c r="BX46" s="647"/>
      <c r="BY46" s="647"/>
      <c r="BZ46" s="647"/>
      <c r="CA46" s="647"/>
      <c r="CB46" s="647"/>
      <c r="CC46" s="647"/>
    </row>
    <row r="47" spans="1:81" s="641" customFormat="1" ht="21.6" customHeight="1" x14ac:dyDescent="0.25">
      <c r="A47" s="1210"/>
      <c r="B47" s="1210"/>
      <c r="C47" s="1210"/>
      <c r="D47" s="1212" t="s">
        <v>26</v>
      </c>
      <c r="E47" s="1212"/>
      <c r="F47" s="1213" t="s">
        <v>905</v>
      </c>
      <c r="G47" s="1210"/>
      <c r="H47" s="1211"/>
      <c r="I47" s="1210"/>
      <c r="J47" s="1211"/>
      <c r="K47" s="626"/>
      <c r="L47" s="890"/>
      <c r="M47" s="890"/>
      <c r="N47" s="890"/>
      <c r="O47" s="467"/>
      <c r="P47" s="467"/>
      <c r="Q47" s="467"/>
      <c r="R47" s="625"/>
      <c r="S47" s="1208"/>
      <c r="T47" s="862"/>
      <c r="U47" s="862"/>
      <c r="V47" s="863"/>
      <c r="W47" s="897"/>
      <c r="X47" s="863"/>
      <c r="Y47" s="1210"/>
      <c r="Z47" s="891"/>
      <c r="AA47" s="1210"/>
      <c r="AB47" s="982"/>
      <c r="AC47" s="867">
        <f>11+2</f>
        <v>13</v>
      </c>
      <c r="AD47" s="867">
        <f>3+1</f>
        <v>4</v>
      </c>
      <c r="AE47" s="979"/>
      <c r="AF47" s="878"/>
      <c r="AG47" s="335">
        <f>54+21</f>
        <v>75</v>
      </c>
      <c r="AH47" s="979">
        <f t="shared" si="10"/>
        <v>5</v>
      </c>
      <c r="AI47" s="979"/>
      <c r="AJ47" s="979">
        <f t="shared" si="11"/>
        <v>-5</v>
      </c>
      <c r="AK47" s="878"/>
      <c r="AL47" s="648"/>
      <c r="AM47" s="648"/>
      <c r="AN47" s="647"/>
      <c r="AO47" s="647"/>
      <c r="AP47" s="647"/>
      <c r="AQ47" s="647"/>
      <c r="AR47" s="647"/>
      <c r="AS47" s="647"/>
      <c r="AT47" s="647"/>
      <c r="AU47" s="647"/>
      <c r="AV47" s="647"/>
      <c r="AW47" s="647"/>
      <c r="AX47" s="647"/>
      <c r="AY47" s="647"/>
      <c r="AZ47" s="647"/>
      <c r="BA47" s="647"/>
      <c r="BB47" s="647"/>
      <c r="BC47" s="647"/>
      <c r="BD47" s="647"/>
      <c r="BE47" s="647"/>
      <c r="BF47" s="647"/>
      <c r="BG47" s="647"/>
      <c r="BH47" s="647"/>
      <c r="BI47" s="647"/>
      <c r="BJ47" s="647"/>
      <c r="BK47" s="647"/>
      <c r="BL47" s="647"/>
      <c r="BM47" s="647"/>
      <c r="BN47" s="647"/>
      <c r="BO47" s="647"/>
      <c r="BP47" s="647"/>
      <c r="BQ47" s="647"/>
      <c r="BR47" s="647"/>
      <c r="BS47" s="647"/>
      <c r="BT47" s="647"/>
      <c r="BU47" s="647"/>
      <c r="BV47" s="647"/>
      <c r="BW47" s="647"/>
      <c r="BX47" s="647"/>
      <c r="BY47" s="647"/>
      <c r="BZ47" s="647"/>
      <c r="CA47" s="647"/>
      <c r="CB47" s="647"/>
      <c r="CC47" s="647"/>
    </row>
    <row r="48" spans="1:81" s="641" customFormat="1" ht="21.6" customHeight="1" x14ac:dyDescent="0.25">
      <c r="A48" s="1202"/>
      <c r="B48" s="1202"/>
      <c r="C48" s="1202"/>
      <c r="D48" s="1204" t="s">
        <v>26</v>
      </c>
      <c r="E48" s="1204"/>
      <c r="F48" s="1205" t="s">
        <v>903</v>
      </c>
      <c r="G48" s="1202"/>
      <c r="H48" s="1203"/>
      <c r="I48" s="1202"/>
      <c r="J48" s="1203"/>
      <c r="K48" s="626"/>
      <c r="L48" s="890"/>
      <c r="M48" s="890"/>
      <c r="N48" s="890">
        <f t="shared" si="4"/>
        <v>0</v>
      </c>
      <c r="O48" s="467"/>
      <c r="P48" s="467"/>
      <c r="Q48" s="467">
        <f t="shared" si="5"/>
        <v>0</v>
      </c>
      <c r="R48" s="625"/>
      <c r="S48" s="1200"/>
      <c r="T48" s="862">
        <f t="shared" si="6"/>
        <v>0</v>
      </c>
      <c r="U48" s="862"/>
      <c r="V48" s="863"/>
      <c r="W48" s="897"/>
      <c r="X48" s="863"/>
      <c r="Y48" s="1207">
        <f t="shared" si="8"/>
        <v>0</v>
      </c>
      <c r="Z48" s="891">
        <f t="shared" si="12"/>
        <v>0</v>
      </c>
      <c r="AA48" s="1202"/>
      <c r="AB48" s="982"/>
      <c r="AC48" s="867">
        <f>2+8</f>
        <v>10</v>
      </c>
      <c r="AD48" s="867">
        <f>2+7</f>
        <v>9</v>
      </c>
      <c r="AE48" s="979">
        <f t="shared" si="9"/>
        <v>19</v>
      </c>
      <c r="AF48" s="878"/>
      <c r="AG48" s="335">
        <f>15+75</f>
        <v>90</v>
      </c>
      <c r="AH48" s="979">
        <f t="shared" si="10"/>
        <v>6</v>
      </c>
      <c r="AI48" s="979"/>
      <c r="AJ48" s="979">
        <f t="shared" si="11"/>
        <v>-6</v>
      </c>
      <c r="AK48" s="878"/>
      <c r="AL48" s="648"/>
      <c r="AM48" s="648"/>
      <c r="AN48" s="647"/>
      <c r="AO48" s="647"/>
      <c r="AP48" s="647"/>
      <c r="AQ48" s="647"/>
      <c r="AR48" s="647"/>
      <c r="AS48" s="647"/>
      <c r="AT48" s="647"/>
      <c r="AU48" s="647"/>
      <c r="AV48" s="647"/>
      <c r="AW48" s="647"/>
      <c r="AX48" s="647"/>
      <c r="AY48" s="647"/>
      <c r="AZ48" s="647"/>
      <c r="BA48" s="647"/>
      <c r="BB48" s="647"/>
      <c r="BC48" s="647"/>
      <c r="BD48" s="647"/>
      <c r="BE48" s="647"/>
      <c r="BF48" s="647"/>
      <c r="BG48" s="647"/>
      <c r="BH48" s="647"/>
      <c r="BI48" s="647"/>
      <c r="BJ48" s="647"/>
      <c r="BK48" s="647"/>
      <c r="BL48" s="647"/>
      <c r="BM48" s="647"/>
      <c r="BN48" s="647"/>
      <c r="BO48" s="647"/>
      <c r="BP48" s="647"/>
      <c r="BQ48" s="647"/>
      <c r="BR48" s="647"/>
      <c r="BS48" s="647"/>
      <c r="BT48" s="647"/>
      <c r="BU48" s="647"/>
      <c r="BV48" s="647"/>
      <c r="BW48" s="647"/>
      <c r="BX48" s="647"/>
      <c r="BY48" s="647"/>
      <c r="BZ48" s="647"/>
      <c r="CA48" s="647"/>
      <c r="CB48" s="647"/>
      <c r="CC48" s="647"/>
    </row>
    <row r="49" spans="1:81" ht="21.6" customHeight="1" x14ac:dyDescent="0.25">
      <c r="A49" s="664"/>
      <c r="B49" s="664"/>
      <c r="C49" s="664"/>
      <c r="D49" s="1086" t="s">
        <v>26</v>
      </c>
      <c r="E49" s="845"/>
      <c r="F49" s="846" t="s">
        <v>335</v>
      </c>
      <c r="G49" s="836" t="s">
        <v>276</v>
      </c>
      <c r="H49" s="844"/>
      <c r="I49" s="836"/>
      <c r="J49" s="844"/>
      <c r="K49" s="626"/>
      <c r="L49" s="893"/>
      <c r="M49" s="893"/>
      <c r="N49" s="893">
        <f t="shared" si="4"/>
        <v>0</v>
      </c>
      <c r="O49" s="856"/>
      <c r="P49" s="856"/>
      <c r="Q49" s="856">
        <f t="shared" si="5"/>
        <v>0</v>
      </c>
      <c r="R49" s="894"/>
      <c r="S49" s="855"/>
      <c r="T49" s="896">
        <f t="shared" si="6"/>
        <v>0</v>
      </c>
      <c r="U49" s="862"/>
      <c r="V49" s="857"/>
      <c r="W49" s="897">
        <f t="shared" si="7"/>
        <v>0</v>
      </c>
      <c r="X49" s="863"/>
      <c r="Y49" s="664">
        <f t="shared" si="8"/>
        <v>0</v>
      </c>
      <c r="Z49" s="891">
        <f t="shared" si="12"/>
        <v>0</v>
      </c>
      <c r="AA49" s="836"/>
      <c r="AB49" s="982"/>
      <c r="AC49" s="867"/>
      <c r="AD49" s="867"/>
      <c r="AE49" s="979">
        <f t="shared" si="9"/>
        <v>0</v>
      </c>
      <c r="AF49" s="878"/>
      <c r="AG49" s="335"/>
      <c r="AH49" s="979">
        <f t="shared" si="10"/>
        <v>0</v>
      </c>
      <c r="AI49" s="979"/>
      <c r="AJ49" s="979">
        <f t="shared" si="11"/>
        <v>0</v>
      </c>
      <c r="AK49" s="878"/>
      <c r="AL49" s="618"/>
      <c r="AM49" s="618"/>
    </row>
    <row r="50" spans="1:81" ht="21.6" customHeight="1" x14ac:dyDescent="0.25">
      <c r="A50" s="664"/>
      <c r="B50" s="664"/>
      <c r="C50" s="664"/>
      <c r="D50" s="1086" t="s">
        <v>26</v>
      </c>
      <c r="E50" s="845"/>
      <c r="F50" s="846" t="s">
        <v>377</v>
      </c>
      <c r="G50" s="836" t="s">
        <v>276</v>
      </c>
      <c r="H50" s="844"/>
      <c r="I50" s="836"/>
      <c r="J50" s="844"/>
      <c r="K50" s="626"/>
      <c r="L50" s="893"/>
      <c r="M50" s="893"/>
      <c r="N50" s="893">
        <f t="shared" si="4"/>
        <v>0</v>
      </c>
      <c r="O50" s="856"/>
      <c r="P50" s="856"/>
      <c r="Q50" s="856">
        <f t="shared" si="5"/>
        <v>0</v>
      </c>
      <c r="R50" s="894"/>
      <c r="S50" s="855"/>
      <c r="T50" s="896">
        <f t="shared" si="6"/>
        <v>0</v>
      </c>
      <c r="U50" s="862"/>
      <c r="V50" s="857"/>
      <c r="W50" s="897">
        <f t="shared" si="7"/>
        <v>0</v>
      </c>
      <c r="X50" s="863"/>
      <c r="Y50" s="664">
        <f t="shared" si="8"/>
        <v>0</v>
      </c>
      <c r="Z50" s="891">
        <f t="shared" si="12"/>
        <v>0</v>
      </c>
      <c r="AA50" s="836"/>
      <c r="AB50" s="982"/>
      <c r="AC50" s="867">
        <f>3</f>
        <v>3</v>
      </c>
      <c r="AD50" s="867">
        <f>6</f>
        <v>6</v>
      </c>
      <c r="AE50" s="979">
        <f t="shared" si="9"/>
        <v>9</v>
      </c>
      <c r="AF50" s="878"/>
      <c r="AG50" s="335">
        <f>33</f>
        <v>33</v>
      </c>
      <c r="AH50" s="979">
        <f t="shared" si="10"/>
        <v>2.2000000000000002</v>
      </c>
      <c r="AI50" s="979"/>
      <c r="AJ50" s="979">
        <f t="shared" si="11"/>
        <v>-2.2000000000000002</v>
      </c>
      <c r="AK50" s="878"/>
      <c r="AL50" s="618"/>
      <c r="AM50" s="618"/>
    </row>
    <row r="51" spans="1:81" ht="21.6" customHeight="1" x14ac:dyDescent="0.25">
      <c r="A51" s="664"/>
      <c r="B51" s="664"/>
      <c r="C51" s="664"/>
      <c r="D51" s="1212" t="s">
        <v>26</v>
      </c>
      <c r="E51" s="1212"/>
      <c r="F51" s="1213" t="s">
        <v>904</v>
      </c>
      <c r="G51" s="1210"/>
      <c r="H51" s="1211"/>
      <c r="I51" s="1210"/>
      <c r="J51" s="1211"/>
      <c r="K51" s="626"/>
      <c r="L51" s="893"/>
      <c r="M51" s="893"/>
      <c r="N51" s="893"/>
      <c r="O51" s="856"/>
      <c r="P51" s="856"/>
      <c r="Q51" s="856"/>
      <c r="R51" s="894"/>
      <c r="S51" s="855"/>
      <c r="T51" s="896"/>
      <c r="U51" s="862"/>
      <c r="V51" s="857"/>
      <c r="W51" s="897"/>
      <c r="X51" s="863"/>
      <c r="Y51" s="664"/>
      <c r="Z51" s="891"/>
      <c r="AA51" s="1210"/>
      <c r="AB51" s="982"/>
      <c r="AC51" s="867">
        <f>12+10+16+14+15</f>
        <v>67</v>
      </c>
      <c r="AD51" s="867">
        <f>1+1+1+2+1</f>
        <v>6</v>
      </c>
      <c r="AE51" s="979">
        <f t="shared" si="9"/>
        <v>73</v>
      </c>
      <c r="AF51" s="878"/>
      <c r="AG51" s="335">
        <f>96+105+123+138+138</f>
        <v>600</v>
      </c>
      <c r="AH51" s="979">
        <f t="shared" si="10"/>
        <v>40</v>
      </c>
      <c r="AI51" s="979"/>
      <c r="AJ51" s="979">
        <f t="shared" si="11"/>
        <v>-40</v>
      </c>
      <c r="AK51" s="878"/>
      <c r="AL51" s="618"/>
      <c r="AM51" s="618"/>
      <c r="AN51" s="1214"/>
      <c r="AO51" s="1214"/>
      <c r="AP51" s="1214"/>
      <c r="AQ51" s="1214"/>
      <c r="AR51" s="1214"/>
      <c r="AS51" s="1214"/>
      <c r="AT51" s="1214"/>
      <c r="AU51" s="1214"/>
      <c r="AV51" s="1214"/>
      <c r="AW51" s="1214"/>
      <c r="AX51" s="1214"/>
      <c r="AY51" s="1214"/>
      <c r="AZ51" s="1214"/>
      <c r="BA51" s="1214"/>
      <c r="BB51" s="1214"/>
      <c r="BC51" s="1214"/>
      <c r="BD51" s="1214"/>
      <c r="BE51" s="1214"/>
      <c r="BF51" s="1214"/>
      <c r="BG51" s="1214"/>
      <c r="BH51" s="1214"/>
      <c r="BI51" s="1214"/>
      <c r="BJ51" s="1214"/>
      <c r="BK51" s="1214"/>
      <c r="BL51" s="1214"/>
      <c r="BM51" s="1214"/>
      <c r="BN51" s="1214"/>
      <c r="BO51" s="1214"/>
      <c r="BP51" s="1214"/>
      <c r="BQ51" s="1214"/>
      <c r="BR51" s="1214"/>
      <c r="BS51" s="1214"/>
      <c r="BT51" s="1214"/>
      <c r="BU51" s="1214"/>
      <c r="BV51" s="1214"/>
      <c r="BW51" s="1214"/>
      <c r="BX51" s="1214"/>
      <c r="BY51" s="1214"/>
      <c r="BZ51" s="1214"/>
      <c r="CA51" s="1214"/>
      <c r="CB51" s="1214"/>
      <c r="CC51" s="1214"/>
    </row>
    <row r="52" spans="1:81" ht="21.6" customHeight="1" x14ac:dyDescent="0.25">
      <c r="A52" s="664"/>
      <c r="B52" s="664"/>
      <c r="C52" s="664"/>
      <c r="D52" s="1086" t="s">
        <v>26</v>
      </c>
      <c r="E52" s="845"/>
      <c r="F52" s="846" t="s">
        <v>659</v>
      </c>
      <c r="G52" s="836"/>
      <c r="H52" s="844"/>
      <c r="I52" s="836"/>
      <c r="J52" s="844"/>
      <c r="K52" s="626"/>
      <c r="L52" s="893"/>
      <c r="M52" s="893"/>
      <c r="N52" s="893">
        <f t="shared" si="4"/>
        <v>0</v>
      </c>
      <c r="O52" s="856"/>
      <c r="P52" s="856"/>
      <c r="Q52" s="856">
        <f t="shared" si="5"/>
        <v>0</v>
      </c>
      <c r="R52" s="894"/>
      <c r="S52" s="855"/>
      <c r="T52" s="896">
        <f t="shared" si="6"/>
        <v>0</v>
      </c>
      <c r="U52" s="862"/>
      <c r="V52" s="857"/>
      <c r="W52" s="897">
        <f t="shared" si="7"/>
        <v>0</v>
      </c>
      <c r="X52" s="863"/>
      <c r="Y52" s="664">
        <f t="shared" si="8"/>
        <v>0</v>
      </c>
      <c r="Z52" s="891">
        <f t="shared" si="12"/>
        <v>0</v>
      </c>
      <c r="AA52" s="836"/>
      <c r="AB52" s="982"/>
      <c r="AC52" s="867"/>
      <c r="AD52" s="867"/>
      <c r="AE52" s="979">
        <f t="shared" si="9"/>
        <v>0</v>
      </c>
      <c r="AF52" s="878"/>
      <c r="AG52" s="335"/>
      <c r="AH52" s="979">
        <f t="shared" si="10"/>
        <v>0</v>
      </c>
      <c r="AI52" s="979"/>
      <c r="AJ52" s="979">
        <f t="shared" si="11"/>
        <v>0</v>
      </c>
      <c r="AK52" s="878"/>
      <c r="AL52" s="618"/>
      <c r="AM52" s="618"/>
    </row>
    <row r="53" spans="1:81" ht="21.6" customHeight="1" x14ac:dyDescent="0.25">
      <c r="A53" s="664"/>
      <c r="B53" s="664"/>
      <c r="C53" s="664"/>
      <c r="D53" s="1086" t="s">
        <v>26</v>
      </c>
      <c r="E53" s="845"/>
      <c r="F53" s="902" t="s">
        <v>27</v>
      </c>
      <c r="G53" s="845" t="s">
        <v>265</v>
      </c>
      <c r="H53" s="844"/>
      <c r="I53" s="625"/>
      <c r="J53" s="844"/>
      <c r="K53" s="626"/>
      <c r="L53" s="893"/>
      <c r="M53" s="893"/>
      <c r="N53" s="893">
        <f t="shared" si="4"/>
        <v>0</v>
      </c>
      <c r="O53" s="856"/>
      <c r="P53" s="856"/>
      <c r="Q53" s="856">
        <f t="shared" si="5"/>
        <v>0</v>
      </c>
      <c r="R53" s="894"/>
      <c r="S53" s="855"/>
      <c r="T53" s="896">
        <f t="shared" si="6"/>
        <v>0</v>
      </c>
      <c r="U53" s="862"/>
      <c r="V53" s="857"/>
      <c r="W53" s="897">
        <f t="shared" si="7"/>
        <v>0</v>
      </c>
      <c r="X53" s="863"/>
      <c r="Y53" s="664">
        <f t="shared" si="8"/>
        <v>0</v>
      </c>
      <c r="Z53" s="891">
        <f t="shared" si="12"/>
        <v>0</v>
      </c>
      <c r="AA53" s="836"/>
      <c r="AB53" s="982"/>
      <c r="AC53" s="867">
        <f>14+11+9</f>
        <v>34</v>
      </c>
      <c r="AD53" s="867">
        <f>1+4+5</f>
        <v>10</v>
      </c>
      <c r="AE53" s="979">
        <f t="shared" si="9"/>
        <v>44</v>
      </c>
      <c r="AF53" s="878"/>
      <c r="AG53" s="335">
        <f>111+75+84</f>
        <v>270</v>
      </c>
      <c r="AH53" s="979">
        <f t="shared" si="10"/>
        <v>18</v>
      </c>
      <c r="AI53" s="979"/>
      <c r="AJ53" s="979">
        <f t="shared" si="11"/>
        <v>-18</v>
      </c>
      <c r="AK53" s="878"/>
      <c r="AL53" s="618"/>
      <c r="AM53" s="618"/>
    </row>
    <row r="54" spans="1:81" s="191" customFormat="1" ht="21.6" customHeight="1" x14ac:dyDescent="0.25">
      <c r="A54" s="903" t="e">
        <f>#REF!</f>
        <v>#REF!</v>
      </c>
      <c r="B54" s="903" t="s">
        <v>28</v>
      </c>
      <c r="C54" s="903"/>
      <c r="D54" s="904" t="s">
        <v>28</v>
      </c>
      <c r="E54" s="904"/>
      <c r="F54" s="905"/>
      <c r="G54" s="903">
        <v>0</v>
      </c>
      <c r="H54" s="882">
        <v>0</v>
      </c>
      <c r="I54" s="903">
        <v>0</v>
      </c>
      <c r="J54" s="903">
        <v>0</v>
      </c>
      <c r="K54" s="906">
        <v>42545</v>
      </c>
      <c r="L54" s="903">
        <f>SUM(L56:L239)</f>
        <v>746</v>
      </c>
      <c r="M54" s="903">
        <f t="shared" ref="M54:O54" si="13">SUM(M56:M239)</f>
        <v>406</v>
      </c>
      <c r="N54" s="903">
        <f t="shared" si="13"/>
        <v>1050</v>
      </c>
      <c r="O54" s="903">
        <f t="shared" si="13"/>
        <v>624.12799999999993</v>
      </c>
      <c r="P54" s="903">
        <f>SUM(P56:P239)</f>
        <v>379.70000000000005</v>
      </c>
      <c r="Q54" s="903">
        <f>SUM(Q56:Q239)</f>
        <v>939.62800000000004</v>
      </c>
      <c r="R54" s="903"/>
      <c r="S54" s="903">
        <f t="shared" ref="S54:T54" si="14">SUM(S56:S239)</f>
        <v>1639</v>
      </c>
      <c r="T54" s="903">
        <f t="shared" si="14"/>
        <v>109.26666666666667</v>
      </c>
      <c r="U54" s="903">
        <f>SUM(U56:U239)</f>
        <v>109.26666666666667</v>
      </c>
      <c r="V54" s="903">
        <f t="shared" ref="V54:W54" si="15">SUM(V56:V245)</f>
        <v>15821</v>
      </c>
      <c r="W54" s="903">
        <f t="shared" si="15"/>
        <v>1054.7333333333333</v>
      </c>
      <c r="X54" s="903">
        <f>SUM(X56:X245)</f>
        <v>1054.7333333333333</v>
      </c>
      <c r="Y54" s="903">
        <f t="shared" ref="Y54:AK54" si="16">SUM(Y56:Y245)</f>
        <v>17460</v>
      </c>
      <c r="Z54" s="903">
        <f t="shared" si="16"/>
        <v>1164</v>
      </c>
      <c r="AA54" s="903">
        <f t="shared" si="16"/>
        <v>1164</v>
      </c>
      <c r="AB54" s="903">
        <f t="shared" si="16"/>
        <v>1174</v>
      </c>
      <c r="AC54" s="903">
        <f t="shared" si="16"/>
        <v>853</v>
      </c>
      <c r="AD54" s="903">
        <f t="shared" si="16"/>
        <v>445</v>
      </c>
      <c r="AE54" s="903">
        <f t="shared" si="16"/>
        <v>1196</v>
      </c>
      <c r="AF54" s="903">
        <f t="shared" si="16"/>
        <v>1196</v>
      </c>
      <c r="AG54" s="903">
        <f t="shared" si="16"/>
        <v>17633.169999999998</v>
      </c>
      <c r="AH54" s="903">
        <f t="shared" si="16"/>
        <v>1175.5446666666667</v>
      </c>
      <c r="AI54" s="903">
        <f t="shared" si="16"/>
        <v>1175.5446666666667</v>
      </c>
      <c r="AJ54" s="903">
        <f t="shared" si="16"/>
        <v>-11.544666666666661</v>
      </c>
      <c r="AK54" s="903">
        <f t="shared" si="16"/>
        <v>-11.544666666666664</v>
      </c>
      <c r="AL54" s="786"/>
      <c r="AM54" s="786"/>
      <c r="AN54" s="191">
        <f>Z54-AA54</f>
        <v>0</v>
      </c>
    </row>
    <row r="55" spans="1:81" s="636" customFormat="1" ht="21.6" customHeight="1" x14ac:dyDescent="0.25">
      <c r="A55" s="625"/>
      <c r="B55" s="625"/>
      <c r="C55" s="625"/>
      <c r="D55" s="402"/>
      <c r="E55" s="402"/>
      <c r="F55" s="907"/>
      <c r="G55" s="625"/>
      <c r="H55" s="844"/>
      <c r="I55" s="625"/>
      <c r="J55" s="844"/>
      <c r="K55" s="626"/>
      <c r="L55" s="890"/>
      <c r="M55" s="890"/>
      <c r="N55" s="890">
        <f t="shared" ref="N55:N119" si="17">M55+L55</f>
        <v>0</v>
      </c>
      <c r="O55" s="467"/>
      <c r="P55" s="467"/>
      <c r="Q55" s="467"/>
      <c r="R55" s="625"/>
      <c r="S55" s="842"/>
      <c r="T55" s="896"/>
      <c r="U55" s="842"/>
      <c r="V55" s="467"/>
      <c r="W55" s="467"/>
      <c r="X55" s="467"/>
      <c r="Y55" s="625"/>
      <c r="Z55" s="625"/>
      <c r="AA55" s="625"/>
      <c r="AB55" s="983"/>
      <c r="AC55" s="50"/>
      <c r="AD55" s="50"/>
      <c r="AE55" s="906">
        <f t="shared" ref="AE55:AE120" si="18">AC55+AD55</f>
        <v>0</v>
      </c>
      <c r="AF55" s="903"/>
      <c r="AG55" s="51"/>
      <c r="AH55" s="906"/>
      <c r="AI55" s="906"/>
      <c r="AJ55" s="906">
        <f t="shared" ref="AJ55:AJ119" si="19">Z55-AH55</f>
        <v>0</v>
      </c>
      <c r="AK55" s="903"/>
      <c r="AL55" s="635"/>
      <c r="AM55" s="635"/>
      <c r="AN55" s="322"/>
      <c r="AO55" s="322"/>
      <c r="AP55" s="322"/>
      <c r="AQ55" s="322"/>
      <c r="AR55" s="322"/>
      <c r="AS55" s="322"/>
      <c r="AT55" s="322"/>
      <c r="AU55" s="322"/>
      <c r="AV55" s="322"/>
      <c r="AW55" s="322"/>
      <c r="AX55" s="322"/>
      <c r="AY55" s="322"/>
      <c r="AZ55" s="322"/>
      <c r="BA55" s="322"/>
      <c r="BB55" s="322"/>
      <c r="BC55" s="322"/>
      <c r="BD55" s="322"/>
      <c r="BE55" s="322"/>
      <c r="BF55" s="322"/>
      <c r="BG55" s="322"/>
      <c r="BH55" s="322"/>
      <c r="BI55" s="322"/>
      <c r="BJ55" s="322"/>
      <c r="BK55" s="322"/>
      <c r="BL55" s="322"/>
      <c r="BM55" s="322"/>
      <c r="BN55" s="322"/>
      <c r="BO55" s="322"/>
      <c r="BP55" s="322"/>
      <c r="BQ55" s="322"/>
      <c r="BR55" s="322"/>
      <c r="BS55" s="322"/>
      <c r="BT55" s="322"/>
      <c r="BU55" s="322"/>
      <c r="BV55" s="322"/>
      <c r="BW55" s="322"/>
      <c r="BX55" s="322"/>
      <c r="BY55" s="322"/>
      <c r="BZ55" s="322"/>
      <c r="CA55" s="322"/>
      <c r="CB55" s="322"/>
      <c r="CC55" s="322"/>
    </row>
    <row r="56" spans="1:81" s="641" customFormat="1" ht="21.6" customHeight="1" x14ac:dyDescent="0.25">
      <c r="A56" s="836">
        <v>1</v>
      </c>
      <c r="B56" s="836" t="s">
        <v>28</v>
      </c>
      <c r="C56" s="836">
        <v>1</v>
      </c>
      <c r="D56" s="1086" t="s">
        <v>29</v>
      </c>
      <c r="E56" s="836"/>
      <c r="F56" s="846" t="s">
        <v>380</v>
      </c>
      <c r="G56" s="836" t="s">
        <v>265</v>
      </c>
      <c r="H56" s="844"/>
      <c r="I56" s="625"/>
      <c r="J56" s="844"/>
      <c r="K56" s="626"/>
      <c r="L56" s="890"/>
      <c r="M56" s="890"/>
      <c r="N56" s="890">
        <f t="shared" si="17"/>
        <v>0</v>
      </c>
      <c r="O56" s="467"/>
      <c r="P56" s="467"/>
      <c r="Q56" s="467">
        <f t="shared" ref="Q56:Q121" si="20">P56+O56</f>
        <v>0</v>
      </c>
      <c r="R56" s="625"/>
      <c r="S56" s="842">
        <v>204</v>
      </c>
      <c r="T56" s="862">
        <f>S56/15</f>
        <v>13.6</v>
      </c>
      <c r="U56" s="862">
        <f>SUM(T56:T64)</f>
        <v>13.6</v>
      </c>
      <c r="V56" s="863"/>
      <c r="W56" s="863">
        <f t="shared" ref="W56:W79" si="21">V56/15</f>
        <v>0</v>
      </c>
      <c r="X56" s="863">
        <f>SUM(W56:W64)</f>
        <v>86.4</v>
      </c>
      <c r="Y56" s="836">
        <f t="shared" ref="Y56:Y121" si="22">V56+S56</f>
        <v>204</v>
      </c>
      <c r="Z56" s="836">
        <f>W56+T56</f>
        <v>13.6</v>
      </c>
      <c r="AA56" s="836">
        <f>SUM(Z56:Z64)</f>
        <v>100</v>
      </c>
      <c r="AB56" s="982">
        <v>100</v>
      </c>
      <c r="AC56" s="867"/>
      <c r="AD56" s="867"/>
      <c r="AE56" s="979">
        <f t="shared" si="18"/>
        <v>0</v>
      </c>
      <c r="AF56" s="878">
        <f>SUM(AE56:AE64)</f>
        <v>92</v>
      </c>
      <c r="AG56" s="335"/>
      <c r="AH56" s="979">
        <f t="shared" ref="AH56:AH65" si="23">AG56/15</f>
        <v>0</v>
      </c>
      <c r="AI56" s="979">
        <f>SUM(AH56:AH64)</f>
        <v>108.8</v>
      </c>
      <c r="AJ56" s="979">
        <f t="shared" si="19"/>
        <v>13.6</v>
      </c>
      <c r="AK56" s="878">
        <f>SUM(AJ56:AJ64)</f>
        <v>-8.8000000000000007</v>
      </c>
      <c r="AL56" s="648"/>
      <c r="AM56" s="648"/>
      <c r="AN56" s="647"/>
      <c r="AO56" s="647"/>
      <c r="AP56" s="647"/>
      <c r="AQ56" s="647"/>
      <c r="AR56" s="647"/>
      <c r="AS56" s="647"/>
      <c r="AT56" s="647"/>
      <c r="AU56" s="647"/>
      <c r="AV56" s="647"/>
      <c r="AW56" s="647"/>
      <c r="AX56" s="647"/>
      <c r="AY56" s="647"/>
      <c r="AZ56" s="647"/>
      <c r="BA56" s="647"/>
      <c r="BB56" s="647"/>
      <c r="BC56" s="647"/>
      <c r="BD56" s="647"/>
      <c r="BE56" s="647"/>
      <c r="BF56" s="647"/>
      <c r="BG56" s="647"/>
      <c r="BH56" s="647"/>
      <c r="BI56" s="647"/>
      <c r="BJ56" s="647"/>
      <c r="BK56" s="647"/>
      <c r="BL56" s="647"/>
      <c r="BM56" s="647"/>
      <c r="BN56" s="647"/>
      <c r="BO56" s="647"/>
      <c r="BP56" s="647"/>
      <c r="BQ56" s="647"/>
      <c r="BR56" s="647"/>
      <c r="BS56" s="647"/>
      <c r="BT56" s="647"/>
      <c r="BU56" s="647"/>
      <c r="BV56" s="647"/>
      <c r="BW56" s="647"/>
      <c r="BX56" s="647"/>
      <c r="BY56" s="647"/>
      <c r="BZ56" s="647"/>
      <c r="CA56" s="647"/>
      <c r="CB56" s="647"/>
      <c r="CC56" s="647"/>
    </row>
    <row r="57" spans="1:81" ht="21.6" customHeight="1" x14ac:dyDescent="0.25">
      <c r="A57" s="664"/>
      <c r="B57" s="664"/>
      <c r="C57" s="664"/>
      <c r="D57" s="1086" t="s">
        <v>29</v>
      </c>
      <c r="E57" s="836"/>
      <c r="F57" s="846" t="s">
        <v>413</v>
      </c>
      <c r="G57" s="836" t="s">
        <v>276</v>
      </c>
      <c r="H57" s="844"/>
      <c r="I57" s="625"/>
      <c r="J57" s="844"/>
      <c r="K57" s="626"/>
      <c r="L57" s="893"/>
      <c r="M57" s="893"/>
      <c r="N57" s="893">
        <f t="shared" si="17"/>
        <v>0</v>
      </c>
      <c r="O57" s="856"/>
      <c r="P57" s="856"/>
      <c r="Q57" s="856">
        <f t="shared" si="20"/>
        <v>0</v>
      </c>
      <c r="R57" s="894"/>
      <c r="S57" s="855"/>
      <c r="T57" s="896">
        <f t="shared" ref="T57:T126" si="24">S57/15</f>
        <v>0</v>
      </c>
      <c r="U57" s="862"/>
      <c r="V57" s="857"/>
      <c r="W57" s="857">
        <f t="shared" si="21"/>
        <v>0</v>
      </c>
      <c r="X57" s="863"/>
      <c r="Y57" s="894">
        <f>V57+S57</f>
        <v>0</v>
      </c>
      <c r="Z57" s="664">
        <f>W57+T57</f>
        <v>0</v>
      </c>
      <c r="AA57" s="836"/>
      <c r="AB57" s="982"/>
      <c r="AC57" s="867">
        <v>3</v>
      </c>
      <c r="AD57" s="867">
        <v>4</v>
      </c>
      <c r="AE57" s="979">
        <f t="shared" si="18"/>
        <v>7</v>
      </c>
      <c r="AF57" s="878"/>
      <c r="AG57" s="335">
        <v>81</v>
      </c>
      <c r="AH57" s="979">
        <f t="shared" si="23"/>
        <v>5.4</v>
      </c>
      <c r="AI57" s="979"/>
      <c r="AJ57" s="979">
        <f t="shared" si="19"/>
        <v>-5.4</v>
      </c>
      <c r="AK57" s="878"/>
      <c r="AL57" s="618"/>
      <c r="AM57" s="618"/>
    </row>
    <row r="58" spans="1:81" ht="21.6" customHeight="1" x14ac:dyDescent="0.25">
      <c r="A58" s="664"/>
      <c r="B58" s="664"/>
      <c r="C58" s="664"/>
      <c r="D58" s="1086" t="s">
        <v>29</v>
      </c>
      <c r="E58" s="836"/>
      <c r="F58" s="846" t="s">
        <v>536</v>
      </c>
      <c r="G58" s="836" t="s">
        <v>276</v>
      </c>
      <c r="H58" s="844"/>
      <c r="I58" s="625"/>
      <c r="J58" s="844"/>
      <c r="K58" s="626"/>
      <c r="L58" s="893"/>
      <c r="M58" s="893"/>
      <c r="N58" s="893">
        <f t="shared" si="17"/>
        <v>0</v>
      </c>
      <c r="O58" s="856"/>
      <c r="P58" s="856"/>
      <c r="Q58" s="856">
        <f t="shared" si="20"/>
        <v>0</v>
      </c>
      <c r="R58" s="894"/>
      <c r="S58" s="855"/>
      <c r="T58" s="896">
        <f t="shared" si="24"/>
        <v>0</v>
      </c>
      <c r="U58" s="862"/>
      <c r="V58" s="857"/>
      <c r="W58" s="857">
        <f t="shared" si="21"/>
        <v>0</v>
      </c>
      <c r="X58" s="863"/>
      <c r="Y58" s="664">
        <f t="shared" si="22"/>
        <v>0</v>
      </c>
      <c r="Z58" s="664">
        <f t="shared" ref="Z58:Z126" si="25">W58+T58</f>
        <v>0</v>
      </c>
      <c r="AA58" s="836"/>
      <c r="AB58" s="982"/>
      <c r="AC58" s="867"/>
      <c r="AD58" s="867"/>
      <c r="AE58" s="979">
        <f t="shared" si="18"/>
        <v>0</v>
      </c>
      <c r="AF58" s="878"/>
      <c r="AG58" s="335"/>
      <c r="AH58" s="979">
        <f t="shared" si="23"/>
        <v>0</v>
      </c>
      <c r="AI58" s="979"/>
      <c r="AJ58" s="979">
        <f t="shared" si="19"/>
        <v>0</v>
      </c>
      <c r="AK58" s="878"/>
      <c r="AL58" s="618"/>
      <c r="AM58" s="618"/>
    </row>
    <row r="59" spans="1:81" ht="21.6" customHeight="1" x14ac:dyDescent="0.25">
      <c r="A59" s="664"/>
      <c r="B59" s="664"/>
      <c r="C59" s="664"/>
      <c r="D59" s="1086" t="s">
        <v>29</v>
      </c>
      <c r="E59" s="836"/>
      <c r="F59" s="846" t="s">
        <v>411</v>
      </c>
      <c r="G59" s="836" t="s">
        <v>276</v>
      </c>
      <c r="H59" s="844"/>
      <c r="I59" s="625"/>
      <c r="J59" s="844"/>
      <c r="K59" s="626"/>
      <c r="L59" s="893"/>
      <c r="M59" s="893"/>
      <c r="N59" s="893">
        <f t="shared" si="17"/>
        <v>0</v>
      </c>
      <c r="O59" s="856"/>
      <c r="P59" s="856"/>
      <c r="Q59" s="856">
        <f t="shared" si="20"/>
        <v>0</v>
      </c>
      <c r="R59" s="894"/>
      <c r="S59" s="855"/>
      <c r="T59" s="896">
        <f t="shared" si="24"/>
        <v>0</v>
      </c>
      <c r="U59" s="862"/>
      <c r="V59" s="857"/>
      <c r="W59" s="857">
        <f t="shared" si="21"/>
        <v>0</v>
      </c>
      <c r="X59" s="863"/>
      <c r="Y59" s="664">
        <f t="shared" si="22"/>
        <v>0</v>
      </c>
      <c r="Z59" s="664">
        <f t="shared" si="25"/>
        <v>0</v>
      </c>
      <c r="AA59" s="836"/>
      <c r="AB59" s="982"/>
      <c r="AC59" s="867">
        <v>2</v>
      </c>
      <c r="AD59" s="867">
        <v>0</v>
      </c>
      <c r="AE59" s="979">
        <f t="shared" si="18"/>
        <v>2</v>
      </c>
      <c r="AF59" s="878"/>
      <c r="AG59" s="335">
        <v>30</v>
      </c>
      <c r="AH59" s="979">
        <f t="shared" si="23"/>
        <v>2</v>
      </c>
      <c r="AI59" s="979"/>
      <c r="AJ59" s="979">
        <f t="shared" si="19"/>
        <v>-2</v>
      </c>
      <c r="AK59" s="878"/>
      <c r="AL59" s="618"/>
      <c r="AM59" s="618"/>
    </row>
    <row r="60" spans="1:81" ht="21.6" customHeight="1" x14ac:dyDescent="0.25">
      <c r="A60" s="664"/>
      <c r="B60" s="664"/>
      <c r="C60" s="664"/>
      <c r="D60" s="1086" t="s">
        <v>29</v>
      </c>
      <c r="E60" s="900"/>
      <c r="F60" s="846" t="s">
        <v>381</v>
      </c>
      <c r="G60" s="836" t="s">
        <v>276</v>
      </c>
      <c r="H60" s="844"/>
      <c r="I60" s="625"/>
      <c r="J60" s="844"/>
      <c r="K60" s="626"/>
      <c r="L60" s="893">
        <v>26</v>
      </c>
      <c r="M60" s="893">
        <v>18</v>
      </c>
      <c r="N60" s="893">
        <f t="shared" si="17"/>
        <v>44</v>
      </c>
      <c r="O60" s="856">
        <f>621/15</f>
        <v>41.4</v>
      </c>
      <c r="P60" s="856"/>
      <c r="Q60" s="856">
        <f t="shared" si="20"/>
        <v>41.4</v>
      </c>
      <c r="R60" s="894"/>
      <c r="S60" s="855"/>
      <c r="T60" s="896">
        <f t="shared" si="24"/>
        <v>0</v>
      </c>
      <c r="U60" s="862"/>
      <c r="V60" s="857">
        <v>621</v>
      </c>
      <c r="W60" s="857">
        <f t="shared" si="21"/>
        <v>41.4</v>
      </c>
      <c r="X60" s="863"/>
      <c r="Y60" s="664">
        <f t="shared" si="22"/>
        <v>621</v>
      </c>
      <c r="Z60" s="664">
        <f t="shared" si="25"/>
        <v>41.4</v>
      </c>
      <c r="AA60" s="836"/>
      <c r="AB60" s="982"/>
      <c r="AC60" s="867">
        <v>26</v>
      </c>
      <c r="AD60" s="867">
        <v>18</v>
      </c>
      <c r="AE60" s="979">
        <f t="shared" si="18"/>
        <v>44</v>
      </c>
      <c r="AF60" s="878"/>
      <c r="AG60" s="335">
        <v>621</v>
      </c>
      <c r="AH60" s="979">
        <f t="shared" si="23"/>
        <v>41.4</v>
      </c>
      <c r="AI60" s="979"/>
      <c r="AJ60" s="979">
        <f t="shared" si="19"/>
        <v>0</v>
      </c>
      <c r="AK60" s="878"/>
      <c r="AL60" s="618"/>
      <c r="AM60" s="618"/>
    </row>
    <row r="61" spans="1:81" ht="21.6" customHeight="1" x14ac:dyDescent="0.25">
      <c r="A61" s="664"/>
      <c r="B61" s="664"/>
      <c r="C61" s="664"/>
      <c r="D61" s="1086" t="s">
        <v>29</v>
      </c>
      <c r="E61" s="900"/>
      <c r="F61" s="846" t="s">
        <v>382</v>
      </c>
      <c r="G61" s="836" t="s">
        <v>276</v>
      </c>
      <c r="H61" s="844"/>
      <c r="I61" s="625"/>
      <c r="J61" s="844" t="s">
        <v>265</v>
      </c>
      <c r="K61" s="626" t="s">
        <v>796</v>
      </c>
      <c r="L61" s="893">
        <v>11</v>
      </c>
      <c r="M61" s="893">
        <v>12</v>
      </c>
      <c r="N61" s="893">
        <f t="shared" si="17"/>
        <v>23</v>
      </c>
      <c r="O61" s="856"/>
      <c r="P61" s="856">
        <v>45</v>
      </c>
      <c r="Q61" s="856">
        <f t="shared" si="20"/>
        <v>45</v>
      </c>
      <c r="R61" s="894"/>
      <c r="S61" s="855"/>
      <c r="T61" s="896">
        <f t="shared" si="24"/>
        <v>0</v>
      </c>
      <c r="U61" s="862"/>
      <c r="V61" s="857">
        <v>675</v>
      </c>
      <c r="W61" s="857">
        <f t="shared" si="21"/>
        <v>45</v>
      </c>
      <c r="X61" s="863"/>
      <c r="Y61" s="664">
        <f t="shared" si="22"/>
        <v>675</v>
      </c>
      <c r="Z61" s="664">
        <f t="shared" si="25"/>
        <v>45</v>
      </c>
      <c r="AA61" s="836"/>
      <c r="AB61" s="982"/>
      <c r="AC61" s="867">
        <v>11</v>
      </c>
      <c r="AD61" s="867">
        <v>12</v>
      </c>
      <c r="AE61" s="979">
        <f t="shared" si="18"/>
        <v>23</v>
      </c>
      <c r="AF61" s="878"/>
      <c r="AG61" s="335">
        <v>675</v>
      </c>
      <c r="AH61" s="979">
        <f t="shared" si="23"/>
        <v>45</v>
      </c>
      <c r="AI61" s="979"/>
      <c r="AJ61" s="979">
        <f t="shared" si="19"/>
        <v>0</v>
      </c>
      <c r="AK61" s="878"/>
      <c r="AL61" s="618"/>
      <c r="AM61" s="618"/>
    </row>
    <row r="62" spans="1:81" ht="21.6" customHeight="1" x14ac:dyDescent="0.25">
      <c r="A62" s="664"/>
      <c r="B62" s="664"/>
      <c r="C62" s="664"/>
      <c r="D62" s="1086" t="s">
        <v>29</v>
      </c>
      <c r="E62" s="900"/>
      <c r="F62" s="846" t="s">
        <v>383</v>
      </c>
      <c r="G62" s="836" t="s">
        <v>276</v>
      </c>
      <c r="H62" s="844"/>
      <c r="I62" s="625"/>
      <c r="J62" s="844"/>
      <c r="K62" s="626"/>
      <c r="L62" s="893"/>
      <c r="M62" s="893"/>
      <c r="N62" s="893">
        <f t="shared" si="17"/>
        <v>0</v>
      </c>
      <c r="O62" s="856"/>
      <c r="P62" s="856"/>
      <c r="Q62" s="856">
        <f t="shared" si="20"/>
        <v>0</v>
      </c>
      <c r="R62" s="894"/>
      <c r="S62" s="855"/>
      <c r="T62" s="896">
        <f t="shared" si="24"/>
        <v>0</v>
      </c>
      <c r="U62" s="862"/>
      <c r="V62" s="857"/>
      <c r="W62" s="857">
        <f t="shared" si="21"/>
        <v>0</v>
      </c>
      <c r="X62" s="863"/>
      <c r="Y62" s="664">
        <f t="shared" si="22"/>
        <v>0</v>
      </c>
      <c r="Z62" s="664">
        <f t="shared" si="25"/>
        <v>0</v>
      </c>
      <c r="AA62" s="836"/>
      <c r="AB62" s="982"/>
      <c r="AC62" s="867"/>
      <c r="AD62" s="867"/>
      <c r="AE62" s="979">
        <f t="shared" si="18"/>
        <v>0</v>
      </c>
      <c r="AF62" s="878"/>
      <c r="AG62" s="335"/>
      <c r="AH62" s="979">
        <f t="shared" si="23"/>
        <v>0</v>
      </c>
      <c r="AI62" s="979"/>
      <c r="AJ62" s="979">
        <f t="shared" si="19"/>
        <v>0</v>
      </c>
      <c r="AK62" s="878"/>
      <c r="AL62" s="618"/>
      <c r="AM62" s="618"/>
    </row>
    <row r="63" spans="1:81" ht="21.6" customHeight="1" x14ac:dyDescent="0.25">
      <c r="A63" s="664"/>
      <c r="B63" s="664"/>
      <c r="C63" s="664"/>
      <c r="D63" s="1086" t="s">
        <v>29</v>
      </c>
      <c r="E63" s="845"/>
      <c r="F63" s="846" t="s">
        <v>412</v>
      </c>
      <c r="G63" s="836" t="s">
        <v>276</v>
      </c>
      <c r="H63" s="844"/>
      <c r="I63" s="625"/>
      <c r="J63" s="844"/>
      <c r="K63" s="626"/>
      <c r="L63" s="893"/>
      <c r="M63" s="893"/>
      <c r="N63" s="893">
        <f t="shared" si="17"/>
        <v>0</v>
      </c>
      <c r="O63" s="856"/>
      <c r="P63" s="856"/>
      <c r="Q63" s="856">
        <f t="shared" si="20"/>
        <v>0</v>
      </c>
      <c r="R63" s="894"/>
      <c r="S63" s="855"/>
      <c r="T63" s="896">
        <f t="shared" si="24"/>
        <v>0</v>
      </c>
      <c r="U63" s="862"/>
      <c r="V63" s="857"/>
      <c r="W63" s="857">
        <f t="shared" si="21"/>
        <v>0</v>
      </c>
      <c r="X63" s="863"/>
      <c r="Y63" s="664">
        <f t="shared" si="22"/>
        <v>0</v>
      </c>
      <c r="Z63" s="664">
        <f t="shared" si="25"/>
        <v>0</v>
      </c>
      <c r="AA63" s="836"/>
      <c r="AB63" s="982"/>
      <c r="AC63" s="867">
        <v>2</v>
      </c>
      <c r="AD63" s="867">
        <v>5</v>
      </c>
      <c r="AE63" s="979">
        <f t="shared" si="18"/>
        <v>7</v>
      </c>
      <c r="AF63" s="878"/>
      <c r="AG63" s="335">
        <v>81</v>
      </c>
      <c r="AH63" s="979">
        <f t="shared" si="23"/>
        <v>5.4</v>
      </c>
      <c r="AI63" s="979"/>
      <c r="AJ63" s="979">
        <f t="shared" si="19"/>
        <v>-5.4</v>
      </c>
      <c r="AK63" s="878"/>
      <c r="AL63" s="618"/>
      <c r="AM63" s="618"/>
    </row>
    <row r="64" spans="1:81" ht="21.6" customHeight="1" x14ac:dyDescent="0.25">
      <c r="A64" s="664"/>
      <c r="B64" s="664"/>
      <c r="C64" s="664"/>
      <c r="D64" s="1086" t="s">
        <v>29</v>
      </c>
      <c r="E64" s="845"/>
      <c r="F64" s="846" t="s">
        <v>129</v>
      </c>
      <c r="G64" s="836" t="s">
        <v>276</v>
      </c>
      <c r="H64" s="844"/>
      <c r="I64" s="625"/>
      <c r="J64" s="844"/>
      <c r="K64" s="626"/>
      <c r="L64" s="893"/>
      <c r="M64" s="893"/>
      <c r="N64" s="893">
        <f t="shared" si="17"/>
        <v>0</v>
      </c>
      <c r="O64" s="856"/>
      <c r="P64" s="856"/>
      <c r="Q64" s="856">
        <f t="shared" si="20"/>
        <v>0</v>
      </c>
      <c r="R64" s="894"/>
      <c r="S64" s="855"/>
      <c r="T64" s="896">
        <f t="shared" si="24"/>
        <v>0</v>
      </c>
      <c r="U64" s="862"/>
      <c r="V64" s="857"/>
      <c r="W64" s="857">
        <f t="shared" si="21"/>
        <v>0</v>
      </c>
      <c r="X64" s="863"/>
      <c r="Y64" s="664">
        <f t="shared" si="22"/>
        <v>0</v>
      </c>
      <c r="Z64" s="664">
        <f t="shared" si="25"/>
        <v>0</v>
      </c>
      <c r="AA64" s="836"/>
      <c r="AB64" s="982"/>
      <c r="AC64" s="867">
        <v>7</v>
      </c>
      <c r="AD64" s="867">
        <v>2</v>
      </c>
      <c r="AE64" s="979">
        <f t="shared" si="18"/>
        <v>9</v>
      </c>
      <c r="AF64" s="878"/>
      <c r="AG64" s="335">
        <v>144</v>
      </c>
      <c r="AH64" s="979">
        <f t="shared" si="23"/>
        <v>9.6</v>
      </c>
      <c r="AI64" s="979"/>
      <c r="AJ64" s="979">
        <f t="shared" si="19"/>
        <v>-9.6</v>
      </c>
      <c r="AK64" s="878"/>
      <c r="AL64" s="618"/>
      <c r="AM64" s="618"/>
    </row>
    <row r="65" spans="1:81" ht="18" customHeight="1" x14ac:dyDescent="0.25">
      <c r="A65" s="664"/>
      <c r="B65" s="664"/>
      <c r="C65" s="664"/>
      <c r="D65" s="1086"/>
      <c r="E65" s="845"/>
      <c r="F65" s="846"/>
      <c r="G65" s="836"/>
      <c r="H65" s="844"/>
      <c r="I65" s="625"/>
      <c r="J65" s="844"/>
      <c r="K65" s="626"/>
      <c r="L65" s="893"/>
      <c r="M65" s="893"/>
      <c r="N65" s="893">
        <f t="shared" si="17"/>
        <v>0</v>
      </c>
      <c r="O65" s="856"/>
      <c r="P65" s="856"/>
      <c r="Q65" s="856">
        <f t="shared" si="20"/>
        <v>0</v>
      </c>
      <c r="R65" s="894"/>
      <c r="S65" s="855"/>
      <c r="T65" s="896">
        <f t="shared" si="24"/>
        <v>0</v>
      </c>
      <c r="U65" s="862"/>
      <c r="V65" s="857"/>
      <c r="W65" s="857">
        <f t="shared" si="21"/>
        <v>0</v>
      </c>
      <c r="X65" s="863"/>
      <c r="Y65" s="664">
        <f t="shared" si="22"/>
        <v>0</v>
      </c>
      <c r="Z65" s="664">
        <f t="shared" si="25"/>
        <v>0</v>
      </c>
      <c r="AA65" s="836"/>
      <c r="AB65" s="982"/>
      <c r="AC65" s="867"/>
      <c r="AD65" s="867"/>
      <c r="AE65" s="979">
        <f t="shared" si="18"/>
        <v>0</v>
      </c>
      <c r="AF65" s="878"/>
      <c r="AG65" s="335"/>
      <c r="AH65" s="979">
        <f t="shared" si="23"/>
        <v>0</v>
      </c>
      <c r="AI65" s="979"/>
      <c r="AJ65" s="979">
        <f t="shared" si="19"/>
        <v>0</v>
      </c>
      <c r="AK65" s="878"/>
      <c r="AL65" s="618"/>
      <c r="AM65" s="618"/>
    </row>
    <row r="66" spans="1:81" s="641" customFormat="1" ht="30.75" customHeight="1" x14ac:dyDescent="0.25">
      <c r="A66" s="836">
        <v>2</v>
      </c>
      <c r="B66" s="836" t="s">
        <v>28</v>
      </c>
      <c r="C66" s="836">
        <v>1</v>
      </c>
      <c r="D66" s="1086" t="s">
        <v>30</v>
      </c>
      <c r="E66" s="836"/>
      <c r="F66" s="846" t="s">
        <v>31</v>
      </c>
      <c r="G66" s="836" t="s">
        <v>265</v>
      </c>
      <c r="H66" s="844"/>
      <c r="I66" s="625"/>
      <c r="J66" s="844"/>
      <c r="K66" s="626"/>
      <c r="L66" s="890"/>
      <c r="M66" s="890"/>
      <c r="N66" s="890">
        <f t="shared" si="17"/>
        <v>0</v>
      </c>
      <c r="O66" s="467"/>
      <c r="P66" s="467"/>
      <c r="Q66" s="467">
        <f t="shared" si="20"/>
        <v>0</v>
      </c>
      <c r="R66" s="625"/>
      <c r="S66" s="842"/>
      <c r="T66" s="862">
        <f t="shared" si="24"/>
        <v>0</v>
      </c>
      <c r="U66" s="862">
        <f>SUM(T66:T80)</f>
        <v>0</v>
      </c>
      <c r="V66" s="863"/>
      <c r="W66" s="857">
        <f t="shared" si="21"/>
        <v>0</v>
      </c>
      <c r="X66" s="863">
        <f>SUM(W66:W80)</f>
        <v>100</v>
      </c>
      <c r="Y66" s="894">
        <f>V66+S66</f>
        <v>0</v>
      </c>
      <c r="Z66" s="664">
        <f>W66+T66</f>
        <v>0</v>
      </c>
      <c r="AA66" s="836">
        <f>SUM(Z66:Z80)</f>
        <v>100</v>
      </c>
      <c r="AB66" s="982">
        <v>100</v>
      </c>
      <c r="AC66" s="867"/>
      <c r="AD66" s="867"/>
      <c r="AE66" s="979">
        <f t="shared" si="18"/>
        <v>0</v>
      </c>
      <c r="AF66" s="878">
        <f>SUM(AE66:AE80)</f>
        <v>231</v>
      </c>
      <c r="AG66" s="335"/>
      <c r="AH66" s="979">
        <f>AG66/15</f>
        <v>0</v>
      </c>
      <c r="AI66" s="979">
        <f>SUM(AH66:AH80)</f>
        <v>100</v>
      </c>
      <c r="AJ66" s="979">
        <f t="shared" si="19"/>
        <v>0</v>
      </c>
      <c r="AK66" s="878">
        <f>SUM(AJ66:AJ80)</f>
        <v>0</v>
      </c>
      <c r="AL66" s="648"/>
      <c r="AM66" s="648"/>
      <c r="AN66" s="647"/>
      <c r="AO66" s="647"/>
      <c r="AP66" s="647"/>
      <c r="AQ66" s="647"/>
      <c r="AR66" s="647"/>
      <c r="AS66" s="647"/>
      <c r="AT66" s="647"/>
      <c r="AU66" s="647"/>
      <c r="AV66" s="647"/>
      <c r="AW66" s="647"/>
      <c r="AX66" s="647"/>
      <c r="AY66" s="647"/>
      <c r="AZ66" s="647"/>
      <c r="BA66" s="647"/>
      <c r="BB66" s="647"/>
      <c r="BC66" s="647"/>
      <c r="BD66" s="647"/>
      <c r="BE66" s="647"/>
      <c r="BF66" s="647"/>
      <c r="BG66" s="647"/>
      <c r="BH66" s="647"/>
      <c r="BI66" s="647"/>
      <c r="BJ66" s="647"/>
      <c r="BK66" s="647"/>
      <c r="BL66" s="647"/>
      <c r="BM66" s="647"/>
      <c r="BN66" s="647"/>
      <c r="BO66" s="647"/>
      <c r="BP66" s="647"/>
      <c r="BQ66" s="647"/>
      <c r="BR66" s="647"/>
      <c r="BS66" s="647"/>
      <c r="BT66" s="647"/>
      <c r="BU66" s="647"/>
      <c r="BV66" s="647"/>
      <c r="BW66" s="647"/>
      <c r="BX66" s="647"/>
      <c r="BY66" s="647"/>
      <c r="BZ66" s="647"/>
      <c r="CA66" s="647"/>
      <c r="CB66" s="647"/>
      <c r="CC66" s="647"/>
    </row>
    <row r="67" spans="1:81" ht="28.5" customHeight="1" x14ac:dyDescent="0.25">
      <c r="A67" s="664">
        <v>3</v>
      </c>
      <c r="B67" s="664" t="s">
        <v>28</v>
      </c>
      <c r="C67" s="664">
        <v>2</v>
      </c>
      <c r="D67" s="1086" t="s">
        <v>30</v>
      </c>
      <c r="E67" s="836"/>
      <c r="F67" s="846" t="s">
        <v>32</v>
      </c>
      <c r="G67" s="836" t="s">
        <v>265</v>
      </c>
      <c r="H67" s="844"/>
      <c r="I67" s="625"/>
      <c r="J67" s="844" t="s">
        <v>265</v>
      </c>
      <c r="K67" s="626" t="s">
        <v>761</v>
      </c>
      <c r="L67" s="893">
        <v>16</v>
      </c>
      <c r="M67" s="893">
        <v>1</v>
      </c>
      <c r="N67" s="893">
        <f t="shared" si="17"/>
        <v>17</v>
      </c>
      <c r="O67" s="856"/>
      <c r="P67" s="856">
        <v>7</v>
      </c>
      <c r="Q67" s="856">
        <f t="shared" si="20"/>
        <v>7</v>
      </c>
      <c r="R67" s="894"/>
      <c r="S67" s="855"/>
      <c r="T67" s="896">
        <f t="shared" si="24"/>
        <v>0</v>
      </c>
      <c r="U67" s="862"/>
      <c r="V67" s="857">
        <v>105</v>
      </c>
      <c r="W67" s="857">
        <f t="shared" si="21"/>
        <v>7</v>
      </c>
      <c r="X67" s="863"/>
      <c r="Y67" s="894">
        <f>V67+S67</f>
        <v>105</v>
      </c>
      <c r="Z67" s="664">
        <f>W67+T67</f>
        <v>7</v>
      </c>
      <c r="AA67" s="836"/>
      <c r="AB67" s="982"/>
      <c r="AC67" s="867">
        <v>16</v>
      </c>
      <c r="AD67" s="867">
        <v>1</v>
      </c>
      <c r="AE67" s="979">
        <f t="shared" si="18"/>
        <v>17</v>
      </c>
      <c r="AF67" s="878"/>
      <c r="AG67" s="335">
        <v>105</v>
      </c>
      <c r="AH67" s="979">
        <f t="shared" ref="AH67:AH80" si="26">AG67/15</f>
        <v>7</v>
      </c>
      <c r="AI67" s="979"/>
      <c r="AJ67" s="979">
        <f t="shared" si="19"/>
        <v>0</v>
      </c>
      <c r="AK67" s="878"/>
      <c r="AL67" s="618"/>
      <c r="AM67" s="618"/>
    </row>
    <row r="68" spans="1:81" ht="28.5" customHeight="1" x14ac:dyDescent="0.25">
      <c r="A68" s="664"/>
      <c r="B68" s="664"/>
      <c r="C68" s="664"/>
      <c r="D68" s="1086" t="s">
        <v>30</v>
      </c>
      <c r="E68" s="836" t="s">
        <v>431</v>
      </c>
      <c r="F68" s="846" t="s">
        <v>820</v>
      </c>
      <c r="G68" s="836"/>
      <c r="H68" s="844"/>
      <c r="I68" s="625"/>
      <c r="J68" s="844" t="s">
        <v>265</v>
      </c>
      <c r="K68" s="626" t="s">
        <v>826</v>
      </c>
      <c r="L68" s="893">
        <v>4</v>
      </c>
      <c r="M68" s="893">
        <v>0</v>
      </c>
      <c r="N68" s="893"/>
      <c r="O68" s="856"/>
      <c r="P68" s="856">
        <v>4</v>
      </c>
      <c r="Q68" s="856"/>
      <c r="R68" s="894"/>
      <c r="S68" s="855"/>
      <c r="T68" s="896"/>
      <c r="U68" s="862"/>
      <c r="V68" s="857">
        <v>60</v>
      </c>
      <c r="W68" s="857">
        <f t="shared" si="21"/>
        <v>4</v>
      </c>
      <c r="X68" s="863"/>
      <c r="Y68" s="894">
        <f t="shared" ref="Y68:Y80" si="27">V68+S68</f>
        <v>60</v>
      </c>
      <c r="Z68" s="664">
        <f>W68+T68</f>
        <v>4</v>
      </c>
      <c r="AA68" s="836"/>
      <c r="AB68" s="982"/>
      <c r="AC68" s="867">
        <v>4</v>
      </c>
      <c r="AD68" s="867"/>
      <c r="AE68" s="979"/>
      <c r="AF68" s="878"/>
      <c r="AG68" s="335">
        <v>60</v>
      </c>
      <c r="AH68" s="979">
        <f t="shared" si="26"/>
        <v>4</v>
      </c>
      <c r="AI68" s="979"/>
      <c r="AJ68" s="979"/>
      <c r="AK68" s="878"/>
      <c r="AL68" s="618"/>
      <c r="AM68" s="618"/>
      <c r="AN68" s="847"/>
      <c r="AO68" s="847"/>
      <c r="AP68" s="847"/>
      <c r="AQ68" s="847"/>
      <c r="AR68" s="847"/>
      <c r="AS68" s="847"/>
      <c r="AT68" s="847"/>
      <c r="AU68" s="847"/>
      <c r="AV68" s="847"/>
      <c r="AW68" s="847"/>
      <c r="AX68" s="847"/>
      <c r="AY68" s="847"/>
      <c r="AZ68" s="847"/>
      <c r="BA68" s="847"/>
      <c r="BB68" s="847"/>
      <c r="BC68" s="847"/>
      <c r="BD68" s="847"/>
      <c r="BE68" s="847"/>
      <c r="BF68" s="847"/>
      <c r="BG68" s="847"/>
      <c r="BH68" s="847"/>
      <c r="BI68" s="847"/>
      <c r="BJ68" s="847"/>
      <c r="BK68" s="847"/>
      <c r="BL68" s="847"/>
      <c r="BM68" s="847"/>
      <c r="BN68" s="847"/>
      <c r="BO68" s="847"/>
      <c r="BP68" s="847"/>
      <c r="BQ68" s="847"/>
      <c r="BR68" s="847"/>
      <c r="BS68" s="847"/>
      <c r="BT68" s="847"/>
      <c r="BU68" s="847"/>
      <c r="BV68" s="847"/>
      <c r="BW68" s="847"/>
      <c r="BX68" s="847"/>
      <c r="BY68" s="847"/>
      <c r="BZ68" s="847"/>
      <c r="CA68" s="847"/>
      <c r="CB68" s="847"/>
      <c r="CC68" s="847"/>
    </row>
    <row r="69" spans="1:81" ht="21.6" customHeight="1" x14ac:dyDescent="0.25">
      <c r="A69" s="664">
        <v>4</v>
      </c>
      <c r="B69" s="664" t="s">
        <v>28</v>
      </c>
      <c r="C69" s="664"/>
      <c r="D69" s="1086" t="s">
        <v>30</v>
      </c>
      <c r="E69" s="836"/>
      <c r="F69" s="846" t="s">
        <v>33</v>
      </c>
      <c r="G69" s="836" t="s">
        <v>265</v>
      </c>
      <c r="H69" s="844"/>
      <c r="I69" s="625"/>
      <c r="J69" s="908"/>
      <c r="K69" s="909"/>
      <c r="L69" s="893"/>
      <c r="M69" s="893"/>
      <c r="N69" s="893">
        <f t="shared" si="17"/>
        <v>0</v>
      </c>
      <c r="O69" s="856"/>
      <c r="P69" s="856"/>
      <c r="Q69" s="856">
        <f t="shared" si="20"/>
        <v>0</v>
      </c>
      <c r="R69" s="894"/>
      <c r="S69" s="855"/>
      <c r="T69" s="896">
        <f t="shared" si="24"/>
        <v>0</v>
      </c>
      <c r="U69" s="862"/>
      <c r="V69" s="857"/>
      <c r="W69" s="857">
        <f t="shared" si="21"/>
        <v>0</v>
      </c>
      <c r="X69" s="863"/>
      <c r="Y69" s="894">
        <f t="shared" si="27"/>
        <v>0</v>
      </c>
      <c r="Z69" s="664">
        <f t="shared" si="25"/>
        <v>0</v>
      </c>
      <c r="AA69" s="836"/>
      <c r="AB69" s="982"/>
      <c r="AC69" s="867"/>
      <c r="AD69" s="867"/>
      <c r="AE69" s="979">
        <f t="shared" si="18"/>
        <v>0</v>
      </c>
      <c r="AF69" s="878"/>
      <c r="AG69" s="335"/>
      <c r="AH69" s="979">
        <f t="shared" si="26"/>
        <v>0</v>
      </c>
      <c r="AI69" s="979"/>
      <c r="AJ69" s="979">
        <f t="shared" si="19"/>
        <v>0</v>
      </c>
      <c r="AK69" s="878"/>
      <c r="AL69" s="618"/>
      <c r="AM69" s="618"/>
    </row>
    <row r="70" spans="1:81" ht="42.75" customHeight="1" x14ac:dyDescent="0.25">
      <c r="A70" s="664"/>
      <c r="B70" s="664"/>
      <c r="C70" s="664"/>
      <c r="D70" s="1086" t="s">
        <v>30</v>
      </c>
      <c r="E70" s="836"/>
      <c r="F70" s="846" t="s">
        <v>610</v>
      </c>
      <c r="G70" s="836"/>
      <c r="H70" s="844"/>
      <c r="I70" s="625"/>
      <c r="J70" s="844" t="s">
        <v>265</v>
      </c>
      <c r="K70" s="626" t="s">
        <v>774</v>
      </c>
      <c r="L70" s="893">
        <v>15</v>
      </c>
      <c r="M70" s="893">
        <v>19</v>
      </c>
      <c r="N70" s="893">
        <f>M70+L70</f>
        <v>34</v>
      </c>
      <c r="O70" s="856"/>
      <c r="P70" s="856">
        <v>14</v>
      </c>
      <c r="Q70" s="856">
        <f t="shared" si="20"/>
        <v>14</v>
      </c>
      <c r="R70" s="894"/>
      <c r="S70" s="855"/>
      <c r="T70" s="896">
        <f t="shared" si="24"/>
        <v>0</v>
      </c>
      <c r="U70" s="862"/>
      <c r="V70" s="857">
        <v>210</v>
      </c>
      <c r="W70" s="857">
        <f t="shared" si="21"/>
        <v>14</v>
      </c>
      <c r="X70" s="863"/>
      <c r="Y70" s="894">
        <f t="shared" si="27"/>
        <v>210</v>
      </c>
      <c r="Z70" s="664">
        <f t="shared" si="25"/>
        <v>14</v>
      </c>
      <c r="AA70" s="836"/>
      <c r="AB70" s="982"/>
      <c r="AC70" s="867">
        <v>15</v>
      </c>
      <c r="AD70" s="867">
        <v>19</v>
      </c>
      <c r="AE70" s="979">
        <f t="shared" si="18"/>
        <v>34</v>
      </c>
      <c r="AF70" s="878"/>
      <c r="AG70" s="335">
        <v>210</v>
      </c>
      <c r="AH70" s="979">
        <f t="shared" si="26"/>
        <v>14</v>
      </c>
      <c r="AI70" s="979"/>
      <c r="AJ70" s="979">
        <f t="shared" si="19"/>
        <v>0</v>
      </c>
      <c r="AK70" s="878"/>
      <c r="AL70" s="618"/>
      <c r="AM70" s="618"/>
    </row>
    <row r="71" spans="1:81" ht="21.6" customHeight="1" x14ac:dyDescent="0.25">
      <c r="A71" s="664">
        <v>5</v>
      </c>
      <c r="B71" s="664" t="s">
        <v>28</v>
      </c>
      <c r="C71" s="664"/>
      <c r="D71" s="1086" t="s">
        <v>30</v>
      </c>
      <c r="E71" s="836"/>
      <c r="F71" s="846" t="s">
        <v>34</v>
      </c>
      <c r="G71" s="836" t="s">
        <v>265</v>
      </c>
      <c r="H71" s="844"/>
      <c r="I71" s="625"/>
      <c r="J71" s="844"/>
      <c r="K71" s="626"/>
      <c r="L71" s="893"/>
      <c r="M71" s="893"/>
      <c r="N71" s="893">
        <f t="shared" si="17"/>
        <v>0</v>
      </c>
      <c r="O71" s="856"/>
      <c r="P71" s="856"/>
      <c r="Q71" s="856">
        <f t="shared" si="20"/>
        <v>0</v>
      </c>
      <c r="R71" s="894"/>
      <c r="S71" s="855"/>
      <c r="T71" s="896">
        <f t="shared" si="24"/>
        <v>0</v>
      </c>
      <c r="U71" s="862"/>
      <c r="V71" s="857"/>
      <c r="W71" s="857">
        <f t="shared" si="21"/>
        <v>0</v>
      </c>
      <c r="X71" s="863"/>
      <c r="Y71" s="894">
        <f t="shared" si="27"/>
        <v>0</v>
      </c>
      <c r="Z71" s="664">
        <f t="shared" si="25"/>
        <v>0</v>
      </c>
      <c r="AA71" s="836"/>
      <c r="AB71" s="982"/>
      <c r="AC71" s="867"/>
      <c r="AD71" s="867"/>
      <c r="AE71" s="979">
        <f t="shared" si="18"/>
        <v>0</v>
      </c>
      <c r="AF71" s="878"/>
      <c r="AG71" s="335"/>
      <c r="AH71" s="979">
        <f t="shared" si="26"/>
        <v>0</v>
      </c>
      <c r="AI71" s="979"/>
      <c r="AJ71" s="979">
        <f t="shared" si="19"/>
        <v>0</v>
      </c>
      <c r="AK71" s="878"/>
      <c r="AL71" s="618"/>
      <c r="AM71" s="618"/>
    </row>
    <row r="72" spans="1:81" ht="21.6" customHeight="1" x14ac:dyDescent="0.25">
      <c r="A72" s="664">
        <v>6</v>
      </c>
      <c r="B72" s="664" t="s">
        <v>28</v>
      </c>
      <c r="C72" s="664"/>
      <c r="D72" s="1086" t="s">
        <v>30</v>
      </c>
      <c r="E72" s="836"/>
      <c r="F72" s="846" t="s">
        <v>35</v>
      </c>
      <c r="G72" s="836" t="s">
        <v>265</v>
      </c>
      <c r="H72" s="844"/>
      <c r="I72" s="625"/>
      <c r="J72" s="844"/>
      <c r="K72" s="626"/>
      <c r="L72" s="893"/>
      <c r="M72" s="893"/>
      <c r="N72" s="893">
        <f t="shared" si="17"/>
        <v>0</v>
      </c>
      <c r="O72" s="856"/>
      <c r="P72" s="856"/>
      <c r="Q72" s="856">
        <f t="shared" si="20"/>
        <v>0</v>
      </c>
      <c r="R72" s="894"/>
      <c r="S72" s="855"/>
      <c r="T72" s="896">
        <f t="shared" si="24"/>
        <v>0</v>
      </c>
      <c r="U72" s="862"/>
      <c r="V72" s="857"/>
      <c r="W72" s="857">
        <f t="shared" si="21"/>
        <v>0</v>
      </c>
      <c r="X72" s="863"/>
      <c r="Y72" s="894">
        <f t="shared" si="27"/>
        <v>0</v>
      </c>
      <c r="Z72" s="664">
        <f t="shared" si="25"/>
        <v>0</v>
      </c>
      <c r="AA72" s="836"/>
      <c r="AB72" s="982"/>
      <c r="AC72" s="867"/>
      <c r="AD72" s="867"/>
      <c r="AE72" s="979">
        <f t="shared" si="18"/>
        <v>0</v>
      </c>
      <c r="AF72" s="878"/>
      <c r="AG72" s="335"/>
      <c r="AH72" s="979">
        <f t="shared" si="26"/>
        <v>0</v>
      </c>
      <c r="AI72" s="979"/>
      <c r="AJ72" s="979">
        <f t="shared" si="19"/>
        <v>0</v>
      </c>
      <c r="AK72" s="878"/>
      <c r="AL72" s="618"/>
      <c r="AM72" s="618"/>
    </row>
    <row r="73" spans="1:81" ht="30" x14ac:dyDescent="0.25">
      <c r="A73" s="664">
        <v>7</v>
      </c>
      <c r="B73" s="664" t="s">
        <v>28</v>
      </c>
      <c r="C73" s="664"/>
      <c r="D73" s="1086" t="s">
        <v>30</v>
      </c>
      <c r="E73" s="836"/>
      <c r="F73" s="846" t="s">
        <v>36</v>
      </c>
      <c r="G73" s="836" t="s">
        <v>265</v>
      </c>
      <c r="H73" s="844"/>
      <c r="I73" s="625" t="s">
        <v>265</v>
      </c>
      <c r="J73" s="844" t="s">
        <v>265</v>
      </c>
      <c r="K73" s="626" t="s">
        <v>714</v>
      </c>
      <c r="L73" s="893">
        <v>6</v>
      </c>
      <c r="M73" s="893">
        <v>6</v>
      </c>
      <c r="N73" s="893">
        <f t="shared" si="17"/>
        <v>12</v>
      </c>
      <c r="O73" s="856"/>
      <c r="P73" s="856">
        <v>10</v>
      </c>
      <c r="Q73" s="856">
        <f t="shared" si="20"/>
        <v>10</v>
      </c>
      <c r="R73" s="894"/>
      <c r="S73" s="855"/>
      <c r="T73" s="896">
        <f t="shared" si="24"/>
        <v>0</v>
      </c>
      <c r="U73" s="862"/>
      <c r="V73" s="857">
        <v>150</v>
      </c>
      <c r="W73" s="857">
        <f t="shared" si="21"/>
        <v>10</v>
      </c>
      <c r="X73" s="863"/>
      <c r="Y73" s="894">
        <f t="shared" si="27"/>
        <v>150</v>
      </c>
      <c r="Z73" s="664">
        <f t="shared" si="25"/>
        <v>10</v>
      </c>
      <c r="AA73" s="836"/>
      <c r="AB73" s="982"/>
      <c r="AC73" s="867">
        <v>6</v>
      </c>
      <c r="AD73" s="867">
        <v>6</v>
      </c>
      <c r="AE73" s="979">
        <f t="shared" si="18"/>
        <v>12</v>
      </c>
      <c r="AF73" s="878"/>
      <c r="AG73" s="335">
        <v>150</v>
      </c>
      <c r="AH73" s="979">
        <f t="shared" si="26"/>
        <v>10</v>
      </c>
      <c r="AI73" s="979"/>
      <c r="AJ73" s="979">
        <f t="shared" si="19"/>
        <v>0</v>
      </c>
      <c r="AK73" s="878"/>
      <c r="AL73" s="618" t="s">
        <v>715</v>
      </c>
      <c r="AM73" s="618"/>
    </row>
    <row r="74" spans="1:81" ht="21.6" customHeight="1" x14ac:dyDescent="0.25">
      <c r="A74" s="664">
        <v>8</v>
      </c>
      <c r="B74" s="664" t="s">
        <v>28</v>
      </c>
      <c r="C74" s="664"/>
      <c r="D74" s="1086" t="s">
        <v>30</v>
      </c>
      <c r="E74" s="836"/>
      <c r="F74" s="846" t="s">
        <v>37</v>
      </c>
      <c r="G74" s="836" t="s">
        <v>265</v>
      </c>
      <c r="H74" s="844"/>
      <c r="I74" s="625" t="s">
        <v>265</v>
      </c>
      <c r="J74" s="844" t="s">
        <v>265</v>
      </c>
      <c r="K74" s="626" t="s">
        <v>714</v>
      </c>
      <c r="L74" s="893">
        <v>17</v>
      </c>
      <c r="M74" s="893">
        <v>8</v>
      </c>
      <c r="N74" s="893">
        <f t="shared" si="17"/>
        <v>25</v>
      </c>
      <c r="O74" s="856"/>
      <c r="P74" s="856">
        <v>10</v>
      </c>
      <c r="Q74" s="856">
        <f t="shared" si="20"/>
        <v>10</v>
      </c>
      <c r="R74" s="894"/>
      <c r="S74" s="855"/>
      <c r="T74" s="896">
        <f t="shared" si="24"/>
        <v>0</v>
      </c>
      <c r="U74" s="862"/>
      <c r="V74" s="857">
        <v>150</v>
      </c>
      <c r="W74" s="857">
        <f t="shared" si="21"/>
        <v>10</v>
      </c>
      <c r="X74" s="863"/>
      <c r="Y74" s="894">
        <f t="shared" si="27"/>
        <v>150</v>
      </c>
      <c r="Z74" s="664">
        <f t="shared" si="25"/>
        <v>10</v>
      </c>
      <c r="AA74" s="836"/>
      <c r="AB74" s="982"/>
      <c r="AC74" s="867">
        <v>17</v>
      </c>
      <c r="AD74" s="867">
        <v>8</v>
      </c>
      <c r="AE74" s="979">
        <f t="shared" si="18"/>
        <v>25</v>
      </c>
      <c r="AF74" s="878"/>
      <c r="AG74" s="335">
        <v>150</v>
      </c>
      <c r="AH74" s="979">
        <f t="shared" si="26"/>
        <v>10</v>
      </c>
      <c r="AI74" s="979"/>
      <c r="AJ74" s="979">
        <f t="shared" si="19"/>
        <v>0</v>
      </c>
      <c r="AK74" s="878"/>
      <c r="AL74" s="618" t="s">
        <v>716</v>
      </c>
      <c r="AM74" s="618">
        <v>9464860941</v>
      </c>
    </row>
    <row r="75" spans="1:81" ht="21.6" customHeight="1" x14ac:dyDescent="0.25">
      <c r="A75" s="664">
        <v>9</v>
      </c>
      <c r="B75" s="664" t="s">
        <v>28</v>
      </c>
      <c r="C75" s="664"/>
      <c r="D75" s="1086" t="s">
        <v>30</v>
      </c>
      <c r="E75" s="836"/>
      <c r="F75" s="846" t="s">
        <v>38</v>
      </c>
      <c r="G75" s="836" t="s">
        <v>265</v>
      </c>
      <c r="H75" s="844"/>
      <c r="I75" s="625"/>
      <c r="J75" s="844" t="s">
        <v>265</v>
      </c>
      <c r="K75" s="626" t="s">
        <v>761</v>
      </c>
      <c r="L75" s="893">
        <v>20</v>
      </c>
      <c r="M75" s="893">
        <v>5</v>
      </c>
      <c r="N75" s="893">
        <f t="shared" si="17"/>
        <v>25</v>
      </c>
      <c r="O75" s="856"/>
      <c r="P75" s="856">
        <v>9</v>
      </c>
      <c r="Q75" s="856">
        <f t="shared" si="20"/>
        <v>9</v>
      </c>
      <c r="R75" s="894"/>
      <c r="S75" s="855"/>
      <c r="T75" s="896">
        <f t="shared" si="24"/>
        <v>0</v>
      </c>
      <c r="U75" s="862"/>
      <c r="V75" s="857">
        <v>135</v>
      </c>
      <c r="W75" s="857">
        <f t="shared" si="21"/>
        <v>9</v>
      </c>
      <c r="X75" s="863"/>
      <c r="Y75" s="894">
        <f t="shared" si="27"/>
        <v>135</v>
      </c>
      <c r="Z75" s="664">
        <f t="shared" si="25"/>
        <v>9</v>
      </c>
      <c r="AA75" s="836"/>
      <c r="AB75" s="982"/>
      <c r="AC75" s="867">
        <v>20</v>
      </c>
      <c r="AD75" s="867">
        <v>5</v>
      </c>
      <c r="AE75" s="979">
        <f t="shared" si="18"/>
        <v>25</v>
      </c>
      <c r="AF75" s="878"/>
      <c r="AG75" s="335">
        <v>135</v>
      </c>
      <c r="AH75" s="979">
        <f t="shared" si="26"/>
        <v>9</v>
      </c>
      <c r="AI75" s="979"/>
      <c r="AJ75" s="979">
        <f t="shared" si="19"/>
        <v>0</v>
      </c>
      <c r="AK75" s="878"/>
      <c r="AL75" s="618"/>
      <c r="AM75" s="618"/>
    </row>
    <row r="76" spans="1:81" ht="30" customHeight="1" x14ac:dyDescent="0.25">
      <c r="A76" s="664">
        <v>10</v>
      </c>
      <c r="B76" s="664" t="s">
        <v>28</v>
      </c>
      <c r="C76" s="664"/>
      <c r="D76" s="1086" t="s">
        <v>30</v>
      </c>
      <c r="E76" s="836"/>
      <c r="F76" s="846" t="s">
        <v>39</v>
      </c>
      <c r="G76" s="836" t="s">
        <v>265</v>
      </c>
      <c r="H76" s="844"/>
      <c r="I76" s="625"/>
      <c r="J76" s="844"/>
      <c r="K76" s="626"/>
      <c r="L76" s="893"/>
      <c r="M76" s="893"/>
      <c r="N76" s="893">
        <f t="shared" si="17"/>
        <v>0</v>
      </c>
      <c r="O76" s="856"/>
      <c r="P76" s="856"/>
      <c r="Q76" s="856">
        <f t="shared" si="20"/>
        <v>0</v>
      </c>
      <c r="R76" s="894"/>
      <c r="S76" s="855"/>
      <c r="T76" s="896">
        <f t="shared" si="24"/>
        <v>0</v>
      </c>
      <c r="U76" s="862"/>
      <c r="V76" s="857"/>
      <c r="W76" s="857">
        <f t="shared" si="21"/>
        <v>0</v>
      </c>
      <c r="X76" s="863"/>
      <c r="Y76" s="894">
        <f t="shared" si="27"/>
        <v>0</v>
      </c>
      <c r="Z76" s="664">
        <f t="shared" si="25"/>
        <v>0</v>
      </c>
      <c r="AA76" s="836"/>
      <c r="AB76" s="982"/>
      <c r="AC76" s="867"/>
      <c r="AD76" s="867"/>
      <c r="AE76" s="979">
        <f t="shared" si="18"/>
        <v>0</v>
      </c>
      <c r="AF76" s="878"/>
      <c r="AG76" s="335"/>
      <c r="AH76" s="979">
        <f t="shared" si="26"/>
        <v>0</v>
      </c>
      <c r="AI76" s="979"/>
      <c r="AJ76" s="979">
        <f t="shared" si="19"/>
        <v>0</v>
      </c>
      <c r="AK76" s="878"/>
      <c r="AL76" s="618"/>
      <c r="AM76" s="618"/>
    </row>
    <row r="77" spans="1:81" ht="21.6" customHeight="1" x14ac:dyDescent="0.25">
      <c r="A77" s="664"/>
      <c r="B77" s="664"/>
      <c r="C77" s="664"/>
      <c r="D77" s="1086" t="s">
        <v>30</v>
      </c>
      <c r="E77" s="836"/>
      <c r="F77" s="846" t="s">
        <v>717</v>
      </c>
      <c r="G77" s="836"/>
      <c r="H77" s="844"/>
      <c r="I77" s="625" t="s">
        <v>265</v>
      </c>
      <c r="J77" s="844" t="s">
        <v>265</v>
      </c>
      <c r="K77" s="626" t="s">
        <v>714</v>
      </c>
      <c r="L77" s="893">
        <v>16</v>
      </c>
      <c r="M77" s="893">
        <v>18</v>
      </c>
      <c r="N77" s="893">
        <f t="shared" si="17"/>
        <v>34</v>
      </c>
      <c r="O77" s="856"/>
      <c r="P77" s="856">
        <v>14</v>
      </c>
      <c r="Q77" s="856">
        <f t="shared" si="20"/>
        <v>14</v>
      </c>
      <c r="R77" s="894"/>
      <c r="S77" s="855"/>
      <c r="T77" s="896">
        <f t="shared" si="24"/>
        <v>0</v>
      </c>
      <c r="U77" s="862"/>
      <c r="V77" s="857">
        <v>210</v>
      </c>
      <c r="W77" s="857">
        <f t="shared" si="21"/>
        <v>14</v>
      </c>
      <c r="X77" s="863"/>
      <c r="Y77" s="894">
        <f t="shared" si="27"/>
        <v>210</v>
      </c>
      <c r="Z77" s="664">
        <f t="shared" si="25"/>
        <v>14</v>
      </c>
      <c r="AA77" s="836"/>
      <c r="AB77" s="982"/>
      <c r="AC77" s="867">
        <v>16</v>
      </c>
      <c r="AD77" s="867">
        <v>18</v>
      </c>
      <c r="AE77" s="979">
        <f t="shared" si="18"/>
        <v>34</v>
      </c>
      <c r="AF77" s="878"/>
      <c r="AG77" s="335">
        <v>210</v>
      </c>
      <c r="AH77" s="979">
        <f t="shared" si="26"/>
        <v>14</v>
      </c>
      <c r="AI77" s="979"/>
      <c r="AJ77" s="979">
        <f t="shared" si="19"/>
        <v>0</v>
      </c>
      <c r="AK77" s="878"/>
      <c r="AL77" s="618" t="s">
        <v>718</v>
      </c>
      <c r="AM77" s="618"/>
    </row>
    <row r="78" spans="1:81" ht="51.75" customHeight="1" x14ac:dyDescent="0.25">
      <c r="A78" s="664">
        <v>11</v>
      </c>
      <c r="B78" s="664" t="s">
        <v>28</v>
      </c>
      <c r="C78" s="664"/>
      <c r="D78" s="1086" t="s">
        <v>30</v>
      </c>
      <c r="E78" s="836"/>
      <c r="F78" s="846" t="s">
        <v>40</v>
      </c>
      <c r="G78" s="836" t="s">
        <v>265</v>
      </c>
      <c r="H78" s="844"/>
      <c r="I78" s="625"/>
      <c r="J78" s="844" t="s">
        <v>265</v>
      </c>
      <c r="K78" s="626" t="s">
        <v>761</v>
      </c>
      <c r="L78" s="893">
        <v>5</v>
      </c>
      <c r="M78" s="893">
        <v>21</v>
      </c>
      <c r="N78" s="893">
        <f t="shared" si="17"/>
        <v>26</v>
      </c>
      <c r="O78" s="856"/>
      <c r="P78" s="856">
        <v>8</v>
      </c>
      <c r="Q78" s="856">
        <f t="shared" si="20"/>
        <v>8</v>
      </c>
      <c r="R78" s="894"/>
      <c r="S78" s="855"/>
      <c r="T78" s="896">
        <f t="shared" si="24"/>
        <v>0</v>
      </c>
      <c r="U78" s="862"/>
      <c r="V78" s="857">
        <v>120</v>
      </c>
      <c r="W78" s="857">
        <f t="shared" si="21"/>
        <v>8</v>
      </c>
      <c r="X78" s="863"/>
      <c r="Y78" s="894">
        <f t="shared" si="27"/>
        <v>120</v>
      </c>
      <c r="Z78" s="664">
        <f t="shared" si="25"/>
        <v>8</v>
      </c>
      <c r="AA78" s="836"/>
      <c r="AB78" s="982"/>
      <c r="AC78" s="867">
        <v>5</v>
      </c>
      <c r="AD78" s="867">
        <v>21</v>
      </c>
      <c r="AE78" s="979">
        <f t="shared" si="18"/>
        <v>26</v>
      </c>
      <c r="AF78" s="878"/>
      <c r="AG78" s="335">
        <v>120</v>
      </c>
      <c r="AH78" s="979">
        <f t="shared" si="26"/>
        <v>8</v>
      </c>
      <c r="AI78" s="979"/>
      <c r="AJ78" s="979">
        <f t="shared" si="19"/>
        <v>0</v>
      </c>
      <c r="AK78" s="878"/>
      <c r="AL78" s="618"/>
      <c r="AM78" s="618"/>
    </row>
    <row r="79" spans="1:81" ht="47.25" customHeight="1" x14ac:dyDescent="0.25">
      <c r="A79" s="664"/>
      <c r="B79" s="664"/>
      <c r="C79" s="664"/>
      <c r="D79" s="1086" t="s">
        <v>30</v>
      </c>
      <c r="E79" s="836"/>
      <c r="F79" s="846" t="s">
        <v>537</v>
      </c>
      <c r="G79" s="836"/>
      <c r="H79" s="844"/>
      <c r="I79" s="625" t="s">
        <v>265</v>
      </c>
      <c r="J79" s="844" t="s">
        <v>265</v>
      </c>
      <c r="K79" s="626" t="s">
        <v>714</v>
      </c>
      <c r="L79" s="893">
        <v>11</v>
      </c>
      <c r="M79" s="893">
        <v>13</v>
      </c>
      <c r="N79" s="893">
        <f t="shared" si="17"/>
        <v>24</v>
      </c>
      <c r="O79" s="856"/>
      <c r="P79" s="856">
        <v>10</v>
      </c>
      <c r="Q79" s="856">
        <f t="shared" si="20"/>
        <v>10</v>
      </c>
      <c r="R79" s="894"/>
      <c r="S79" s="855"/>
      <c r="T79" s="896">
        <f t="shared" si="24"/>
        <v>0</v>
      </c>
      <c r="U79" s="862"/>
      <c r="V79" s="857">
        <v>150</v>
      </c>
      <c r="W79" s="857">
        <f t="shared" si="21"/>
        <v>10</v>
      </c>
      <c r="X79" s="863"/>
      <c r="Y79" s="894">
        <f t="shared" si="27"/>
        <v>150</v>
      </c>
      <c r="Z79" s="664">
        <f t="shared" si="25"/>
        <v>10</v>
      </c>
      <c r="AA79" s="836"/>
      <c r="AB79" s="982"/>
      <c r="AC79" s="867">
        <v>11</v>
      </c>
      <c r="AD79" s="867">
        <v>13</v>
      </c>
      <c r="AE79" s="979">
        <f t="shared" si="18"/>
        <v>24</v>
      </c>
      <c r="AF79" s="878"/>
      <c r="AG79" s="335">
        <v>150</v>
      </c>
      <c r="AH79" s="979">
        <f t="shared" si="26"/>
        <v>10</v>
      </c>
      <c r="AI79" s="979"/>
      <c r="AJ79" s="979">
        <f t="shared" si="19"/>
        <v>0</v>
      </c>
      <c r="AK79" s="878"/>
      <c r="AL79" s="618" t="s">
        <v>719</v>
      </c>
      <c r="AM79" s="618"/>
    </row>
    <row r="80" spans="1:81" ht="57" customHeight="1" x14ac:dyDescent="0.25">
      <c r="A80" s="664">
        <v>12</v>
      </c>
      <c r="B80" s="664" t="s">
        <v>28</v>
      </c>
      <c r="C80" s="664"/>
      <c r="D80" s="1086" t="s">
        <v>30</v>
      </c>
      <c r="E80" s="900"/>
      <c r="F80" s="846" t="s">
        <v>41</v>
      </c>
      <c r="G80" s="836" t="s">
        <v>265</v>
      </c>
      <c r="H80" s="844"/>
      <c r="I80" s="836"/>
      <c r="J80" s="844" t="s">
        <v>265</v>
      </c>
      <c r="K80" s="626" t="s">
        <v>761</v>
      </c>
      <c r="L80" s="893">
        <v>28</v>
      </c>
      <c r="M80" s="893">
        <v>6</v>
      </c>
      <c r="N80" s="893">
        <f t="shared" si="17"/>
        <v>34</v>
      </c>
      <c r="O80" s="856"/>
      <c r="P80" s="856">
        <v>14</v>
      </c>
      <c r="Q80" s="856">
        <f t="shared" si="20"/>
        <v>14</v>
      </c>
      <c r="R80" s="894"/>
      <c r="S80" s="855"/>
      <c r="T80" s="896">
        <f t="shared" si="24"/>
        <v>0</v>
      </c>
      <c r="U80" s="862"/>
      <c r="V80" s="857">
        <v>210</v>
      </c>
      <c r="W80" s="857">
        <f>V80/15</f>
        <v>14</v>
      </c>
      <c r="X80" s="863"/>
      <c r="Y80" s="894">
        <f t="shared" si="27"/>
        <v>210</v>
      </c>
      <c r="Z80" s="664">
        <f t="shared" si="25"/>
        <v>14</v>
      </c>
      <c r="AA80" s="836"/>
      <c r="AB80" s="982"/>
      <c r="AC80" s="867">
        <v>28</v>
      </c>
      <c r="AD80" s="867">
        <v>6</v>
      </c>
      <c r="AE80" s="979">
        <f t="shared" si="18"/>
        <v>34</v>
      </c>
      <c r="AF80" s="878"/>
      <c r="AG80" s="335">
        <v>210</v>
      </c>
      <c r="AH80" s="979">
        <f t="shared" si="26"/>
        <v>14</v>
      </c>
      <c r="AI80" s="979"/>
      <c r="AJ80" s="979">
        <f t="shared" si="19"/>
        <v>0</v>
      </c>
      <c r="AK80" s="878"/>
      <c r="AL80" s="618"/>
      <c r="AM80" s="618"/>
    </row>
    <row r="81" spans="1:81" ht="21.6" customHeight="1" x14ac:dyDescent="0.25">
      <c r="A81" s="664"/>
      <c r="B81" s="664"/>
      <c r="C81" s="664"/>
      <c r="D81" s="1086"/>
      <c r="E81" s="845"/>
      <c r="F81" s="846"/>
      <c r="G81" s="836"/>
      <c r="H81" s="844"/>
      <c r="I81" s="836"/>
      <c r="J81" s="844"/>
      <c r="K81" s="626"/>
      <c r="L81" s="893"/>
      <c r="M81" s="893"/>
      <c r="N81" s="893">
        <f t="shared" si="17"/>
        <v>0</v>
      </c>
      <c r="O81" s="856"/>
      <c r="P81" s="856"/>
      <c r="Q81" s="856">
        <f t="shared" si="20"/>
        <v>0</v>
      </c>
      <c r="R81" s="894"/>
      <c r="S81" s="855"/>
      <c r="T81" s="896">
        <f t="shared" si="24"/>
        <v>0</v>
      </c>
      <c r="U81" s="862"/>
      <c r="V81" s="857"/>
      <c r="W81" s="857">
        <f t="shared" ref="W81:W150" si="28">V81/15</f>
        <v>0</v>
      </c>
      <c r="X81" s="863"/>
      <c r="Y81" s="664">
        <f t="shared" si="22"/>
        <v>0</v>
      </c>
      <c r="Z81" s="664">
        <f t="shared" si="25"/>
        <v>0</v>
      </c>
      <c r="AA81" s="836"/>
      <c r="AB81" s="982"/>
      <c r="AC81" s="867"/>
      <c r="AD81" s="867"/>
      <c r="AE81" s="979">
        <f t="shared" si="18"/>
        <v>0</v>
      </c>
      <c r="AF81" s="878"/>
      <c r="AG81" s="335"/>
      <c r="AH81" s="979">
        <f t="shared" ref="AH81:AH150" si="29">AG81/15</f>
        <v>0</v>
      </c>
      <c r="AI81" s="979"/>
      <c r="AJ81" s="979">
        <f t="shared" si="19"/>
        <v>0</v>
      </c>
      <c r="AK81" s="878"/>
      <c r="AL81" s="618"/>
      <c r="AM81" s="618"/>
    </row>
    <row r="82" spans="1:81" s="641" customFormat="1" ht="33" customHeight="1" x14ac:dyDescent="0.25">
      <c r="A82" s="836"/>
      <c r="B82" s="836"/>
      <c r="C82" s="836"/>
      <c r="D82" s="1086" t="s">
        <v>42</v>
      </c>
      <c r="E82" s="845"/>
      <c r="F82" s="846" t="s">
        <v>280</v>
      </c>
      <c r="G82" s="836" t="s">
        <v>276</v>
      </c>
      <c r="H82" s="844"/>
      <c r="I82" s="625"/>
      <c r="J82" s="844"/>
      <c r="K82" s="626"/>
      <c r="L82" s="890"/>
      <c r="M82" s="890"/>
      <c r="N82" s="890">
        <f t="shared" si="17"/>
        <v>0</v>
      </c>
      <c r="O82" s="467"/>
      <c r="P82" s="467"/>
      <c r="Q82" s="467">
        <f t="shared" si="20"/>
        <v>0</v>
      </c>
      <c r="R82" s="625"/>
      <c r="S82" s="842"/>
      <c r="T82" s="862">
        <f t="shared" si="24"/>
        <v>0</v>
      </c>
      <c r="U82" s="862">
        <f>SUM(T82:T95)</f>
        <v>0</v>
      </c>
      <c r="V82" s="863"/>
      <c r="W82" s="857">
        <f t="shared" si="28"/>
        <v>0</v>
      </c>
      <c r="X82" s="863">
        <f>SUM(W82:W95)</f>
        <v>24</v>
      </c>
      <c r="Y82" s="836">
        <f t="shared" si="22"/>
        <v>0</v>
      </c>
      <c r="Z82" s="664">
        <f t="shared" si="25"/>
        <v>0</v>
      </c>
      <c r="AA82" s="836">
        <f>SUM(Z82:Z95)</f>
        <v>24</v>
      </c>
      <c r="AB82" s="982">
        <v>24</v>
      </c>
      <c r="AC82" s="867"/>
      <c r="AD82" s="867"/>
      <c r="AE82" s="979">
        <f t="shared" si="18"/>
        <v>0</v>
      </c>
      <c r="AF82" s="878">
        <f>SUM(AE82:AE95)</f>
        <v>28</v>
      </c>
      <c r="AG82" s="335"/>
      <c r="AH82" s="979">
        <f t="shared" si="29"/>
        <v>0</v>
      </c>
      <c r="AI82" s="979">
        <f>SUM(AH82:AH95)</f>
        <v>24</v>
      </c>
      <c r="AJ82" s="979">
        <f t="shared" si="19"/>
        <v>0</v>
      </c>
      <c r="AK82" s="878">
        <f>SUM(AJ82:AJ95)</f>
        <v>0</v>
      </c>
      <c r="AL82" s="648"/>
      <c r="AM82" s="648"/>
      <c r="AN82" s="647"/>
      <c r="AO82" s="647"/>
      <c r="AP82" s="647"/>
      <c r="AQ82" s="647"/>
      <c r="AR82" s="647"/>
      <c r="AS82" s="647"/>
      <c r="AT82" s="647"/>
      <c r="AU82" s="647"/>
      <c r="AV82" s="647"/>
      <c r="AW82" s="647"/>
      <c r="AX82" s="647"/>
      <c r="AY82" s="647"/>
      <c r="AZ82" s="647"/>
      <c r="BA82" s="647"/>
      <c r="BB82" s="647"/>
      <c r="BC82" s="647"/>
      <c r="BD82" s="647"/>
      <c r="BE82" s="647"/>
      <c r="BF82" s="647"/>
      <c r="BG82" s="647"/>
      <c r="BH82" s="647"/>
      <c r="BI82" s="647"/>
      <c r="BJ82" s="647"/>
      <c r="BK82" s="647"/>
      <c r="BL82" s="647"/>
      <c r="BM82" s="647"/>
      <c r="BN82" s="647"/>
      <c r="BO82" s="647"/>
      <c r="BP82" s="647"/>
      <c r="BQ82" s="647"/>
      <c r="BR82" s="647"/>
      <c r="BS82" s="647"/>
      <c r="BT82" s="647"/>
      <c r="BU82" s="647"/>
      <c r="BV82" s="647"/>
      <c r="BW82" s="647"/>
      <c r="BX82" s="647"/>
      <c r="BY82" s="647"/>
      <c r="BZ82" s="647"/>
      <c r="CA82" s="647"/>
      <c r="CB82" s="647"/>
      <c r="CC82" s="647"/>
    </row>
    <row r="83" spans="1:81" ht="42.75" customHeight="1" x14ac:dyDescent="0.25">
      <c r="A83" s="664">
        <v>13</v>
      </c>
      <c r="B83" s="664" t="s">
        <v>28</v>
      </c>
      <c r="C83" s="664">
        <v>1</v>
      </c>
      <c r="D83" s="1086" t="s">
        <v>42</v>
      </c>
      <c r="E83" s="845"/>
      <c r="F83" s="846" t="s">
        <v>43</v>
      </c>
      <c r="G83" s="836" t="s">
        <v>265</v>
      </c>
      <c r="H83" s="844"/>
      <c r="I83" s="625"/>
      <c r="J83" s="844"/>
      <c r="K83" s="626"/>
      <c r="L83" s="893"/>
      <c r="M83" s="893"/>
      <c r="N83" s="893">
        <f t="shared" si="17"/>
        <v>0</v>
      </c>
      <c r="O83" s="856"/>
      <c r="P83" s="856"/>
      <c r="Q83" s="856">
        <f t="shared" si="20"/>
        <v>0</v>
      </c>
      <c r="R83" s="894"/>
      <c r="S83" s="855"/>
      <c r="T83" s="896">
        <f t="shared" si="24"/>
        <v>0</v>
      </c>
      <c r="U83" s="862"/>
      <c r="V83" s="857"/>
      <c r="W83" s="857">
        <f t="shared" si="28"/>
        <v>0</v>
      </c>
      <c r="X83" s="863"/>
      <c r="Y83" s="664">
        <f t="shared" si="22"/>
        <v>0</v>
      </c>
      <c r="Z83" s="664">
        <f t="shared" si="25"/>
        <v>0</v>
      </c>
      <c r="AA83" s="836"/>
      <c r="AB83" s="982"/>
      <c r="AC83" s="867"/>
      <c r="AD83" s="867"/>
      <c r="AE83" s="979">
        <f t="shared" si="18"/>
        <v>0</v>
      </c>
      <c r="AF83" s="878"/>
      <c r="AG83" s="335"/>
      <c r="AH83" s="979">
        <f t="shared" si="29"/>
        <v>0</v>
      </c>
      <c r="AI83" s="979"/>
      <c r="AJ83" s="979">
        <f t="shared" si="19"/>
        <v>0</v>
      </c>
      <c r="AK83" s="878"/>
      <c r="AL83" s="618"/>
      <c r="AM83" s="618"/>
    </row>
    <row r="84" spans="1:81" ht="42.75" customHeight="1" x14ac:dyDescent="0.25">
      <c r="A84" s="664"/>
      <c r="B84" s="664"/>
      <c r="C84" s="664"/>
      <c r="D84" s="1086" t="s">
        <v>42</v>
      </c>
      <c r="E84" s="845" t="s">
        <v>437</v>
      </c>
      <c r="F84" s="846" t="s">
        <v>770</v>
      </c>
      <c r="G84" s="836" t="s">
        <v>276</v>
      </c>
      <c r="H84" s="844"/>
      <c r="I84" s="625"/>
      <c r="J84" s="844" t="s">
        <v>265</v>
      </c>
      <c r="K84" s="626" t="s">
        <v>768</v>
      </c>
      <c r="L84" s="893">
        <v>13</v>
      </c>
      <c r="M84" s="893">
        <v>8</v>
      </c>
      <c r="N84" s="893">
        <f t="shared" si="17"/>
        <v>21</v>
      </c>
      <c r="O84" s="856">
        <v>17</v>
      </c>
      <c r="P84" s="856"/>
      <c r="Q84" s="856">
        <f t="shared" si="20"/>
        <v>17</v>
      </c>
      <c r="R84" s="894"/>
      <c r="S84" s="855"/>
      <c r="T84" s="896">
        <f t="shared" si="24"/>
        <v>0</v>
      </c>
      <c r="U84" s="862"/>
      <c r="V84" s="857">
        <v>255</v>
      </c>
      <c r="W84" s="857">
        <f t="shared" si="28"/>
        <v>17</v>
      </c>
      <c r="X84" s="863"/>
      <c r="Y84" s="664">
        <f t="shared" si="22"/>
        <v>255</v>
      </c>
      <c r="Z84" s="664">
        <f t="shared" si="25"/>
        <v>17</v>
      </c>
      <c r="AA84" s="836"/>
      <c r="AB84" s="982"/>
      <c r="AC84" s="867">
        <v>13</v>
      </c>
      <c r="AD84" s="867">
        <v>8</v>
      </c>
      <c r="AE84" s="979">
        <f t="shared" si="18"/>
        <v>21</v>
      </c>
      <c r="AF84" s="878"/>
      <c r="AG84" s="335">
        <v>255</v>
      </c>
      <c r="AH84" s="979">
        <f t="shared" si="29"/>
        <v>17</v>
      </c>
      <c r="AI84" s="979"/>
      <c r="AJ84" s="979">
        <f t="shared" si="19"/>
        <v>0</v>
      </c>
      <c r="AK84" s="878"/>
      <c r="AL84" s="618"/>
      <c r="AM84" s="618"/>
      <c r="AN84" s="725"/>
      <c r="AO84" s="725"/>
      <c r="AP84" s="725"/>
      <c r="AQ84" s="725"/>
      <c r="AR84" s="725"/>
      <c r="AS84" s="725"/>
      <c r="AT84" s="725"/>
      <c r="AU84" s="725"/>
      <c r="AV84" s="725"/>
      <c r="AW84" s="725"/>
      <c r="AX84" s="725"/>
      <c r="AY84" s="725"/>
      <c r="AZ84" s="725"/>
      <c r="BA84" s="725"/>
      <c r="BB84" s="725"/>
      <c r="BC84" s="725"/>
      <c r="BD84" s="725"/>
      <c r="BE84" s="725"/>
      <c r="BF84" s="725"/>
      <c r="BG84" s="725"/>
      <c r="BH84" s="725"/>
      <c r="BI84" s="725"/>
      <c r="BJ84" s="725"/>
      <c r="BK84" s="725"/>
      <c r="BL84" s="725"/>
      <c r="BM84" s="725"/>
      <c r="BN84" s="725"/>
      <c r="BO84" s="725"/>
      <c r="BP84" s="725"/>
      <c r="BQ84" s="725"/>
      <c r="BR84" s="725"/>
      <c r="BS84" s="725"/>
      <c r="BT84" s="725"/>
      <c r="BU84" s="725"/>
      <c r="BV84" s="725"/>
      <c r="BW84" s="725"/>
      <c r="BX84" s="725"/>
      <c r="BY84" s="725"/>
      <c r="BZ84" s="725"/>
      <c r="CA84" s="725"/>
      <c r="CB84" s="725"/>
      <c r="CC84" s="725"/>
    </row>
    <row r="85" spans="1:81" ht="21.6" customHeight="1" x14ac:dyDescent="0.25">
      <c r="A85" s="664">
        <v>15</v>
      </c>
      <c r="B85" s="664" t="s">
        <v>28</v>
      </c>
      <c r="C85" s="664">
        <v>3</v>
      </c>
      <c r="D85" s="1086" t="s">
        <v>42</v>
      </c>
      <c r="E85" s="845"/>
      <c r="F85" s="846" t="s">
        <v>44</v>
      </c>
      <c r="G85" s="836" t="s">
        <v>265</v>
      </c>
      <c r="H85" s="844"/>
      <c r="I85" s="625"/>
      <c r="J85" s="844"/>
      <c r="K85" s="626"/>
      <c r="L85" s="893"/>
      <c r="M85" s="893"/>
      <c r="N85" s="893">
        <f t="shared" si="17"/>
        <v>0</v>
      </c>
      <c r="O85" s="856"/>
      <c r="P85" s="856"/>
      <c r="Q85" s="856">
        <f t="shared" si="20"/>
        <v>0</v>
      </c>
      <c r="R85" s="894"/>
      <c r="S85" s="855"/>
      <c r="T85" s="896">
        <f t="shared" si="24"/>
        <v>0</v>
      </c>
      <c r="U85" s="862"/>
      <c r="V85" s="857"/>
      <c r="W85" s="857">
        <f t="shared" si="28"/>
        <v>0</v>
      </c>
      <c r="X85" s="863"/>
      <c r="Y85" s="664">
        <f t="shared" si="22"/>
        <v>0</v>
      </c>
      <c r="Z85" s="664">
        <f t="shared" si="25"/>
        <v>0</v>
      </c>
      <c r="AA85" s="836"/>
      <c r="AB85" s="982"/>
      <c r="AC85" s="867"/>
      <c r="AD85" s="867"/>
      <c r="AE85" s="979">
        <f t="shared" si="18"/>
        <v>0</v>
      </c>
      <c r="AF85" s="878"/>
      <c r="AG85" s="335"/>
      <c r="AH85" s="979">
        <f t="shared" si="29"/>
        <v>0</v>
      </c>
      <c r="AI85" s="979"/>
      <c r="AJ85" s="979">
        <f t="shared" si="19"/>
        <v>0</v>
      </c>
      <c r="AK85" s="878"/>
      <c r="AL85" s="618"/>
      <c r="AM85" s="618"/>
    </row>
    <row r="86" spans="1:81" ht="21.6" customHeight="1" x14ac:dyDescent="0.25">
      <c r="A86" s="664">
        <v>16</v>
      </c>
      <c r="B86" s="664" t="s">
        <v>28</v>
      </c>
      <c r="C86" s="664">
        <v>4</v>
      </c>
      <c r="D86" s="1086" t="s">
        <v>42</v>
      </c>
      <c r="E86" s="845"/>
      <c r="F86" s="846" t="s">
        <v>45</v>
      </c>
      <c r="G86" s="836" t="s">
        <v>265</v>
      </c>
      <c r="H86" s="844"/>
      <c r="I86" s="625"/>
      <c r="J86" s="844"/>
      <c r="K86" s="626"/>
      <c r="L86" s="893"/>
      <c r="M86" s="893"/>
      <c r="N86" s="893">
        <f t="shared" si="17"/>
        <v>0</v>
      </c>
      <c r="O86" s="856"/>
      <c r="P86" s="856"/>
      <c r="Q86" s="856">
        <f t="shared" si="20"/>
        <v>0</v>
      </c>
      <c r="R86" s="894"/>
      <c r="S86" s="855"/>
      <c r="T86" s="896">
        <f t="shared" si="24"/>
        <v>0</v>
      </c>
      <c r="U86" s="862"/>
      <c r="V86" s="857"/>
      <c r="W86" s="857">
        <f t="shared" si="28"/>
        <v>0</v>
      </c>
      <c r="X86" s="863"/>
      <c r="Y86" s="664">
        <f t="shared" si="22"/>
        <v>0</v>
      </c>
      <c r="Z86" s="664">
        <f t="shared" si="25"/>
        <v>0</v>
      </c>
      <c r="AA86" s="836"/>
      <c r="AB86" s="982"/>
      <c r="AC86" s="867"/>
      <c r="AD86" s="867"/>
      <c r="AE86" s="979">
        <f t="shared" si="18"/>
        <v>0</v>
      </c>
      <c r="AF86" s="878"/>
      <c r="AG86" s="335"/>
      <c r="AH86" s="979">
        <f t="shared" si="29"/>
        <v>0</v>
      </c>
      <c r="AI86" s="979"/>
      <c r="AJ86" s="979">
        <f t="shared" si="19"/>
        <v>0</v>
      </c>
      <c r="AK86" s="878"/>
      <c r="AL86" s="618"/>
      <c r="AM86" s="618"/>
    </row>
    <row r="87" spans="1:81" ht="21.6" customHeight="1" x14ac:dyDescent="0.25">
      <c r="A87" s="664">
        <v>18</v>
      </c>
      <c r="B87" s="664" t="s">
        <v>28</v>
      </c>
      <c r="C87" s="664">
        <v>6</v>
      </c>
      <c r="D87" s="1086" t="s">
        <v>42</v>
      </c>
      <c r="E87" s="845"/>
      <c r="F87" s="846" t="s">
        <v>46</v>
      </c>
      <c r="G87" s="836" t="s">
        <v>265</v>
      </c>
      <c r="H87" s="844"/>
      <c r="I87" s="625"/>
      <c r="J87" s="844"/>
      <c r="K87" s="626"/>
      <c r="L87" s="893"/>
      <c r="M87" s="893"/>
      <c r="N87" s="893">
        <f t="shared" si="17"/>
        <v>0</v>
      </c>
      <c r="O87" s="856"/>
      <c r="P87" s="856"/>
      <c r="Q87" s="856">
        <f t="shared" si="20"/>
        <v>0</v>
      </c>
      <c r="R87" s="894"/>
      <c r="S87" s="855"/>
      <c r="T87" s="896">
        <f t="shared" si="24"/>
        <v>0</v>
      </c>
      <c r="U87" s="862"/>
      <c r="V87" s="857"/>
      <c r="W87" s="857">
        <f t="shared" si="28"/>
        <v>0</v>
      </c>
      <c r="X87" s="863"/>
      <c r="Y87" s="664">
        <f t="shared" si="22"/>
        <v>0</v>
      </c>
      <c r="Z87" s="664">
        <f t="shared" si="25"/>
        <v>0</v>
      </c>
      <c r="AA87" s="836"/>
      <c r="AB87" s="982"/>
      <c r="AC87" s="867"/>
      <c r="AD87" s="867"/>
      <c r="AE87" s="979">
        <f t="shared" si="18"/>
        <v>0</v>
      </c>
      <c r="AF87" s="878"/>
      <c r="AG87" s="335"/>
      <c r="AH87" s="979">
        <f t="shared" si="29"/>
        <v>0</v>
      </c>
      <c r="AI87" s="979"/>
      <c r="AJ87" s="979">
        <f t="shared" si="19"/>
        <v>0</v>
      </c>
      <c r="AK87" s="878"/>
      <c r="AL87" s="618"/>
      <c r="AM87" s="618"/>
    </row>
    <row r="88" spans="1:81" ht="36" customHeight="1" x14ac:dyDescent="0.25">
      <c r="A88" s="664">
        <v>19</v>
      </c>
      <c r="B88" s="664" t="s">
        <v>28</v>
      </c>
      <c r="C88" s="664">
        <v>7</v>
      </c>
      <c r="D88" s="1086" t="s">
        <v>42</v>
      </c>
      <c r="E88" s="845"/>
      <c r="F88" s="846" t="s">
        <v>379</v>
      </c>
      <c r="G88" s="836" t="s">
        <v>265</v>
      </c>
      <c r="H88" s="844"/>
      <c r="I88" s="625"/>
      <c r="J88" s="844"/>
      <c r="K88" s="626"/>
      <c r="L88" s="893"/>
      <c r="M88" s="893"/>
      <c r="N88" s="893">
        <f t="shared" si="17"/>
        <v>0</v>
      </c>
      <c r="O88" s="856"/>
      <c r="P88" s="856"/>
      <c r="Q88" s="856">
        <f t="shared" si="20"/>
        <v>0</v>
      </c>
      <c r="R88" s="894"/>
      <c r="S88" s="855"/>
      <c r="T88" s="896">
        <f t="shared" si="24"/>
        <v>0</v>
      </c>
      <c r="U88" s="862"/>
      <c r="V88" s="857"/>
      <c r="W88" s="857">
        <f t="shared" si="28"/>
        <v>0</v>
      </c>
      <c r="X88" s="863"/>
      <c r="Y88" s="664">
        <f t="shared" si="22"/>
        <v>0</v>
      </c>
      <c r="Z88" s="664">
        <f t="shared" si="25"/>
        <v>0</v>
      </c>
      <c r="AA88" s="836"/>
      <c r="AB88" s="982"/>
      <c r="AC88" s="867"/>
      <c r="AD88" s="867"/>
      <c r="AE88" s="979">
        <f t="shared" si="18"/>
        <v>0</v>
      </c>
      <c r="AF88" s="878"/>
      <c r="AG88" s="335"/>
      <c r="AH88" s="979">
        <f t="shared" si="29"/>
        <v>0</v>
      </c>
      <c r="AI88" s="979"/>
      <c r="AJ88" s="979">
        <f t="shared" si="19"/>
        <v>0</v>
      </c>
      <c r="AK88" s="878"/>
      <c r="AL88" s="618"/>
      <c r="AM88" s="618"/>
    </row>
    <row r="89" spans="1:81" ht="36" customHeight="1" x14ac:dyDescent="0.25">
      <c r="A89" s="664">
        <v>105</v>
      </c>
      <c r="B89" s="664"/>
      <c r="C89" s="664"/>
      <c r="D89" s="1086" t="s">
        <v>42</v>
      </c>
      <c r="E89" s="845"/>
      <c r="F89" s="846" t="s">
        <v>771</v>
      </c>
      <c r="G89" s="836"/>
      <c r="H89" s="844"/>
      <c r="I89" s="625"/>
      <c r="J89" s="844" t="s">
        <v>265</v>
      </c>
      <c r="K89" s="626" t="s">
        <v>772</v>
      </c>
      <c r="L89" s="893">
        <v>7</v>
      </c>
      <c r="M89" s="893"/>
      <c r="N89" s="893">
        <f t="shared" si="17"/>
        <v>7</v>
      </c>
      <c r="O89" s="856">
        <v>7</v>
      </c>
      <c r="P89" s="856"/>
      <c r="Q89" s="856">
        <f t="shared" si="20"/>
        <v>7</v>
      </c>
      <c r="R89" s="894"/>
      <c r="S89" s="855"/>
      <c r="T89" s="896"/>
      <c r="U89" s="862"/>
      <c r="V89" s="857">
        <v>105</v>
      </c>
      <c r="W89" s="857">
        <f t="shared" si="28"/>
        <v>7</v>
      </c>
      <c r="X89" s="863"/>
      <c r="Y89" s="664">
        <f t="shared" si="22"/>
        <v>105</v>
      </c>
      <c r="Z89" s="664">
        <f t="shared" si="25"/>
        <v>7</v>
      </c>
      <c r="AA89" s="836"/>
      <c r="AB89" s="982"/>
      <c r="AC89" s="867">
        <v>7</v>
      </c>
      <c r="AD89" s="867">
        <v>0</v>
      </c>
      <c r="AE89" s="979">
        <f t="shared" si="18"/>
        <v>7</v>
      </c>
      <c r="AF89" s="878"/>
      <c r="AG89" s="335">
        <v>105</v>
      </c>
      <c r="AH89" s="979">
        <f t="shared" si="29"/>
        <v>7</v>
      </c>
      <c r="AI89" s="979"/>
      <c r="AJ89" s="979">
        <f t="shared" si="19"/>
        <v>0</v>
      </c>
      <c r="AK89" s="878"/>
      <c r="AL89" s="618"/>
      <c r="AM89" s="618"/>
      <c r="AN89" s="725"/>
      <c r="AO89" s="725"/>
      <c r="AP89" s="725"/>
      <c r="AQ89" s="725"/>
      <c r="AR89" s="725"/>
      <c r="AS89" s="725"/>
      <c r="AT89" s="725"/>
      <c r="AU89" s="725"/>
      <c r="AV89" s="725"/>
      <c r="AW89" s="725"/>
      <c r="AX89" s="725"/>
      <c r="AY89" s="725"/>
      <c r="AZ89" s="725"/>
      <c r="BA89" s="725"/>
      <c r="BB89" s="725"/>
      <c r="BC89" s="725"/>
      <c r="BD89" s="725"/>
      <c r="BE89" s="725"/>
      <c r="BF89" s="725"/>
      <c r="BG89" s="725"/>
      <c r="BH89" s="725"/>
      <c r="BI89" s="725"/>
      <c r="BJ89" s="725"/>
      <c r="BK89" s="725"/>
      <c r="BL89" s="725"/>
      <c r="BM89" s="725"/>
      <c r="BN89" s="725"/>
      <c r="BO89" s="725"/>
      <c r="BP89" s="725"/>
      <c r="BQ89" s="725"/>
      <c r="BR89" s="725"/>
      <c r="BS89" s="725"/>
      <c r="BT89" s="725"/>
      <c r="BU89" s="725"/>
      <c r="BV89" s="725"/>
      <c r="BW89" s="725"/>
      <c r="BX89" s="725"/>
      <c r="BY89" s="725"/>
      <c r="BZ89" s="725"/>
      <c r="CA89" s="725"/>
      <c r="CB89" s="725"/>
      <c r="CC89" s="725"/>
    </row>
    <row r="90" spans="1:81" ht="21.6" customHeight="1" x14ac:dyDescent="0.25">
      <c r="A90" s="664"/>
      <c r="B90" s="664"/>
      <c r="C90" s="664"/>
      <c r="D90" s="1086" t="s">
        <v>42</v>
      </c>
      <c r="E90" s="845"/>
      <c r="F90" s="846" t="s">
        <v>611</v>
      </c>
      <c r="G90" s="836"/>
      <c r="H90" s="844"/>
      <c r="I90" s="625"/>
      <c r="J90" s="844"/>
      <c r="K90" s="626"/>
      <c r="L90" s="893"/>
      <c r="M90" s="893"/>
      <c r="N90" s="893">
        <f t="shared" si="17"/>
        <v>0</v>
      </c>
      <c r="O90" s="856"/>
      <c r="P90" s="856"/>
      <c r="Q90" s="856">
        <f t="shared" si="20"/>
        <v>0</v>
      </c>
      <c r="R90" s="894"/>
      <c r="S90" s="855"/>
      <c r="T90" s="896">
        <f t="shared" si="24"/>
        <v>0</v>
      </c>
      <c r="U90" s="862"/>
      <c r="V90" s="857"/>
      <c r="W90" s="857">
        <f t="shared" si="28"/>
        <v>0</v>
      </c>
      <c r="X90" s="863"/>
      <c r="Y90" s="664">
        <f t="shared" si="22"/>
        <v>0</v>
      </c>
      <c r="Z90" s="664">
        <f t="shared" si="25"/>
        <v>0</v>
      </c>
      <c r="AA90" s="836"/>
      <c r="AB90" s="982"/>
      <c r="AC90" s="867"/>
      <c r="AD90" s="867"/>
      <c r="AE90" s="979">
        <f t="shared" si="18"/>
        <v>0</v>
      </c>
      <c r="AF90" s="878"/>
      <c r="AG90" s="335"/>
      <c r="AH90" s="979">
        <f t="shared" si="29"/>
        <v>0</v>
      </c>
      <c r="AI90" s="979"/>
      <c r="AJ90" s="979">
        <f t="shared" si="19"/>
        <v>0</v>
      </c>
      <c r="AK90" s="878"/>
      <c r="AL90" s="618"/>
      <c r="AM90" s="618"/>
    </row>
    <row r="91" spans="1:81" s="639" customFormat="1" ht="21.6" customHeight="1" x14ac:dyDescent="0.25">
      <c r="A91" s="910">
        <v>23</v>
      </c>
      <c r="B91" s="910" t="s">
        <v>28</v>
      </c>
      <c r="C91" s="910">
        <v>11</v>
      </c>
      <c r="D91" s="1086" t="s">
        <v>42</v>
      </c>
      <c r="E91" s="845"/>
      <c r="F91" s="911" t="s">
        <v>47</v>
      </c>
      <c r="G91" s="845" t="s">
        <v>265</v>
      </c>
      <c r="H91" s="901"/>
      <c r="I91" s="402"/>
      <c r="J91" s="901"/>
      <c r="K91" s="626"/>
      <c r="L91" s="912"/>
      <c r="M91" s="912"/>
      <c r="N91" s="893">
        <f t="shared" si="17"/>
        <v>0</v>
      </c>
      <c r="O91" s="913"/>
      <c r="P91" s="913"/>
      <c r="Q91" s="856">
        <f t="shared" si="20"/>
        <v>0</v>
      </c>
      <c r="R91" s="346"/>
      <c r="S91" s="914"/>
      <c r="T91" s="896">
        <f t="shared" si="24"/>
        <v>0</v>
      </c>
      <c r="U91" s="915"/>
      <c r="V91" s="916"/>
      <c r="W91" s="857">
        <f t="shared" si="28"/>
        <v>0</v>
      </c>
      <c r="X91" s="917"/>
      <c r="Y91" s="910">
        <f t="shared" si="22"/>
        <v>0</v>
      </c>
      <c r="Z91" s="664">
        <f t="shared" si="25"/>
        <v>0</v>
      </c>
      <c r="AA91" s="845"/>
      <c r="AB91" s="984"/>
      <c r="AC91" s="981"/>
      <c r="AD91" s="981"/>
      <c r="AE91" s="980">
        <f t="shared" si="18"/>
        <v>0</v>
      </c>
      <c r="AF91" s="879"/>
      <c r="AG91" s="966"/>
      <c r="AH91" s="980">
        <f t="shared" si="29"/>
        <v>0</v>
      </c>
      <c r="AI91" s="980"/>
      <c r="AJ91" s="980">
        <f t="shared" si="19"/>
        <v>0</v>
      </c>
      <c r="AK91" s="879"/>
      <c r="AL91" s="638"/>
      <c r="AM91" s="638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2"/>
      <c r="BF91" s="222"/>
      <c r="BG91" s="222"/>
      <c r="BH91" s="222"/>
      <c r="BI91" s="222"/>
      <c r="BJ91" s="222"/>
      <c r="BK91" s="222"/>
      <c r="BL91" s="222"/>
      <c r="BM91" s="222"/>
      <c r="BN91" s="222"/>
      <c r="BO91" s="222"/>
      <c r="BP91" s="222"/>
      <c r="BQ91" s="222"/>
      <c r="BR91" s="222"/>
      <c r="BS91" s="222"/>
      <c r="BT91" s="222"/>
      <c r="BU91" s="222"/>
      <c r="BV91" s="222"/>
      <c r="BW91" s="222"/>
      <c r="BX91" s="222"/>
      <c r="BY91" s="222"/>
      <c r="BZ91" s="222"/>
      <c r="CA91" s="222"/>
      <c r="CB91" s="222"/>
      <c r="CC91" s="222"/>
    </row>
    <row r="92" spans="1:81" ht="21.6" customHeight="1" x14ac:dyDescent="0.25">
      <c r="A92" s="664">
        <v>24</v>
      </c>
      <c r="B92" s="664" t="s">
        <v>28</v>
      </c>
      <c r="C92" s="664">
        <v>12</v>
      </c>
      <c r="D92" s="1086" t="s">
        <v>42</v>
      </c>
      <c r="E92" s="845"/>
      <c r="F92" s="846" t="s">
        <v>775</v>
      </c>
      <c r="G92" s="836" t="s">
        <v>265</v>
      </c>
      <c r="H92" s="844"/>
      <c r="I92" s="625"/>
      <c r="J92" s="844"/>
      <c r="K92" s="626"/>
      <c r="L92" s="893"/>
      <c r="M92" s="893"/>
      <c r="N92" s="893">
        <f t="shared" si="17"/>
        <v>0</v>
      </c>
      <c r="O92" s="856"/>
      <c r="P92" s="856"/>
      <c r="Q92" s="856">
        <f t="shared" si="20"/>
        <v>0</v>
      </c>
      <c r="R92" s="894"/>
      <c r="S92" s="855"/>
      <c r="T92" s="896">
        <f t="shared" si="24"/>
        <v>0</v>
      </c>
      <c r="U92" s="862"/>
      <c r="V92" s="857"/>
      <c r="W92" s="857">
        <f t="shared" si="28"/>
        <v>0</v>
      </c>
      <c r="X92" s="863"/>
      <c r="Y92" s="664">
        <f t="shared" si="22"/>
        <v>0</v>
      </c>
      <c r="Z92" s="664">
        <f t="shared" si="25"/>
        <v>0</v>
      </c>
      <c r="AA92" s="836"/>
      <c r="AB92" s="982"/>
      <c r="AC92" s="867"/>
      <c r="AD92" s="867"/>
      <c r="AE92" s="979">
        <f t="shared" si="18"/>
        <v>0</v>
      </c>
      <c r="AF92" s="878"/>
      <c r="AG92" s="335"/>
      <c r="AH92" s="979">
        <f t="shared" si="29"/>
        <v>0</v>
      </c>
      <c r="AI92" s="979"/>
      <c r="AJ92" s="979">
        <f t="shared" si="19"/>
        <v>0</v>
      </c>
      <c r="AK92" s="878"/>
      <c r="AL92" s="618"/>
      <c r="AM92" s="618"/>
    </row>
    <row r="93" spans="1:81" ht="35.25" customHeight="1" x14ac:dyDescent="0.25">
      <c r="A93" s="664">
        <v>25</v>
      </c>
      <c r="B93" s="664" t="s">
        <v>28</v>
      </c>
      <c r="C93" s="664">
        <v>13</v>
      </c>
      <c r="D93" s="1086" t="s">
        <v>42</v>
      </c>
      <c r="E93" s="845"/>
      <c r="F93" s="846" t="s">
        <v>48</v>
      </c>
      <c r="G93" s="836" t="s">
        <v>265</v>
      </c>
      <c r="H93" s="844"/>
      <c r="I93" s="625"/>
      <c r="J93" s="844"/>
      <c r="K93" s="626"/>
      <c r="L93" s="893"/>
      <c r="M93" s="893"/>
      <c r="N93" s="893">
        <f t="shared" si="17"/>
        <v>0</v>
      </c>
      <c r="O93" s="856"/>
      <c r="P93" s="856"/>
      <c r="Q93" s="856">
        <f t="shared" si="20"/>
        <v>0</v>
      </c>
      <c r="R93" s="894"/>
      <c r="S93" s="855"/>
      <c r="T93" s="896">
        <f t="shared" si="24"/>
        <v>0</v>
      </c>
      <c r="U93" s="862"/>
      <c r="V93" s="857"/>
      <c r="W93" s="857">
        <f t="shared" si="28"/>
        <v>0</v>
      </c>
      <c r="X93" s="863"/>
      <c r="Y93" s="664">
        <f t="shared" si="22"/>
        <v>0</v>
      </c>
      <c r="Z93" s="664">
        <f t="shared" si="25"/>
        <v>0</v>
      </c>
      <c r="AA93" s="836"/>
      <c r="AB93" s="982"/>
      <c r="AC93" s="867"/>
      <c r="AD93" s="867"/>
      <c r="AE93" s="979">
        <f t="shared" si="18"/>
        <v>0</v>
      </c>
      <c r="AF93" s="878"/>
      <c r="AG93" s="335"/>
      <c r="AH93" s="979">
        <f t="shared" si="29"/>
        <v>0</v>
      </c>
      <c r="AI93" s="979"/>
      <c r="AJ93" s="979">
        <f t="shared" si="19"/>
        <v>0</v>
      </c>
      <c r="AK93" s="878"/>
      <c r="AL93" s="618"/>
      <c r="AM93" s="618"/>
    </row>
    <row r="94" spans="1:81" ht="42.75" customHeight="1" x14ac:dyDescent="0.25">
      <c r="A94" s="664">
        <v>27</v>
      </c>
      <c r="B94" s="664" t="s">
        <v>28</v>
      </c>
      <c r="C94" s="664">
        <v>15</v>
      </c>
      <c r="D94" s="1086" t="s">
        <v>42</v>
      </c>
      <c r="E94" s="845"/>
      <c r="F94" s="846" t="s">
        <v>49</v>
      </c>
      <c r="G94" s="836" t="s">
        <v>265</v>
      </c>
      <c r="H94" s="844"/>
      <c r="I94" s="625"/>
      <c r="J94" s="844"/>
      <c r="K94" s="626"/>
      <c r="L94" s="893"/>
      <c r="M94" s="893"/>
      <c r="N94" s="893">
        <f t="shared" si="17"/>
        <v>0</v>
      </c>
      <c r="O94" s="856"/>
      <c r="P94" s="856"/>
      <c r="Q94" s="856">
        <f t="shared" si="20"/>
        <v>0</v>
      </c>
      <c r="R94" s="894"/>
      <c r="S94" s="855"/>
      <c r="T94" s="896">
        <f t="shared" si="24"/>
        <v>0</v>
      </c>
      <c r="U94" s="862"/>
      <c r="V94" s="857"/>
      <c r="W94" s="857">
        <f t="shared" si="28"/>
        <v>0</v>
      </c>
      <c r="X94" s="863"/>
      <c r="Y94" s="664">
        <f t="shared" si="22"/>
        <v>0</v>
      </c>
      <c r="Z94" s="664">
        <f t="shared" si="25"/>
        <v>0</v>
      </c>
      <c r="AA94" s="836"/>
      <c r="AB94" s="982"/>
      <c r="AC94" s="867"/>
      <c r="AD94" s="867"/>
      <c r="AE94" s="979">
        <f t="shared" si="18"/>
        <v>0</v>
      </c>
      <c r="AF94" s="878"/>
      <c r="AG94" s="335"/>
      <c r="AH94" s="979">
        <f t="shared" si="29"/>
        <v>0</v>
      </c>
      <c r="AI94" s="979"/>
      <c r="AJ94" s="979">
        <f t="shared" si="19"/>
        <v>0</v>
      </c>
      <c r="AK94" s="878"/>
      <c r="AL94" s="618"/>
      <c r="AM94" s="618"/>
    </row>
    <row r="95" spans="1:81" ht="21.6" customHeight="1" x14ac:dyDescent="0.25">
      <c r="A95" s="664">
        <v>28</v>
      </c>
      <c r="B95" s="664" t="s">
        <v>28</v>
      </c>
      <c r="C95" s="664">
        <v>16</v>
      </c>
      <c r="D95" s="1086" t="s">
        <v>42</v>
      </c>
      <c r="E95" s="845"/>
      <c r="F95" s="846" t="s">
        <v>50</v>
      </c>
      <c r="G95" s="836" t="s">
        <v>265</v>
      </c>
      <c r="H95" s="844"/>
      <c r="I95" s="625"/>
      <c r="J95" s="844"/>
      <c r="K95" s="626"/>
      <c r="L95" s="893"/>
      <c r="M95" s="893"/>
      <c r="N95" s="893">
        <f t="shared" si="17"/>
        <v>0</v>
      </c>
      <c r="O95" s="856"/>
      <c r="P95" s="856"/>
      <c r="Q95" s="856">
        <f t="shared" si="20"/>
        <v>0</v>
      </c>
      <c r="R95" s="894"/>
      <c r="S95" s="855"/>
      <c r="T95" s="896">
        <f t="shared" si="24"/>
        <v>0</v>
      </c>
      <c r="U95" s="862"/>
      <c r="V95" s="857"/>
      <c r="W95" s="857">
        <f t="shared" si="28"/>
        <v>0</v>
      </c>
      <c r="X95" s="863"/>
      <c r="Y95" s="664">
        <f t="shared" si="22"/>
        <v>0</v>
      </c>
      <c r="Z95" s="664">
        <f t="shared" si="25"/>
        <v>0</v>
      </c>
      <c r="AA95" s="836"/>
      <c r="AB95" s="982"/>
      <c r="AC95" s="867"/>
      <c r="AD95" s="867"/>
      <c r="AE95" s="979">
        <f t="shared" si="18"/>
        <v>0</v>
      </c>
      <c r="AF95" s="878"/>
      <c r="AG95" s="335"/>
      <c r="AH95" s="979">
        <f t="shared" si="29"/>
        <v>0</v>
      </c>
      <c r="AI95" s="979"/>
      <c r="AJ95" s="979">
        <f t="shared" si="19"/>
        <v>0</v>
      </c>
      <c r="AK95" s="878"/>
      <c r="AL95" s="618"/>
      <c r="AM95" s="618"/>
    </row>
    <row r="96" spans="1:81" ht="21.6" customHeight="1" x14ac:dyDescent="0.25">
      <c r="A96" s="664"/>
      <c r="B96" s="664"/>
      <c r="C96" s="664"/>
      <c r="D96" s="1086"/>
      <c r="E96" s="845"/>
      <c r="F96" s="846"/>
      <c r="G96" s="836"/>
      <c r="H96" s="844"/>
      <c r="I96" s="625"/>
      <c r="J96" s="844"/>
      <c r="K96" s="626"/>
      <c r="L96" s="893"/>
      <c r="M96" s="893"/>
      <c r="N96" s="893">
        <f t="shared" si="17"/>
        <v>0</v>
      </c>
      <c r="O96" s="856"/>
      <c r="P96" s="856"/>
      <c r="Q96" s="856">
        <f t="shared" si="20"/>
        <v>0</v>
      </c>
      <c r="R96" s="894"/>
      <c r="S96" s="855"/>
      <c r="T96" s="896">
        <f t="shared" si="24"/>
        <v>0</v>
      </c>
      <c r="U96" s="862"/>
      <c r="V96" s="857"/>
      <c r="W96" s="857">
        <f t="shared" si="28"/>
        <v>0</v>
      </c>
      <c r="X96" s="863"/>
      <c r="Y96" s="664">
        <f t="shared" si="22"/>
        <v>0</v>
      </c>
      <c r="Z96" s="664">
        <f t="shared" si="25"/>
        <v>0</v>
      </c>
      <c r="AA96" s="836"/>
      <c r="AB96" s="982"/>
      <c r="AC96" s="867"/>
      <c r="AD96" s="867"/>
      <c r="AE96" s="979">
        <f t="shared" si="18"/>
        <v>0</v>
      </c>
      <c r="AF96" s="878"/>
      <c r="AG96" s="335"/>
      <c r="AH96" s="979">
        <f t="shared" si="29"/>
        <v>0</v>
      </c>
      <c r="AI96" s="979"/>
      <c r="AJ96" s="979">
        <f t="shared" si="19"/>
        <v>0</v>
      </c>
      <c r="AK96" s="878"/>
      <c r="AL96" s="618"/>
      <c r="AM96" s="618"/>
    </row>
    <row r="97" spans="1:81" s="641" customFormat="1" ht="21.6" customHeight="1" x14ac:dyDescent="0.25">
      <c r="A97" s="845"/>
      <c r="B97" s="845"/>
      <c r="C97" s="845"/>
      <c r="D97" s="1086" t="s">
        <v>51</v>
      </c>
      <c r="E97" s="845"/>
      <c r="F97" s="911" t="s">
        <v>392</v>
      </c>
      <c r="G97" s="845"/>
      <c r="H97" s="901"/>
      <c r="I97" s="402"/>
      <c r="J97" s="901"/>
      <c r="K97" s="918"/>
      <c r="L97" s="919"/>
      <c r="M97" s="919"/>
      <c r="N97" s="890">
        <f t="shared" si="17"/>
        <v>0</v>
      </c>
      <c r="O97" s="838"/>
      <c r="P97" s="838"/>
      <c r="Q97" s="467">
        <f t="shared" si="20"/>
        <v>0</v>
      </c>
      <c r="R97" s="402"/>
      <c r="S97" s="842">
        <f>2607-495-447-6-65-18-54-150</f>
        <v>1372</v>
      </c>
      <c r="T97" s="862">
        <f t="shared" si="24"/>
        <v>91.466666666666669</v>
      </c>
      <c r="U97" s="862">
        <f>SUM(T97:T115)</f>
        <v>91.466666666666669</v>
      </c>
      <c r="V97" s="863"/>
      <c r="W97" s="857">
        <f t="shared" si="28"/>
        <v>0</v>
      </c>
      <c r="X97" s="863">
        <f>SUM(W97:W115)</f>
        <v>185.53333333333333</v>
      </c>
      <c r="Y97" s="836">
        <f t="shared" si="22"/>
        <v>1372</v>
      </c>
      <c r="Z97" s="664">
        <f t="shared" si="25"/>
        <v>91.466666666666669</v>
      </c>
      <c r="AA97" s="836">
        <f>SUM(Z97:Z115)</f>
        <v>277</v>
      </c>
      <c r="AB97" s="982">
        <f>320-33</f>
        <v>287</v>
      </c>
      <c r="AC97" s="867"/>
      <c r="AD97" s="867"/>
      <c r="AE97" s="979">
        <f t="shared" si="18"/>
        <v>0</v>
      </c>
      <c r="AF97" s="878">
        <f>SUM(AE97:AE115)</f>
        <v>225</v>
      </c>
      <c r="AG97" s="335"/>
      <c r="AH97" s="979">
        <f>AG97/15</f>
        <v>0</v>
      </c>
      <c r="AI97" s="979">
        <f>SUM(AH97:AH115)</f>
        <v>277.13333333333333</v>
      </c>
      <c r="AJ97" s="979">
        <f t="shared" si="19"/>
        <v>91.466666666666669</v>
      </c>
      <c r="AK97" s="878">
        <f>SUM(AJ97:AJ115)</f>
        <v>-0.13333333333333286</v>
      </c>
      <c r="AL97" s="648"/>
      <c r="AM97" s="648"/>
      <c r="AN97" s="647"/>
      <c r="AO97" s="647"/>
      <c r="AP97" s="647"/>
      <c r="AQ97" s="647"/>
      <c r="AR97" s="647"/>
      <c r="AS97" s="647"/>
      <c r="AT97" s="647"/>
      <c r="AU97" s="647"/>
      <c r="AV97" s="647"/>
      <c r="AW97" s="647"/>
      <c r="AX97" s="647"/>
      <c r="AY97" s="647"/>
      <c r="AZ97" s="647"/>
      <c r="BA97" s="647"/>
      <c r="BB97" s="647"/>
      <c r="BC97" s="647"/>
      <c r="BD97" s="647"/>
      <c r="BE97" s="647"/>
      <c r="BF97" s="647"/>
      <c r="BG97" s="647"/>
      <c r="BH97" s="647"/>
      <c r="BI97" s="647"/>
      <c r="BJ97" s="647"/>
      <c r="BK97" s="647"/>
      <c r="BL97" s="647"/>
      <c r="BM97" s="647"/>
      <c r="BN97" s="647"/>
      <c r="BO97" s="647"/>
      <c r="BP97" s="647"/>
      <c r="BQ97" s="647"/>
      <c r="BR97" s="647"/>
      <c r="BS97" s="647"/>
      <c r="BT97" s="647"/>
      <c r="BU97" s="647"/>
      <c r="BV97" s="647"/>
      <c r="BW97" s="647"/>
      <c r="BX97" s="647"/>
      <c r="BY97" s="647"/>
      <c r="BZ97" s="647"/>
      <c r="CA97" s="647"/>
      <c r="CB97" s="647"/>
      <c r="CC97" s="647"/>
    </row>
    <row r="98" spans="1:81" ht="27.75" customHeight="1" x14ac:dyDescent="0.25">
      <c r="A98" s="664"/>
      <c r="B98" s="664"/>
      <c r="C98" s="664"/>
      <c r="D98" s="1086" t="s">
        <v>51</v>
      </c>
      <c r="E98" s="900"/>
      <c r="F98" s="846" t="s">
        <v>303</v>
      </c>
      <c r="G98" s="836" t="s">
        <v>276</v>
      </c>
      <c r="H98" s="844"/>
      <c r="I98" s="836"/>
      <c r="J98" s="844" t="s">
        <v>265</v>
      </c>
      <c r="K98" s="626" t="s">
        <v>866</v>
      </c>
      <c r="L98" s="893">
        <f>8</f>
        <v>8</v>
      </c>
      <c r="M98" s="893">
        <f>3</f>
        <v>3</v>
      </c>
      <c r="N98" s="893">
        <f t="shared" si="17"/>
        <v>11</v>
      </c>
      <c r="O98" s="856">
        <f>2.75</f>
        <v>2.75</v>
      </c>
      <c r="P98" s="856">
        <f>1.5</f>
        <v>1.5</v>
      </c>
      <c r="Q98" s="856">
        <f t="shared" si="20"/>
        <v>4.25</v>
      </c>
      <c r="R98" s="894"/>
      <c r="S98" s="855"/>
      <c r="T98" s="896">
        <f t="shared" si="24"/>
        <v>0</v>
      </c>
      <c r="U98" s="862"/>
      <c r="V98" s="857">
        <f>54</f>
        <v>54</v>
      </c>
      <c r="W98" s="857">
        <f t="shared" si="28"/>
        <v>3.6</v>
      </c>
      <c r="X98" s="863"/>
      <c r="Y98" s="664">
        <f t="shared" si="22"/>
        <v>54</v>
      </c>
      <c r="Z98" s="664">
        <f t="shared" si="25"/>
        <v>3.6</v>
      </c>
      <c r="AA98" s="836"/>
      <c r="AB98" s="982"/>
      <c r="AC98" s="867">
        <f>8</f>
        <v>8</v>
      </c>
      <c r="AD98" s="867">
        <f>3</f>
        <v>3</v>
      </c>
      <c r="AE98" s="979">
        <f t="shared" si="18"/>
        <v>11</v>
      </c>
      <c r="AF98" s="878"/>
      <c r="AG98" s="335">
        <f>54</f>
        <v>54</v>
      </c>
      <c r="AH98" s="979">
        <f t="shared" ref="AH98:AH115" si="30">AG98/15</f>
        <v>3.6</v>
      </c>
      <c r="AI98" s="979"/>
      <c r="AJ98" s="979">
        <f t="shared" si="19"/>
        <v>0</v>
      </c>
      <c r="AK98" s="878"/>
      <c r="AL98" s="618"/>
      <c r="AM98" s="618"/>
    </row>
    <row r="99" spans="1:81" ht="21.6" customHeight="1" x14ac:dyDescent="0.25">
      <c r="A99" s="664"/>
      <c r="B99" s="664"/>
      <c r="C99" s="664"/>
      <c r="D99" s="1086" t="s">
        <v>51</v>
      </c>
      <c r="E99" s="836" t="s">
        <v>429</v>
      </c>
      <c r="F99" s="846" t="s">
        <v>362</v>
      </c>
      <c r="G99" s="836" t="s">
        <v>265</v>
      </c>
      <c r="H99" s="844"/>
      <c r="I99" s="836"/>
      <c r="J99" s="844" t="s">
        <v>265</v>
      </c>
      <c r="K99" s="626" t="s">
        <v>866</v>
      </c>
      <c r="L99" s="893">
        <f>5</f>
        <v>5</v>
      </c>
      <c r="M99" s="893">
        <v>1</v>
      </c>
      <c r="N99" s="893">
        <f t="shared" si="17"/>
        <v>6</v>
      </c>
      <c r="O99" s="856">
        <f>4.3</f>
        <v>4.3</v>
      </c>
      <c r="P99" s="856"/>
      <c r="Q99" s="856">
        <f t="shared" si="20"/>
        <v>4.3</v>
      </c>
      <c r="R99" s="894"/>
      <c r="S99" s="855"/>
      <c r="T99" s="896">
        <f t="shared" si="24"/>
        <v>0</v>
      </c>
      <c r="U99" s="862"/>
      <c r="V99" s="857">
        <f>65</f>
        <v>65</v>
      </c>
      <c r="W99" s="857">
        <f t="shared" si="28"/>
        <v>4.333333333333333</v>
      </c>
      <c r="X99" s="863"/>
      <c r="Y99" s="664">
        <f t="shared" si="22"/>
        <v>65</v>
      </c>
      <c r="Z99" s="664">
        <f t="shared" si="25"/>
        <v>4.333333333333333</v>
      </c>
      <c r="AA99" s="836"/>
      <c r="AB99" s="982"/>
      <c r="AC99" s="867">
        <f>5+18+18</f>
        <v>41</v>
      </c>
      <c r="AD99" s="867">
        <f>1+4+2</f>
        <v>7</v>
      </c>
      <c r="AE99" s="979">
        <f t="shared" si="18"/>
        <v>48</v>
      </c>
      <c r="AF99" s="878"/>
      <c r="AG99" s="335">
        <f>65+462+393</f>
        <v>920</v>
      </c>
      <c r="AH99" s="979">
        <f t="shared" si="30"/>
        <v>61.333333333333336</v>
      </c>
      <c r="AI99" s="979"/>
      <c r="AJ99" s="979">
        <f t="shared" si="19"/>
        <v>-57</v>
      </c>
      <c r="AK99" s="878"/>
      <c r="AL99" s="618"/>
      <c r="AM99" s="618"/>
    </row>
    <row r="100" spans="1:81" ht="21.6" customHeight="1" x14ac:dyDescent="0.25">
      <c r="A100" s="664"/>
      <c r="B100" s="664"/>
      <c r="C100" s="664"/>
      <c r="D100" s="1086" t="s">
        <v>51</v>
      </c>
      <c r="E100" s="900"/>
      <c r="F100" s="911" t="s">
        <v>349</v>
      </c>
      <c r="G100" s="836" t="s">
        <v>276</v>
      </c>
      <c r="H100" s="844"/>
      <c r="I100" s="625"/>
      <c r="J100" s="844"/>
      <c r="K100" s="626"/>
      <c r="L100" s="893"/>
      <c r="M100" s="893"/>
      <c r="N100" s="893">
        <f t="shared" si="17"/>
        <v>0</v>
      </c>
      <c r="O100" s="856"/>
      <c r="P100" s="856"/>
      <c r="Q100" s="856">
        <f t="shared" si="20"/>
        <v>0</v>
      </c>
      <c r="R100" s="894"/>
      <c r="S100" s="855"/>
      <c r="T100" s="896">
        <f t="shared" si="24"/>
        <v>0</v>
      </c>
      <c r="U100" s="862"/>
      <c r="V100" s="857"/>
      <c r="W100" s="857">
        <f t="shared" si="28"/>
        <v>0</v>
      </c>
      <c r="X100" s="863"/>
      <c r="Y100" s="664">
        <f t="shared" si="22"/>
        <v>0</v>
      </c>
      <c r="Z100" s="664">
        <f t="shared" si="25"/>
        <v>0</v>
      </c>
      <c r="AA100" s="836"/>
      <c r="AB100" s="982"/>
      <c r="AC100" s="867"/>
      <c r="AD100" s="867"/>
      <c r="AE100" s="979">
        <f t="shared" si="18"/>
        <v>0</v>
      </c>
      <c r="AF100" s="878"/>
      <c r="AG100" s="335"/>
      <c r="AH100" s="979">
        <f t="shared" si="30"/>
        <v>0</v>
      </c>
      <c r="AI100" s="979"/>
      <c r="AJ100" s="979">
        <f t="shared" si="19"/>
        <v>0</v>
      </c>
      <c r="AK100" s="878"/>
      <c r="AL100" s="618"/>
      <c r="AM100" s="618"/>
    </row>
    <row r="101" spans="1:81" s="639" customFormat="1" ht="21.6" customHeight="1" x14ac:dyDescent="0.25">
      <c r="A101" s="664">
        <v>34</v>
      </c>
      <c r="B101" s="664" t="s">
        <v>28</v>
      </c>
      <c r="C101" s="664">
        <v>4</v>
      </c>
      <c r="D101" s="1086" t="s">
        <v>51</v>
      </c>
      <c r="E101" s="836"/>
      <c r="F101" s="846" t="s">
        <v>52</v>
      </c>
      <c r="G101" s="836" t="s">
        <v>265</v>
      </c>
      <c r="H101" s="844"/>
      <c r="I101" s="625"/>
      <c r="J101" s="844" t="s">
        <v>265</v>
      </c>
      <c r="K101" s="626" t="s">
        <v>796</v>
      </c>
      <c r="L101" s="893">
        <v>4</v>
      </c>
      <c r="M101" s="893">
        <v>1</v>
      </c>
      <c r="N101" s="893">
        <f t="shared" si="17"/>
        <v>5</v>
      </c>
      <c r="O101" s="856">
        <v>3.55</v>
      </c>
      <c r="P101" s="856"/>
      <c r="Q101" s="856">
        <f t="shared" si="20"/>
        <v>3.55</v>
      </c>
      <c r="R101" s="894"/>
      <c r="S101" s="914"/>
      <c r="T101" s="896">
        <f t="shared" si="24"/>
        <v>0</v>
      </c>
      <c r="U101" s="915"/>
      <c r="V101" s="916">
        <v>48</v>
      </c>
      <c r="W101" s="857">
        <f t="shared" si="28"/>
        <v>3.2</v>
      </c>
      <c r="X101" s="917"/>
      <c r="Y101" s="910">
        <f t="shared" si="22"/>
        <v>48</v>
      </c>
      <c r="Z101" s="664">
        <f t="shared" si="25"/>
        <v>3.2</v>
      </c>
      <c r="AA101" s="845"/>
      <c r="AB101" s="984"/>
      <c r="AC101" s="981">
        <v>4</v>
      </c>
      <c r="AD101" s="981">
        <v>1</v>
      </c>
      <c r="AE101" s="980">
        <f t="shared" si="18"/>
        <v>5</v>
      </c>
      <c r="AF101" s="879"/>
      <c r="AG101" s="966">
        <v>48</v>
      </c>
      <c r="AH101" s="979">
        <f t="shared" si="30"/>
        <v>3.2</v>
      </c>
      <c r="AI101" s="980"/>
      <c r="AJ101" s="980">
        <f t="shared" si="19"/>
        <v>0</v>
      </c>
      <c r="AK101" s="879"/>
      <c r="AL101" s="638"/>
      <c r="AM101" s="638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222"/>
      <c r="BZ101" s="222"/>
      <c r="CA101" s="222"/>
      <c r="CB101" s="222"/>
      <c r="CC101" s="222"/>
    </row>
    <row r="102" spans="1:81" ht="21.6" customHeight="1" x14ac:dyDescent="0.25">
      <c r="A102" s="910"/>
      <c r="B102" s="910"/>
      <c r="C102" s="910"/>
      <c r="D102" s="1086" t="s">
        <v>51</v>
      </c>
      <c r="E102" s="845"/>
      <c r="F102" s="911" t="s">
        <v>54</v>
      </c>
      <c r="G102" s="845" t="s">
        <v>265</v>
      </c>
      <c r="H102" s="901"/>
      <c r="I102" s="402"/>
      <c r="J102" s="901"/>
      <c r="K102" s="918"/>
      <c r="L102" s="912"/>
      <c r="M102" s="912"/>
      <c r="N102" s="893">
        <f t="shared" si="17"/>
        <v>0</v>
      </c>
      <c r="O102" s="913"/>
      <c r="P102" s="913"/>
      <c r="Q102" s="856">
        <f t="shared" si="20"/>
        <v>0</v>
      </c>
      <c r="R102" s="346"/>
      <c r="S102" s="855"/>
      <c r="T102" s="896">
        <f t="shared" si="24"/>
        <v>0</v>
      </c>
      <c r="U102" s="862"/>
      <c r="V102" s="857"/>
      <c r="W102" s="857">
        <f t="shared" si="28"/>
        <v>0</v>
      </c>
      <c r="X102" s="863"/>
      <c r="Y102" s="664">
        <f t="shared" si="22"/>
        <v>0</v>
      </c>
      <c r="Z102" s="664">
        <f t="shared" si="25"/>
        <v>0</v>
      </c>
      <c r="AA102" s="836"/>
      <c r="AB102" s="982"/>
      <c r="AC102" s="867"/>
      <c r="AD102" s="867"/>
      <c r="AE102" s="979">
        <f t="shared" si="18"/>
        <v>0</v>
      </c>
      <c r="AF102" s="878"/>
      <c r="AG102" s="335"/>
      <c r="AH102" s="979">
        <f t="shared" si="30"/>
        <v>0</v>
      </c>
      <c r="AI102" s="979"/>
      <c r="AJ102" s="979">
        <f t="shared" si="19"/>
        <v>0</v>
      </c>
      <c r="AK102" s="878"/>
      <c r="AL102" s="618"/>
      <c r="AM102" s="618"/>
    </row>
    <row r="103" spans="1:81" ht="21.6" customHeight="1" x14ac:dyDescent="0.25">
      <c r="A103" s="664">
        <v>36</v>
      </c>
      <c r="B103" s="664" t="s">
        <v>28</v>
      </c>
      <c r="C103" s="664">
        <v>6</v>
      </c>
      <c r="D103" s="1086" t="s">
        <v>51</v>
      </c>
      <c r="E103" s="836"/>
      <c r="F103" s="846" t="s">
        <v>53</v>
      </c>
      <c r="G103" s="836" t="s">
        <v>265</v>
      </c>
      <c r="H103" s="844"/>
      <c r="I103" s="625"/>
      <c r="J103" s="844"/>
      <c r="K103" s="626"/>
      <c r="L103" s="893"/>
      <c r="M103" s="893"/>
      <c r="N103" s="893">
        <f t="shared" si="17"/>
        <v>0</v>
      </c>
      <c r="O103" s="856"/>
      <c r="P103" s="856"/>
      <c r="Q103" s="856">
        <f t="shared" si="20"/>
        <v>0</v>
      </c>
      <c r="R103" s="894"/>
      <c r="S103" s="855"/>
      <c r="T103" s="896">
        <f t="shared" si="24"/>
        <v>0</v>
      </c>
      <c r="U103" s="862"/>
      <c r="V103" s="857"/>
      <c r="W103" s="857">
        <f t="shared" si="28"/>
        <v>0</v>
      </c>
      <c r="X103" s="863"/>
      <c r="Y103" s="664">
        <f t="shared" si="22"/>
        <v>0</v>
      </c>
      <c r="Z103" s="664">
        <f t="shared" si="25"/>
        <v>0</v>
      </c>
      <c r="AA103" s="836"/>
      <c r="AB103" s="982"/>
      <c r="AC103" s="867">
        <v>2</v>
      </c>
      <c r="AD103" s="867">
        <v>2</v>
      </c>
      <c r="AE103" s="979">
        <f t="shared" si="18"/>
        <v>4</v>
      </c>
      <c r="AF103" s="878"/>
      <c r="AG103" s="335">
        <v>30</v>
      </c>
      <c r="AH103" s="979">
        <f t="shared" si="30"/>
        <v>2</v>
      </c>
      <c r="AI103" s="979"/>
      <c r="AJ103" s="979">
        <f t="shared" si="19"/>
        <v>-2</v>
      </c>
      <c r="AK103" s="878"/>
      <c r="AL103" s="618"/>
      <c r="AM103" s="618"/>
    </row>
    <row r="104" spans="1:81" ht="21.6" customHeight="1" x14ac:dyDescent="0.25">
      <c r="A104" s="664"/>
      <c r="B104" s="664"/>
      <c r="C104" s="664"/>
      <c r="D104" s="1086" t="s">
        <v>51</v>
      </c>
      <c r="E104" s="836"/>
      <c r="F104" s="846" t="s">
        <v>53</v>
      </c>
      <c r="G104" s="836" t="s">
        <v>265</v>
      </c>
      <c r="H104" s="844"/>
      <c r="I104" s="836"/>
      <c r="J104" s="844" t="s">
        <v>265</v>
      </c>
      <c r="K104" s="626" t="s">
        <v>796</v>
      </c>
      <c r="L104" s="893">
        <v>3</v>
      </c>
      <c r="M104" s="893">
        <v>4</v>
      </c>
      <c r="N104" s="893">
        <f t="shared" si="17"/>
        <v>7</v>
      </c>
      <c r="O104" s="856">
        <v>3.65</v>
      </c>
      <c r="P104" s="856"/>
      <c r="Q104" s="856">
        <f t="shared" si="20"/>
        <v>3.65</v>
      </c>
      <c r="R104" s="894"/>
      <c r="S104" s="855"/>
      <c r="T104" s="896">
        <f t="shared" si="24"/>
        <v>0</v>
      </c>
      <c r="U104" s="862"/>
      <c r="V104" s="857">
        <v>45</v>
      </c>
      <c r="W104" s="857">
        <f t="shared" si="28"/>
        <v>3</v>
      </c>
      <c r="X104" s="863"/>
      <c r="Y104" s="664">
        <f t="shared" si="22"/>
        <v>45</v>
      </c>
      <c r="Z104" s="664">
        <f t="shared" si="25"/>
        <v>3</v>
      </c>
      <c r="AA104" s="836"/>
      <c r="AB104" s="982"/>
      <c r="AC104" s="867">
        <f>3+3</f>
        <v>6</v>
      </c>
      <c r="AD104" s="867">
        <f>4+5</f>
        <v>9</v>
      </c>
      <c r="AE104" s="979">
        <f t="shared" si="18"/>
        <v>15</v>
      </c>
      <c r="AF104" s="878"/>
      <c r="AG104" s="335">
        <f>45+60</f>
        <v>105</v>
      </c>
      <c r="AH104" s="979">
        <f t="shared" si="30"/>
        <v>7</v>
      </c>
      <c r="AI104" s="979"/>
      <c r="AJ104" s="979">
        <f t="shared" si="19"/>
        <v>-4</v>
      </c>
      <c r="AK104" s="878"/>
      <c r="AL104" s="618"/>
      <c r="AM104" s="618"/>
    </row>
    <row r="105" spans="1:81" ht="21.6" customHeight="1" x14ac:dyDescent="0.25">
      <c r="A105" s="910"/>
      <c r="B105" s="910"/>
      <c r="C105" s="910"/>
      <c r="D105" s="1086" t="s">
        <v>51</v>
      </c>
      <c r="E105" s="845"/>
      <c r="F105" s="911" t="s">
        <v>56</v>
      </c>
      <c r="G105" s="845" t="s">
        <v>265</v>
      </c>
      <c r="H105" s="901"/>
      <c r="I105" s="402"/>
      <c r="J105" s="901" t="s">
        <v>265</v>
      </c>
      <c r="K105" s="918" t="s">
        <v>866</v>
      </c>
      <c r="L105" s="912">
        <f>2</f>
        <v>2</v>
      </c>
      <c r="M105" s="912"/>
      <c r="N105" s="893">
        <f t="shared" si="17"/>
        <v>2</v>
      </c>
      <c r="O105" s="913">
        <f>0.66</f>
        <v>0.66</v>
      </c>
      <c r="P105" s="913"/>
      <c r="Q105" s="856">
        <f t="shared" si="20"/>
        <v>0.66</v>
      </c>
      <c r="R105" s="346"/>
      <c r="S105" s="855"/>
      <c r="T105" s="896">
        <f t="shared" si="24"/>
        <v>0</v>
      </c>
      <c r="U105" s="862"/>
      <c r="V105" s="857">
        <f>6</f>
        <v>6</v>
      </c>
      <c r="W105" s="857">
        <f t="shared" si="28"/>
        <v>0.4</v>
      </c>
      <c r="X105" s="863"/>
      <c r="Y105" s="664">
        <f t="shared" si="22"/>
        <v>6</v>
      </c>
      <c r="Z105" s="664">
        <f t="shared" si="25"/>
        <v>0.4</v>
      </c>
      <c r="AA105" s="836"/>
      <c r="AB105" s="982"/>
      <c r="AC105" s="867">
        <f>2</f>
        <v>2</v>
      </c>
      <c r="AD105" s="867"/>
      <c r="AE105" s="979">
        <f t="shared" si="18"/>
        <v>2</v>
      </c>
      <c r="AF105" s="878"/>
      <c r="AG105" s="335">
        <v>90</v>
      </c>
      <c r="AH105" s="979">
        <f t="shared" si="30"/>
        <v>6</v>
      </c>
      <c r="AI105" s="979"/>
      <c r="AJ105" s="979">
        <f t="shared" si="19"/>
        <v>-5.6</v>
      </c>
      <c r="AK105" s="878"/>
      <c r="AL105" s="618"/>
      <c r="AM105" s="618"/>
    </row>
    <row r="106" spans="1:81" ht="21.6" customHeight="1" x14ac:dyDescent="0.25">
      <c r="A106" s="664"/>
      <c r="B106" s="664"/>
      <c r="C106" s="664"/>
      <c r="D106" s="1086" t="s">
        <v>51</v>
      </c>
      <c r="E106" s="836" t="s">
        <v>429</v>
      </c>
      <c r="F106" s="846" t="s">
        <v>541</v>
      </c>
      <c r="G106" s="836" t="s">
        <v>265</v>
      </c>
      <c r="H106" s="844"/>
      <c r="I106" s="836"/>
      <c r="J106" s="844"/>
      <c r="K106" s="626"/>
      <c r="L106" s="893"/>
      <c r="M106" s="893"/>
      <c r="N106" s="893">
        <f t="shared" si="17"/>
        <v>0</v>
      </c>
      <c r="O106" s="856"/>
      <c r="P106" s="856"/>
      <c r="Q106" s="920">
        <f t="shared" si="20"/>
        <v>0</v>
      </c>
      <c r="R106" s="894"/>
      <c r="S106" s="855"/>
      <c r="T106" s="896">
        <f t="shared" si="24"/>
        <v>0</v>
      </c>
      <c r="U106" s="862"/>
      <c r="V106" s="857"/>
      <c r="W106" s="857">
        <f t="shared" si="28"/>
        <v>0</v>
      </c>
      <c r="X106" s="863"/>
      <c r="Y106" s="664">
        <f t="shared" si="22"/>
        <v>0</v>
      </c>
      <c r="Z106" s="664">
        <f t="shared" si="25"/>
        <v>0</v>
      </c>
      <c r="AA106" s="836"/>
      <c r="AB106" s="982"/>
      <c r="AC106" s="867"/>
      <c r="AD106" s="867"/>
      <c r="AE106" s="979">
        <f t="shared" si="18"/>
        <v>0</v>
      </c>
      <c r="AF106" s="878"/>
      <c r="AG106" s="335"/>
      <c r="AH106" s="979">
        <f t="shared" si="30"/>
        <v>0</v>
      </c>
      <c r="AI106" s="979"/>
      <c r="AJ106" s="979">
        <f t="shared" si="19"/>
        <v>0</v>
      </c>
      <c r="AK106" s="878"/>
      <c r="AL106" s="618"/>
      <c r="AM106" s="618"/>
    </row>
    <row r="107" spans="1:81" ht="21.6" customHeight="1" x14ac:dyDescent="0.25">
      <c r="A107" s="664"/>
      <c r="B107" s="664"/>
      <c r="C107" s="664"/>
      <c r="D107" s="1086" t="s">
        <v>51</v>
      </c>
      <c r="E107" s="836" t="s">
        <v>429</v>
      </c>
      <c r="F107" s="846" t="s">
        <v>87</v>
      </c>
      <c r="G107" s="836" t="s">
        <v>265</v>
      </c>
      <c r="H107" s="844"/>
      <c r="I107" s="836"/>
      <c r="J107" s="844"/>
      <c r="K107" s="626"/>
      <c r="L107" s="893"/>
      <c r="M107" s="893"/>
      <c r="N107" s="893">
        <f t="shared" si="17"/>
        <v>0</v>
      </c>
      <c r="O107" s="856"/>
      <c r="P107" s="856"/>
      <c r="Q107" s="856">
        <f t="shared" si="20"/>
        <v>0</v>
      </c>
      <c r="R107" s="894"/>
      <c r="S107" s="855"/>
      <c r="T107" s="896">
        <f t="shared" si="24"/>
        <v>0</v>
      </c>
      <c r="U107" s="862"/>
      <c r="V107" s="857"/>
      <c r="W107" s="857">
        <f t="shared" si="28"/>
        <v>0</v>
      </c>
      <c r="X107" s="863"/>
      <c r="Y107" s="664">
        <f t="shared" si="22"/>
        <v>0</v>
      </c>
      <c r="Z107" s="664">
        <f t="shared" si="25"/>
        <v>0</v>
      </c>
      <c r="AA107" s="836"/>
      <c r="AB107" s="982"/>
      <c r="AC107" s="867"/>
      <c r="AD107" s="867"/>
      <c r="AE107" s="979">
        <f t="shared" si="18"/>
        <v>0</v>
      </c>
      <c r="AF107" s="878"/>
      <c r="AG107" s="335"/>
      <c r="AH107" s="979">
        <f t="shared" si="30"/>
        <v>0</v>
      </c>
      <c r="AI107" s="979"/>
      <c r="AJ107" s="979">
        <f t="shared" si="19"/>
        <v>0</v>
      </c>
      <c r="AK107" s="878"/>
      <c r="AL107" s="618"/>
      <c r="AM107" s="618"/>
    </row>
    <row r="108" spans="1:81" ht="21.6" customHeight="1" x14ac:dyDescent="0.25">
      <c r="A108" s="664"/>
      <c r="B108" s="664"/>
      <c r="C108" s="664"/>
      <c r="D108" s="1086" t="s">
        <v>51</v>
      </c>
      <c r="E108" s="836" t="s">
        <v>429</v>
      </c>
      <c r="F108" s="846" t="s">
        <v>538</v>
      </c>
      <c r="G108" s="836" t="s">
        <v>265</v>
      </c>
      <c r="H108" s="844"/>
      <c r="I108" s="836"/>
      <c r="J108" s="844" t="s">
        <v>265</v>
      </c>
      <c r="K108" s="626" t="s">
        <v>796</v>
      </c>
      <c r="L108" s="893">
        <v>17</v>
      </c>
      <c r="M108" s="893">
        <v>4</v>
      </c>
      <c r="N108" s="893">
        <f t="shared" si="17"/>
        <v>21</v>
      </c>
      <c r="O108" s="856">
        <v>27</v>
      </c>
      <c r="P108" s="856"/>
      <c r="Q108" s="856">
        <f t="shared" si="20"/>
        <v>27</v>
      </c>
      <c r="R108" s="894"/>
      <c r="S108" s="855"/>
      <c r="T108" s="896">
        <f t="shared" si="24"/>
        <v>0</v>
      </c>
      <c r="U108" s="862"/>
      <c r="V108" s="857">
        <v>405</v>
      </c>
      <c r="W108" s="857">
        <f t="shared" si="28"/>
        <v>27</v>
      </c>
      <c r="X108" s="863"/>
      <c r="Y108" s="664">
        <f t="shared" si="22"/>
        <v>405</v>
      </c>
      <c r="Z108" s="664">
        <f t="shared" si="25"/>
        <v>27</v>
      </c>
      <c r="AA108" s="836"/>
      <c r="AB108" s="982"/>
      <c r="AC108" s="867">
        <v>17</v>
      </c>
      <c r="AD108" s="867">
        <v>4</v>
      </c>
      <c r="AE108" s="979">
        <f t="shared" si="18"/>
        <v>21</v>
      </c>
      <c r="AF108" s="878"/>
      <c r="AG108" s="335">
        <v>405</v>
      </c>
      <c r="AH108" s="979">
        <f t="shared" si="30"/>
        <v>27</v>
      </c>
      <c r="AI108" s="979"/>
      <c r="AJ108" s="979">
        <f t="shared" si="19"/>
        <v>0</v>
      </c>
      <c r="AK108" s="878"/>
      <c r="AL108" s="618"/>
      <c r="AM108" s="618"/>
    </row>
    <row r="109" spans="1:81" ht="21.6" customHeight="1" x14ac:dyDescent="0.25">
      <c r="A109" s="664"/>
      <c r="B109" s="664"/>
      <c r="C109" s="664"/>
      <c r="D109" s="1090" t="s">
        <v>51</v>
      </c>
      <c r="E109" s="1088"/>
      <c r="F109" s="1091" t="s">
        <v>867</v>
      </c>
      <c r="G109" s="1088" t="s">
        <v>265</v>
      </c>
      <c r="H109" s="1089"/>
      <c r="I109" s="1088"/>
      <c r="J109" s="1089" t="s">
        <v>265</v>
      </c>
      <c r="K109" s="626" t="s">
        <v>866</v>
      </c>
      <c r="L109" s="893">
        <f>18</f>
        <v>18</v>
      </c>
      <c r="M109" s="893">
        <f>2</f>
        <v>2</v>
      </c>
      <c r="N109" s="893">
        <f t="shared" si="17"/>
        <v>20</v>
      </c>
      <c r="O109" s="856">
        <f>31</f>
        <v>31</v>
      </c>
      <c r="P109" s="856"/>
      <c r="Q109" s="856">
        <f t="shared" si="20"/>
        <v>31</v>
      </c>
      <c r="R109" s="894"/>
      <c r="S109" s="855"/>
      <c r="T109" s="896">
        <f t="shared" si="24"/>
        <v>0</v>
      </c>
      <c r="U109" s="862"/>
      <c r="V109" s="857">
        <f>447</f>
        <v>447</v>
      </c>
      <c r="W109" s="857">
        <f t="shared" si="28"/>
        <v>29.8</v>
      </c>
      <c r="X109" s="863"/>
      <c r="Y109" s="664">
        <f t="shared" si="22"/>
        <v>447</v>
      </c>
      <c r="Z109" s="664">
        <f t="shared" si="25"/>
        <v>29.8</v>
      </c>
      <c r="AA109" s="1088"/>
      <c r="AB109" s="982"/>
      <c r="AC109" s="867">
        <f>18</f>
        <v>18</v>
      </c>
      <c r="AD109" s="867">
        <f>2</f>
        <v>2</v>
      </c>
      <c r="AE109" s="979">
        <f t="shared" si="18"/>
        <v>20</v>
      </c>
      <c r="AF109" s="878"/>
      <c r="AG109" s="335">
        <f>447</f>
        <v>447</v>
      </c>
      <c r="AH109" s="979">
        <f t="shared" si="30"/>
        <v>29.8</v>
      </c>
      <c r="AI109" s="979"/>
      <c r="AJ109" s="979">
        <f t="shared" si="19"/>
        <v>0</v>
      </c>
      <c r="AK109" s="878"/>
      <c r="AL109" s="618"/>
      <c r="AM109" s="618"/>
      <c r="AN109" s="1092"/>
      <c r="AO109" s="1092"/>
      <c r="AP109" s="1092"/>
      <c r="AQ109" s="1092"/>
      <c r="AR109" s="1092"/>
      <c r="AS109" s="1092"/>
      <c r="AT109" s="1092"/>
      <c r="AU109" s="1092"/>
      <c r="AV109" s="1092"/>
      <c r="AW109" s="1092"/>
      <c r="AX109" s="1092"/>
      <c r="AY109" s="1092"/>
      <c r="AZ109" s="1092"/>
      <c r="BA109" s="1092"/>
      <c r="BB109" s="1092"/>
      <c r="BC109" s="1092"/>
      <c r="BD109" s="1092"/>
      <c r="BE109" s="1092"/>
      <c r="BF109" s="1092"/>
      <c r="BG109" s="1092"/>
      <c r="BH109" s="1092"/>
      <c r="BI109" s="1092"/>
      <c r="BJ109" s="1092"/>
      <c r="BK109" s="1092"/>
      <c r="BL109" s="1092"/>
      <c r="BM109" s="1092"/>
      <c r="BN109" s="1092"/>
      <c r="BO109" s="1092"/>
      <c r="BP109" s="1092"/>
      <c r="BQ109" s="1092"/>
      <c r="BR109" s="1092"/>
      <c r="BS109" s="1092"/>
      <c r="BT109" s="1092"/>
      <c r="BU109" s="1092"/>
      <c r="BV109" s="1092"/>
      <c r="BW109" s="1092"/>
      <c r="BX109" s="1092"/>
      <c r="BY109" s="1092"/>
      <c r="BZ109" s="1092"/>
      <c r="CA109" s="1092"/>
      <c r="CB109" s="1092"/>
      <c r="CC109" s="1092"/>
    </row>
    <row r="110" spans="1:81" ht="21.6" customHeight="1" x14ac:dyDescent="0.25">
      <c r="A110" s="664"/>
      <c r="B110" s="664"/>
      <c r="C110" s="664"/>
      <c r="D110" s="1086" t="s">
        <v>51</v>
      </c>
      <c r="E110" s="900"/>
      <c r="F110" s="846" t="s">
        <v>55</v>
      </c>
      <c r="G110" s="836" t="s">
        <v>265</v>
      </c>
      <c r="H110" s="844"/>
      <c r="I110" s="625"/>
      <c r="J110" s="844" t="s">
        <v>265</v>
      </c>
      <c r="K110" s="626" t="s">
        <v>866</v>
      </c>
      <c r="L110" s="893">
        <f>2</f>
        <v>2</v>
      </c>
      <c r="M110" s="893">
        <f>2</f>
        <v>2</v>
      </c>
      <c r="N110" s="893">
        <f t="shared" si="17"/>
        <v>4</v>
      </c>
      <c r="O110" s="856">
        <f>1.5</f>
        <v>1.5</v>
      </c>
      <c r="P110" s="856"/>
      <c r="Q110" s="920">
        <f t="shared" si="20"/>
        <v>1.5</v>
      </c>
      <c r="R110" s="894"/>
      <c r="S110" s="855"/>
      <c r="T110" s="896">
        <f t="shared" si="24"/>
        <v>0</v>
      </c>
      <c r="U110" s="862"/>
      <c r="V110" s="857">
        <f>18</f>
        <v>18</v>
      </c>
      <c r="W110" s="857">
        <f t="shared" si="28"/>
        <v>1.2</v>
      </c>
      <c r="X110" s="863"/>
      <c r="Y110" s="664">
        <f t="shared" si="22"/>
        <v>18</v>
      </c>
      <c r="Z110" s="664">
        <f t="shared" si="25"/>
        <v>1.2</v>
      </c>
      <c r="AA110" s="836"/>
      <c r="AB110" s="982"/>
      <c r="AC110" s="867">
        <f>2</f>
        <v>2</v>
      </c>
      <c r="AD110" s="867">
        <f>2</f>
        <v>2</v>
      </c>
      <c r="AE110" s="979">
        <f t="shared" si="18"/>
        <v>4</v>
      </c>
      <c r="AF110" s="878"/>
      <c r="AG110" s="335">
        <f>18</f>
        <v>18</v>
      </c>
      <c r="AH110" s="979">
        <f t="shared" si="30"/>
        <v>1.2</v>
      </c>
      <c r="AI110" s="979"/>
      <c r="AJ110" s="979">
        <f t="shared" si="19"/>
        <v>0</v>
      </c>
      <c r="AK110" s="878"/>
      <c r="AL110" s="618"/>
      <c r="AM110" s="618"/>
    </row>
    <row r="111" spans="1:81" ht="21.6" customHeight="1" x14ac:dyDescent="0.25">
      <c r="A111" s="664"/>
      <c r="B111" s="664"/>
      <c r="C111" s="664"/>
      <c r="D111" s="1086" t="s">
        <v>51</v>
      </c>
      <c r="E111" s="836" t="s">
        <v>429</v>
      </c>
      <c r="F111" s="846" t="s">
        <v>540</v>
      </c>
      <c r="G111" s="836" t="s">
        <v>265</v>
      </c>
      <c r="H111" s="844"/>
      <c r="I111" s="836"/>
      <c r="J111" s="844"/>
      <c r="K111" s="626"/>
      <c r="L111" s="893"/>
      <c r="M111" s="893"/>
      <c r="N111" s="893">
        <f t="shared" si="17"/>
        <v>0</v>
      </c>
      <c r="O111" s="856"/>
      <c r="P111" s="856"/>
      <c r="Q111" s="856">
        <f t="shared" si="20"/>
        <v>0</v>
      </c>
      <c r="R111" s="894"/>
      <c r="S111" s="855"/>
      <c r="T111" s="896">
        <f t="shared" si="24"/>
        <v>0</v>
      </c>
      <c r="U111" s="862"/>
      <c r="V111" s="857"/>
      <c r="W111" s="857">
        <f t="shared" si="28"/>
        <v>0</v>
      </c>
      <c r="X111" s="863"/>
      <c r="Y111" s="664">
        <f t="shared" si="22"/>
        <v>0</v>
      </c>
      <c r="Z111" s="664">
        <f t="shared" si="25"/>
        <v>0</v>
      </c>
      <c r="AA111" s="836"/>
      <c r="AB111" s="982"/>
      <c r="AC111" s="867"/>
      <c r="AD111" s="867"/>
      <c r="AE111" s="979">
        <f t="shared" si="18"/>
        <v>0</v>
      </c>
      <c r="AF111" s="878"/>
      <c r="AG111" s="335"/>
      <c r="AH111" s="979">
        <f t="shared" si="30"/>
        <v>0</v>
      </c>
      <c r="AI111" s="979"/>
      <c r="AJ111" s="979">
        <f t="shared" si="19"/>
        <v>0</v>
      </c>
      <c r="AK111" s="878"/>
      <c r="AL111" s="618"/>
      <c r="AM111" s="618"/>
    </row>
    <row r="112" spans="1:81" s="639" customFormat="1" ht="21.6" customHeight="1" x14ac:dyDescent="0.25">
      <c r="A112" s="664"/>
      <c r="B112" s="664"/>
      <c r="C112" s="664"/>
      <c r="D112" s="1086" t="s">
        <v>51</v>
      </c>
      <c r="E112" s="836" t="s">
        <v>429</v>
      </c>
      <c r="F112" s="846" t="s">
        <v>539</v>
      </c>
      <c r="G112" s="836" t="s">
        <v>265</v>
      </c>
      <c r="H112" s="844"/>
      <c r="I112" s="836"/>
      <c r="J112" s="844"/>
      <c r="K112" s="626"/>
      <c r="L112" s="893"/>
      <c r="M112" s="893"/>
      <c r="N112" s="893">
        <f t="shared" si="17"/>
        <v>0</v>
      </c>
      <c r="O112" s="856"/>
      <c r="P112" s="856"/>
      <c r="Q112" s="856">
        <f t="shared" si="20"/>
        <v>0</v>
      </c>
      <c r="R112" s="894"/>
      <c r="S112" s="914"/>
      <c r="T112" s="896">
        <f t="shared" si="24"/>
        <v>0</v>
      </c>
      <c r="U112" s="915"/>
      <c r="V112" s="916"/>
      <c r="W112" s="857">
        <f t="shared" si="28"/>
        <v>0</v>
      </c>
      <c r="X112" s="917"/>
      <c r="Y112" s="910">
        <f t="shared" si="22"/>
        <v>0</v>
      </c>
      <c r="Z112" s="664">
        <f t="shared" si="25"/>
        <v>0</v>
      </c>
      <c r="AA112" s="845"/>
      <c r="AB112" s="984"/>
      <c r="AC112" s="981"/>
      <c r="AD112" s="981"/>
      <c r="AE112" s="980">
        <f t="shared" si="18"/>
        <v>0</v>
      </c>
      <c r="AF112" s="879"/>
      <c r="AG112" s="966"/>
      <c r="AH112" s="979">
        <f t="shared" si="30"/>
        <v>0</v>
      </c>
      <c r="AI112" s="980"/>
      <c r="AJ112" s="980">
        <f t="shared" si="19"/>
        <v>0</v>
      </c>
      <c r="AK112" s="879"/>
      <c r="AL112" s="638"/>
      <c r="AM112" s="638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</row>
    <row r="113" spans="1:81" s="639" customFormat="1" ht="21.6" customHeight="1" x14ac:dyDescent="0.25">
      <c r="A113" s="910"/>
      <c r="B113" s="910"/>
      <c r="C113" s="910"/>
      <c r="D113" s="1086" t="s">
        <v>51</v>
      </c>
      <c r="E113" s="845" t="s">
        <v>429</v>
      </c>
      <c r="F113" s="911" t="s">
        <v>534</v>
      </c>
      <c r="G113" s="845" t="s">
        <v>361</v>
      </c>
      <c r="H113" s="901"/>
      <c r="I113" s="402"/>
      <c r="J113" s="901" t="s">
        <v>265</v>
      </c>
      <c r="K113" s="918" t="s">
        <v>796</v>
      </c>
      <c r="L113" s="912">
        <v>55</v>
      </c>
      <c r="M113" s="912">
        <v>11</v>
      </c>
      <c r="N113" s="893">
        <f t="shared" si="17"/>
        <v>66</v>
      </c>
      <c r="O113" s="913">
        <v>92</v>
      </c>
      <c r="P113" s="913"/>
      <c r="Q113" s="856">
        <f t="shared" si="20"/>
        <v>92</v>
      </c>
      <c r="R113" s="346"/>
      <c r="S113" s="914"/>
      <c r="T113" s="896">
        <f t="shared" si="24"/>
        <v>0</v>
      </c>
      <c r="U113" s="915"/>
      <c r="V113" s="916">
        <v>1380</v>
      </c>
      <c r="W113" s="857">
        <f t="shared" si="28"/>
        <v>92</v>
      </c>
      <c r="X113" s="917"/>
      <c r="Y113" s="910">
        <f t="shared" si="22"/>
        <v>1380</v>
      </c>
      <c r="Z113" s="664">
        <f t="shared" si="25"/>
        <v>92</v>
      </c>
      <c r="AA113" s="845"/>
      <c r="AB113" s="984"/>
      <c r="AC113" s="981">
        <v>55</v>
      </c>
      <c r="AD113" s="981">
        <v>11</v>
      </c>
      <c r="AE113" s="980">
        <f t="shared" si="18"/>
        <v>66</v>
      </c>
      <c r="AF113" s="879"/>
      <c r="AG113" s="966">
        <v>1380</v>
      </c>
      <c r="AH113" s="979">
        <f t="shared" si="30"/>
        <v>92</v>
      </c>
      <c r="AI113" s="980"/>
      <c r="AJ113" s="980">
        <f t="shared" si="19"/>
        <v>0</v>
      </c>
      <c r="AK113" s="879"/>
      <c r="AL113" s="638"/>
      <c r="AM113" s="638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</row>
    <row r="114" spans="1:81" s="639" customFormat="1" ht="21.6" customHeight="1" x14ac:dyDescent="0.25">
      <c r="A114" s="664"/>
      <c r="B114" s="664"/>
      <c r="C114" s="664"/>
      <c r="D114" s="1086" t="s">
        <v>51</v>
      </c>
      <c r="E114" s="836" t="s">
        <v>429</v>
      </c>
      <c r="F114" s="846" t="s">
        <v>605</v>
      </c>
      <c r="G114" s="836"/>
      <c r="H114" s="844"/>
      <c r="I114" s="836"/>
      <c r="J114" s="844" t="s">
        <v>265</v>
      </c>
      <c r="K114" s="626" t="s">
        <v>796</v>
      </c>
      <c r="L114" s="893">
        <v>9</v>
      </c>
      <c r="M114" s="893">
        <v>4</v>
      </c>
      <c r="N114" s="893">
        <f t="shared" si="17"/>
        <v>13</v>
      </c>
      <c r="O114" s="856">
        <v>21</v>
      </c>
      <c r="P114" s="856"/>
      <c r="Q114" s="920">
        <f t="shared" si="20"/>
        <v>21</v>
      </c>
      <c r="R114" s="894"/>
      <c r="S114" s="914"/>
      <c r="T114" s="896">
        <f t="shared" si="24"/>
        <v>0</v>
      </c>
      <c r="U114" s="915"/>
      <c r="V114" s="916">
        <v>315</v>
      </c>
      <c r="W114" s="857">
        <f t="shared" si="28"/>
        <v>21</v>
      </c>
      <c r="X114" s="917"/>
      <c r="Y114" s="910">
        <f t="shared" si="22"/>
        <v>315</v>
      </c>
      <c r="Z114" s="664">
        <f t="shared" si="25"/>
        <v>21</v>
      </c>
      <c r="AA114" s="845"/>
      <c r="AB114" s="984"/>
      <c r="AC114" s="981">
        <v>9</v>
      </c>
      <c r="AD114" s="981">
        <v>4</v>
      </c>
      <c r="AE114" s="980">
        <f t="shared" si="18"/>
        <v>13</v>
      </c>
      <c r="AF114" s="879"/>
      <c r="AG114" s="966">
        <v>315</v>
      </c>
      <c r="AH114" s="979">
        <f t="shared" si="30"/>
        <v>21</v>
      </c>
      <c r="AI114" s="980"/>
      <c r="AJ114" s="980">
        <f t="shared" si="19"/>
        <v>0</v>
      </c>
      <c r="AK114" s="879"/>
      <c r="AL114" s="638"/>
      <c r="AM114" s="638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</row>
    <row r="115" spans="1:81" s="1199" customFormat="1" ht="21.6" customHeight="1" x14ac:dyDescent="0.25">
      <c r="A115" s="980"/>
      <c r="B115" s="980"/>
      <c r="C115" s="980"/>
      <c r="D115" s="879" t="s">
        <v>51</v>
      </c>
      <c r="E115" s="879" t="s">
        <v>429</v>
      </c>
      <c r="F115" s="1191" t="s">
        <v>542</v>
      </c>
      <c r="G115" s="879" t="s">
        <v>265</v>
      </c>
      <c r="H115" s="1192"/>
      <c r="I115" s="904"/>
      <c r="J115" s="1192"/>
      <c r="K115" s="1193"/>
      <c r="L115" s="1194"/>
      <c r="M115" s="1194"/>
      <c r="N115" s="1195">
        <f t="shared" si="17"/>
        <v>0</v>
      </c>
      <c r="O115" s="1196"/>
      <c r="P115" s="1196"/>
      <c r="Q115" s="1197">
        <f t="shared" si="20"/>
        <v>0</v>
      </c>
      <c r="R115" s="1196"/>
      <c r="S115" s="1196"/>
      <c r="T115" s="979">
        <f t="shared" si="24"/>
        <v>0</v>
      </c>
      <c r="U115" s="879"/>
      <c r="V115" s="980"/>
      <c r="W115" s="877">
        <f t="shared" si="28"/>
        <v>0</v>
      </c>
      <c r="X115" s="879"/>
      <c r="Y115" s="980">
        <f t="shared" si="22"/>
        <v>0</v>
      </c>
      <c r="Z115" s="877">
        <f t="shared" si="25"/>
        <v>0</v>
      </c>
      <c r="AA115" s="879"/>
      <c r="AB115" s="879"/>
      <c r="AC115" s="981">
        <v>13</v>
      </c>
      <c r="AD115" s="981">
        <v>3</v>
      </c>
      <c r="AE115" s="980">
        <f t="shared" si="18"/>
        <v>16</v>
      </c>
      <c r="AF115" s="879"/>
      <c r="AG115" s="1190">
        <v>345</v>
      </c>
      <c r="AH115" s="979">
        <f t="shared" si="30"/>
        <v>23</v>
      </c>
      <c r="AI115" s="980"/>
      <c r="AJ115" s="980">
        <f t="shared" si="19"/>
        <v>-23</v>
      </c>
      <c r="AK115" s="879"/>
      <c r="AL115" s="1198"/>
      <c r="AM115" s="1198"/>
    </row>
    <row r="116" spans="1:81" s="651" customFormat="1" ht="21.6" customHeight="1" x14ac:dyDescent="0.25">
      <c r="A116" s="845"/>
      <c r="B116" s="845"/>
      <c r="C116" s="845"/>
      <c r="D116" s="1086"/>
      <c r="E116" s="845"/>
      <c r="F116" s="911"/>
      <c r="G116" s="845"/>
      <c r="H116" s="901"/>
      <c r="I116" s="402"/>
      <c r="J116" s="901"/>
      <c r="K116" s="918"/>
      <c r="L116" s="919"/>
      <c r="M116" s="919"/>
      <c r="N116" s="890">
        <f t="shared" si="17"/>
        <v>0</v>
      </c>
      <c r="O116" s="838"/>
      <c r="P116" s="838"/>
      <c r="Q116" s="467">
        <f t="shared" si="20"/>
        <v>0</v>
      </c>
      <c r="R116" s="402"/>
      <c r="S116" s="921"/>
      <c r="T116" s="862">
        <f t="shared" si="24"/>
        <v>0</v>
      </c>
      <c r="U116" s="915"/>
      <c r="V116" s="917"/>
      <c r="W116" s="857">
        <f t="shared" si="28"/>
        <v>0</v>
      </c>
      <c r="X116" s="917"/>
      <c r="Y116" s="845">
        <f t="shared" si="22"/>
        <v>0</v>
      </c>
      <c r="Z116" s="664">
        <f t="shared" si="25"/>
        <v>0</v>
      </c>
      <c r="AA116" s="845"/>
      <c r="AB116" s="984"/>
      <c r="AC116" s="981"/>
      <c r="AD116" s="981"/>
      <c r="AE116" s="980">
        <f t="shared" si="18"/>
        <v>0</v>
      </c>
      <c r="AF116" s="879"/>
      <c r="AG116" s="966"/>
      <c r="AH116" s="980">
        <f t="shared" si="29"/>
        <v>0</v>
      </c>
      <c r="AI116" s="980"/>
      <c r="AJ116" s="980">
        <f t="shared" si="19"/>
        <v>0</v>
      </c>
      <c r="AK116" s="879"/>
      <c r="AL116" s="650"/>
      <c r="AM116" s="650"/>
      <c r="AN116" s="649"/>
      <c r="AO116" s="649"/>
      <c r="AP116" s="649"/>
      <c r="AQ116" s="649"/>
      <c r="AR116" s="649"/>
      <c r="AS116" s="649"/>
      <c r="AT116" s="649"/>
      <c r="AU116" s="649"/>
      <c r="AV116" s="649"/>
      <c r="AW116" s="649"/>
      <c r="AX116" s="649"/>
      <c r="AY116" s="649"/>
      <c r="AZ116" s="649"/>
      <c r="BA116" s="649"/>
      <c r="BB116" s="649"/>
      <c r="BC116" s="649"/>
      <c r="BD116" s="649"/>
      <c r="BE116" s="649"/>
      <c r="BF116" s="649"/>
      <c r="BG116" s="649"/>
      <c r="BH116" s="649"/>
      <c r="BI116" s="649"/>
      <c r="BJ116" s="649"/>
      <c r="BK116" s="649"/>
      <c r="BL116" s="649"/>
      <c r="BM116" s="649"/>
      <c r="BN116" s="649"/>
      <c r="BO116" s="649"/>
      <c r="BP116" s="649"/>
      <c r="BQ116" s="649"/>
      <c r="BR116" s="649"/>
      <c r="BS116" s="649"/>
      <c r="BT116" s="649"/>
      <c r="BU116" s="649"/>
      <c r="BV116" s="649"/>
      <c r="BW116" s="649"/>
      <c r="BX116" s="649"/>
      <c r="BY116" s="649"/>
      <c r="BZ116" s="649"/>
      <c r="CA116" s="649"/>
      <c r="CB116" s="649"/>
      <c r="CC116" s="649"/>
    </row>
    <row r="117" spans="1:81" ht="31.15" customHeight="1" x14ac:dyDescent="0.25">
      <c r="A117" s="664"/>
      <c r="B117" s="664"/>
      <c r="C117" s="664"/>
      <c r="D117" s="1086" t="s">
        <v>57</v>
      </c>
      <c r="E117" s="836"/>
      <c r="F117" s="846" t="s">
        <v>308</v>
      </c>
      <c r="G117" s="836" t="s">
        <v>276</v>
      </c>
      <c r="H117" s="844"/>
      <c r="I117" s="625"/>
      <c r="J117" s="844"/>
      <c r="K117" s="626"/>
      <c r="L117" s="893"/>
      <c r="M117" s="893"/>
      <c r="N117" s="893">
        <f t="shared" si="17"/>
        <v>0</v>
      </c>
      <c r="O117" s="856"/>
      <c r="P117" s="856"/>
      <c r="Q117" s="856">
        <f t="shared" si="20"/>
        <v>0</v>
      </c>
      <c r="R117" s="894"/>
      <c r="S117" s="855">
        <v>75</v>
      </c>
      <c r="T117" s="896">
        <f t="shared" si="24"/>
        <v>5</v>
      </c>
      <c r="U117" s="862">
        <f>SUM(T117:T128)</f>
        <v>5</v>
      </c>
      <c r="V117" s="857"/>
      <c r="W117" s="857">
        <f t="shared" si="28"/>
        <v>0</v>
      </c>
      <c r="X117" s="863">
        <f>SUM(W117:W128)</f>
        <v>0</v>
      </c>
      <c r="Y117" s="664">
        <f t="shared" si="22"/>
        <v>75</v>
      </c>
      <c r="Z117" s="664">
        <f t="shared" si="25"/>
        <v>5</v>
      </c>
      <c r="AA117" s="836">
        <f>SUM(Z117:Z128)</f>
        <v>5</v>
      </c>
      <c r="AB117" s="982">
        <v>5</v>
      </c>
      <c r="AC117" s="867"/>
      <c r="AD117" s="867"/>
      <c r="AE117" s="979">
        <f t="shared" si="18"/>
        <v>0</v>
      </c>
      <c r="AF117" s="878">
        <f>SUM(AE117:AE128)</f>
        <v>14</v>
      </c>
      <c r="AG117" s="335"/>
      <c r="AH117" s="979">
        <f t="shared" si="29"/>
        <v>0</v>
      </c>
      <c r="AI117" s="979">
        <f>SUM(AH117:AH128)</f>
        <v>5</v>
      </c>
      <c r="AJ117" s="979">
        <f t="shared" si="19"/>
        <v>5</v>
      </c>
      <c r="AK117" s="878">
        <f>SUM(AJ117:AJ128)</f>
        <v>0</v>
      </c>
      <c r="AL117" s="618"/>
      <c r="AM117" s="618"/>
    </row>
    <row r="118" spans="1:81" ht="21.6" customHeight="1" x14ac:dyDescent="0.25">
      <c r="A118" s="664">
        <v>47</v>
      </c>
      <c r="B118" s="664" t="s">
        <v>28</v>
      </c>
      <c r="C118" s="664">
        <v>1</v>
      </c>
      <c r="D118" s="1086" t="s">
        <v>57</v>
      </c>
      <c r="E118" s="836"/>
      <c r="F118" s="846" t="s">
        <v>58</v>
      </c>
      <c r="G118" s="836" t="s">
        <v>265</v>
      </c>
      <c r="H118" s="844"/>
      <c r="I118" s="625"/>
      <c r="J118" s="844"/>
      <c r="K118" s="626"/>
      <c r="L118" s="893"/>
      <c r="M118" s="893"/>
      <c r="N118" s="893">
        <f t="shared" si="17"/>
        <v>0</v>
      </c>
      <c r="O118" s="856"/>
      <c r="P118" s="856"/>
      <c r="Q118" s="856">
        <f t="shared" si="20"/>
        <v>0</v>
      </c>
      <c r="R118" s="894"/>
      <c r="S118" s="855"/>
      <c r="T118" s="896">
        <f t="shared" si="24"/>
        <v>0</v>
      </c>
      <c r="U118" s="862"/>
      <c r="V118" s="857"/>
      <c r="W118" s="857">
        <f t="shared" si="28"/>
        <v>0</v>
      </c>
      <c r="X118" s="863"/>
      <c r="Y118" s="664">
        <f t="shared" si="22"/>
        <v>0</v>
      </c>
      <c r="Z118" s="664">
        <f t="shared" si="25"/>
        <v>0</v>
      </c>
      <c r="AA118" s="836"/>
      <c r="AB118" s="982"/>
      <c r="AC118" s="867"/>
      <c r="AD118" s="867"/>
      <c r="AE118" s="979">
        <f t="shared" si="18"/>
        <v>0</v>
      </c>
      <c r="AF118" s="878"/>
      <c r="AG118" s="335"/>
      <c r="AH118" s="979">
        <f t="shared" si="29"/>
        <v>0</v>
      </c>
      <c r="AI118" s="979"/>
      <c r="AJ118" s="979">
        <f t="shared" si="19"/>
        <v>0</v>
      </c>
      <c r="AK118" s="878"/>
      <c r="AL118" s="618"/>
      <c r="AM118" s="618"/>
    </row>
    <row r="119" spans="1:81" ht="21.6" customHeight="1" x14ac:dyDescent="0.25">
      <c r="A119" s="664">
        <v>48</v>
      </c>
      <c r="B119" s="664" t="s">
        <v>28</v>
      </c>
      <c r="C119" s="664">
        <v>2</v>
      </c>
      <c r="D119" s="1086" t="s">
        <v>57</v>
      </c>
      <c r="E119" s="836"/>
      <c r="F119" s="846" t="s">
        <v>306</v>
      </c>
      <c r="G119" s="836" t="s">
        <v>265</v>
      </c>
      <c r="H119" s="844"/>
      <c r="I119" s="625"/>
      <c r="J119" s="844"/>
      <c r="K119" s="626"/>
      <c r="L119" s="893"/>
      <c r="M119" s="893"/>
      <c r="N119" s="893">
        <f t="shared" si="17"/>
        <v>0</v>
      </c>
      <c r="O119" s="856"/>
      <c r="P119" s="856"/>
      <c r="Q119" s="856">
        <f t="shared" si="20"/>
        <v>0</v>
      </c>
      <c r="R119" s="894"/>
      <c r="S119" s="855"/>
      <c r="T119" s="896">
        <f t="shared" si="24"/>
        <v>0</v>
      </c>
      <c r="U119" s="862"/>
      <c r="V119" s="857"/>
      <c r="W119" s="857">
        <f t="shared" si="28"/>
        <v>0</v>
      </c>
      <c r="X119" s="863"/>
      <c r="Y119" s="664">
        <f t="shared" si="22"/>
        <v>0</v>
      </c>
      <c r="Z119" s="664">
        <f t="shared" si="25"/>
        <v>0</v>
      </c>
      <c r="AA119" s="836"/>
      <c r="AB119" s="982"/>
      <c r="AC119" s="867">
        <v>2</v>
      </c>
      <c r="AD119" s="867">
        <v>1</v>
      </c>
      <c r="AE119" s="979">
        <f t="shared" si="18"/>
        <v>3</v>
      </c>
      <c r="AF119" s="878"/>
      <c r="AG119" s="335">
        <v>27</v>
      </c>
      <c r="AH119" s="979">
        <f t="shared" si="29"/>
        <v>1.8</v>
      </c>
      <c r="AI119" s="979"/>
      <c r="AJ119" s="979">
        <f t="shared" si="19"/>
        <v>-1.8</v>
      </c>
      <c r="AK119" s="878"/>
      <c r="AL119" s="618"/>
      <c r="AM119" s="618"/>
    </row>
    <row r="120" spans="1:81" ht="21.6" customHeight="1" x14ac:dyDescent="0.25">
      <c r="A120" s="664"/>
      <c r="B120" s="664"/>
      <c r="C120" s="664"/>
      <c r="D120" s="1086" t="s">
        <v>57</v>
      </c>
      <c r="E120" s="836"/>
      <c r="F120" s="846" t="s">
        <v>59</v>
      </c>
      <c r="G120" s="836" t="s">
        <v>265</v>
      </c>
      <c r="H120" s="844"/>
      <c r="I120" s="625"/>
      <c r="J120" s="844"/>
      <c r="K120" s="626"/>
      <c r="L120" s="893"/>
      <c r="M120" s="893"/>
      <c r="N120" s="893">
        <f t="shared" ref="N120:N188" si="31">M120+L120</f>
        <v>0</v>
      </c>
      <c r="O120" s="856"/>
      <c r="P120" s="856"/>
      <c r="Q120" s="856">
        <f t="shared" si="20"/>
        <v>0</v>
      </c>
      <c r="R120" s="894"/>
      <c r="S120" s="855"/>
      <c r="T120" s="896">
        <f t="shared" si="24"/>
        <v>0</v>
      </c>
      <c r="U120" s="862"/>
      <c r="V120" s="857"/>
      <c r="W120" s="857">
        <f t="shared" si="28"/>
        <v>0</v>
      </c>
      <c r="X120" s="863"/>
      <c r="Y120" s="664">
        <f t="shared" si="22"/>
        <v>0</v>
      </c>
      <c r="Z120" s="664">
        <f t="shared" si="25"/>
        <v>0</v>
      </c>
      <c r="AA120" s="836"/>
      <c r="AB120" s="982"/>
      <c r="AC120" s="867"/>
      <c r="AD120" s="867"/>
      <c r="AE120" s="979">
        <f t="shared" si="18"/>
        <v>0</v>
      </c>
      <c r="AF120" s="878"/>
      <c r="AG120" s="335"/>
      <c r="AH120" s="979">
        <f t="shared" si="29"/>
        <v>0</v>
      </c>
      <c r="AI120" s="979"/>
      <c r="AJ120" s="979">
        <f t="shared" ref="AJ120:AJ186" si="32">Z120-AH120</f>
        <v>0</v>
      </c>
      <c r="AK120" s="878"/>
      <c r="AL120" s="618"/>
      <c r="AM120" s="618"/>
    </row>
    <row r="121" spans="1:81" ht="21.6" customHeight="1" x14ac:dyDescent="0.25">
      <c r="A121" s="664">
        <v>50</v>
      </c>
      <c r="B121" s="664" t="s">
        <v>28</v>
      </c>
      <c r="C121" s="664">
        <v>4</v>
      </c>
      <c r="D121" s="1086" t="s">
        <v>57</v>
      </c>
      <c r="E121" s="836"/>
      <c r="F121" s="846" t="s">
        <v>60</v>
      </c>
      <c r="G121" s="836" t="s">
        <v>265</v>
      </c>
      <c r="H121" s="844"/>
      <c r="I121" s="625"/>
      <c r="J121" s="844"/>
      <c r="K121" s="626"/>
      <c r="L121" s="893"/>
      <c r="M121" s="893"/>
      <c r="N121" s="893">
        <f t="shared" si="31"/>
        <v>0</v>
      </c>
      <c r="O121" s="856"/>
      <c r="P121" s="856"/>
      <c r="Q121" s="856">
        <f t="shared" si="20"/>
        <v>0</v>
      </c>
      <c r="R121" s="894"/>
      <c r="S121" s="855"/>
      <c r="T121" s="896">
        <f t="shared" si="24"/>
        <v>0</v>
      </c>
      <c r="U121" s="862"/>
      <c r="V121" s="857"/>
      <c r="W121" s="857">
        <f t="shared" si="28"/>
        <v>0</v>
      </c>
      <c r="X121" s="863"/>
      <c r="Y121" s="664">
        <f t="shared" si="22"/>
        <v>0</v>
      </c>
      <c r="Z121" s="664">
        <f t="shared" si="25"/>
        <v>0</v>
      </c>
      <c r="AA121" s="836"/>
      <c r="AB121" s="982"/>
      <c r="AC121" s="867"/>
      <c r="AD121" s="867"/>
      <c r="AE121" s="979">
        <f t="shared" ref="AE121:AE187" si="33">AC121+AD121</f>
        <v>0</v>
      </c>
      <c r="AF121" s="878"/>
      <c r="AG121" s="335"/>
      <c r="AH121" s="979">
        <f t="shared" si="29"/>
        <v>0</v>
      </c>
      <c r="AI121" s="979"/>
      <c r="AJ121" s="979">
        <f t="shared" si="32"/>
        <v>0</v>
      </c>
      <c r="AK121" s="878"/>
      <c r="AL121" s="618"/>
      <c r="AM121" s="618"/>
    </row>
    <row r="122" spans="1:81" ht="21.6" customHeight="1" x14ac:dyDescent="0.25">
      <c r="A122" s="664">
        <v>51</v>
      </c>
      <c r="B122" s="664" t="s">
        <v>28</v>
      </c>
      <c r="C122" s="664">
        <v>5</v>
      </c>
      <c r="D122" s="1086" t="s">
        <v>57</v>
      </c>
      <c r="E122" s="900"/>
      <c r="F122" s="846" t="s">
        <v>61</v>
      </c>
      <c r="G122" s="836" t="s">
        <v>265</v>
      </c>
      <c r="H122" s="844"/>
      <c r="I122" s="625"/>
      <c r="J122" s="844"/>
      <c r="K122" s="626"/>
      <c r="L122" s="893"/>
      <c r="M122" s="893"/>
      <c r="N122" s="893">
        <f t="shared" si="31"/>
        <v>0</v>
      </c>
      <c r="O122" s="856"/>
      <c r="P122" s="856"/>
      <c r="Q122" s="856">
        <f t="shared" ref="Q122:Q190" si="34">P122+O122</f>
        <v>0</v>
      </c>
      <c r="R122" s="894"/>
      <c r="S122" s="855"/>
      <c r="T122" s="896">
        <f t="shared" si="24"/>
        <v>0</v>
      </c>
      <c r="U122" s="862"/>
      <c r="V122" s="857"/>
      <c r="W122" s="857">
        <f t="shared" si="28"/>
        <v>0</v>
      </c>
      <c r="X122" s="863"/>
      <c r="Y122" s="664">
        <f t="shared" ref="Y122:Y185" si="35">V122+S122</f>
        <v>0</v>
      </c>
      <c r="Z122" s="664">
        <f t="shared" si="25"/>
        <v>0</v>
      </c>
      <c r="AA122" s="836"/>
      <c r="AB122" s="982"/>
      <c r="AC122" s="867"/>
      <c r="AD122" s="867"/>
      <c r="AE122" s="979">
        <f t="shared" si="33"/>
        <v>0</v>
      </c>
      <c r="AF122" s="878"/>
      <c r="AG122" s="335"/>
      <c r="AH122" s="979">
        <f t="shared" si="29"/>
        <v>0</v>
      </c>
      <c r="AI122" s="979"/>
      <c r="AJ122" s="979">
        <f t="shared" si="32"/>
        <v>0</v>
      </c>
      <c r="AK122" s="878"/>
      <c r="AL122" s="618"/>
      <c r="AM122" s="618"/>
    </row>
    <row r="123" spans="1:81" ht="21.6" customHeight="1" x14ac:dyDescent="0.25">
      <c r="A123" s="664"/>
      <c r="B123" s="664"/>
      <c r="C123" s="664"/>
      <c r="D123" s="1086" t="s">
        <v>57</v>
      </c>
      <c r="E123" s="845"/>
      <c r="F123" s="846" t="s">
        <v>307</v>
      </c>
      <c r="G123" s="836" t="s">
        <v>276</v>
      </c>
      <c r="H123" s="844"/>
      <c r="I123" s="625"/>
      <c r="J123" s="844"/>
      <c r="K123" s="626"/>
      <c r="L123" s="893"/>
      <c r="M123" s="893"/>
      <c r="N123" s="893">
        <f t="shared" si="31"/>
        <v>0</v>
      </c>
      <c r="O123" s="856"/>
      <c r="P123" s="856"/>
      <c r="Q123" s="856">
        <f t="shared" si="34"/>
        <v>0</v>
      </c>
      <c r="R123" s="894"/>
      <c r="S123" s="855"/>
      <c r="T123" s="896">
        <f t="shared" si="24"/>
        <v>0</v>
      </c>
      <c r="U123" s="862"/>
      <c r="V123" s="857"/>
      <c r="W123" s="857">
        <f t="shared" si="28"/>
        <v>0</v>
      </c>
      <c r="X123" s="863"/>
      <c r="Y123" s="664">
        <f t="shared" si="35"/>
        <v>0</v>
      </c>
      <c r="Z123" s="664">
        <f t="shared" si="25"/>
        <v>0</v>
      </c>
      <c r="AA123" s="836"/>
      <c r="AB123" s="982"/>
      <c r="AC123" s="867"/>
      <c r="AD123" s="867"/>
      <c r="AE123" s="979">
        <f t="shared" si="33"/>
        <v>0</v>
      </c>
      <c r="AF123" s="878"/>
      <c r="AG123" s="335"/>
      <c r="AH123" s="979">
        <f t="shared" si="29"/>
        <v>0</v>
      </c>
      <c r="AI123" s="979"/>
      <c r="AJ123" s="979">
        <f t="shared" si="32"/>
        <v>0</v>
      </c>
      <c r="AK123" s="878"/>
      <c r="AL123" s="618"/>
      <c r="AM123" s="618"/>
    </row>
    <row r="124" spans="1:81" ht="21.6" customHeight="1" x14ac:dyDescent="0.25">
      <c r="A124" s="664"/>
      <c r="B124" s="664"/>
      <c r="C124" s="664"/>
      <c r="D124" s="1086" t="s">
        <v>57</v>
      </c>
      <c r="E124" s="836"/>
      <c r="F124" s="846" t="s">
        <v>309</v>
      </c>
      <c r="G124" s="836" t="s">
        <v>276</v>
      </c>
      <c r="H124" s="844"/>
      <c r="I124" s="625"/>
      <c r="J124" s="844"/>
      <c r="K124" s="626"/>
      <c r="L124" s="893"/>
      <c r="M124" s="893"/>
      <c r="N124" s="893">
        <f t="shared" si="31"/>
        <v>0</v>
      </c>
      <c r="O124" s="856"/>
      <c r="P124" s="856"/>
      <c r="Q124" s="856">
        <f t="shared" si="34"/>
        <v>0</v>
      </c>
      <c r="R124" s="894"/>
      <c r="S124" s="855"/>
      <c r="T124" s="896">
        <f t="shared" si="24"/>
        <v>0</v>
      </c>
      <c r="U124" s="862"/>
      <c r="V124" s="857"/>
      <c r="W124" s="857">
        <f t="shared" si="28"/>
        <v>0</v>
      </c>
      <c r="X124" s="863"/>
      <c r="Y124" s="664">
        <f t="shared" si="35"/>
        <v>0</v>
      </c>
      <c r="Z124" s="664">
        <f t="shared" si="25"/>
        <v>0</v>
      </c>
      <c r="AA124" s="836"/>
      <c r="AB124" s="982"/>
      <c r="AC124" s="867"/>
      <c r="AD124" s="867"/>
      <c r="AE124" s="979">
        <f t="shared" si="33"/>
        <v>0</v>
      </c>
      <c r="AF124" s="878"/>
      <c r="AG124" s="335"/>
      <c r="AH124" s="979">
        <f t="shared" si="29"/>
        <v>0</v>
      </c>
      <c r="AI124" s="979"/>
      <c r="AJ124" s="979">
        <f t="shared" si="32"/>
        <v>0</v>
      </c>
      <c r="AK124" s="878"/>
      <c r="AL124" s="618"/>
      <c r="AM124" s="618"/>
    </row>
    <row r="125" spans="1:81" ht="21.6" customHeight="1" x14ac:dyDescent="0.25">
      <c r="A125" s="664">
        <v>53</v>
      </c>
      <c r="B125" s="664" t="s">
        <v>28</v>
      </c>
      <c r="C125" s="664">
        <v>7</v>
      </c>
      <c r="D125" s="1086" t="s">
        <v>57</v>
      </c>
      <c r="E125" s="836"/>
      <c r="F125" s="846" t="s">
        <v>62</v>
      </c>
      <c r="G125" s="836" t="s">
        <v>265</v>
      </c>
      <c r="H125" s="844"/>
      <c r="I125" s="625"/>
      <c r="J125" s="844"/>
      <c r="K125" s="626"/>
      <c r="L125" s="893"/>
      <c r="M125" s="893"/>
      <c r="N125" s="893">
        <f t="shared" si="31"/>
        <v>0</v>
      </c>
      <c r="O125" s="856"/>
      <c r="P125" s="856"/>
      <c r="Q125" s="856">
        <f t="shared" si="34"/>
        <v>0</v>
      </c>
      <c r="R125" s="894"/>
      <c r="S125" s="855"/>
      <c r="T125" s="896">
        <f t="shared" si="24"/>
        <v>0</v>
      </c>
      <c r="U125" s="862"/>
      <c r="V125" s="857"/>
      <c r="W125" s="857">
        <f t="shared" si="28"/>
        <v>0</v>
      </c>
      <c r="X125" s="863"/>
      <c r="Y125" s="664">
        <f t="shared" si="35"/>
        <v>0</v>
      </c>
      <c r="Z125" s="664">
        <f t="shared" si="25"/>
        <v>0</v>
      </c>
      <c r="AA125" s="836"/>
      <c r="AB125" s="982"/>
      <c r="AC125" s="867">
        <f>5+3</f>
        <v>8</v>
      </c>
      <c r="AD125" s="867">
        <f>3+0</f>
        <v>3</v>
      </c>
      <c r="AE125" s="979">
        <f t="shared" si="33"/>
        <v>11</v>
      </c>
      <c r="AF125" s="878"/>
      <c r="AG125" s="335">
        <f>33+15</f>
        <v>48</v>
      </c>
      <c r="AH125" s="979">
        <f t="shared" si="29"/>
        <v>3.2</v>
      </c>
      <c r="AI125" s="979"/>
      <c r="AJ125" s="979">
        <f t="shared" si="32"/>
        <v>-3.2</v>
      </c>
      <c r="AK125" s="878"/>
      <c r="AL125" s="618"/>
      <c r="AM125" s="618"/>
    </row>
    <row r="126" spans="1:81" ht="21.6" customHeight="1" x14ac:dyDescent="0.25">
      <c r="A126" s="664">
        <v>54</v>
      </c>
      <c r="B126" s="664" t="s">
        <v>28</v>
      </c>
      <c r="C126" s="664">
        <v>8</v>
      </c>
      <c r="D126" s="1086" t="s">
        <v>57</v>
      </c>
      <c r="E126" s="836"/>
      <c r="F126" s="846" t="s">
        <v>63</v>
      </c>
      <c r="G126" s="836" t="s">
        <v>265</v>
      </c>
      <c r="H126" s="844"/>
      <c r="I126" s="836"/>
      <c r="J126" s="844"/>
      <c r="K126" s="626"/>
      <c r="L126" s="893"/>
      <c r="M126" s="893"/>
      <c r="N126" s="893">
        <f t="shared" si="31"/>
        <v>0</v>
      </c>
      <c r="O126" s="856"/>
      <c r="P126" s="856"/>
      <c r="Q126" s="856">
        <f t="shared" si="34"/>
        <v>0</v>
      </c>
      <c r="R126" s="894"/>
      <c r="S126" s="855"/>
      <c r="T126" s="896">
        <f t="shared" si="24"/>
        <v>0</v>
      </c>
      <c r="U126" s="862"/>
      <c r="V126" s="857"/>
      <c r="W126" s="857">
        <f t="shared" si="28"/>
        <v>0</v>
      </c>
      <c r="X126" s="863"/>
      <c r="Y126" s="664">
        <f t="shared" si="35"/>
        <v>0</v>
      </c>
      <c r="Z126" s="664">
        <f t="shared" si="25"/>
        <v>0</v>
      </c>
      <c r="AA126" s="836"/>
      <c r="AB126" s="982"/>
      <c r="AC126" s="867"/>
      <c r="AD126" s="867"/>
      <c r="AE126" s="979">
        <f t="shared" si="33"/>
        <v>0</v>
      </c>
      <c r="AF126" s="878"/>
      <c r="AG126" s="335"/>
      <c r="AH126" s="979">
        <f t="shared" si="29"/>
        <v>0</v>
      </c>
      <c r="AI126" s="979"/>
      <c r="AJ126" s="979">
        <f t="shared" si="32"/>
        <v>0</v>
      </c>
      <c r="AK126" s="878"/>
      <c r="AL126" s="618"/>
      <c r="AM126" s="618"/>
    </row>
    <row r="127" spans="1:81" ht="21.6" customHeight="1" x14ac:dyDescent="0.25">
      <c r="A127" s="664">
        <v>55</v>
      </c>
      <c r="B127" s="664" t="s">
        <v>28</v>
      </c>
      <c r="C127" s="664">
        <v>9</v>
      </c>
      <c r="D127" s="1086" t="s">
        <v>57</v>
      </c>
      <c r="E127" s="836"/>
      <c r="F127" s="846" t="s">
        <v>64</v>
      </c>
      <c r="G127" s="836" t="s">
        <v>265</v>
      </c>
      <c r="H127" s="844"/>
      <c r="I127" s="625"/>
      <c r="J127" s="844"/>
      <c r="K127" s="626"/>
      <c r="L127" s="893"/>
      <c r="M127" s="893"/>
      <c r="N127" s="893">
        <f t="shared" si="31"/>
        <v>0</v>
      </c>
      <c r="O127" s="856"/>
      <c r="P127" s="856"/>
      <c r="Q127" s="856">
        <f t="shared" si="34"/>
        <v>0</v>
      </c>
      <c r="R127" s="894"/>
      <c r="S127" s="855"/>
      <c r="T127" s="896">
        <f t="shared" ref="T127:T197" si="36">S127/15</f>
        <v>0</v>
      </c>
      <c r="U127" s="862"/>
      <c r="V127" s="857"/>
      <c r="W127" s="857">
        <f t="shared" si="28"/>
        <v>0</v>
      </c>
      <c r="X127" s="863"/>
      <c r="Y127" s="664">
        <f t="shared" si="35"/>
        <v>0</v>
      </c>
      <c r="Z127" s="664">
        <f t="shared" ref="Z127:Z197" si="37">W127+T127</f>
        <v>0</v>
      </c>
      <c r="AA127" s="836"/>
      <c r="AB127" s="982"/>
      <c r="AC127" s="867"/>
      <c r="AD127" s="867"/>
      <c r="AE127" s="979">
        <f t="shared" si="33"/>
        <v>0</v>
      </c>
      <c r="AF127" s="878"/>
      <c r="AG127" s="335"/>
      <c r="AH127" s="979">
        <f t="shared" si="29"/>
        <v>0</v>
      </c>
      <c r="AI127" s="979"/>
      <c r="AJ127" s="979">
        <f t="shared" si="32"/>
        <v>0</v>
      </c>
      <c r="AK127" s="878"/>
      <c r="AL127" s="618"/>
      <c r="AM127" s="618"/>
    </row>
    <row r="128" spans="1:81" ht="21.6" customHeight="1" x14ac:dyDescent="0.25">
      <c r="A128" s="664">
        <v>56</v>
      </c>
      <c r="B128" s="664" t="s">
        <v>28</v>
      </c>
      <c r="C128" s="664">
        <v>10</v>
      </c>
      <c r="D128" s="1086" t="s">
        <v>57</v>
      </c>
      <c r="E128" s="845"/>
      <c r="F128" s="846" t="s">
        <v>65</v>
      </c>
      <c r="G128" s="836" t="s">
        <v>265</v>
      </c>
      <c r="H128" s="844"/>
      <c r="I128" s="625"/>
      <c r="J128" s="844"/>
      <c r="K128" s="626"/>
      <c r="L128" s="893"/>
      <c r="M128" s="893"/>
      <c r="N128" s="893">
        <f t="shared" si="31"/>
        <v>0</v>
      </c>
      <c r="O128" s="856"/>
      <c r="P128" s="856"/>
      <c r="Q128" s="856">
        <f t="shared" si="34"/>
        <v>0</v>
      </c>
      <c r="R128" s="894"/>
      <c r="S128" s="855"/>
      <c r="T128" s="896">
        <f t="shared" si="36"/>
        <v>0</v>
      </c>
      <c r="U128" s="862"/>
      <c r="V128" s="857"/>
      <c r="W128" s="857">
        <f t="shared" si="28"/>
        <v>0</v>
      </c>
      <c r="X128" s="863"/>
      <c r="Y128" s="664">
        <f t="shared" si="35"/>
        <v>0</v>
      </c>
      <c r="Z128" s="664">
        <f t="shared" si="37"/>
        <v>0</v>
      </c>
      <c r="AA128" s="836"/>
      <c r="AB128" s="982"/>
      <c r="AC128" s="867"/>
      <c r="AD128" s="867"/>
      <c r="AE128" s="979">
        <f t="shared" si="33"/>
        <v>0</v>
      </c>
      <c r="AF128" s="878"/>
      <c r="AG128" s="335"/>
      <c r="AH128" s="979">
        <f t="shared" si="29"/>
        <v>0</v>
      </c>
      <c r="AI128" s="979"/>
      <c r="AJ128" s="979">
        <f t="shared" si="32"/>
        <v>0</v>
      </c>
      <c r="AK128" s="878"/>
      <c r="AL128" s="618"/>
      <c r="AM128" s="618"/>
    </row>
    <row r="129" spans="1:81" s="641" customFormat="1" ht="21.6" customHeight="1" x14ac:dyDescent="0.25">
      <c r="A129" s="836"/>
      <c r="B129" s="836"/>
      <c r="C129" s="836"/>
      <c r="D129" s="1086"/>
      <c r="E129" s="836"/>
      <c r="F129" s="846"/>
      <c r="G129" s="836"/>
      <c r="H129" s="844"/>
      <c r="I129" s="625"/>
      <c r="J129" s="844"/>
      <c r="K129" s="626"/>
      <c r="L129" s="890"/>
      <c r="M129" s="890"/>
      <c r="N129" s="890">
        <f t="shared" si="31"/>
        <v>0</v>
      </c>
      <c r="O129" s="467"/>
      <c r="P129" s="467"/>
      <c r="Q129" s="467">
        <f t="shared" si="34"/>
        <v>0</v>
      </c>
      <c r="R129" s="625"/>
      <c r="S129" s="842"/>
      <c r="T129" s="862">
        <f t="shared" si="36"/>
        <v>0</v>
      </c>
      <c r="U129" s="862"/>
      <c r="V129" s="863"/>
      <c r="W129" s="857">
        <f t="shared" si="28"/>
        <v>0</v>
      </c>
      <c r="X129" s="863"/>
      <c r="Y129" s="836">
        <f t="shared" si="35"/>
        <v>0</v>
      </c>
      <c r="Z129" s="664">
        <f t="shared" si="37"/>
        <v>0</v>
      </c>
      <c r="AA129" s="836"/>
      <c r="AB129" s="982"/>
      <c r="AC129" s="867"/>
      <c r="AD129" s="867"/>
      <c r="AE129" s="979">
        <f t="shared" si="33"/>
        <v>0</v>
      </c>
      <c r="AF129" s="878"/>
      <c r="AG129" s="335"/>
      <c r="AH129" s="979">
        <f t="shared" si="29"/>
        <v>0</v>
      </c>
      <c r="AI129" s="979"/>
      <c r="AJ129" s="979">
        <f t="shared" si="32"/>
        <v>0</v>
      </c>
      <c r="AK129" s="878"/>
      <c r="AL129" s="648"/>
      <c r="AM129" s="648"/>
      <c r="AN129" s="647"/>
      <c r="AO129" s="647"/>
      <c r="AP129" s="647"/>
      <c r="AQ129" s="647"/>
      <c r="AR129" s="647"/>
      <c r="AS129" s="647"/>
      <c r="AT129" s="647"/>
      <c r="AU129" s="647"/>
      <c r="AV129" s="647"/>
      <c r="AW129" s="647"/>
      <c r="AX129" s="647"/>
      <c r="AY129" s="647"/>
      <c r="AZ129" s="647"/>
      <c r="BA129" s="647"/>
      <c r="BB129" s="647"/>
      <c r="BC129" s="647"/>
      <c r="BD129" s="647"/>
      <c r="BE129" s="647"/>
      <c r="BF129" s="647"/>
      <c r="BG129" s="647"/>
      <c r="BH129" s="647"/>
      <c r="BI129" s="647"/>
      <c r="BJ129" s="647"/>
      <c r="BK129" s="647"/>
      <c r="BL129" s="647"/>
      <c r="BM129" s="647"/>
      <c r="BN129" s="647"/>
      <c r="BO129" s="647"/>
      <c r="BP129" s="647"/>
      <c r="BQ129" s="647"/>
      <c r="BR129" s="647"/>
      <c r="BS129" s="647"/>
      <c r="BT129" s="647"/>
      <c r="BU129" s="647"/>
      <c r="BV129" s="647"/>
      <c r="BW129" s="647"/>
      <c r="BX129" s="647"/>
      <c r="BY129" s="647"/>
      <c r="BZ129" s="647"/>
      <c r="CA129" s="647"/>
      <c r="CB129" s="647"/>
      <c r="CC129" s="647"/>
    </row>
    <row r="130" spans="1:81" ht="21.6" customHeight="1" x14ac:dyDescent="0.25">
      <c r="A130" s="664">
        <v>57</v>
      </c>
      <c r="B130" s="664" t="s">
        <v>28</v>
      </c>
      <c r="C130" s="664">
        <v>1</v>
      </c>
      <c r="D130" s="1086" t="s">
        <v>66</v>
      </c>
      <c r="E130" s="836"/>
      <c r="F130" s="846" t="s">
        <v>67</v>
      </c>
      <c r="G130" s="836" t="s">
        <v>265</v>
      </c>
      <c r="H130" s="844"/>
      <c r="I130" s="625"/>
      <c r="J130" s="844"/>
      <c r="K130" s="626"/>
      <c r="L130" s="893"/>
      <c r="M130" s="893"/>
      <c r="N130" s="893">
        <f t="shared" si="31"/>
        <v>0</v>
      </c>
      <c r="O130" s="856"/>
      <c r="P130" s="856"/>
      <c r="Q130" s="856">
        <f t="shared" si="34"/>
        <v>0</v>
      </c>
      <c r="R130" s="894"/>
      <c r="S130" s="855">
        <v>12</v>
      </c>
      <c r="T130" s="896">
        <f t="shared" si="36"/>
        <v>0.8</v>
      </c>
      <c r="U130" s="862">
        <f>SUM(T130:T138)</f>
        <v>0.8</v>
      </c>
      <c r="V130" s="857"/>
      <c r="W130" s="857">
        <f t="shared" si="28"/>
        <v>0</v>
      </c>
      <c r="X130" s="863">
        <f>SUM(W130:W138)</f>
        <v>24.2</v>
      </c>
      <c r="Y130" s="664">
        <f t="shared" si="35"/>
        <v>12</v>
      </c>
      <c r="Z130" s="664">
        <f t="shared" si="37"/>
        <v>0.8</v>
      </c>
      <c r="AA130" s="836">
        <f>SUM(Z130:Z138)</f>
        <v>25</v>
      </c>
      <c r="AB130" s="982">
        <v>25</v>
      </c>
      <c r="AC130" s="867"/>
      <c r="AD130" s="867"/>
      <c r="AE130" s="979">
        <f t="shared" si="33"/>
        <v>0</v>
      </c>
      <c r="AF130" s="878">
        <f>SUM(AE130:AE138)</f>
        <v>50</v>
      </c>
      <c r="AG130" s="335"/>
      <c r="AH130" s="979">
        <f t="shared" si="29"/>
        <v>0</v>
      </c>
      <c r="AI130" s="979">
        <f>SUM(AH130:AH138)</f>
        <v>24.2</v>
      </c>
      <c r="AJ130" s="979">
        <f t="shared" si="32"/>
        <v>0.8</v>
      </c>
      <c r="AK130" s="878">
        <f>SUM(AJ130:AJ138)</f>
        <v>0.8</v>
      </c>
      <c r="AL130" s="618"/>
      <c r="AM130" s="618"/>
    </row>
    <row r="131" spans="1:81" ht="32.25" customHeight="1" x14ac:dyDescent="0.25">
      <c r="A131" s="664">
        <v>58</v>
      </c>
      <c r="B131" s="664" t="s">
        <v>28</v>
      </c>
      <c r="C131" s="664">
        <v>2</v>
      </c>
      <c r="D131" s="1086" t="s">
        <v>66</v>
      </c>
      <c r="E131" s="836"/>
      <c r="F131" s="846" t="s">
        <v>68</v>
      </c>
      <c r="G131" s="836" t="s">
        <v>265</v>
      </c>
      <c r="H131" s="844"/>
      <c r="I131" s="625"/>
      <c r="J131" s="844"/>
      <c r="K131" s="626"/>
      <c r="L131" s="893"/>
      <c r="M131" s="893"/>
      <c r="N131" s="893">
        <f t="shared" si="31"/>
        <v>0</v>
      </c>
      <c r="O131" s="856"/>
      <c r="P131" s="856"/>
      <c r="Q131" s="856">
        <f t="shared" si="34"/>
        <v>0</v>
      </c>
      <c r="R131" s="894"/>
      <c r="S131" s="855"/>
      <c r="T131" s="896">
        <f t="shared" si="36"/>
        <v>0</v>
      </c>
      <c r="U131" s="862"/>
      <c r="V131" s="857"/>
      <c r="W131" s="857">
        <f t="shared" si="28"/>
        <v>0</v>
      </c>
      <c r="X131" s="863"/>
      <c r="Y131" s="664">
        <f t="shared" si="35"/>
        <v>0</v>
      </c>
      <c r="Z131" s="664">
        <f t="shared" si="37"/>
        <v>0</v>
      </c>
      <c r="AA131" s="836"/>
      <c r="AB131" s="982"/>
      <c r="AC131" s="867"/>
      <c r="AD131" s="867"/>
      <c r="AE131" s="979">
        <f t="shared" si="33"/>
        <v>0</v>
      </c>
      <c r="AF131" s="878"/>
      <c r="AG131" s="335"/>
      <c r="AH131" s="979">
        <f t="shared" si="29"/>
        <v>0</v>
      </c>
      <c r="AI131" s="979"/>
      <c r="AJ131" s="979">
        <f t="shared" si="32"/>
        <v>0</v>
      </c>
      <c r="AK131" s="878"/>
      <c r="AL131" s="618"/>
      <c r="AM131" s="618"/>
    </row>
    <row r="132" spans="1:81" ht="21.6" customHeight="1" x14ac:dyDescent="0.25">
      <c r="A132" s="664">
        <v>59</v>
      </c>
      <c r="B132" s="664" t="s">
        <v>28</v>
      </c>
      <c r="C132" s="664">
        <v>3</v>
      </c>
      <c r="D132" s="1086" t="s">
        <v>66</v>
      </c>
      <c r="E132" s="836"/>
      <c r="F132" s="846" t="s">
        <v>69</v>
      </c>
      <c r="G132" s="836" t="s">
        <v>265</v>
      </c>
      <c r="H132" s="844"/>
      <c r="I132" s="625" t="s">
        <v>265</v>
      </c>
      <c r="J132" s="844" t="s">
        <v>265</v>
      </c>
      <c r="K132" s="626" t="s">
        <v>768</v>
      </c>
      <c r="L132" s="893">
        <v>14</v>
      </c>
      <c r="M132" s="893">
        <v>1</v>
      </c>
      <c r="N132" s="893">
        <f t="shared" si="31"/>
        <v>15</v>
      </c>
      <c r="O132" s="856"/>
      <c r="P132" s="856">
        <v>7</v>
      </c>
      <c r="Q132" s="856">
        <f t="shared" si="34"/>
        <v>7</v>
      </c>
      <c r="R132" s="894"/>
      <c r="S132" s="855"/>
      <c r="T132" s="896">
        <f t="shared" si="36"/>
        <v>0</v>
      </c>
      <c r="U132" s="862"/>
      <c r="V132" s="857">
        <v>105</v>
      </c>
      <c r="W132" s="857">
        <f t="shared" si="28"/>
        <v>7</v>
      </c>
      <c r="X132" s="863"/>
      <c r="Y132" s="664">
        <f t="shared" si="35"/>
        <v>105</v>
      </c>
      <c r="Z132" s="664">
        <f t="shared" si="37"/>
        <v>7</v>
      </c>
      <c r="AA132" s="836"/>
      <c r="AB132" s="982"/>
      <c r="AC132" s="867">
        <v>14</v>
      </c>
      <c r="AD132" s="867">
        <v>1</v>
      </c>
      <c r="AE132" s="979">
        <f t="shared" si="33"/>
        <v>15</v>
      </c>
      <c r="AF132" s="878"/>
      <c r="AG132" s="335">
        <v>105</v>
      </c>
      <c r="AH132" s="979">
        <f t="shared" si="29"/>
        <v>7</v>
      </c>
      <c r="AI132" s="979"/>
      <c r="AJ132" s="979">
        <f t="shared" si="32"/>
        <v>0</v>
      </c>
      <c r="AK132" s="878"/>
      <c r="AL132" s="618"/>
      <c r="AM132" s="618"/>
    </row>
    <row r="133" spans="1:81" ht="21.6" customHeight="1" x14ac:dyDescent="0.25">
      <c r="A133" s="664">
        <v>60</v>
      </c>
      <c r="B133" s="664" t="s">
        <v>28</v>
      </c>
      <c r="C133" s="664">
        <v>4</v>
      </c>
      <c r="D133" s="1086" t="s">
        <v>66</v>
      </c>
      <c r="E133" s="836"/>
      <c r="F133" s="846" t="s">
        <v>70</v>
      </c>
      <c r="G133" s="836" t="s">
        <v>265</v>
      </c>
      <c r="H133" s="844"/>
      <c r="I133" s="625"/>
      <c r="J133" s="844"/>
      <c r="K133" s="626"/>
      <c r="L133" s="893"/>
      <c r="M133" s="893"/>
      <c r="N133" s="893">
        <f t="shared" si="31"/>
        <v>0</v>
      </c>
      <c r="O133" s="856"/>
      <c r="P133" s="856"/>
      <c r="Q133" s="856">
        <f t="shared" si="34"/>
        <v>0</v>
      </c>
      <c r="R133" s="894"/>
      <c r="S133" s="855"/>
      <c r="T133" s="896">
        <f t="shared" si="36"/>
        <v>0</v>
      </c>
      <c r="U133" s="862"/>
      <c r="V133" s="857"/>
      <c r="W133" s="857">
        <f t="shared" si="28"/>
        <v>0</v>
      </c>
      <c r="X133" s="863"/>
      <c r="Y133" s="664">
        <f t="shared" si="35"/>
        <v>0</v>
      </c>
      <c r="Z133" s="664">
        <f t="shared" si="37"/>
        <v>0</v>
      </c>
      <c r="AA133" s="836"/>
      <c r="AB133" s="982"/>
      <c r="AC133" s="867"/>
      <c r="AD133" s="867"/>
      <c r="AE133" s="979">
        <f t="shared" si="33"/>
        <v>0</v>
      </c>
      <c r="AF133" s="878"/>
      <c r="AG133" s="335"/>
      <c r="AH133" s="979">
        <f t="shared" si="29"/>
        <v>0</v>
      </c>
      <c r="AI133" s="979"/>
      <c r="AJ133" s="979">
        <f t="shared" si="32"/>
        <v>0</v>
      </c>
      <c r="AK133" s="878"/>
      <c r="AL133" s="618"/>
      <c r="AM133" s="618"/>
    </row>
    <row r="134" spans="1:81" ht="21.6" customHeight="1" x14ac:dyDescent="0.25">
      <c r="A134" s="664">
        <v>61</v>
      </c>
      <c r="B134" s="664" t="s">
        <v>28</v>
      </c>
      <c r="C134" s="664">
        <v>5</v>
      </c>
      <c r="D134" s="1086" t="s">
        <v>66</v>
      </c>
      <c r="E134" s="836"/>
      <c r="F134" s="846" t="s">
        <v>71</v>
      </c>
      <c r="G134" s="836" t="s">
        <v>265</v>
      </c>
      <c r="H134" s="844"/>
      <c r="I134" s="625"/>
      <c r="J134" s="844"/>
      <c r="K134" s="626"/>
      <c r="L134" s="893"/>
      <c r="M134" s="893"/>
      <c r="N134" s="893">
        <f t="shared" si="31"/>
        <v>0</v>
      </c>
      <c r="O134" s="856"/>
      <c r="P134" s="856"/>
      <c r="Q134" s="856">
        <f t="shared" si="34"/>
        <v>0</v>
      </c>
      <c r="R134" s="894"/>
      <c r="S134" s="855"/>
      <c r="T134" s="896">
        <f t="shared" si="36"/>
        <v>0</v>
      </c>
      <c r="U134" s="862"/>
      <c r="V134" s="857"/>
      <c r="W134" s="857">
        <f t="shared" si="28"/>
        <v>0</v>
      </c>
      <c r="X134" s="863"/>
      <c r="Y134" s="664">
        <f t="shared" si="35"/>
        <v>0</v>
      </c>
      <c r="Z134" s="664">
        <f t="shared" si="37"/>
        <v>0</v>
      </c>
      <c r="AA134" s="836"/>
      <c r="AB134" s="982"/>
      <c r="AC134" s="867"/>
      <c r="AD134" s="867"/>
      <c r="AE134" s="979">
        <f t="shared" si="33"/>
        <v>0</v>
      </c>
      <c r="AF134" s="878"/>
      <c r="AG134" s="335"/>
      <c r="AH134" s="979">
        <f t="shared" si="29"/>
        <v>0</v>
      </c>
      <c r="AI134" s="979"/>
      <c r="AJ134" s="979">
        <f t="shared" si="32"/>
        <v>0</v>
      </c>
      <c r="AK134" s="878"/>
      <c r="AL134" s="618"/>
      <c r="AM134" s="618"/>
    </row>
    <row r="135" spans="1:81" ht="21.6" customHeight="1" x14ac:dyDescent="0.25">
      <c r="A135" s="664">
        <v>64</v>
      </c>
      <c r="B135" s="664" t="s">
        <v>28</v>
      </c>
      <c r="C135" s="664">
        <v>8</v>
      </c>
      <c r="D135" s="1086" t="s">
        <v>66</v>
      </c>
      <c r="E135" s="836"/>
      <c r="F135" s="846" t="s">
        <v>72</v>
      </c>
      <c r="G135" s="836" t="s">
        <v>265</v>
      </c>
      <c r="H135" s="844"/>
      <c r="I135" s="625"/>
      <c r="J135" s="844" t="s">
        <v>265</v>
      </c>
      <c r="K135" s="626" t="s">
        <v>768</v>
      </c>
      <c r="L135" s="893">
        <v>10</v>
      </c>
      <c r="M135" s="893">
        <v>4</v>
      </c>
      <c r="N135" s="893">
        <f t="shared" si="31"/>
        <v>14</v>
      </c>
      <c r="O135" s="856"/>
      <c r="P135" s="856">
        <v>9</v>
      </c>
      <c r="Q135" s="856">
        <f t="shared" si="34"/>
        <v>9</v>
      </c>
      <c r="R135" s="894"/>
      <c r="S135" s="855"/>
      <c r="T135" s="896">
        <f t="shared" si="36"/>
        <v>0</v>
      </c>
      <c r="U135" s="862"/>
      <c r="V135" s="857">
        <v>135</v>
      </c>
      <c r="W135" s="857">
        <f t="shared" si="28"/>
        <v>9</v>
      </c>
      <c r="X135" s="863"/>
      <c r="Y135" s="664">
        <f t="shared" si="35"/>
        <v>135</v>
      </c>
      <c r="Z135" s="664">
        <f t="shared" si="37"/>
        <v>9</v>
      </c>
      <c r="AA135" s="836"/>
      <c r="AB135" s="982"/>
      <c r="AC135" s="867">
        <v>10</v>
      </c>
      <c r="AD135" s="867">
        <v>4</v>
      </c>
      <c r="AE135" s="979">
        <f t="shared" si="33"/>
        <v>14</v>
      </c>
      <c r="AF135" s="878"/>
      <c r="AG135" s="335">
        <v>135</v>
      </c>
      <c r="AH135" s="979">
        <f t="shared" si="29"/>
        <v>9</v>
      </c>
      <c r="AI135" s="979"/>
      <c r="AJ135" s="979">
        <f t="shared" si="32"/>
        <v>0</v>
      </c>
      <c r="AK135" s="878"/>
      <c r="AL135" s="618"/>
      <c r="AM135" s="618"/>
    </row>
    <row r="136" spans="1:81" ht="21.6" customHeight="1" x14ac:dyDescent="0.25">
      <c r="A136" s="664">
        <v>65</v>
      </c>
      <c r="B136" s="664" t="s">
        <v>28</v>
      </c>
      <c r="C136" s="664">
        <v>9</v>
      </c>
      <c r="D136" s="1086" t="s">
        <v>66</v>
      </c>
      <c r="E136" s="836"/>
      <c r="F136" s="846" t="s">
        <v>73</v>
      </c>
      <c r="G136" s="836" t="s">
        <v>265</v>
      </c>
      <c r="H136" s="844"/>
      <c r="I136" s="625"/>
      <c r="J136" s="844" t="s">
        <v>265</v>
      </c>
      <c r="K136" s="626" t="s">
        <v>796</v>
      </c>
      <c r="L136" s="893">
        <v>5</v>
      </c>
      <c r="M136" s="893">
        <v>1</v>
      </c>
      <c r="N136" s="893">
        <f t="shared" si="31"/>
        <v>6</v>
      </c>
      <c r="O136" s="856"/>
      <c r="P136" s="856">
        <v>2</v>
      </c>
      <c r="Q136" s="856">
        <f t="shared" si="34"/>
        <v>2</v>
      </c>
      <c r="R136" s="894"/>
      <c r="S136" s="855"/>
      <c r="T136" s="896">
        <f t="shared" si="36"/>
        <v>0</v>
      </c>
      <c r="U136" s="862"/>
      <c r="V136" s="857">
        <v>30</v>
      </c>
      <c r="W136" s="857">
        <f t="shared" si="28"/>
        <v>2</v>
      </c>
      <c r="X136" s="863"/>
      <c r="Y136" s="664">
        <f t="shared" si="35"/>
        <v>30</v>
      </c>
      <c r="Z136" s="664">
        <f t="shared" si="37"/>
        <v>2</v>
      </c>
      <c r="AA136" s="836"/>
      <c r="AB136" s="982"/>
      <c r="AC136" s="867">
        <v>5</v>
      </c>
      <c r="AD136" s="867">
        <v>1</v>
      </c>
      <c r="AE136" s="979">
        <f t="shared" si="33"/>
        <v>6</v>
      </c>
      <c r="AF136" s="878"/>
      <c r="AG136" s="335">
        <v>30</v>
      </c>
      <c r="AH136" s="979">
        <f t="shared" si="29"/>
        <v>2</v>
      </c>
      <c r="AI136" s="979"/>
      <c r="AJ136" s="979">
        <f t="shared" si="32"/>
        <v>0</v>
      </c>
      <c r="AK136" s="878"/>
      <c r="AL136" s="618"/>
      <c r="AM136" s="618"/>
    </row>
    <row r="137" spans="1:81" ht="21.6" customHeight="1" x14ac:dyDescent="0.25">
      <c r="A137" s="664">
        <v>66</v>
      </c>
      <c r="B137" s="664" t="s">
        <v>28</v>
      </c>
      <c r="C137" s="664">
        <v>10</v>
      </c>
      <c r="D137" s="1086" t="s">
        <v>66</v>
      </c>
      <c r="E137" s="836"/>
      <c r="F137" s="846" t="s">
        <v>74</v>
      </c>
      <c r="G137" s="836" t="s">
        <v>265</v>
      </c>
      <c r="H137" s="844"/>
      <c r="I137" s="625"/>
      <c r="J137" s="844"/>
      <c r="K137" s="626"/>
      <c r="L137" s="893"/>
      <c r="M137" s="893"/>
      <c r="N137" s="893">
        <f t="shared" si="31"/>
        <v>0</v>
      </c>
      <c r="O137" s="856"/>
      <c r="P137" s="856"/>
      <c r="Q137" s="856">
        <f t="shared" si="34"/>
        <v>0</v>
      </c>
      <c r="R137" s="894"/>
      <c r="S137" s="855"/>
      <c r="T137" s="896">
        <f t="shared" si="36"/>
        <v>0</v>
      </c>
      <c r="U137" s="862"/>
      <c r="V137" s="857"/>
      <c r="W137" s="857">
        <f t="shared" si="28"/>
        <v>0</v>
      </c>
      <c r="X137" s="863"/>
      <c r="Y137" s="664">
        <f t="shared" si="35"/>
        <v>0</v>
      </c>
      <c r="Z137" s="664">
        <f t="shared" si="37"/>
        <v>0</v>
      </c>
      <c r="AA137" s="836"/>
      <c r="AB137" s="982"/>
      <c r="AC137" s="867"/>
      <c r="AD137" s="867"/>
      <c r="AE137" s="979">
        <f t="shared" si="33"/>
        <v>0</v>
      </c>
      <c r="AF137" s="878"/>
      <c r="AG137" s="335"/>
      <c r="AH137" s="979">
        <f t="shared" si="29"/>
        <v>0</v>
      </c>
      <c r="AI137" s="979"/>
      <c r="AJ137" s="979">
        <f t="shared" si="32"/>
        <v>0</v>
      </c>
      <c r="AK137" s="878"/>
      <c r="AL137" s="618"/>
      <c r="AM137" s="618"/>
    </row>
    <row r="138" spans="1:81" ht="21.6" customHeight="1" x14ac:dyDescent="0.25">
      <c r="A138" s="664">
        <v>67</v>
      </c>
      <c r="B138" s="664" t="s">
        <v>28</v>
      </c>
      <c r="C138" s="664">
        <v>11</v>
      </c>
      <c r="D138" s="1086" t="s">
        <v>66</v>
      </c>
      <c r="E138" s="845"/>
      <c r="F138" s="846" t="s">
        <v>75</v>
      </c>
      <c r="G138" s="836" t="s">
        <v>265</v>
      </c>
      <c r="H138" s="844"/>
      <c r="I138" s="625"/>
      <c r="J138" s="844" t="s">
        <v>265</v>
      </c>
      <c r="K138" s="626" t="s">
        <v>796</v>
      </c>
      <c r="L138" s="893">
        <v>10</v>
      </c>
      <c r="M138" s="893">
        <v>5</v>
      </c>
      <c r="N138" s="893">
        <f t="shared" si="31"/>
        <v>15</v>
      </c>
      <c r="O138" s="856"/>
      <c r="P138" s="856">
        <v>7</v>
      </c>
      <c r="Q138" s="856">
        <f t="shared" si="34"/>
        <v>7</v>
      </c>
      <c r="R138" s="894"/>
      <c r="S138" s="855"/>
      <c r="T138" s="896">
        <f t="shared" si="36"/>
        <v>0</v>
      </c>
      <c r="U138" s="862"/>
      <c r="V138" s="857">
        <v>93</v>
      </c>
      <c r="W138" s="857">
        <f t="shared" si="28"/>
        <v>6.2</v>
      </c>
      <c r="X138" s="863"/>
      <c r="Y138" s="664">
        <f t="shared" si="35"/>
        <v>93</v>
      </c>
      <c r="Z138" s="664">
        <f t="shared" si="37"/>
        <v>6.2</v>
      </c>
      <c r="AA138" s="836"/>
      <c r="AB138" s="982"/>
      <c r="AC138" s="867">
        <v>10</v>
      </c>
      <c r="AD138" s="867">
        <v>5</v>
      </c>
      <c r="AE138" s="979">
        <f t="shared" si="33"/>
        <v>15</v>
      </c>
      <c r="AF138" s="878"/>
      <c r="AG138" s="335">
        <v>93</v>
      </c>
      <c r="AH138" s="979">
        <f t="shared" si="29"/>
        <v>6.2</v>
      </c>
      <c r="AI138" s="979"/>
      <c r="AJ138" s="979">
        <f t="shared" si="32"/>
        <v>0</v>
      </c>
      <c r="AK138" s="878"/>
      <c r="AL138" s="618"/>
      <c r="AM138" s="618"/>
    </row>
    <row r="139" spans="1:81" s="641" customFormat="1" ht="21.6" customHeight="1" x14ac:dyDescent="0.25">
      <c r="A139" s="836"/>
      <c r="B139" s="836"/>
      <c r="C139" s="836"/>
      <c r="D139" s="1086"/>
      <c r="E139" s="900"/>
      <c r="F139" s="846"/>
      <c r="G139" s="836"/>
      <c r="H139" s="844"/>
      <c r="I139" s="625"/>
      <c r="J139" s="844"/>
      <c r="K139" s="626"/>
      <c r="L139" s="890"/>
      <c r="M139" s="890"/>
      <c r="N139" s="890">
        <f t="shared" si="31"/>
        <v>0</v>
      </c>
      <c r="O139" s="467"/>
      <c r="P139" s="467"/>
      <c r="Q139" s="467">
        <f t="shared" si="34"/>
        <v>0</v>
      </c>
      <c r="R139" s="625"/>
      <c r="S139" s="842"/>
      <c r="T139" s="862">
        <f t="shared" si="36"/>
        <v>0</v>
      </c>
      <c r="U139" s="862"/>
      <c r="V139" s="863"/>
      <c r="W139" s="857">
        <f t="shared" si="28"/>
        <v>0</v>
      </c>
      <c r="X139" s="863"/>
      <c r="Y139" s="836">
        <f t="shared" si="35"/>
        <v>0</v>
      </c>
      <c r="Z139" s="664">
        <f t="shared" si="37"/>
        <v>0</v>
      </c>
      <c r="AA139" s="836"/>
      <c r="AB139" s="982"/>
      <c r="AC139" s="867"/>
      <c r="AD139" s="867"/>
      <c r="AE139" s="979">
        <f t="shared" si="33"/>
        <v>0</v>
      </c>
      <c r="AF139" s="878"/>
      <c r="AG139" s="335"/>
      <c r="AH139" s="979">
        <f t="shared" si="29"/>
        <v>0</v>
      </c>
      <c r="AI139" s="979"/>
      <c r="AJ139" s="979">
        <f t="shared" si="32"/>
        <v>0</v>
      </c>
      <c r="AK139" s="878"/>
      <c r="AL139" s="648"/>
      <c r="AM139" s="648"/>
      <c r="AN139" s="647"/>
      <c r="AO139" s="647"/>
      <c r="AP139" s="647"/>
      <c r="AQ139" s="647"/>
      <c r="AR139" s="647"/>
      <c r="AS139" s="647"/>
      <c r="AT139" s="647"/>
      <c r="AU139" s="647"/>
      <c r="AV139" s="647"/>
      <c r="AW139" s="647"/>
      <c r="AX139" s="647"/>
      <c r="AY139" s="647"/>
      <c r="AZ139" s="647"/>
      <c r="BA139" s="647"/>
      <c r="BB139" s="647"/>
      <c r="BC139" s="647"/>
      <c r="BD139" s="647"/>
      <c r="BE139" s="647"/>
      <c r="BF139" s="647"/>
      <c r="BG139" s="647"/>
      <c r="BH139" s="647"/>
      <c r="BI139" s="647"/>
      <c r="BJ139" s="647"/>
      <c r="BK139" s="647"/>
      <c r="BL139" s="647"/>
      <c r="BM139" s="647"/>
      <c r="BN139" s="647"/>
      <c r="BO139" s="647"/>
      <c r="BP139" s="647"/>
      <c r="BQ139" s="647"/>
      <c r="BR139" s="647"/>
      <c r="BS139" s="647"/>
      <c r="BT139" s="647"/>
      <c r="BU139" s="647"/>
      <c r="BV139" s="647"/>
      <c r="BW139" s="647"/>
      <c r="BX139" s="647"/>
      <c r="BY139" s="647"/>
      <c r="BZ139" s="647"/>
      <c r="CA139" s="647"/>
      <c r="CB139" s="647"/>
      <c r="CC139" s="647"/>
    </row>
    <row r="140" spans="1:81" ht="21.6" customHeight="1" x14ac:dyDescent="0.25">
      <c r="A140" s="664">
        <v>68</v>
      </c>
      <c r="B140" s="664" t="s">
        <v>28</v>
      </c>
      <c r="C140" s="664">
        <v>1</v>
      </c>
      <c r="D140" s="1086" t="s">
        <v>76</v>
      </c>
      <c r="E140" s="900"/>
      <c r="F140" s="846" t="s">
        <v>77</v>
      </c>
      <c r="G140" s="836" t="s">
        <v>265</v>
      </c>
      <c r="H140" s="844"/>
      <c r="I140" s="625"/>
      <c r="J140" s="844"/>
      <c r="K140" s="626"/>
      <c r="L140" s="893"/>
      <c r="M140" s="893"/>
      <c r="N140" s="893">
        <f t="shared" si="31"/>
        <v>0</v>
      </c>
      <c r="O140" s="856"/>
      <c r="P140" s="856"/>
      <c r="Q140" s="856">
        <f t="shared" si="34"/>
        <v>0</v>
      </c>
      <c r="R140" s="894"/>
      <c r="S140" s="855">
        <v>0</v>
      </c>
      <c r="T140" s="896">
        <f t="shared" si="36"/>
        <v>0</v>
      </c>
      <c r="U140" s="862">
        <f>SUM(T140:T145)</f>
        <v>0</v>
      </c>
      <c r="V140" s="857"/>
      <c r="W140" s="857">
        <f t="shared" si="28"/>
        <v>0</v>
      </c>
      <c r="X140" s="863">
        <f>SUM(W140:W145)</f>
        <v>35</v>
      </c>
      <c r="Y140" s="664">
        <f t="shared" si="35"/>
        <v>0</v>
      </c>
      <c r="Z140" s="664">
        <f t="shared" si="37"/>
        <v>0</v>
      </c>
      <c r="AA140" s="836">
        <f>SUM(Z140:Z145)</f>
        <v>35</v>
      </c>
      <c r="AB140" s="982">
        <v>35</v>
      </c>
      <c r="AC140" s="867"/>
      <c r="AD140" s="867"/>
      <c r="AE140" s="979">
        <f t="shared" si="33"/>
        <v>0</v>
      </c>
      <c r="AF140" s="878">
        <f>SUM(AE140:AE145)</f>
        <v>38</v>
      </c>
      <c r="AG140" s="335"/>
      <c r="AH140" s="979">
        <f t="shared" si="29"/>
        <v>0</v>
      </c>
      <c r="AI140" s="979">
        <f>SUM(AH140:AH145)</f>
        <v>35</v>
      </c>
      <c r="AJ140" s="979">
        <f t="shared" si="32"/>
        <v>0</v>
      </c>
      <c r="AK140" s="878">
        <f>SUM(AJ140:AJ145)</f>
        <v>0</v>
      </c>
      <c r="AL140" s="618"/>
      <c r="AM140" s="618"/>
    </row>
    <row r="141" spans="1:81" ht="21.6" customHeight="1" x14ac:dyDescent="0.25">
      <c r="A141" s="664">
        <v>69</v>
      </c>
      <c r="B141" s="664" t="s">
        <v>28</v>
      </c>
      <c r="C141" s="664">
        <v>2</v>
      </c>
      <c r="D141" s="1086" t="s">
        <v>76</v>
      </c>
      <c r="E141" s="900"/>
      <c r="F141" s="846" t="s">
        <v>78</v>
      </c>
      <c r="G141" s="836" t="s">
        <v>265</v>
      </c>
      <c r="H141" s="844"/>
      <c r="I141" s="625"/>
      <c r="J141" s="844"/>
      <c r="K141" s="626"/>
      <c r="L141" s="893"/>
      <c r="M141" s="893"/>
      <c r="N141" s="893">
        <f t="shared" si="31"/>
        <v>0</v>
      </c>
      <c r="O141" s="856"/>
      <c r="P141" s="856"/>
      <c r="Q141" s="856">
        <f t="shared" si="34"/>
        <v>0</v>
      </c>
      <c r="R141" s="894"/>
      <c r="S141" s="855">
        <v>0</v>
      </c>
      <c r="T141" s="896">
        <f t="shared" si="36"/>
        <v>0</v>
      </c>
      <c r="U141" s="862"/>
      <c r="V141" s="857"/>
      <c r="W141" s="857">
        <f t="shared" si="28"/>
        <v>0</v>
      </c>
      <c r="X141" s="863"/>
      <c r="Y141" s="664">
        <f t="shared" si="35"/>
        <v>0</v>
      </c>
      <c r="Z141" s="664">
        <f t="shared" si="37"/>
        <v>0</v>
      </c>
      <c r="AA141" s="836"/>
      <c r="AB141" s="982"/>
      <c r="AC141" s="867"/>
      <c r="AD141" s="867"/>
      <c r="AE141" s="979">
        <f t="shared" si="33"/>
        <v>0</v>
      </c>
      <c r="AF141" s="878"/>
      <c r="AG141" s="335"/>
      <c r="AH141" s="979">
        <f t="shared" si="29"/>
        <v>0</v>
      </c>
      <c r="AI141" s="979"/>
      <c r="AJ141" s="979">
        <f t="shared" si="32"/>
        <v>0</v>
      </c>
      <c r="AK141" s="878"/>
      <c r="AL141" s="618"/>
      <c r="AM141" s="618"/>
    </row>
    <row r="142" spans="1:81" ht="21.6" customHeight="1" x14ac:dyDescent="0.25">
      <c r="A142" s="664"/>
      <c r="B142" s="664"/>
      <c r="C142" s="664"/>
      <c r="D142" s="1086" t="s">
        <v>76</v>
      </c>
      <c r="E142" s="836"/>
      <c r="F142" s="846" t="s">
        <v>48</v>
      </c>
      <c r="G142" s="836" t="s">
        <v>276</v>
      </c>
      <c r="H142" s="844"/>
      <c r="I142" s="625"/>
      <c r="J142" s="844"/>
      <c r="K142" s="626"/>
      <c r="L142" s="893"/>
      <c r="M142" s="893"/>
      <c r="N142" s="893">
        <f t="shared" si="31"/>
        <v>0</v>
      </c>
      <c r="O142" s="856"/>
      <c r="P142" s="856"/>
      <c r="Q142" s="856">
        <f t="shared" si="34"/>
        <v>0</v>
      </c>
      <c r="R142" s="894"/>
      <c r="S142" s="855"/>
      <c r="T142" s="896">
        <f t="shared" si="36"/>
        <v>0</v>
      </c>
      <c r="U142" s="862"/>
      <c r="V142" s="857"/>
      <c r="W142" s="857">
        <f t="shared" si="28"/>
        <v>0</v>
      </c>
      <c r="X142" s="863"/>
      <c r="Y142" s="664">
        <f t="shared" si="35"/>
        <v>0</v>
      </c>
      <c r="Z142" s="664">
        <f t="shared" si="37"/>
        <v>0</v>
      </c>
      <c r="AA142" s="836"/>
      <c r="AB142" s="982"/>
      <c r="AC142" s="867"/>
      <c r="AD142" s="867"/>
      <c r="AE142" s="979">
        <f t="shared" si="33"/>
        <v>0</v>
      </c>
      <c r="AF142" s="878"/>
      <c r="AG142" s="335"/>
      <c r="AH142" s="979">
        <f t="shared" si="29"/>
        <v>0</v>
      </c>
      <c r="AI142" s="979"/>
      <c r="AJ142" s="979">
        <f t="shared" si="32"/>
        <v>0</v>
      </c>
      <c r="AK142" s="878"/>
      <c r="AL142" s="618"/>
      <c r="AM142" s="618"/>
    </row>
    <row r="143" spans="1:81" ht="21.6" customHeight="1" x14ac:dyDescent="0.25">
      <c r="A143" s="664"/>
      <c r="B143" s="664"/>
      <c r="C143" s="664"/>
      <c r="D143" s="1086" t="s">
        <v>76</v>
      </c>
      <c r="E143" s="845"/>
      <c r="F143" s="846" t="s">
        <v>797</v>
      </c>
      <c r="G143" s="836"/>
      <c r="H143" s="844"/>
      <c r="I143" s="625"/>
      <c r="J143" s="844" t="s">
        <v>265</v>
      </c>
      <c r="K143" s="626" t="s">
        <v>796</v>
      </c>
      <c r="L143" s="893">
        <v>16</v>
      </c>
      <c r="M143" s="893">
        <v>2</v>
      </c>
      <c r="N143" s="893">
        <f t="shared" si="31"/>
        <v>18</v>
      </c>
      <c r="O143" s="856"/>
      <c r="P143" s="856">
        <v>15</v>
      </c>
      <c r="Q143" s="856">
        <f t="shared" si="34"/>
        <v>15</v>
      </c>
      <c r="R143" s="894"/>
      <c r="S143" s="855"/>
      <c r="T143" s="896">
        <f t="shared" si="36"/>
        <v>0</v>
      </c>
      <c r="U143" s="862"/>
      <c r="V143" s="857">
        <v>225</v>
      </c>
      <c r="W143" s="857">
        <f t="shared" si="28"/>
        <v>15</v>
      </c>
      <c r="X143" s="863"/>
      <c r="Y143" s="664">
        <f t="shared" si="35"/>
        <v>225</v>
      </c>
      <c r="Z143" s="664">
        <f t="shared" si="37"/>
        <v>15</v>
      </c>
      <c r="AA143" s="836"/>
      <c r="AB143" s="982"/>
      <c r="AC143" s="867">
        <v>16</v>
      </c>
      <c r="AD143" s="867">
        <v>2</v>
      </c>
      <c r="AE143" s="979">
        <f t="shared" si="33"/>
        <v>18</v>
      </c>
      <c r="AF143" s="878"/>
      <c r="AG143" s="335">
        <v>225</v>
      </c>
      <c r="AH143" s="979">
        <f t="shared" si="29"/>
        <v>15</v>
      </c>
      <c r="AI143" s="979"/>
      <c r="AJ143" s="979">
        <f t="shared" si="32"/>
        <v>0</v>
      </c>
      <c r="AK143" s="878"/>
      <c r="AL143" s="618"/>
      <c r="AM143" s="618"/>
    </row>
    <row r="144" spans="1:81" s="641" customFormat="1" ht="21.6" customHeight="1" x14ac:dyDescent="0.25">
      <c r="A144" s="836"/>
      <c r="B144" s="836"/>
      <c r="C144" s="836"/>
      <c r="D144" s="1086" t="s">
        <v>76</v>
      </c>
      <c r="E144" s="836"/>
      <c r="F144" s="846" t="s">
        <v>798</v>
      </c>
      <c r="G144" s="836"/>
      <c r="H144" s="844"/>
      <c r="I144" s="625"/>
      <c r="J144" s="844" t="s">
        <v>265</v>
      </c>
      <c r="K144" s="626" t="s">
        <v>796</v>
      </c>
      <c r="L144" s="890">
        <v>12</v>
      </c>
      <c r="M144" s="890">
        <v>8</v>
      </c>
      <c r="N144" s="890">
        <f t="shared" si="31"/>
        <v>20</v>
      </c>
      <c r="O144" s="467"/>
      <c r="P144" s="467">
        <v>20</v>
      </c>
      <c r="Q144" s="467">
        <f t="shared" si="34"/>
        <v>20</v>
      </c>
      <c r="R144" s="625"/>
      <c r="S144" s="842"/>
      <c r="T144" s="862">
        <f t="shared" si="36"/>
        <v>0</v>
      </c>
      <c r="U144" s="862"/>
      <c r="V144" s="863">
        <v>300</v>
      </c>
      <c r="W144" s="857">
        <f t="shared" si="28"/>
        <v>20</v>
      </c>
      <c r="X144" s="863"/>
      <c r="Y144" s="836">
        <f t="shared" si="35"/>
        <v>300</v>
      </c>
      <c r="Z144" s="664">
        <f t="shared" si="37"/>
        <v>20</v>
      </c>
      <c r="AA144" s="836"/>
      <c r="AB144" s="982"/>
      <c r="AC144" s="867">
        <v>12</v>
      </c>
      <c r="AD144" s="867">
        <v>8</v>
      </c>
      <c r="AE144" s="979">
        <f t="shared" si="33"/>
        <v>20</v>
      </c>
      <c r="AF144" s="878"/>
      <c r="AG144" s="335">
        <v>300</v>
      </c>
      <c r="AH144" s="979">
        <f t="shared" si="29"/>
        <v>20</v>
      </c>
      <c r="AI144" s="979"/>
      <c r="AJ144" s="979">
        <f t="shared" si="32"/>
        <v>0</v>
      </c>
      <c r="AK144" s="878"/>
      <c r="AL144" s="648"/>
      <c r="AM144" s="648"/>
      <c r="AN144" s="647"/>
      <c r="AO144" s="647"/>
      <c r="AP144" s="647"/>
      <c r="AQ144" s="647"/>
      <c r="AR144" s="647"/>
      <c r="AS144" s="647"/>
      <c r="AT144" s="647"/>
      <c r="AU144" s="647"/>
      <c r="AV144" s="647"/>
      <c r="AW144" s="647"/>
      <c r="AX144" s="647"/>
      <c r="AY144" s="647"/>
      <c r="AZ144" s="647"/>
      <c r="BA144" s="647"/>
      <c r="BB144" s="647"/>
      <c r="BC144" s="647"/>
      <c r="BD144" s="647"/>
      <c r="BE144" s="647"/>
      <c r="BF144" s="647"/>
      <c r="BG144" s="647"/>
      <c r="BH144" s="647"/>
      <c r="BI144" s="647"/>
      <c r="BJ144" s="647"/>
      <c r="BK144" s="647"/>
      <c r="BL144" s="647"/>
      <c r="BM144" s="647"/>
      <c r="BN144" s="647"/>
      <c r="BO144" s="647"/>
      <c r="BP144" s="647"/>
      <c r="BQ144" s="647"/>
      <c r="BR144" s="647"/>
      <c r="BS144" s="647"/>
      <c r="BT144" s="647"/>
      <c r="BU144" s="647"/>
      <c r="BV144" s="647"/>
      <c r="BW144" s="647"/>
      <c r="BX144" s="647"/>
      <c r="BY144" s="647"/>
      <c r="BZ144" s="647"/>
      <c r="CA144" s="647"/>
      <c r="CB144" s="647"/>
      <c r="CC144" s="647"/>
    </row>
    <row r="145" spans="1:81" ht="21.6" customHeight="1" x14ac:dyDescent="0.25">
      <c r="A145" s="664">
        <v>70</v>
      </c>
      <c r="B145" s="664" t="s">
        <v>28</v>
      </c>
      <c r="C145" s="664">
        <v>3</v>
      </c>
      <c r="D145" s="1086" t="s">
        <v>76</v>
      </c>
      <c r="E145" s="836"/>
      <c r="F145" s="846" t="s">
        <v>12</v>
      </c>
      <c r="G145" s="836" t="s">
        <v>265</v>
      </c>
      <c r="H145" s="844"/>
      <c r="I145" s="625"/>
      <c r="J145" s="844"/>
      <c r="K145" s="626"/>
      <c r="L145" s="893"/>
      <c r="M145" s="893"/>
      <c r="N145" s="893">
        <f t="shared" si="31"/>
        <v>0</v>
      </c>
      <c r="O145" s="856"/>
      <c r="P145" s="856"/>
      <c r="Q145" s="856">
        <f t="shared" si="34"/>
        <v>0</v>
      </c>
      <c r="R145" s="894"/>
      <c r="S145" s="855"/>
      <c r="T145" s="896">
        <f t="shared" si="36"/>
        <v>0</v>
      </c>
      <c r="U145" s="862"/>
      <c r="V145" s="857"/>
      <c r="W145" s="857">
        <f t="shared" si="28"/>
        <v>0</v>
      </c>
      <c r="X145" s="863"/>
      <c r="Y145" s="664">
        <f t="shared" si="35"/>
        <v>0</v>
      </c>
      <c r="Z145" s="664">
        <f t="shared" si="37"/>
        <v>0</v>
      </c>
      <c r="AA145" s="836"/>
      <c r="AB145" s="982"/>
      <c r="AC145" s="867"/>
      <c r="AD145" s="867"/>
      <c r="AE145" s="979">
        <f t="shared" si="33"/>
        <v>0</v>
      </c>
      <c r="AF145" s="878"/>
      <c r="AG145" s="335"/>
      <c r="AH145" s="979">
        <f t="shared" si="29"/>
        <v>0</v>
      </c>
      <c r="AI145" s="979"/>
      <c r="AJ145" s="979">
        <f t="shared" si="32"/>
        <v>0</v>
      </c>
      <c r="AK145" s="878"/>
      <c r="AL145" s="618"/>
      <c r="AM145" s="618"/>
    </row>
    <row r="146" spans="1:81" ht="21.6" customHeight="1" x14ac:dyDescent="0.25">
      <c r="A146" s="664"/>
      <c r="B146" s="664"/>
      <c r="C146" s="664"/>
      <c r="D146" s="1086"/>
      <c r="E146" s="836"/>
      <c r="F146" s="846"/>
      <c r="G146" s="836"/>
      <c r="H146" s="844"/>
      <c r="I146" s="625"/>
      <c r="J146" s="844"/>
      <c r="K146" s="626"/>
      <c r="L146" s="893"/>
      <c r="M146" s="893"/>
      <c r="N146" s="893">
        <f t="shared" si="31"/>
        <v>0</v>
      </c>
      <c r="O146" s="856"/>
      <c r="P146" s="856"/>
      <c r="Q146" s="856">
        <f t="shared" si="34"/>
        <v>0</v>
      </c>
      <c r="R146" s="894"/>
      <c r="S146" s="855"/>
      <c r="T146" s="896">
        <f t="shared" si="36"/>
        <v>0</v>
      </c>
      <c r="U146" s="862"/>
      <c r="V146" s="857"/>
      <c r="W146" s="857">
        <f t="shared" si="28"/>
        <v>0</v>
      </c>
      <c r="X146" s="863"/>
      <c r="Y146" s="664">
        <f t="shared" si="35"/>
        <v>0</v>
      </c>
      <c r="Z146" s="664">
        <f t="shared" si="37"/>
        <v>0</v>
      </c>
      <c r="AA146" s="836"/>
      <c r="AB146" s="982"/>
      <c r="AC146" s="867"/>
      <c r="AD146" s="867"/>
      <c r="AE146" s="979">
        <f t="shared" si="33"/>
        <v>0</v>
      </c>
      <c r="AF146" s="878"/>
      <c r="AG146" s="335"/>
      <c r="AH146" s="979">
        <f t="shared" si="29"/>
        <v>0</v>
      </c>
      <c r="AI146" s="979"/>
      <c r="AJ146" s="979">
        <f t="shared" si="32"/>
        <v>0</v>
      </c>
      <c r="AK146" s="878"/>
      <c r="AL146" s="618"/>
      <c r="AM146" s="618"/>
    </row>
    <row r="147" spans="1:81" ht="21.6" customHeight="1" x14ac:dyDescent="0.25">
      <c r="A147" s="664">
        <v>72</v>
      </c>
      <c r="B147" s="664" t="s">
        <v>28</v>
      </c>
      <c r="C147" s="664">
        <v>2</v>
      </c>
      <c r="D147" s="1086" t="s">
        <v>79</v>
      </c>
      <c r="E147" s="836"/>
      <c r="F147" s="846" t="s">
        <v>80</v>
      </c>
      <c r="G147" s="836" t="s">
        <v>265</v>
      </c>
      <c r="H147" s="844"/>
      <c r="I147" s="625"/>
      <c r="J147" s="844"/>
      <c r="K147" s="626"/>
      <c r="L147" s="893"/>
      <c r="M147" s="893"/>
      <c r="N147" s="893">
        <f t="shared" si="31"/>
        <v>0</v>
      </c>
      <c r="O147" s="856"/>
      <c r="P147" s="856"/>
      <c r="Q147" s="856">
        <f t="shared" si="34"/>
        <v>0</v>
      </c>
      <c r="R147" s="894"/>
      <c r="S147" s="855"/>
      <c r="T147" s="896">
        <f t="shared" si="36"/>
        <v>0</v>
      </c>
      <c r="U147" s="862">
        <f>SUM(T147:T152)</f>
        <v>0</v>
      </c>
      <c r="V147" s="857"/>
      <c r="W147" s="857">
        <f t="shared" si="28"/>
        <v>0</v>
      </c>
      <c r="X147" s="863">
        <f>SUM(W147:W152)</f>
        <v>0</v>
      </c>
      <c r="Y147" s="664">
        <f t="shared" si="35"/>
        <v>0</v>
      </c>
      <c r="Z147" s="664">
        <f t="shared" si="37"/>
        <v>0</v>
      </c>
      <c r="AA147" s="836">
        <f>SUM(Z147:Z152)</f>
        <v>0</v>
      </c>
      <c r="AB147" s="982">
        <v>0</v>
      </c>
      <c r="AC147" s="867"/>
      <c r="AD147" s="867"/>
      <c r="AE147" s="979">
        <f t="shared" si="33"/>
        <v>0</v>
      </c>
      <c r="AF147" s="878">
        <f>SUM(AE147:AE152)</f>
        <v>0</v>
      </c>
      <c r="AG147" s="335"/>
      <c r="AH147" s="979">
        <f t="shared" si="29"/>
        <v>0</v>
      </c>
      <c r="AI147" s="979">
        <f>SUM(AH147:AH152)</f>
        <v>0</v>
      </c>
      <c r="AJ147" s="979">
        <f t="shared" si="32"/>
        <v>0</v>
      </c>
      <c r="AK147" s="878">
        <f>SUM(AJ147:AJ152)</f>
        <v>0</v>
      </c>
      <c r="AL147" s="618"/>
      <c r="AM147" s="618"/>
    </row>
    <row r="148" spans="1:81" ht="21.6" customHeight="1" x14ac:dyDescent="0.25">
      <c r="A148" s="664">
        <v>73</v>
      </c>
      <c r="B148" s="664" t="s">
        <v>28</v>
      </c>
      <c r="C148" s="664">
        <v>3</v>
      </c>
      <c r="D148" s="1086" t="s">
        <v>79</v>
      </c>
      <c r="E148" s="836"/>
      <c r="F148" s="846" t="s">
        <v>81</v>
      </c>
      <c r="G148" s="836" t="s">
        <v>265</v>
      </c>
      <c r="H148" s="844"/>
      <c r="I148" s="625"/>
      <c r="J148" s="844"/>
      <c r="K148" s="626"/>
      <c r="L148" s="893"/>
      <c r="M148" s="893"/>
      <c r="N148" s="893">
        <f t="shared" si="31"/>
        <v>0</v>
      </c>
      <c r="O148" s="856"/>
      <c r="P148" s="856"/>
      <c r="Q148" s="856">
        <f t="shared" si="34"/>
        <v>0</v>
      </c>
      <c r="R148" s="894"/>
      <c r="S148" s="855"/>
      <c r="T148" s="896">
        <f t="shared" si="36"/>
        <v>0</v>
      </c>
      <c r="U148" s="862"/>
      <c r="V148" s="857"/>
      <c r="W148" s="857">
        <f t="shared" si="28"/>
        <v>0</v>
      </c>
      <c r="X148" s="863"/>
      <c r="Y148" s="664">
        <f t="shared" si="35"/>
        <v>0</v>
      </c>
      <c r="Z148" s="664">
        <f t="shared" si="37"/>
        <v>0</v>
      </c>
      <c r="AA148" s="836"/>
      <c r="AB148" s="982"/>
      <c r="AC148" s="867"/>
      <c r="AD148" s="867"/>
      <c r="AE148" s="979">
        <f t="shared" si="33"/>
        <v>0</v>
      </c>
      <c r="AF148" s="878"/>
      <c r="AG148" s="335"/>
      <c r="AH148" s="979">
        <f t="shared" si="29"/>
        <v>0</v>
      </c>
      <c r="AI148" s="979"/>
      <c r="AJ148" s="979">
        <f t="shared" si="32"/>
        <v>0</v>
      </c>
      <c r="AK148" s="878"/>
      <c r="AL148" s="618"/>
      <c r="AM148" s="618"/>
    </row>
    <row r="149" spans="1:81" ht="21.6" customHeight="1" x14ac:dyDescent="0.25">
      <c r="A149" s="664">
        <v>74</v>
      </c>
      <c r="B149" s="664" t="s">
        <v>28</v>
      </c>
      <c r="C149" s="664">
        <v>4</v>
      </c>
      <c r="D149" s="1086" t="s">
        <v>79</v>
      </c>
      <c r="E149" s="836"/>
      <c r="F149" s="846" t="s">
        <v>82</v>
      </c>
      <c r="G149" s="836" t="s">
        <v>265</v>
      </c>
      <c r="H149" s="844"/>
      <c r="I149" s="625"/>
      <c r="J149" s="844"/>
      <c r="K149" s="626"/>
      <c r="L149" s="893"/>
      <c r="M149" s="893"/>
      <c r="N149" s="893">
        <f t="shared" si="31"/>
        <v>0</v>
      </c>
      <c r="O149" s="856"/>
      <c r="P149" s="856"/>
      <c r="Q149" s="856">
        <f t="shared" si="34"/>
        <v>0</v>
      </c>
      <c r="R149" s="894"/>
      <c r="S149" s="855"/>
      <c r="T149" s="896">
        <f t="shared" si="36"/>
        <v>0</v>
      </c>
      <c r="U149" s="862"/>
      <c r="V149" s="857"/>
      <c r="W149" s="857">
        <f t="shared" si="28"/>
        <v>0</v>
      </c>
      <c r="X149" s="863"/>
      <c r="Y149" s="664">
        <f t="shared" si="35"/>
        <v>0</v>
      </c>
      <c r="Z149" s="664">
        <f t="shared" si="37"/>
        <v>0</v>
      </c>
      <c r="AA149" s="836"/>
      <c r="AB149" s="982"/>
      <c r="AC149" s="867"/>
      <c r="AD149" s="867"/>
      <c r="AE149" s="979">
        <f t="shared" si="33"/>
        <v>0</v>
      </c>
      <c r="AF149" s="878"/>
      <c r="AG149" s="335"/>
      <c r="AH149" s="979">
        <f t="shared" si="29"/>
        <v>0</v>
      </c>
      <c r="AI149" s="979"/>
      <c r="AJ149" s="979">
        <f t="shared" si="32"/>
        <v>0</v>
      </c>
      <c r="AK149" s="878"/>
      <c r="AL149" s="618"/>
      <c r="AM149" s="618"/>
    </row>
    <row r="150" spans="1:81" ht="21.6" customHeight="1" x14ac:dyDescent="0.25">
      <c r="A150" s="664">
        <v>75</v>
      </c>
      <c r="B150" s="664" t="s">
        <v>28</v>
      </c>
      <c r="C150" s="664">
        <v>5</v>
      </c>
      <c r="D150" s="1086" t="s">
        <v>79</v>
      </c>
      <c r="E150" s="845"/>
      <c r="F150" s="846" t="s">
        <v>83</v>
      </c>
      <c r="G150" s="836" t="s">
        <v>265</v>
      </c>
      <c r="H150" s="844"/>
      <c r="I150" s="625"/>
      <c r="J150" s="844"/>
      <c r="K150" s="626"/>
      <c r="L150" s="893"/>
      <c r="M150" s="893"/>
      <c r="N150" s="893">
        <f t="shared" si="31"/>
        <v>0</v>
      </c>
      <c r="O150" s="856"/>
      <c r="P150" s="856"/>
      <c r="Q150" s="856">
        <f t="shared" si="34"/>
        <v>0</v>
      </c>
      <c r="R150" s="894"/>
      <c r="S150" s="855"/>
      <c r="T150" s="896">
        <f t="shared" si="36"/>
        <v>0</v>
      </c>
      <c r="U150" s="862"/>
      <c r="V150" s="857"/>
      <c r="W150" s="857">
        <f t="shared" si="28"/>
        <v>0</v>
      </c>
      <c r="X150" s="863"/>
      <c r="Y150" s="664">
        <f t="shared" si="35"/>
        <v>0</v>
      </c>
      <c r="Z150" s="664">
        <f t="shared" si="37"/>
        <v>0</v>
      </c>
      <c r="AA150" s="836"/>
      <c r="AB150" s="982"/>
      <c r="AC150" s="867"/>
      <c r="AD150" s="867"/>
      <c r="AE150" s="979">
        <f t="shared" si="33"/>
        <v>0</v>
      </c>
      <c r="AF150" s="878"/>
      <c r="AG150" s="335"/>
      <c r="AH150" s="979">
        <f t="shared" si="29"/>
        <v>0</v>
      </c>
      <c r="AI150" s="979"/>
      <c r="AJ150" s="979">
        <f t="shared" si="32"/>
        <v>0</v>
      </c>
      <c r="AK150" s="878"/>
      <c r="AL150" s="618"/>
      <c r="AM150" s="618"/>
    </row>
    <row r="151" spans="1:81" s="641" customFormat="1" ht="21.6" customHeight="1" x14ac:dyDescent="0.25">
      <c r="A151" s="836"/>
      <c r="B151" s="836"/>
      <c r="C151" s="836"/>
      <c r="D151" s="1086" t="s">
        <v>79</v>
      </c>
      <c r="E151" s="836"/>
      <c r="F151" s="846" t="s">
        <v>593</v>
      </c>
      <c r="G151" s="836" t="s">
        <v>276</v>
      </c>
      <c r="H151" s="844"/>
      <c r="I151" s="625"/>
      <c r="J151" s="844"/>
      <c r="K151" s="626"/>
      <c r="L151" s="890"/>
      <c r="M151" s="890"/>
      <c r="N151" s="890">
        <f t="shared" si="31"/>
        <v>0</v>
      </c>
      <c r="O151" s="467"/>
      <c r="P151" s="467"/>
      <c r="Q151" s="467">
        <f t="shared" si="34"/>
        <v>0</v>
      </c>
      <c r="R151" s="625"/>
      <c r="S151" s="842"/>
      <c r="T151" s="862">
        <f t="shared" si="36"/>
        <v>0</v>
      </c>
      <c r="U151" s="862"/>
      <c r="V151" s="863"/>
      <c r="W151" s="857">
        <f t="shared" ref="W151:W197" si="38">V151/15</f>
        <v>0</v>
      </c>
      <c r="X151" s="863"/>
      <c r="Y151" s="836">
        <f t="shared" si="35"/>
        <v>0</v>
      </c>
      <c r="Z151" s="664">
        <f t="shared" si="37"/>
        <v>0</v>
      </c>
      <c r="AA151" s="836"/>
      <c r="AB151" s="982"/>
      <c r="AC151" s="867"/>
      <c r="AD151" s="867"/>
      <c r="AE151" s="979">
        <f t="shared" si="33"/>
        <v>0</v>
      </c>
      <c r="AF151" s="878"/>
      <c r="AG151" s="335"/>
      <c r="AH151" s="979">
        <f t="shared" ref="AH151:AH214" si="39">AG151/15</f>
        <v>0</v>
      </c>
      <c r="AI151" s="979"/>
      <c r="AJ151" s="979">
        <f t="shared" si="32"/>
        <v>0</v>
      </c>
      <c r="AK151" s="878"/>
      <c r="AL151" s="648"/>
      <c r="AM151" s="648"/>
      <c r="AN151" s="647"/>
      <c r="AO151" s="647"/>
      <c r="AP151" s="647"/>
      <c r="AQ151" s="647"/>
      <c r="AR151" s="647"/>
      <c r="AS151" s="647"/>
      <c r="AT151" s="647"/>
      <c r="AU151" s="647"/>
      <c r="AV151" s="647"/>
      <c r="AW151" s="647"/>
      <c r="AX151" s="647"/>
      <c r="AY151" s="647"/>
      <c r="AZ151" s="647"/>
      <c r="BA151" s="647"/>
      <c r="BB151" s="647"/>
      <c r="BC151" s="647"/>
      <c r="BD151" s="647"/>
      <c r="BE151" s="647"/>
      <c r="BF151" s="647"/>
      <c r="BG151" s="647"/>
      <c r="BH151" s="647"/>
      <c r="BI151" s="647"/>
      <c r="BJ151" s="647"/>
      <c r="BK151" s="647"/>
      <c r="BL151" s="647"/>
      <c r="BM151" s="647"/>
      <c r="BN151" s="647"/>
      <c r="BO151" s="647"/>
      <c r="BP151" s="647"/>
      <c r="BQ151" s="647"/>
      <c r="BR151" s="647"/>
      <c r="BS151" s="647"/>
      <c r="BT151" s="647"/>
      <c r="BU151" s="647"/>
      <c r="BV151" s="647"/>
      <c r="BW151" s="647"/>
      <c r="BX151" s="647"/>
      <c r="BY151" s="647"/>
      <c r="BZ151" s="647"/>
      <c r="CA151" s="647"/>
      <c r="CB151" s="647"/>
      <c r="CC151" s="647"/>
    </row>
    <row r="152" spans="1:81" ht="28.9" customHeight="1" x14ac:dyDescent="0.25">
      <c r="A152" s="664">
        <v>76</v>
      </c>
      <c r="B152" s="664" t="s">
        <v>28</v>
      </c>
      <c r="C152" s="664">
        <v>6</v>
      </c>
      <c r="D152" s="1086" t="s">
        <v>79</v>
      </c>
      <c r="E152" s="836"/>
      <c r="F152" s="846" t="s">
        <v>84</v>
      </c>
      <c r="G152" s="836" t="s">
        <v>265</v>
      </c>
      <c r="H152" s="844"/>
      <c r="I152" s="625"/>
      <c r="J152" s="844"/>
      <c r="K152" s="626"/>
      <c r="L152" s="893"/>
      <c r="M152" s="893"/>
      <c r="N152" s="893">
        <f t="shared" si="31"/>
        <v>0</v>
      </c>
      <c r="O152" s="856"/>
      <c r="P152" s="856"/>
      <c r="Q152" s="856">
        <f t="shared" si="34"/>
        <v>0</v>
      </c>
      <c r="R152" s="894"/>
      <c r="S152" s="855"/>
      <c r="T152" s="896">
        <f t="shared" si="36"/>
        <v>0</v>
      </c>
      <c r="U152" s="862"/>
      <c r="V152" s="857"/>
      <c r="W152" s="857">
        <f t="shared" si="38"/>
        <v>0</v>
      </c>
      <c r="X152" s="863"/>
      <c r="Y152" s="664">
        <f t="shared" si="35"/>
        <v>0</v>
      </c>
      <c r="Z152" s="664">
        <f t="shared" si="37"/>
        <v>0</v>
      </c>
      <c r="AA152" s="836"/>
      <c r="AB152" s="982"/>
      <c r="AC152" s="867"/>
      <c r="AD152" s="867"/>
      <c r="AE152" s="979">
        <f t="shared" si="33"/>
        <v>0</v>
      </c>
      <c r="AF152" s="878"/>
      <c r="AG152" s="335"/>
      <c r="AH152" s="979">
        <f t="shared" si="39"/>
        <v>0</v>
      </c>
      <c r="AI152" s="979"/>
      <c r="AJ152" s="979">
        <f t="shared" si="32"/>
        <v>0</v>
      </c>
      <c r="AK152" s="878"/>
      <c r="AL152" s="618"/>
      <c r="AM152" s="618"/>
    </row>
    <row r="153" spans="1:81" ht="25.9" customHeight="1" x14ac:dyDescent="0.25">
      <c r="A153" s="664"/>
      <c r="B153" s="664"/>
      <c r="C153" s="664"/>
      <c r="D153" s="1086"/>
      <c r="E153" s="836"/>
      <c r="F153" s="846"/>
      <c r="G153" s="836"/>
      <c r="H153" s="844"/>
      <c r="I153" s="625"/>
      <c r="J153" s="844"/>
      <c r="K153" s="626"/>
      <c r="L153" s="893"/>
      <c r="M153" s="893"/>
      <c r="N153" s="893">
        <f t="shared" si="31"/>
        <v>0</v>
      </c>
      <c r="O153" s="856"/>
      <c r="P153" s="856"/>
      <c r="Q153" s="856">
        <f t="shared" si="34"/>
        <v>0</v>
      </c>
      <c r="R153" s="894"/>
      <c r="S153" s="855"/>
      <c r="T153" s="896">
        <f t="shared" si="36"/>
        <v>0</v>
      </c>
      <c r="U153" s="862"/>
      <c r="V153" s="857"/>
      <c r="W153" s="857">
        <f t="shared" si="38"/>
        <v>0</v>
      </c>
      <c r="X153" s="863"/>
      <c r="Y153" s="664">
        <f t="shared" si="35"/>
        <v>0</v>
      </c>
      <c r="Z153" s="664">
        <f t="shared" si="37"/>
        <v>0</v>
      </c>
      <c r="AA153" s="836"/>
      <c r="AB153" s="982"/>
      <c r="AC153" s="867"/>
      <c r="AD153" s="867"/>
      <c r="AE153" s="979">
        <f t="shared" si="33"/>
        <v>0</v>
      </c>
      <c r="AF153" s="878"/>
      <c r="AG153" s="335"/>
      <c r="AH153" s="979">
        <f t="shared" si="39"/>
        <v>0</v>
      </c>
      <c r="AI153" s="979"/>
      <c r="AJ153" s="979">
        <f t="shared" si="32"/>
        <v>0</v>
      </c>
      <c r="AK153" s="878"/>
      <c r="AL153" s="618"/>
      <c r="AM153" s="618"/>
    </row>
    <row r="154" spans="1:81" ht="21.6" customHeight="1" x14ac:dyDescent="0.25">
      <c r="A154" s="664"/>
      <c r="B154" s="664"/>
      <c r="C154" s="664"/>
      <c r="D154" s="1086" t="s">
        <v>330</v>
      </c>
      <c r="E154" s="836"/>
      <c r="F154" s="846" t="s">
        <v>331</v>
      </c>
      <c r="G154" s="836" t="s">
        <v>276</v>
      </c>
      <c r="H154" s="844"/>
      <c r="I154" s="625"/>
      <c r="J154" s="844"/>
      <c r="K154" s="626"/>
      <c r="L154" s="893"/>
      <c r="M154" s="893"/>
      <c r="N154" s="893">
        <f t="shared" si="31"/>
        <v>0</v>
      </c>
      <c r="O154" s="856"/>
      <c r="P154" s="856"/>
      <c r="Q154" s="856">
        <f t="shared" si="34"/>
        <v>0</v>
      </c>
      <c r="R154" s="894"/>
      <c r="S154" s="855"/>
      <c r="T154" s="896">
        <f t="shared" si="36"/>
        <v>0</v>
      </c>
      <c r="U154" s="862">
        <f>SUM(T154:T157)</f>
        <v>0</v>
      </c>
      <c r="V154" s="857"/>
      <c r="W154" s="857">
        <f t="shared" si="38"/>
        <v>0</v>
      </c>
      <c r="X154" s="863">
        <f>SUM(W154:W157)</f>
        <v>0</v>
      </c>
      <c r="Y154" s="664">
        <f t="shared" si="35"/>
        <v>0</v>
      </c>
      <c r="Z154" s="664">
        <f t="shared" si="37"/>
        <v>0</v>
      </c>
      <c r="AA154" s="836">
        <f>SUM(Z154:Z157)</f>
        <v>0</v>
      </c>
      <c r="AB154" s="982">
        <v>0</v>
      </c>
      <c r="AC154" s="867"/>
      <c r="AD154" s="867"/>
      <c r="AE154" s="979">
        <f t="shared" si="33"/>
        <v>0</v>
      </c>
      <c r="AF154" s="878">
        <f>SUM(AE154:AE157)</f>
        <v>0</v>
      </c>
      <c r="AG154" s="335"/>
      <c r="AH154" s="979">
        <f t="shared" si="39"/>
        <v>0</v>
      </c>
      <c r="AI154" s="979">
        <f>SUM(AH154:AH157)</f>
        <v>0</v>
      </c>
      <c r="AJ154" s="979">
        <f t="shared" si="32"/>
        <v>0</v>
      </c>
      <c r="AK154" s="878">
        <f>SUM(AJ154:AJ157)</f>
        <v>0</v>
      </c>
      <c r="AL154" s="618"/>
      <c r="AM154" s="618"/>
    </row>
    <row r="155" spans="1:81" ht="21.6" customHeight="1" x14ac:dyDescent="0.25">
      <c r="A155" s="664"/>
      <c r="B155" s="664"/>
      <c r="C155" s="664"/>
      <c r="D155" s="1086" t="s">
        <v>330</v>
      </c>
      <c r="E155" s="845"/>
      <c r="F155" s="846" t="s">
        <v>543</v>
      </c>
      <c r="G155" s="836" t="s">
        <v>276</v>
      </c>
      <c r="H155" s="844"/>
      <c r="I155" s="625"/>
      <c r="J155" s="844"/>
      <c r="K155" s="626"/>
      <c r="L155" s="893"/>
      <c r="M155" s="893"/>
      <c r="N155" s="893">
        <f t="shared" si="31"/>
        <v>0</v>
      </c>
      <c r="O155" s="856"/>
      <c r="P155" s="856"/>
      <c r="Q155" s="856">
        <f t="shared" si="34"/>
        <v>0</v>
      </c>
      <c r="R155" s="894"/>
      <c r="S155" s="855"/>
      <c r="T155" s="896">
        <f t="shared" si="36"/>
        <v>0</v>
      </c>
      <c r="U155" s="862"/>
      <c r="V155" s="857"/>
      <c r="W155" s="857">
        <f t="shared" si="38"/>
        <v>0</v>
      </c>
      <c r="X155" s="863"/>
      <c r="Y155" s="664">
        <f t="shared" si="35"/>
        <v>0</v>
      </c>
      <c r="Z155" s="664">
        <f t="shared" si="37"/>
        <v>0</v>
      </c>
      <c r="AA155" s="836"/>
      <c r="AB155" s="982"/>
      <c r="AC155" s="867"/>
      <c r="AD155" s="867"/>
      <c r="AE155" s="979">
        <f t="shared" si="33"/>
        <v>0</v>
      </c>
      <c r="AF155" s="878"/>
      <c r="AG155" s="335"/>
      <c r="AH155" s="979">
        <f t="shared" si="39"/>
        <v>0</v>
      </c>
      <c r="AI155" s="979"/>
      <c r="AJ155" s="979">
        <f t="shared" si="32"/>
        <v>0</v>
      </c>
      <c r="AK155" s="878"/>
      <c r="AL155" s="618"/>
      <c r="AM155" s="618"/>
    </row>
    <row r="156" spans="1:81" s="641" customFormat="1" ht="21.6" customHeight="1" x14ac:dyDescent="0.25">
      <c r="A156" s="836"/>
      <c r="B156" s="836"/>
      <c r="C156" s="836"/>
      <c r="D156" s="1086" t="s">
        <v>330</v>
      </c>
      <c r="E156" s="836"/>
      <c r="F156" s="846" t="s">
        <v>544</v>
      </c>
      <c r="G156" s="836" t="s">
        <v>276</v>
      </c>
      <c r="H156" s="844"/>
      <c r="I156" s="625"/>
      <c r="J156" s="844"/>
      <c r="K156" s="626"/>
      <c r="L156" s="890"/>
      <c r="M156" s="890"/>
      <c r="N156" s="890">
        <f t="shared" si="31"/>
        <v>0</v>
      </c>
      <c r="O156" s="467"/>
      <c r="P156" s="467"/>
      <c r="Q156" s="467">
        <f t="shared" si="34"/>
        <v>0</v>
      </c>
      <c r="R156" s="625"/>
      <c r="S156" s="842"/>
      <c r="T156" s="896">
        <f t="shared" si="36"/>
        <v>0</v>
      </c>
      <c r="U156" s="862"/>
      <c r="V156" s="863"/>
      <c r="W156" s="857">
        <f t="shared" si="38"/>
        <v>0</v>
      </c>
      <c r="X156" s="863"/>
      <c r="Y156" s="836">
        <f t="shared" si="35"/>
        <v>0</v>
      </c>
      <c r="Z156" s="664">
        <f t="shared" si="37"/>
        <v>0</v>
      </c>
      <c r="AA156" s="836"/>
      <c r="AB156" s="982"/>
      <c r="AC156" s="867"/>
      <c r="AD156" s="867"/>
      <c r="AE156" s="979">
        <f t="shared" si="33"/>
        <v>0</v>
      </c>
      <c r="AF156" s="878"/>
      <c r="AG156" s="335"/>
      <c r="AH156" s="979">
        <f t="shared" si="39"/>
        <v>0</v>
      </c>
      <c r="AI156" s="979"/>
      <c r="AJ156" s="979">
        <f t="shared" si="32"/>
        <v>0</v>
      </c>
      <c r="AK156" s="878"/>
      <c r="AL156" s="648"/>
      <c r="AM156" s="648"/>
      <c r="AN156" s="647"/>
      <c r="AO156" s="647"/>
      <c r="AP156" s="647"/>
      <c r="AQ156" s="647"/>
      <c r="AR156" s="647"/>
      <c r="AS156" s="647"/>
      <c r="AT156" s="647"/>
      <c r="AU156" s="647"/>
      <c r="AV156" s="647"/>
      <c r="AW156" s="647"/>
      <c r="AX156" s="647"/>
      <c r="AY156" s="647"/>
      <c r="AZ156" s="647"/>
      <c r="BA156" s="647"/>
      <c r="BB156" s="647"/>
      <c r="BC156" s="647"/>
      <c r="BD156" s="647"/>
      <c r="BE156" s="647"/>
      <c r="BF156" s="647"/>
      <c r="BG156" s="647"/>
      <c r="BH156" s="647"/>
      <c r="BI156" s="647"/>
      <c r="BJ156" s="647"/>
      <c r="BK156" s="647"/>
      <c r="BL156" s="647"/>
      <c r="BM156" s="647"/>
      <c r="BN156" s="647"/>
      <c r="BO156" s="647"/>
      <c r="BP156" s="647"/>
      <c r="BQ156" s="647"/>
      <c r="BR156" s="647"/>
      <c r="BS156" s="647"/>
      <c r="BT156" s="647"/>
      <c r="BU156" s="647"/>
      <c r="BV156" s="647"/>
      <c r="BW156" s="647"/>
      <c r="BX156" s="647"/>
      <c r="BY156" s="647"/>
      <c r="BZ156" s="647"/>
      <c r="CA156" s="647"/>
      <c r="CB156" s="647"/>
      <c r="CC156" s="647"/>
    </row>
    <row r="157" spans="1:81" ht="21.6" customHeight="1" x14ac:dyDescent="0.25">
      <c r="A157" s="664"/>
      <c r="B157" s="664"/>
      <c r="C157" s="664"/>
      <c r="D157" s="1086" t="s">
        <v>330</v>
      </c>
      <c r="E157" s="836"/>
      <c r="F157" s="846" t="s">
        <v>332</v>
      </c>
      <c r="G157" s="836" t="s">
        <v>276</v>
      </c>
      <c r="H157" s="844"/>
      <c r="I157" s="625"/>
      <c r="J157" s="844"/>
      <c r="K157" s="626"/>
      <c r="L157" s="893"/>
      <c r="M157" s="893"/>
      <c r="N157" s="893">
        <f t="shared" si="31"/>
        <v>0</v>
      </c>
      <c r="O157" s="856"/>
      <c r="P157" s="856"/>
      <c r="Q157" s="856">
        <f t="shared" si="34"/>
        <v>0</v>
      </c>
      <c r="R157" s="894"/>
      <c r="S157" s="855"/>
      <c r="T157" s="896">
        <f t="shared" si="36"/>
        <v>0</v>
      </c>
      <c r="U157" s="862"/>
      <c r="V157" s="857"/>
      <c r="W157" s="857">
        <f t="shared" si="38"/>
        <v>0</v>
      </c>
      <c r="X157" s="863"/>
      <c r="Y157" s="664">
        <f t="shared" si="35"/>
        <v>0</v>
      </c>
      <c r="Z157" s="664">
        <f t="shared" si="37"/>
        <v>0</v>
      </c>
      <c r="AA157" s="836"/>
      <c r="AB157" s="982"/>
      <c r="AC157" s="867"/>
      <c r="AD157" s="867"/>
      <c r="AE157" s="979">
        <f t="shared" si="33"/>
        <v>0</v>
      </c>
      <c r="AF157" s="878"/>
      <c r="AG157" s="335"/>
      <c r="AH157" s="979">
        <f t="shared" si="39"/>
        <v>0</v>
      </c>
      <c r="AI157" s="979"/>
      <c r="AJ157" s="979">
        <f t="shared" si="32"/>
        <v>0</v>
      </c>
      <c r="AK157" s="878"/>
      <c r="AL157" s="618"/>
      <c r="AM157" s="618"/>
    </row>
    <row r="158" spans="1:81" ht="21.6" customHeight="1" x14ac:dyDescent="0.25">
      <c r="A158" s="664"/>
      <c r="B158" s="664"/>
      <c r="C158" s="664"/>
      <c r="D158" s="1086"/>
      <c r="E158" s="845"/>
      <c r="F158" s="846"/>
      <c r="G158" s="836"/>
      <c r="H158" s="844"/>
      <c r="I158" s="844"/>
      <c r="J158" s="664"/>
      <c r="K158" s="922"/>
      <c r="L158" s="893"/>
      <c r="M158" s="893"/>
      <c r="N158" s="893">
        <f t="shared" si="31"/>
        <v>0</v>
      </c>
      <c r="O158" s="856"/>
      <c r="P158" s="856"/>
      <c r="Q158" s="856">
        <f t="shared" si="34"/>
        <v>0</v>
      </c>
      <c r="R158" s="894"/>
      <c r="S158" s="855"/>
      <c r="T158" s="896">
        <f t="shared" si="36"/>
        <v>0</v>
      </c>
      <c r="U158" s="862"/>
      <c r="V158" s="857"/>
      <c r="W158" s="857">
        <f t="shared" si="38"/>
        <v>0</v>
      </c>
      <c r="X158" s="863"/>
      <c r="Y158" s="664">
        <f t="shared" si="35"/>
        <v>0</v>
      </c>
      <c r="Z158" s="664">
        <f t="shared" si="37"/>
        <v>0</v>
      </c>
      <c r="AA158" s="836"/>
      <c r="AB158" s="982"/>
      <c r="AC158" s="867"/>
      <c r="AD158" s="867"/>
      <c r="AE158" s="979">
        <f t="shared" si="33"/>
        <v>0</v>
      </c>
      <c r="AF158" s="878"/>
      <c r="AG158" s="335"/>
      <c r="AH158" s="979">
        <f t="shared" si="39"/>
        <v>0</v>
      </c>
      <c r="AI158" s="979"/>
      <c r="AJ158" s="979">
        <f t="shared" si="32"/>
        <v>0</v>
      </c>
      <c r="AK158" s="878"/>
      <c r="AL158" s="618"/>
      <c r="AM158" s="618"/>
    </row>
    <row r="159" spans="1:81" ht="21.6" customHeight="1" x14ac:dyDescent="0.25">
      <c r="A159" s="664">
        <v>84</v>
      </c>
      <c r="B159" s="664" t="s">
        <v>28</v>
      </c>
      <c r="C159" s="664">
        <v>6</v>
      </c>
      <c r="D159" s="1086" t="s">
        <v>85</v>
      </c>
      <c r="E159" s="845"/>
      <c r="F159" s="846" t="s">
        <v>90</v>
      </c>
      <c r="G159" s="836" t="s">
        <v>265</v>
      </c>
      <c r="H159" s="844"/>
      <c r="I159" s="844"/>
      <c r="J159" s="664" t="s">
        <v>265</v>
      </c>
      <c r="K159" s="922" t="s">
        <v>768</v>
      </c>
      <c r="L159" s="893">
        <v>18</v>
      </c>
      <c r="M159" s="893">
        <v>3</v>
      </c>
      <c r="N159" s="893">
        <f t="shared" si="31"/>
        <v>21</v>
      </c>
      <c r="O159" s="856">
        <v>31</v>
      </c>
      <c r="P159" s="856"/>
      <c r="Q159" s="856">
        <f t="shared" si="34"/>
        <v>31</v>
      </c>
      <c r="R159" s="894"/>
      <c r="S159" s="855"/>
      <c r="T159" s="896">
        <f>S159/15</f>
        <v>0</v>
      </c>
      <c r="U159" s="862">
        <f>SUM(T159:T172)</f>
        <v>0</v>
      </c>
      <c r="V159" s="857">
        <v>465</v>
      </c>
      <c r="W159" s="857">
        <f t="shared" si="38"/>
        <v>31</v>
      </c>
      <c r="X159" s="863">
        <f>SUM(W159:W172)</f>
        <v>215</v>
      </c>
      <c r="Y159" s="664">
        <f t="shared" si="35"/>
        <v>465</v>
      </c>
      <c r="Z159" s="664">
        <f>W159+T159</f>
        <v>31</v>
      </c>
      <c r="AA159" s="836">
        <f>SUM(Z159:Z172)</f>
        <v>215</v>
      </c>
      <c r="AB159" s="982">
        <v>215</v>
      </c>
      <c r="AC159" s="867">
        <v>18</v>
      </c>
      <c r="AD159" s="867">
        <v>3</v>
      </c>
      <c r="AE159" s="979">
        <f t="shared" si="33"/>
        <v>21</v>
      </c>
      <c r="AF159" s="878">
        <f>SUM(AE159:AE172)</f>
        <v>160</v>
      </c>
      <c r="AG159" s="335">
        <v>465</v>
      </c>
      <c r="AH159" s="979">
        <f t="shared" si="39"/>
        <v>31</v>
      </c>
      <c r="AI159" s="979">
        <f>SUM(AH159:AH172)</f>
        <v>216.61133333333333</v>
      </c>
      <c r="AJ159" s="979">
        <f t="shared" si="32"/>
        <v>0</v>
      </c>
      <c r="AK159" s="878">
        <f>SUM(AJ159:AJ172)</f>
        <v>-1.6113333333333308</v>
      </c>
      <c r="AL159" s="618"/>
      <c r="AM159" s="618"/>
    </row>
    <row r="160" spans="1:81" ht="21.6" customHeight="1" x14ac:dyDescent="0.25">
      <c r="A160" s="664">
        <v>82</v>
      </c>
      <c r="B160" s="664" t="s">
        <v>28</v>
      </c>
      <c r="C160" s="664">
        <v>4</v>
      </c>
      <c r="D160" s="1086" t="s">
        <v>85</v>
      </c>
      <c r="E160" s="845"/>
      <c r="F160" s="846" t="s">
        <v>88</v>
      </c>
      <c r="G160" s="836" t="s">
        <v>265</v>
      </c>
      <c r="H160" s="844"/>
      <c r="I160" s="844"/>
      <c r="J160" s="664"/>
      <c r="K160" s="922"/>
      <c r="L160" s="893"/>
      <c r="M160" s="893"/>
      <c r="N160" s="893">
        <f t="shared" si="31"/>
        <v>0</v>
      </c>
      <c r="O160" s="856"/>
      <c r="P160" s="856"/>
      <c r="Q160" s="856">
        <f t="shared" si="34"/>
        <v>0</v>
      </c>
      <c r="R160" s="894"/>
      <c r="S160" s="855"/>
      <c r="T160" s="896">
        <f t="shared" si="36"/>
        <v>0</v>
      </c>
      <c r="U160" s="862"/>
      <c r="V160" s="857"/>
      <c r="W160" s="857">
        <f t="shared" si="38"/>
        <v>0</v>
      </c>
      <c r="X160" s="863"/>
      <c r="Y160" s="664">
        <f t="shared" si="35"/>
        <v>0</v>
      </c>
      <c r="Z160" s="664">
        <f t="shared" si="37"/>
        <v>0</v>
      </c>
      <c r="AA160" s="836"/>
      <c r="AB160" s="982"/>
      <c r="AC160" s="867"/>
      <c r="AD160" s="867"/>
      <c r="AE160" s="979">
        <f t="shared" si="33"/>
        <v>0</v>
      </c>
      <c r="AF160" s="878"/>
      <c r="AG160" s="335"/>
      <c r="AH160" s="979">
        <f t="shared" si="39"/>
        <v>0</v>
      </c>
      <c r="AI160" s="979"/>
      <c r="AJ160" s="979">
        <f t="shared" si="32"/>
        <v>0</v>
      </c>
      <c r="AK160" s="878"/>
      <c r="AL160" s="618"/>
      <c r="AM160" s="618"/>
      <c r="AN160" s="725"/>
      <c r="AO160" s="725"/>
      <c r="AP160" s="725"/>
      <c r="AQ160" s="725"/>
      <c r="AR160" s="725"/>
      <c r="AS160" s="725"/>
      <c r="AT160" s="725"/>
      <c r="AU160" s="725"/>
      <c r="AV160" s="725"/>
      <c r="AW160" s="725"/>
      <c r="AX160" s="725"/>
      <c r="AY160" s="725"/>
      <c r="AZ160" s="725"/>
      <c r="BA160" s="725"/>
      <c r="BB160" s="725"/>
      <c r="BC160" s="725"/>
      <c r="BD160" s="725"/>
      <c r="BE160" s="725"/>
      <c r="BF160" s="725"/>
      <c r="BG160" s="725"/>
      <c r="BH160" s="725"/>
      <c r="BI160" s="725"/>
      <c r="BJ160" s="725"/>
      <c r="BK160" s="725"/>
      <c r="BL160" s="725"/>
      <c r="BM160" s="725"/>
      <c r="BN160" s="725"/>
      <c r="BO160" s="725"/>
      <c r="BP160" s="725"/>
      <c r="BQ160" s="725"/>
      <c r="BR160" s="725"/>
      <c r="BS160" s="725"/>
      <c r="BT160" s="725"/>
      <c r="BU160" s="725"/>
      <c r="BV160" s="725"/>
      <c r="BW160" s="725"/>
      <c r="BX160" s="725"/>
      <c r="BY160" s="725"/>
      <c r="BZ160" s="725"/>
      <c r="CA160" s="725"/>
      <c r="CB160" s="725"/>
      <c r="CC160" s="725"/>
    </row>
    <row r="161" spans="1:81" ht="27.75" customHeight="1" x14ac:dyDescent="0.25">
      <c r="A161" s="664"/>
      <c r="B161" s="664"/>
      <c r="C161" s="664"/>
      <c r="D161" s="1086" t="s">
        <v>85</v>
      </c>
      <c r="E161" s="836"/>
      <c r="F161" s="846" t="s">
        <v>313</v>
      </c>
      <c r="G161" s="836" t="s">
        <v>276</v>
      </c>
      <c r="H161" s="844"/>
      <c r="I161" s="625"/>
      <c r="J161" s="844"/>
      <c r="K161" s="626"/>
      <c r="L161" s="893"/>
      <c r="M161" s="893"/>
      <c r="N161" s="893">
        <f t="shared" si="31"/>
        <v>0</v>
      </c>
      <c r="O161" s="856"/>
      <c r="P161" s="856"/>
      <c r="Q161" s="856">
        <f t="shared" si="34"/>
        <v>0</v>
      </c>
      <c r="R161" s="894"/>
      <c r="S161" s="855"/>
      <c r="T161" s="896">
        <f t="shared" si="36"/>
        <v>0</v>
      </c>
      <c r="U161" s="862"/>
      <c r="V161" s="857"/>
      <c r="W161" s="857">
        <f t="shared" si="38"/>
        <v>0</v>
      </c>
      <c r="X161" s="863"/>
      <c r="Y161" s="664">
        <f t="shared" si="35"/>
        <v>0</v>
      </c>
      <c r="Z161" s="664">
        <f t="shared" si="37"/>
        <v>0</v>
      </c>
      <c r="AA161" s="836"/>
      <c r="AB161" s="982"/>
      <c r="AC161" s="867"/>
      <c r="AD161" s="867"/>
      <c r="AE161" s="979">
        <f t="shared" si="33"/>
        <v>0</v>
      </c>
      <c r="AF161" s="878"/>
      <c r="AG161" s="335"/>
      <c r="AH161" s="979">
        <f t="shared" si="39"/>
        <v>0</v>
      </c>
      <c r="AI161" s="979"/>
      <c r="AJ161" s="979">
        <f t="shared" si="32"/>
        <v>0</v>
      </c>
      <c r="AK161" s="878"/>
      <c r="AL161" s="618"/>
      <c r="AM161" s="618"/>
    </row>
    <row r="162" spans="1:81" ht="21.6" customHeight="1" x14ac:dyDescent="0.25">
      <c r="A162" s="664"/>
      <c r="B162" s="664"/>
      <c r="C162" s="664"/>
      <c r="D162" s="1086" t="s">
        <v>85</v>
      </c>
      <c r="E162" s="836" t="s">
        <v>429</v>
      </c>
      <c r="F162" s="846" t="s">
        <v>545</v>
      </c>
      <c r="G162" s="836" t="s">
        <v>265</v>
      </c>
      <c r="H162" s="844"/>
      <c r="I162" s="625"/>
      <c r="J162" s="844" t="s">
        <v>265</v>
      </c>
      <c r="K162" s="626" t="s">
        <v>826</v>
      </c>
      <c r="L162" s="893">
        <v>22</v>
      </c>
      <c r="M162" s="893">
        <v>7</v>
      </c>
      <c r="N162" s="893">
        <f t="shared" si="31"/>
        <v>29</v>
      </c>
      <c r="O162" s="856">
        <v>22.027999999999999</v>
      </c>
      <c r="P162" s="856"/>
      <c r="Q162" s="856">
        <f t="shared" si="34"/>
        <v>22.027999999999999</v>
      </c>
      <c r="R162" s="894"/>
      <c r="S162" s="855"/>
      <c r="T162" s="896">
        <f t="shared" si="36"/>
        <v>0</v>
      </c>
      <c r="U162" s="862"/>
      <c r="V162" s="857">
        <v>375</v>
      </c>
      <c r="W162" s="857">
        <f t="shared" si="38"/>
        <v>25</v>
      </c>
      <c r="X162" s="863"/>
      <c r="Y162" s="664">
        <f t="shared" si="35"/>
        <v>375</v>
      </c>
      <c r="Z162" s="664">
        <f t="shared" si="37"/>
        <v>25</v>
      </c>
      <c r="AA162" s="836"/>
      <c r="AB162" s="982"/>
      <c r="AC162" s="867">
        <v>26</v>
      </c>
      <c r="AD162" s="867">
        <v>7</v>
      </c>
      <c r="AE162" s="979">
        <f t="shared" si="33"/>
        <v>33</v>
      </c>
      <c r="AF162" s="878"/>
      <c r="AG162" s="335">
        <v>380.41999999999996</v>
      </c>
      <c r="AH162" s="979">
        <f t="shared" si="39"/>
        <v>25.361333333333331</v>
      </c>
      <c r="AI162" s="979"/>
      <c r="AJ162" s="979">
        <f t="shared" si="32"/>
        <v>-0.36133333333333084</v>
      </c>
      <c r="AK162" s="878"/>
      <c r="AL162" s="618"/>
      <c r="AM162" s="618"/>
    </row>
    <row r="163" spans="1:81" ht="21.6" customHeight="1" x14ac:dyDescent="0.25">
      <c r="A163" s="664"/>
      <c r="B163" s="664"/>
      <c r="C163" s="664"/>
      <c r="D163" s="1086" t="s">
        <v>85</v>
      </c>
      <c r="E163" s="836" t="s">
        <v>429</v>
      </c>
      <c r="F163" s="846" t="s">
        <v>767</v>
      </c>
      <c r="G163" s="836" t="s">
        <v>276</v>
      </c>
      <c r="H163" s="844"/>
      <c r="I163" s="625"/>
      <c r="J163" s="844" t="s">
        <v>265</v>
      </c>
      <c r="K163" s="626">
        <v>42545</v>
      </c>
      <c r="L163" s="893"/>
      <c r="M163" s="893">
        <v>13</v>
      </c>
      <c r="N163" s="893">
        <f t="shared" si="31"/>
        <v>13</v>
      </c>
      <c r="O163" s="856">
        <v>19.25</v>
      </c>
      <c r="P163" s="856"/>
      <c r="Q163" s="856">
        <f t="shared" si="34"/>
        <v>19.25</v>
      </c>
      <c r="R163" s="894"/>
      <c r="S163" s="855"/>
      <c r="T163" s="896"/>
      <c r="U163" s="862"/>
      <c r="V163" s="857">
        <v>285</v>
      </c>
      <c r="W163" s="857">
        <f t="shared" si="38"/>
        <v>19</v>
      </c>
      <c r="X163" s="863"/>
      <c r="Y163" s="664">
        <f t="shared" si="35"/>
        <v>285</v>
      </c>
      <c r="Z163" s="664">
        <f t="shared" si="37"/>
        <v>19</v>
      </c>
      <c r="AA163" s="836"/>
      <c r="AB163" s="982"/>
      <c r="AC163" s="867">
        <v>0</v>
      </c>
      <c r="AD163" s="867">
        <v>13</v>
      </c>
      <c r="AE163" s="979">
        <f t="shared" si="33"/>
        <v>13</v>
      </c>
      <c r="AF163" s="878"/>
      <c r="AG163" s="335">
        <v>288.75</v>
      </c>
      <c r="AH163" s="979">
        <f t="shared" si="39"/>
        <v>19.25</v>
      </c>
      <c r="AI163" s="979"/>
      <c r="AJ163" s="979">
        <f t="shared" si="32"/>
        <v>-0.25</v>
      </c>
      <c r="AK163" s="878"/>
      <c r="AL163" s="618"/>
      <c r="AM163" s="618"/>
    </row>
    <row r="164" spans="1:81" ht="21.6" customHeight="1" x14ac:dyDescent="0.25">
      <c r="A164" s="664">
        <v>83</v>
      </c>
      <c r="B164" s="664" t="s">
        <v>28</v>
      </c>
      <c r="C164" s="664">
        <v>5</v>
      </c>
      <c r="D164" s="1086" t="s">
        <v>85</v>
      </c>
      <c r="E164" s="836" t="s">
        <v>429</v>
      </c>
      <c r="F164" s="846" t="s">
        <v>89</v>
      </c>
      <c r="G164" s="836" t="s">
        <v>265</v>
      </c>
      <c r="H164" s="844"/>
      <c r="I164" s="625"/>
      <c r="J164" s="844" t="s">
        <v>265</v>
      </c>
      <c r="K164" s="626" t="s">
        <v>768</v>
      </c>
      <c r="L164" s="893">
        <v>6</v>
      </c>
      <c r="M164" s="893"/>
      <c r="N164" s="893">
        <f t="shared" si="31"/>
        <v>6</v>
      </c>
      <c r="O164" s="856">
        <v>8</v>
      </c>
      <c r="P164" s="856"/>
      <c r="Q164" s="856">
        <f t="shared" si="34"/>
        <v>8</v>
      </c>
      <c r="R164" s="894"/>
      <c r="S164" s="855"/>
      <c r="T164" s="896">
        <f t="shared" si="36"/>
        <v>0</v>
      </c>
      <c r="U164" s="862"/>
      <c r="V164" s="857">
        <v>120</v>
      </c>
      <c r="W164" s="857">
        <f t="shared" si="38"/>
        <v>8</v>
      </c>
      <c r="X164" s="863"/>
      <c r="Y164" s="664">
        <f t="shared" si="35"/>
        <v>120</v>
      </c>
      <c r="Z164" s="664">
        <f t="shared" si="37"/>
        <v>8</v>
      </c>
      <c r="AA164" s="836"/>
      <c r="AB164" s="982"/>
      <c r="AC164" s="867">
        <v>6</v>
      </c>
      <c r="AD164" s="867">
        <v>0</v>
      </c>
      <c r="AE164" s="979">
        <f t="shared" si="33"/>
        <v>6</v>
      </c>
      <c r="AF164" s="878"/>
      <c r="AG164" s="335">
        <v>120</v>
      </c>
      <c r="AH164" s="979">
        <f t="shared" si="39"/>
        <v>8</v>
      </c>
      <c r="AI164" s="979"/>
      <c r="AJ164" s="979">
        <f t="shared" si="32"/>
        <v>0</v>
      </c>
      <c r="AK164" s="878"/>
      <c r="AL164" s="618"/>
      <c r="AM164" s="618"/>
    </row>
    <row r="165" spans="1:81" ht="21.6" customHeight="1" x14ac:dyDescent="0.25">
      <c r="A165" s="664"/>
      <c r="B165" s="664"/>
      <c r="C165" s="664"/>
      <c r="D165" s="1086" t="s">
        <v>85</v>
      </c>
      <c r="E165" s="836"/>
      <c r="F165" s="846" t="s">
        <v>622</v>
      </c>
      <c r="G165" s="836"/>
      <c r="H165" s="844"/>
      <c r="I165" s="625"/>
      <c r="J165" s="844"/>
      <c r="K165" s="626"/>
      <c r="L165" s="893"/>
      <c r="M165" s="893"/>
      <c r="N165" s="893">
        <f t="shared" si="31"/>
        <v>0</v>
      </c>
      <c r="O165" s="856"/>
      <c r="P165" s="856"/>
      <c r="Q165" s="856">
        <f t="shared" si="34"/>
        <v>0</v>
      </c>
      <c r="R165" s="894"/>
      <c r="S165" s="855"/>
      <c r="T165" s="896">
        <f t="shared" si="36"/>
        <v>0</v>
      </c>
      <c r="U165" s="862"/>
      <c r="V165" s="857"/>
      <c r="W165" s="857">
        <f t="shared" si="38"/>
        <v>0</v>
      </c>
      <c r="X165" s="863"/>
      <c r="Y165" s="664">
        <f t="shared" si="35"/>
        <v>0</v>
      </c>
      <c r="Z165" s="664">
        <f t="shared" si="37"/>
        <v>0</v>
      </c>
      <c r="AA165" s="836"/>
      <c r="AB165" s="982"/>
      <c r="AC165" s="867"/>
      <c r="AD165" s="867"/>
      <c r="AE165" s="979">
        <f t="shared" si="33"/>
        <v>0</v>
      </c>
      <c r="AF165" s="878"/>
      <c r="AG165" s="335"/>
      <c r="AH165" s="979">
        <f t="shared" si="39"/>
        <v>0</v>
      </c>
      <c r="AI165" s="979"/>
      <c r="AJ165" s="979">
        <f t="shared" si="32"/>
        <v>0</v>
      </c>
      <c r="AK165" s="878"/>
      <c r="AL165" s="618"/>
      <c r="AM165" s="618"/>
    </row>
    <row r="166" spans="1:81" ht="21.6" customHeight="1" x14ac:dyDescent="0.25">
      <c r="A166" s="664">
        <v>79</v>
      </c>
      <c r="B166" s="664" t="s">
        <v>28</v>
      </c>
      <c r="C166" s="664">
        <v>1</v>
      </c>
      <c r="D166" s="1086" t="s">
        <v>85</v>
      </c>
      <c r="E166" s="836"/>
      <c r="F166" s="846" t="s">
        <v>86</v>
      </c>
      <c r="G166" s="836" t="s">
        <v>265</v>
      </c>
      <c r="H166" s="844"/>
      <c r="I166" s="625"/>
      <c r="J166" s="844"/>
      <c r="K166" s="626"/>
      <c r="L166" s="893"/>
      <c r="M166" s="893"/>
      <c r="N166" s="893">
        <f t="shared" si="31"/>
        <v>0</v>
      </c>
      <c r="O166" s="856"/>
      <c r="P166" s="856"/>
      <c r="Q166" s="856">
        <f t="shared" si="34"/>
        <v>0</v>
      </c>
      <c r="R166" s="894"/>
      <c r="S166" s="855"/>
      <c r="T166" s="896">
        <f t="shared" si="36"/>
        <v>0</v>
      </c>
      <c r="U166" s="862"/>
      <c r="V166" s="857"/>
      <c r="W166" s="857">
        <f t="shared" si="38"/>
        <v>0</v>
      </c>
      <c r="X166" s="863"/>
      <c r="Y166" s="664">
        <f t="shared" si="35"/>
        <v>0</v>
      </c>
      <c r="Z166" s="664">
        <f t="shared" si="37"/>
        <v>0</v>
      </c>
      <c r="AA166" s="836"/>
      <c r="AB166" s="982"/>
      <c r="AC166" s="867"/>
      <c r="AD166" s="867"/>
      <c r="AE166" s="979">
        <f t="shared" si="33"/>
        <v>0</v>
      </c>
      <c r="AF166" s="878"/>
      <c r="AG166" s="335"/>
      <c r="AH166" s="979">
        <f t="shared" si="39"/>
        <v>0</v>
      </c>
      <c r="AI166" s="979"/>
      <c r="AJ166" s="979">
        <f t="shared" si="32"/>
        <v>0</v>
      </c>
      <c r="AK166" s="878"/>
      <c r="AL166" s="618"/>
      <c r="AM166" s="618"/>
    </row>
    <row r="167" spans="1:81" ht="21.6" customHeight="1" x14ac:dyDescent="0.25">
      <c r="A167" s="664"/>
      <c r="B167" s="664"/>
      <c r="C167" s="664"/>
      <c r="D167" s="1086" t="s">
        <v>85</v>
      </c>
      <c r="E167" s="836"/>
      <c r="F167" s="846" t="s">
        <v>541</v>
      </c>
      <c r="G167" s="836"/>
      <c r="H167" s="844"/>
      <c r="I167" s="625" t="s">
        <v>403</v>
      </c>
      <c r="J167" s="844" t="s">
        <v>403</v>
      </c>
      <c r="K167" s="626" t="s">
        <v>740</v>
      </c>
      <c r="L167" s="893">
        <v>75</v>
      </c>
      <c r="M167" s="893">
        <v>10</v>
      </c>
      <c r="N167" s="893">
        <f t="shared" si="31"/>
        <v>85</v>
      </c>
      <c r="O167" s="856">
        <v>137</v>
      </c>
      <c r="P167" s="856"/>
      <c r="Q167" s="856">
        <f t="shared" si="34"/>
        <v>137</v>
      </c>
      <c r="R167" s="894"/>
      <c r="S167" s="855"/>
      <c r="T167" s="896">
        <f t="shared" si="36"/>
        <v>0</v>
      </c>
      <c r="U167" s="862"/>
      <c r="V167" s="857">
        <v>1950</v>
      </c>
      <c r="W167" s="857">
        <f t="shared" si="38"/>
        <v>130</v>
      </c>
      <c r="X167" s="863"/>
      <c r="Y167" s="894">
        <f>V167+S167</f>
        <v>1950</v>
      </c>
      <c r="Z167" s="664">
        <f t="shared" si="37"/>
        <v>130</v>
      </c>
      <c r="AA167" s="836"/>
      <c r="AB167" s="982"/>
      <c r="AC167" s="867">
        <v>75</v>
      </c>
      <c r="AD167" s="867">
        <v>10</v>
      </c>
      <c r="AE167" s="979">
        <f t="shared" si="33"/>
        <v>85</v>
      </c>
      <c r="AF167" s="878"/>
      <c r="AG167" s="335">
        <v>1965</v>
      </c>
      <c r="AH167" s="979">
        <f t="shared" si="39"/>
        <v>131</v>
      </c>
      <c r="AI167" s="979"/>
      <c r="AJ167" s="979">
        <f t="shared" si="32"/>
        <v>-1</v>
      </c>
      <c r="AK167" s="878"/>
      <c r="AL167" s="618"/>
      <c r="AM167" s="618"/>
    </row>
    <row r="168" spans="1:81" ht="21.6" customHeight="1" x14ac:dyDescent="0.25">
      <c r="A168" s="664">
        <v>81</v>
      </c>
      <c r="B168" s="664" t="s">
        <v>28</v>
      </c>
      <c r="C168" s="664">
        <v>3</v>
      </c>
      <c r="D168" s="1086" t="s">
        <v>85</v>
      </c>
      <c r="E168" s="900"/>
      <c r="F168" s="846" t="s">
        <v>87</v>
      </c>
      <c r="G168" s="836" t="s">
        <v>265</v>
      </c>
      <c r="H168" s="844"/>
      <c r="I168" s="625"/>
      <c r="J168" s="844"/>
      <c r="K168" s="626"/>
      <c r="L168" s="893"/>
      <c r="M168" s="893"/>
      <c r="N168" s="893">
        <f t="shared" si="31"/>
        <v>0</v>
      </c>
      <c r="O168" s="856"/>
      <c r="P168" s="856"/>
      <c r="Q168" s="856">
        <f t="shared" si="34"/>
        <v>0</v>
      </c>
      <c r="R168" s="894"/>
      <c r="S168" s="855"/>
      <c r="T168" s="896">
        <f t="shared" si="36"/>
        <v>0</v>
      </c>
      <c r="U168" s="862"/>
      <c r="V168" s="857"/>
      <c r="W168" s="857">
        <f t="shared" si="38"/>
        <v>0</v>
      </c>
      <c r="X168" s="863"/>
      <c r="Y168" s="664">
        <f t="shared" si="35"/>
        <v>0</v>
      </c>
      <c r="Z168" s="664">
        <f t="shared" si="37"/>
        <v>0</v>
      </c>
      <c r="AA168" s="836"/>
      <c r="AB168" s="982"/>
      <c r="AC168" s="867"/>
      <c r="AD168" s="867"/>
      <c r="AE168" s="979">
        <f t="shared" si="33"/>
        <v>0</v>
      </c>
      <c r="AF168" s="878"/>
      <c r="AG168" s="335"/>
      <c r="AH168" s="979">
        <f t="shared" si="39"/>
        <v>0</v>
      </c>
      <c r="AI168" s="979"/>
      <c r="AJ168" s="979">
        <f t="shared" si="32"/>
        <v>0</v>
      </c>
      <c r="AK168" s="878"/>
      <c r="AL168" s="618"/>
      <c r="AM168" s="618"/>
    </row>
    <row r="169" spans="1:81" ht="21.6" customHeight="1" x14ac:dyDescent="0.25">
      <c r="A169" s="664">
        <v>85</v>
      </c>
      <c r="B169" s="664" t="s">
        <v>28</v>
      </c>
      <c r="C169" s="664">
        <v>7</v>
      </c>
      <c r="D169" s="1086" t="s">
        <v>85</v>
      </c>
      <c r="E169" s="836"/>
      <c r="F169" s="846" t="s">
        <v>91</v>
      </c>
      <c r="G169" s="836" t="s">
        <v>265</v>
      </c>
      <c r="H169" s="844"/>
      <c r="I169" s="625"/>
      <c r="J169" s="844"/>
      <c r="K169" s="626"/>
      <c r="L169" s="893"/>
      <c r="M169" s="893"/>
      <c r="N169" s="893">
        <f t="shared" si="31"/>
        <v>0</v>
      </c>
      <c r="O169" s="856"/>
      <c r="P169" s="856"/>
      <c r="Q169" s="856">
        <f t="shared" si="34"/>
        <v>0</v>
      </c>
      <c r="R169" s="894"/>
      <c r="S169" s="855"/>
      <c r="T169" s="896">
        <f t="shared" si="36"/>
        <v>0</v>
      </c>
      <c r="U169" s="862"/>
      <c r="V169" s="857"/>
      <c r="W169" s="857">
        <f t="shared" si="38"/>
        <v>0</v>
      </c>
      <c r="X169" s="863"/>
      <c r="Y169" s="664">
        <f t="shared" si="35"/>
        <v>0</v>
      </c>
      <c r="Z169" s="664">
        <f t="shared" si="37"/>
        <v>0</v>
      </c>
      <c r="AA169" s="836"/>
      <c r="AB169" s="982"/>
      <c r="AC169" s="867"/>
      <c r="AD169" s="867"/>
      <c r="AE169" s="979">
        <f t="shared" si="33"/>
        <v>0</v>
      </c>
      <c r="AF169" s="878"/>
      <c r="AG169" s="335"/>
      <c r="AH169" s="979">
        <f t="shared" si="39"/>
        <v>0</v>
      </c>
      <c r="AI169" s="979"/>
      <c r="AJ169" s="979">
        <f t="shared" si="32"/>
        <v>0</v>
      </c>
      <c r="AK169" s="878"/>
      <c r="AL169" s="618"/>
      <c r="AM169" s="618"/>
    </row>
    <row r="170" spans="1:81" ht="21.6" customHeight="1" x14ac:dyDescent="0.25">
      <c r="A170" s="664"/>
      <c r="B170" s="664"/>
      <c r="C170" s="664"/>
      <c r="D170" s="1086" t="s">
        <v>85</v>
      </c>
      <c r="E170" s="845" t="s">
        <v>429</v>
      </c>
      <c r="F170" s="846" t="s">
        <v>546</v>
      </c>
      <c r="G170" s="836" t="s">
        <v>265</v>
      </c>
      <c r="H170" s="844"/>
      <c r="I170" s="625"/>
      <c r="J170" s="844" t="s">
        <v>265</v>
      </c>
      <c r="K170" s="626" t="s">
        <v>827</v>
      </c>
      <c r="L170" s="893">
        <v>1</v>
      </c>
      <c r="M170" s="893">
        <v>1</v>
      </c>
      <c r="N170" s="893">
        <f t="shared" si="31"/>
        <v>2</v>
      </c>
      <c r="O170" s="856">
        <v>2</v>
      </c>
      <c r="P170" s="856"/>
      <c r="Q170" s="856">
        <f t="shared" si="34"/>
        <v>2</v>
      </c>
      <c r="R170" s="894"/>
      <c r="S170" s="855"/>
      <c r="T170" s="896">
        <f t="shared" si="36"/>
        <v>0</v>
      </c>
      <c r="U170" s="862"/>
      <c r="V170" s="857">
        <v>30</v>
      </c>
      <c r="W170" s="857">
        <f t="shared" si="38"/>
        <v>2</v>
      </c>
      <c r="X170" s="863"/>
      <c r="Y170" s="664">
        <f t="shared" si="35"/>
        <v>30</v>
      </c>
      <c r="Z170" s="664">
        <f t="shared" si="37"/>
        <v>2</v>
      </c>
      <c r="AA170" s="836"/>
      <c r="AB170" s="982"/>
      <c r="AC170" s="867">
        <v>1</v>
      </c>
      <c r="AD170" s="867">
        <v>1</v>
      </c>
      <c r="AE170" s="979">
        <f t="shared" si="33"/>
        <v>2</v>
      </c>
      <c r="AF170" s="878"/>
      <c r="AG170" s="335">
        <v>30</v>
      </c>
      <c r="AH170" s="979">
        <f t="shared" si="39"/>
        <v>2</v>
      </c>
      <c r="AI170" s="979"/>
      <c r="AJ170" s="979">
        <f t="shared" si="32"/>
        <v>0</v>
      </c>
      <c r="AK170" s="878"/>
      <c r="AL170" s="618"/>
      <c r="AM170" s="618"/>
    </row>
    <row r="171" spans="1:81" s="641" customFormat="1" ht="21.6" customHeight="1" x14ac:dyDescent="0.25">
      <c r="A171" s="836"/>
      <c r="B171" s="836"/>
      <c r="C171" s="836"/>
      <c r="D171" s="1086" t="s">
        <v>85</v>
      </c>
      <c r="E171" s="845"/>
      <c r="F171" s="846" t="s">
        <v>314</v>
      </c>
      <c r="G171" s="836" t="s">
        <v>276</v>
      </c>
      <c r="H171" s="844"/>
      <c r="I171" s="625"/>
      <c r="J171" s="844"/>
      <c r="K171" s="626"/>
      <c r="L171" s="890"/>
      <c r="M171" s="890"/>
      <c r="N171" s="890">
        <f t="shared" si="31"/>
        <v>0</v>
      </c>
      <c r="O171" s="467"/>
      <c r="P171" s="467"/>
      <c r="Q171" s="467">
        <f t="shared" si="34"/>
        <v>0</v>
      </c>
      <c r="R171" s="625"/>
      <c r="S171" s="842"/>
      <c r="T171" s="862">
        <f t="shared" si="36"/>
        <v>0</v>
      </c>
      <c r="U171" s="862"/>
      <c r="V171" s="863"/>
      <c r="W171" s="857">
        <f t="shared" si="38"/>
        <v>0</v>
      </c>
      <c r="X171" s="863"/>
      <c r="Y171" s="836">
        <f t="shared" si="35"/>
        <v>0</v>
      </c>
      <c r="Z171" s="664">
        <f t="shared" si="37"/>
        <v>0</v>
      </c>
      <c r="AA171" s="836"/>
      <c r="AB171" s="982"/>
      <c r="AC171" s="867"/>
      <c r="AD171" s="867"/>
      <c r="AE171" s="979">
        <f t="shared" si="33"/>
        <v>0</v>
      </c>
      <c r="AF171" s="878"/>
      <c r="AG171" s="335"/>
      <c r="AH171" s="979">
        <f t="shared" si="39"/>
        <v>0</v>
      </c>
      <c r="AI171" s="979"/>
      <c r="AJ171" s="979">
        <f t="shared" si="32"/>
        <v>0</v>
      </c>
      <c r="AK171" s="878"/>
      <c r="AL171" s="648"/>
      <c r="AM171" s="648"/>
      <c r="AN171" s="647"/>
      <c r="AO171" s="647"/>
      <c r="AP171" s="647"/>
      <c r="AQ171" s="647"/>
      <c r="AR171" s="647"/>
      <c r="AS171" s="647"/>
      <c r="AT171" s="647"/>
      <c r="AU171" s="647"/>
      <c r="AV171" s="647"/>
      <c r="AW171" s="647"/>
      <c r="AX171" s="647"/>
      <c r="AY171" s="647"/>
      <c r="AZ171" s="647"/>
      <c r="BA171" s="647"/>
      <c r="BB171" s="647"/>
      <c r="BC171" s="647"/>
      <c r="BD171" s="647"/>
      <c r="BE171" s="647"/>
      <c r="BF171" s="647"/>
      <c r="BG171" s="647"/>
      <c r="BH171" s="647"/>
      <c r="BI171" s="647"/>
      <c r="BJ171" s="647"/>
      <c r="BK171" s="647"/>
      <c r="BL171" s="647"/>
      <c r="BM171" s="647"/>
      <c r="BN171" s="647"/>
      <c r="BO171" s="647"/>
      <c r="BP171" s="647"/>
      <c r="BQ171" s="647"/>
      <c r="BR171" s="647"/>
      <c r="BS171" s="647"/>
      <c r="BT171" s="647"/>
      <c r="BU171" s="647"/>
      <c r="BV171" s="647"/>
      <c r="BW171" s="647"/>
      <c r="BX171" s="647"/>
      <c r="BY171" s="647"/>
      <c r="BZ171" s="647"/>
      <c r="CA171" s="647"/>
      <c r="CB171" s="647"/>
      <c r="CC171" s="647"/>
    </row>
    <row r="172" spans="1:81" ht="21.6" customHeight="1" x14ac:dyDescent="0.25">
      <c r="A172" s="664">
        <v>80</v>
      </c>
      <c r="B172" s="664" t="s">
        <v>28</v>
      </c>
      <c r="C172" s="664">
        <v>2</v>
      </c>
      <c r="D172" s="1086" t="s">
        <v>85</v>
      </c>
      <c r="E172" s="845"/>
      <c r="F172" s="846" t="s">
        <v>74</v>
      </c>
      <c r="G172" s="836" t="s">
        <v>265</v>
      </c>
      <c r="H172" s="844"/>
      <c r="I172" s="625"/>
      <c r="J172" s="844"/>
      <c r="K172" s="626"/>
      <c r="L172" s="893"/>
      <c r="M172" s="893"/>
      <c r="N172" s="893">
        <f t="shared" si="31"/>
        <v>0</v>
      </c>
      <c r="O172" s="856"/>
      <c r="P172" s="856"/>
      <c r="Q172" s="856">
        <f t="shared" si="34"/>
        <v>0</v>
      </c>
      <c r="R172" s="894"/>
      <c r="S172" s="855"/>
      <c r="T172" s="896">
        <f t="shared" si="36"/>
        <v>0</v>
      </c>
      <c r="U172" s="862"/>
      <c r="V172" s="857"/>
      <c r="W172" s="857">
        <f t="shared" si="38"/>
        <v>0</v>
      </c>
      <c r="X172" s="863"/>
      <c r="Y172" s="664">
        <f t="shared" si="35"/>
        <v>0</v>
      </c>
      <c r="Z172" s="664">
        <f t="shared" si="37"/>
        <v>0</v>
      </c>
      <c r="AA172" s="836"/>
      <c r="AB172" s="982"/>
      <c r="AC172" s="867"/>
      <c r="AD172" s="867"/>
      <c r="AE172" s="979">
        <f t="shared" si="33"/>
        <v>0</v>
      </c>
      <c r="AF172" s="878"/>
      <c r="AG172" s="335"/>
      <c r="AH172" s="979">
        <f t="shared" si="39"/>
        <v>0</v>
      </c>
      <c r="AI172" s="979"/>
      <c r="AJ172" s="979">
        <f t="shared" si="32"/>
        <v>0</v>
      </c>
      <c r="AK172" s="878"/>
      <c r="AL172" s="618"/>
      <c r="AM172" s="618"/>
    </row>
    <row r="173" spans="1:81" ht="21.6" customHeight="1" x14ac:dyDescent="0.25">
      <c r="A173" s="664"/>
      <c r="B173" s="664"/>
      <c r="C173" s="664"/>
      <c r="D173" s="1086"/>
      <c r="E173" s="845"/>
      <c r="F173" s="846"/>
      <c r="G173" s="836"/>
      <c r="H173" s="844"/>
      <c r="I173" s="625"/>
      <c r="J173" s="844"/>
      <c r="K173" s="626"/>
      <c r="L173" s="893"/>
      <c r="M173" s="893"/>
      <c r="N173" s="893">
        <f t="shared" si="31"/>
        <v>0</v>
      </c>
      <c r="O173" s="856"/>
      <c r="P173" s="856"/>
      <c r="Q173" s="856">
        <f t="shared" si="34"/>
        <v>0</v>
      </c>
      <c r="R173" s="894"/>
      <c r="S173" s="855"/>
      <c r="T173" s="896">
        <f t="shared" si="36"/>
        <v>0</v>
      </c>
      <c r="U173" s="862"/>
      <c r="V173" s="857"/>
      <c r="W173" s="857">
        <f t="shared" si="38"/>
        <v>0</v>
      </c>
      <c r="X173" s="863"/>
      <c r="Y173" s="664">
        <f t="shared" si="35"/>
        <v>0</v>
      </c>
      <c r="Z173" s="664">
        <f t="shared" si="37"/>
        <v>0</v>
      </c>
      <c r="AA173" s="836"/>
      <c r="AB173" s="982"/>
      <c r="AC173" s="867"/>
      <c r="AD173" s="867"/>
      <c r="AE173" s="979">
        <f t="shared" si="33"/>
        <v>0</v>
      </c>
      <c r="AF173" s="878"/>
      <c r="AG173" s="335"/>
      <c r="AH173" s="979">
        <f t="shared" si="39"/>
        <v>0</v>
      </c>
      <c r="AI173" s="979"/>
      <c r="AJ173" s="979">
        <f t="shared" si="32"/>
        <v>0</v>
      </c>
      <c r="AK173" s="878"/>
      <c r="AL173" s="618"/>
      <c r="AM173" s="618"/>
    </row>
    <row r="174" spans="1:81" ht="21.6" customHeight="1" x14ac:dyDescent="0.25">
      <c r="A174" s="664">
        <v>86</v>
      </c>
      <c r="B174" s="664" t="s">
        <v>28</v>
      </c>
      <c r="C174" s="664">
        <v>1</v>
      </c>
      <c r="D174" s="1086" t="s">
        <v>92</v>
      </c>
      <c r="E174" s="845"/>
      <c r="F174" s="846" t="s">
        <v>93</v>
      </c>
      <c r="G174" s="836" t="s">
        <v>265</v>
      </c>
      <c r="H174" s="844"/>
      <c r="I174" s="625"/>
      <c r="J174" s="844"/>
      <c r="K174" s="626"/>
      <c r="L174" s="893"/>
      <c r="M174" s="893"/>
      <c r="N174" s="893">
        <f t="shared" si="31"/>
        <v>0</v>
      </c>
      <c r="O174" s="856"/>
      <c r="P174" s="856"/>
      <c r="Q174" s="856">
        <f t="shared" si="34"/>
        <v>0</v>
      </c>
      <c r="R174" s="894"/>
      <c r="S174" s="855">
        <v>3</v>
      </c>
      <c r="T174" s="896">
        <f t="shared" si="36"/>
        <v>0.2</v>
      </c>
      <c r="U174" s="862">
        <f>SUM(T174:T186)</f>
        <v>0.2</v>
      </c>
      <c r="V174" s="857"/>
      <c r="W174" s="857">
        <f t="shared" si="38"/>
        <v>0</v>
      </c>
      <c r="X174" s="863">
        <f>SUM(W174:W186)</f>
        <v>49.800000000000004</v>
      </c>
      <c r="Y174" s="664">
        <f t="shared" si="35"/>
        <v>3</v>
      </c>
      <c r="Z174" s="664">
        <f t="shared" si="37"/>
        <v>0.2</v>
      </c>
      <c r="AA174" s="836">
        <f>SUM(Z174:Z186)</f>
        <v>50</v>
      </c>
      <c r="AB174" s="982">
        <v>50</v>
      </c>
      <c r="AC174" s="867"/>
      <c r="AD174" s="867"/>
      <c r="AE174" s="979">
        <f t="shared" si="33"/>
        <v>0</v>
      </c>
      <c r="AF174" s="878">
        <f>SUM(AE174:AE186)</f>
        <v>68</v>
      </c>
      <c r="AG174" s="335"/>
      <c r="AH174" s="979">
        <f t="shared" si="39"/>
        <v>0</v>
      </c>
      <c r="AI174" s="979">
        <f>SUM(AH174:AH186)</f>
        <v>50</v>
      </c>
      <c r="AJ174" s="979">
        <f t="shared" si="32"/>
        <v>0.2</v>
      </c>
      <c r="AK174" s="878">
        <f>SUM(AJ174:AJ186)</f>
        <v>-1.6653345369377348E-16</v>
      </c>
      <c r="AL174" s="618"/>
      <c r="AM174" s="618"/>
    </row>
    <row r="175" spans="1:81" ht="21.6" customHeight="1" x14ac:dyDescent="0.25">
      <c r="A175" s="664">
        <v>87</v>
      </c>
      <c r="B175" s="664" t="s">
        <v>28</v>
      </c>
      <c r="C175" s="664">
        <v>2</v>
      </c>
      <c r="D175" s="1086" t="s">
        <v>92</v>
      </c>
      <c r="E175" s="845"/>
      <c r="F175" s="846" t="s">
        <v>94</v>
      </c>
      <c r="G175" s="836" t="s">
        <v>265</v>
      </c>
      <c r="H175" s="844"/>
      <c r="I175" s="625"/>
      <c r="J175" s="844"/>
      <c r="K175" s="626"/>
      <c r="L175" s="893"/>
      <c r="M175" s="893"/>
      <c r="N175" s="893">
        <f t="shared" si="31"/>
        <v>0</v>
      </c>
      <c r="O175" s="856"/>
      <c r="P175" s="856"/>
      <c r="Q175" s="856">
        <f t="shared" si="34"/>
        <v>0</v>
      </c>
      <c r="R175" s="894"/>
      <c r="S175" s="855"/>
      <c r="T175" s="896">
        <f t="shared" si="36"/>
        <v>0</v>
      </c>
      <c r="U175" s="862"/>
      <c r="V175" s="857"/>
      <c r="W175" s="857">
        <f t="shared" si="38"/>
        <v>0</v>
      </c>
      <c r="X175" s="863"/>
      <c r="Y175" s="664">
        <f t="shared" si="35"/>
        <v>0</v>
      </c>
      <c r="Z175" s="664">
        <f t="shared" si="37"/>
        <v>0</v>
      </c>
      <c r="AA175" s="836"/>
      <c r="AB175" s="982"/>
      <c r="AC175" s="867"/>
      <c r="AD175" s="867"/>
      <c r="AE175" s="979">
        <f t="shared" si="33"/>
        <v>0</v>
      </c>
      <c r="AF175" s="878"/>
      <c r="AG175" s="335"/>
      <c r="AH175" s="979">
        <f t="shared" si="39"/>
        <v>0</v>
      </c>
      <c r="AI175" s="979"/>
      <c r="AJ175" s="979">
        <f t="shared" si="32"/>
        <v>0</v>
      </c>
      <c r="AK175" s="878"/>
      <c r="AL175" s="618"/>
      <c r="AM175" s="618"/>
    </row>
    <row r="176" spans="1:81" ht="21.6" customHeight="1" x14ac:dyDescent="0.25">
      <c r="A176" s="664"/>
      <c r="B176" s="664"/>
      <c r="C176" s="664"/>
      <c r="D176" s="1086" t="s">
        <v>92</v>
      </c>
      <c r="E176" s="845"/>
      <c r="F176" s="846" t="s">
        <v>417</v>
      </c>
      <c r="G176" s="836" t="s">
        <v>276</v>
      </c>
      <c r="H176" s="844"/>
      <c r="I176" s="625"/>
      <c r="J176" s="844" t="s">
        <v>265</v>
      </c>
      <c r="K176" s="626" t="s">
        <v>768</v>
      </c>
      <c r="L176" s="893">
        <v>9</v>
      </c>
      <c r="M176" s="893"/>
      <c r="N176" s="893">
        <f t="shared" si="31"/>
        <v>9</v>
      </c>
      <c r="O176" s="856">
        <v>7.33</v>
      </c>
      <c r="P176" s="856"/>
      <c r="Q176" s="856">
        <f t="shared" si="34"/>
        <v>7.33</v>
      </c>
      <c r="R176" s="894"/>
      <c r="S176" s="855"/>
      <c r="T176" s="896">
        <f t="shared" si="36"/>
        <v>0</v>
      </c>
      <c r="U176" s="862"/>
      <c r="V176" s="857">
        <v>108</v>
      </c>
      <c r="W176" s="857">
        <f t="shared" si="38"/>
        <v>7.2</v>
      </c>
      <c r="X176" s="863"/>
      <c r="Y176" s="664">
        <f t="shared" si="35"/>
        <v>108</v>
      </c>
      <c r="Z176" s="664">
        <f t="shared" si="37"/>
        <v>7.2</v>
      </c>
      <c r="AA176" s="836"/>
      <c r="AB176" s="982"/>
      <c r="AC176" s="867">
        <v>9</v>
      </c>
      <c r="AD176" s="867">
        <v>0</v>
      </c>
      <c r="AE176" s="979">
        <f t="shared" si="33"/>
        <v>9</v>
      </c>
      <c r="AF176" s="878"/>
      <c r="AG176" s="335">
        <v>109.95</v>
      </c>
      <c r="AH176" s="979">
        <f t="shared" si="39"/>
        <v>7.33</v>
      </c>
      <c r="AI176" s="979"/>
      <c r="AJ176" s="979">
        <f t="shared" si="32"/>
        <v>-0.12999999999999989</v>
      </c>
      <c r="AK176" s="878"/>
      <c r="AL176" s="618"/>
      <c r="AM176" s="618"/>
    </row>
    <row r="177" spans="1:81" ht="21.6" customHeight="1" x14ac:dyDescent="0.25">
      <c r="A177" s="664">
        <v>88</v>
      </c>
      <c r="B177" s="664" t="s">
        <v>28</v>
      </c>
      <c r="C177" s="664">
        <v>3</v>
      </c>
      <c r="D177" s="1086" t="s">
        <v>92</v>
      </c>
      <c r="E177" s="845"/>
      <c r="F177" s="846" t="s">
        <v>95</v>
      </c>
      <c r="G177" s="836" t="s">
        <v>265</v>
      </c>
      <c r="H177" s="844"/>
      <c r="I177" s="625"/>
      <c r="J177" s="844"/>
      <c r="K177" s="626"/>
      <c r="L177" s="893"/>
      <c r="M177" s="893"/>
      <c r="N177" s="893">
        <f t="shared" si="31"/>
        <v>0</v>
      </c>
      <c r="O177" s="856"/>
      <c r="P177" s="856"/>
      <c r="Q177" s="856">
        <f t="shared" si="34"/>
        <v>0</v>
      </c>
      <c r="R177" s="894"/>
      <c r="S177" s="855"/>
      <c r="T177" s="896">
        <f t="shared" si="36"/>
        <v>0</v>
      </c>
      <c r="U177" s="862"/>
      <c r="V177" s="857"/>
      <c r="W177" s="857">
        <f t="shared" si="38"/>
        <v>0</v>
      </c>
      <c r="X177" s="863"/>
      <c r="Y177" s="664">
        <f t="shared" si="35"/>
        <v>0</v>
      </c>
      <c r="Z177" s="664">
        <f t="shared" si="37"/>
        <v>0</v>
      </c>
      <c r="AA177" s="836"/>
      <c r="AB177" s="982"/>
      <c r="AC177" s="867"/>
      <c r="AD177" s="867"/>
      <c r="AE177" s="979">
        <f t="shared" si="33"/>
        <v>0</v>
      </c>
      <c r="AF177" s="878"/>
      <c r="AG177" s="335"/>
      <c r="AH177" s="979">
        <f t="shared" si="39"/>
        <v>0</v>
      </c>
      <c r="AI177" s="979"/>
      <c r="AJ177" s="979">
        <f t="shared" si="32"/>
        <v>0</v>
      </c>
      <c r="AK177" s="878"/>
      <c r="AL177" s="618"/>
      <c r="AM177" s="618"/>
    </row>
    <row r="178" spans="1:81" ht="21.6" customHeight="1" x14ac:dyDescent="0.25">
      <c r="A178" s="664"/>
      <c r="B178" s="664"/>
      <c r="C178" s="664"/>
      <c r="D178" s="1086" t="s">
        <v>92</v>
      </c>
      <c r="E178" s="845"/>
      <c r="F178" s="846" t="s">
        <v>281</v>
      </c>
      <c r="G178" s="836" t="s">
        <v>276</v>
      </c>
      <c r="H178" s="844"/>
      <c r="I178" s="625"/>
      <c r="J178" s="844"/>
      <c r="K178" s="626"/>
      <c r="L178" s="893"/>
      <c r="M178" s="893"/>
      <c r="N178" s="893">
        <f t="shared" si="31"/>
        <v>0</v>
      </c>
      <c r="O178" s="856"/>
      <c r="P178" s="856"/>
      <c r="Q178" s="856">
        <f t="shared" si="34"/>
        <v>0</v>
      </c>
      <c r="R178" s="894"/>
      <c r="S178" s="855"/>
      <c r="T178" s="896">
        <f t="shared" si="36"/>
        <v>0</v>
      </c>
      <c r="U178" s="862"/>
      <c r="V178" s="857"/>
      <c r="W178" s="857">
        <f t="shared" si="38"/>
        <v>0</v>
      </c>
      <c r="X178" s="863"/>
      <c r="Y178" s="664">
        <f t="shared" si="35"/>
        <v>0</v>
      </c>
      <c r="Z178" s="664">
        <f t="shared" si="37"/>
        <v>0</v>
      </c>
      <c r="AA178" s="836"/>
      <c r="AB178" s="982"/>
      <c r="AC178" s="867"/>
      <c r="AD178" s="867"/>
      <c r="AE178" s="979">
        <f t="shared" si="33"/>
        <v>0</v>
      </c>
      <c r="AF178" s="878"/>
      <c r="AG178" s="335"/>
      <c r="AH178" s="979">
        <f t="shared" si="39"/>
        <v>0</v>
      </c>
      <c r="AI178" s="979"/>
      <c r="AJ178" s="979">
        <f t="shared" si="32"/>
        <v>0</v>
      </c>
      <c r="AK178" s="878"/>
      <c r="AL178" s="618"/>
      <c r="AM178" s="618"/>
    </row>
    <row r="179" spans="1:81" ht="48.75" customHeight="1" x14ac:dyDescent="0.25">
      <c r="A179" s="664"/>
      <c r="B179" s="664"/>
      <c r="C179" s="664"/>
      <c r="D179" s="1086" t="s">
        <v>92</v>
      </c>
      <c r="E179" s="845"/>
      <c r="F179" s="846" t="s">
        <v>283</v>
      </c>
      <c r="G179" s="836" t="s">
        <v>276</v>
      </c>
      <c r="H179" s="844"/>
      <c r="I179" s="625"/>
      <c r="J179" s="844"/>
      <c r="K179" s="626"/>
      <c r="L179" s="893"/>
      <c r="M179" s="893"/>
      <c r="N179" s="893">
        <f t="shared" si="31"/>
        <v>0</v>
      </c>
      <c r="O179" s="856"/>
      <c r="P179" s="856"/>
      <c r="Q179" s="856">
        <f t="shared" si="34"/>
        <v>0</v>
      </c>
      <c r="R179" s="894"/>
      <c r="S179" s="855"/>
      <c r="T179" s="896">
        <f t="shared" si="36"/>
        <v>0</v>
      </c>
      <c r="U179" s="862"/>
      <c r="V179" s="857"/>
      <c r="W179" s="857">
        <f t="shared" si="38"/>
        <v>0</v>
      </c>
      <c r="X179" s="863"/>
      <c r="Y179" s="664">
        <f t="shared" si="35"/>
        <v>0</v>
      </c>
      <c r="Z179" s="664">
        <f t="shared" si="37"/>
        <v>0</v>
      </c>
      <c r="AA179" s="836"/>
      <c r="AB179" s="982"/>
      <c r="AC179" s="867"/>
      <c r="AD179" s="867"/>
      <c r="AE179" s="979">
        <f t="shared" si="33"/>
        <v>0</v>
      </c>
      <c r="AF179" s="878"/>
      <c r="AG179" s="335"/>
      <c r="AH179" s="979">
        <f t="shared" si="39"/>
        <v>0</v>
      </c>
      <c r="AI179" s="979"/>
      <c r="AJ179" s="979">
        <f t="shared" si="32"/>
        <v>0</v>
      </c>
      <c r="AK179" s="878"/>
      <c r="AL179" s="618"/>
      <c r="AM179" s="618"/>
      <c r="AN179" s="725"/>
      <c r="AO179" s="725"/>
      <c r="AP179" s="725"/>
      <c r="AQ179" s="725"/>
      <c r="AR179" s="725"/>
      <c r="AS179" s="725"/>
      <c r="AT179" s="725"/>
      <c r="AU179" s="725"/>
      <c r="AV179" s="725"/>
      <c r="AW179" s="725"/>
      <c r="AX179" s="725"/>
      <c r="AY179" s="725"/>
      <c r="AZ179" s="725"/>
      <c r="BA179" s="725"/>
      <c r="BB179" s="725"/>
      <c r="BC179" s="725"/>
      <c r="BD179" s="725"/>
      <c r="BE179" s="725"/>
      <c r="BF179" s="725"/>
      <c r="BG179" s="725"/>
      <c r="BH179" s="725"/>
      <c r="BI179" s="725"/>
      <c r="BJ179" s="725"/>
      <c r="BK179" s="725"/>
      <c r="BL179" s="725"/>
      <c r="BM179" s="725"/>
      <c r="BN179" s="725"/>
      <c r="BO179" s="725"/>
      <c r="BP179" s="725"/>
      <c r="BQ179" s="725"/>
      <c r="BR179" s="725"/>
      <c r="BS179" s="725"/>
      <c r="BT179" s="725"/>
      <c r="BU179" s="725"/>
      <c r="BV179" s="725"/>
      <c r="BW179" s="725"/>
      <c r="BX179" s="725"/>
      <c r="BY179" s="725"/>
      <c r="BZ179" s="725"/>
      <c r="CA179" s="725"/>
      <c r="CB179" s="725"/>
      <c r="CC179" s="725"/>
    </row>
    <row r="180" spans="1:81" ht="21.6" customHeight="1" x14ac:dyDescent="0.25">
      <c r="A180" s="664"/>
      <c r="B180" s="664"/>
      <c r="C180" s="664"/>
      <c r="D180" s="1086" t="s">
        <v>92</v>
      </c>
      <c r="E180" s="845"/>
      <c r="F180" s="846" t="s">
        <v>284</v>
      </c>
      <c r="G180" s="836" t="s">
        <v>276</v>
      </c>
      <c r="H180" s="844"/>
      <c r="I180" s="625"/>
      <c r="J180" s="844"/>
      <c r="K180" s="626"/>
      <c r="L180" s="893"/>
      <c r="M180" s="893"/>
      <c r="N180" s="893">
        <f t="shared" si="31"/>
        <v>0</v>
      </c>
      <c r="O180" s="856"/>
      <c r="P180" s="856"/>
      <c r="Q180" s="856">
        <f t="shared" si="34"/>
        <v>0</v>
      </c>
      <c r="R180" s="894"/>
      <c r="S180" s="855"/>
      <c r="T180" s="896">
        <f t="shared" si="36"/>
        <v>0</v>
      </c>
      <c r="U180" s="862"/>
      <c r="V180" s="857"/>
      <c r="W180" s="857">
        <f t="shared" si="38"/>
        <v>0</v>
      </c>
      <c r="X180" s="863"/>
      <c r="Y180" s="664">
        <f t="shared" si="35"/>
        <v>0</v>
      </c>
      <c r="Z180" s="664">
        <f t="shared" si="37"/>
        <v>0</v>
      </c>
      <c r="AA180" s="836"/>
      <c r="AB180" s="982"/>
      <c r="AC180" s="867"/>
      <c r="AD180" s="867"/>
      <c r="AE180" s="979">
        <f t="shared" si="33"/>
        <v>0</v>
      </c>
      <c r="AF180" s="878"/>
      <c r="AG180" s="335"/>
      <c r="AH180" s="979">
        <f t="shared" si="39"/>
        <v>0</v>
      </c>
      <c r="AI180" s="979"/>
      <c r="AJ180" s="979">
        <f t="shared" si="32"/>
        <v>0</v>
      </c>
      <c r="AK180" s="878"/>
      <c r="AL180" s="618"/>
      <c r="AM180" s="618"/>
    </row>
    <row r="181" spans="1:81" ht="21.6" customHeight="1" x14ac:dyDescent="0.25">
      <c r="A181" s="664">
        <v>90</v>
      </c>
      <c r="B181" s="664" t="s">
        <v>28</v>
      </c>
      <c r="C181" s="664">
        <v>5</v>
      </c>
      <c r="D181" s="1086" t="s">
        <v>92</v>
      </c>
      <c r="E181" s="845"/>
      <c r="F181" s="846" t="s">
        <v>96</v>
      </c>
      <c r="G181" s="836" t="s">
        <v>265</v>
      </c>
      <c r="H181" s="844"/>
      <c r="I181" s="625"/>
      <c r="J181" s="844"/>
      <c r="K181" s="626"/>
      <c r="L181" s="893"/>
      <c r="M181" s="893"/>
      <c r="N181" s="893">
        <f t="shared" si="31"/>
        <v>0</v>
      </c>
      <c r="O181" s="856"/>
      <c r="P181" s="856"/>
      <c r="Q181" s="856">
        <f t="shared" si="34"/>
        <v>0</v>
      </c>
      <c r="R181" s="894"/>
      <c r="S181" s="855"/>
      <c r="T181" s="896">
        <f t="shared" si="36"/>
        <v>0</v>
      </c>
      <c r="U181" s="862"/>
      <c r="V181" s="857"/>
      <c r="W181" s="857">
        <f t="shared" si="38"/>
        <v>0</v>
      </c>
      <c r="X181" s="863"/>
      <c r="Y181" s="664">
        <f t="shared" si="35"/>
        <v>0</v>
      </c>
      <c r="Z181" s="664">
        <f t="shared" si="37"/>
        <v>0</v>
      </c>
      <c r="AA181" s="836"/>
      <c r="AB181" s="982"/>
      <c r="AC181" s="867"/>
      <c r="AD181" s="867"/>
      <c r="AE181" s="979">
        <f t="shared" si="33"/>
        <v>0</v>
      </c>
      <c r="AF181" s="878"/>
      <c r="AG181" s="335"/>
      <c r="AH181" s="979">
        <f t="shared" si="39"/>
        <v>0</v>
      </c>
      <c r="AI181" s="979"/>
      <c r="AJ181" s="979">
        <f t="shared" si="32"/>
        <v>0</v>
      </c>
      <c r="AK181" s="878"/>
      <c r="AL181" s="618"/>
      <c r="AM181" s="618"/>
    </row>
    <row r="182" spans="1:81" ht="21.6" customHeight="1" x14ac:dyDescent="0.25">
      <c r="A182" s="664"/>
      <c r="B182" s="664"/>
      <c r="C182" s="664"/>
      <c r="D182" s="1086" t="s">
        <v>92</v>
      </c>
      <c r="E182" s="845" t="s">
        <v>431</v>
      </c>
      <c r="F182" s="846" t="s">
        <v>773</v>
      </c>
      <c r="G182" s="836" t="s">
        <v>276</v>
      </c>
      <c r="H182" s="844"/>
      <c r="I182" s="625"/>
      <c r="J182" s="844" t="s">
        <v>265</v>
      </c>
      <c r="K182" s="626" t="s">
        <v>768</v>
      </c>
      <c r="L182" s="893">
        <v>0</v>
      </c>
      <c r="M182" s="893">
        <v>14</v>
      </c>
      <c r="N182" s="893">
        <f t="shared" si="31"/>
        <v>14</v>
      </c>
      <c r="O182" s="856"/>
      <c r="P182" s="856">
        <v>10</v>
      </c>
      <c r="Q182" s="856">
        <f t="shared" si="34"/>
        <v>10</v>
      </c>
      <c r="R182" s="894"/>
      <c r="S182" s="855"/>
      <c r="T182" s="896">
        <f t="shared" si="36"/>
        <v>0</v>
      </c>
      <c r="U182" s="862"/>
      <c r="V182" s="857">
        <v>150</v>
      </c>
      <c r="W182" s="857">
        <f t="shared" si="38"/>
        <v>10</v>
      </c>
      <c r="X182" s="863"/>
      <c r="Y182" s="664">
        <f t="shared" si="35"/>
        <v>150</v>
      </c>
      <c r="Z182" s="664">
        <f t="shared" si="37"/>
        <v>10</v>
      </c>
      <c r="AA182" s="836"/>
      <c r="AB182" s="982"/>
      <c r="AC182" s="867">
        <v>0</v>
      </c>
      <c r="AD182" s="867">
        <v>14</v>
      </c>
      <c r="AE182" s="979">
        <f t="shared" si="33"/>
        <v>14</v>
      </c>
      <c r="AF182" s="878"/>
      <c r="AG182" s="335">
        <v>150</v>
      </c>
      <c r="AH182" s="979">
        <f t="shared" si="39"/>
        <v>10</v>
      </c>
      <c r="AI182" s="979"/>
      <c r="AJ182" s="979">
        <f t="shared" si="32"/>
        <v>0</v>
      </c>
      <c r="AK182" s="878"/>
      <c r="AL182" s="618"/>
      <c r="AM182" s="618"/>
    </row>
    <row r="183" spans="1:81" ht="21.6" customHeight="1" x14ac:dyDescent="0.25">
      <c r="A183" s="664">
        <v>92</v>
      </c>
      <c r="B183" s="664" t="s">
        <v>28</v>
      </c>
      <c r="C183" s="664">
        <v>7</v>
      </c>
      <c r="D183" s="1086" t="s">
        <v>92</v>
      </c>
      <c r="E183" s="845" t="s">
        <v>429</v>
      </c>
      <c r="F183" s="846" t="s">
        <v>97</v>
      </c>
      <c r="G183" s="836" t="s">
        <v>265</v>
      </c>
      <c r="H183" s="844"/>
      <c r="I183" s="625"/>
      <c r="J183" s="844" t="s">
        <v>265</v>
      </c>
      <c r="K183" s="626" t="s">
        <v>768</v>
      </c>
      <c r="L183" s="893">
        <v>13</v>
      </c>
      <c r="M183" s="893">
        <v>2</v>
      </c>
      <c r="N183" s="893">
        <f t="shared" si="31"/>
        <v>15</v>
      </c>
      <c r="O183" s="856">
        <v>15</v>
      </c>
      <c r="P183" s="856"/>
      <c r="Q183" s="856">
        <f t="shared" si="34"/>
        <v>15</v>
      </c>
      <c r="R183" s="894"/>
      <c r="S183" s="855"/>
      <c r="T183" s="896">
        <f t="shared" si="36"/>
        <v>0</v>
      </c>
      <c r="U183" s="862"/>
      <c r="V183" s="857">
        <v>225</v>
      </c>
      <c r="W183" s="857">
        <f t="shared" si="38"/>
        <v>15</v>
      </c>
      <c r="X183" s="863"/>
      <c r="Y183" s="664">
        <f t="shared" si="35"/>
        <v>225</v>
      </c>
      <c r="Z183" s="664">
        <f t="shared" si="37"/>
        <v>15</v>
      </c>
      <c r="AA183" s="836"/>
      <c r="AB183" s="982"/>
      <c r="AC183" s="867">
        <v>13</v>
      </c>
      <c r="AD183" s="867">
        <v>2</v>
      </c>
      <c r="AE183" s="979">
        <f t="shared" si="33"/>
        <v>15</v>
      </c>
      <c r="AF183" s="878"/>
      <c r="AG183" s="335">
        <v>225</v>
      </c>
      <c r="AH183" s="979">
        <f t="shared" si="39"/>
        <v>15</v>
      </c>
      <c r="AI183" s="979"/>
      <c r="AJ183" s="979">
        <f t="shared" si="32"/>
        <v>0</v>
      </c>
      <c r="AK183" s="878"/>
      <c r="AL183" s="618"/>
      <c r="AM183" s="618"/>
    </row>
    <row r="184" spans="1:81" ht="21.6" customHeight="1" x14ac:dyDescent="0.25">
      <c r="A184" s="664">
        <v>93</v>
      </c>
      <c r="B184" s="664" t="s">
        <v>28</v>
      </c>
      <c r="C184" s="664">
        <v>8</v>
      </c>
      <c r="D184" s="1086" t="s">
        <v>92</v>
      </c>
      <c r="E184" s="845"/>
      <c r="F184" s="846" t="s">
        <v>98</v>
      </c>
      <c r="G184" s="836" t="s">
        <v>265</v>
      </c>
      <c r="H184" s="844"/>
      <c r="I184" s="625"/>
      <c r="J184" s="844"/>
      <c r="K184" s="626"/>
      <c r="L184" s="893"/>
      <c r="M184" s="893"/>
      <c r="N184" s="893">
        <f t="shared" si="31"/>
        <v>0</v>
      </c>
      <c r="O184" s="856"/>
      <c r="P184" s="856"/>
      <c r="Q184" s="856">
        <f t="shared" si="34"/>
        <v>0</v>
      </c>
      <c r="R184" s="894"/>
      <c r="S184" s="855"/>
      <c r="T184" s="896">
        <f t="shared" si="36"/>
        <v>0</v>
      </c>
      <c r="U184" s="862"/>
      <c r="V184" s="857"/>
      <c r="W184" s="857">
        <f t="shared" si="38"/>
        <v>0</v>
      </c>
      <c r="X184" s="863"/>
      <c r="Y184" s="664">
        <f t="shared" si="35"/>
        <v>0</v>
      </c>
      <c r="Z184" s="664">
        <f t="shared" si="37"/>
        <v>0</v>
      </c>
      <c r="AA184" s="836"/>
      <c r="AB184" s="982"/>
      <c r="AC184" s="867"/>
      <c r="AD184" s="867"/>
      <c r="AE184" s="979">
        <f t="shared" si="33"/>
        <v>0</v>
      </c>
      <c r="AF184" s="878"/>
      <c r="AG184" s="335"/>
      <c r="AH184" s="979">
        <f t="shared" si="39"/>
        <v>0</v>
      </c>
      <c r="AI184" s="979"/>
      <c r="AJ184" s="979">
        <f t="shared" si="32"/>
        <v>0</v>
      </c>
      <c r="AK184" s="878"/>
      <c r="AL184" s="618"/>
      <c r="AM184" s="618"/>
    </row>
    <row r="185" spans="1:81" s="641" customFormat="1" ht="35.25" customHeight="1" x14ac:dyDescent="0.25">
      <c r="A185" s="836">
        <v>94</v>
      </c>
      <c r="B185" s="836" t="s">
        <v>28</v>
      </c>
      <c r="C185" s="836">
        <v>9</v>
      </c>
      <c r="D185" s="1086" t="s">
        <v>92</v>
      </c>
      <c r="E185" s="836" t="s">
        <v>429</v>
      </c>
      <c r="F185" s="846" t="s">
        <v>99</v>
      </c>
      <c r="G185" s="836" t="s">
        <v>265</v>
      </c>
      <c r="H185" s="844"/>
      <c r="I185" s="625"/>
      <c r="J185" s="844" t="s">
        <v>265</v>
      </c>
      <c r="K185" s="626" t="s">
        <v>768</v>
      </c>
      <c r="L185" s="890">
        <v>13</v>
      </c>
      <c r="M185" s="890">
        <v>4</v>
      </c>
      <c r="N185" s="890">
        <f t="shared" si="31"/>
        <v>17</v>
      </c>
      <c r="O185" s="467">
        <v>10</v>
      </c>
      <c r="P185" s="467"/>
      <c r="Q185" s="467">
        <f t="shared" si="34"/>
        <v>10</v>
      </c>
      <c r="R185" s="625"/>
      <c r="S185" s="842"/>
      <c r="T185" s="862">
        <f t="shared" si="36"/>
        <v>0</v>
      </c>
      <c r="U185" s="862"/>
      <c r="V185" s="863">
        <v>150</v>
      </c>
      <c r="W185" s="857">
        <f t="shared" si="38"/>
        <v>10</v>
      </c>
      <c r="X185" s="863"/>
      <c r="Y185" s="836">
        <f t="shared" si="35"/>
        <v>150</v>
      </c>
      <c r="Z185" s="664">
        <f t="shared" si="37"/>
        <v>10</v>
      </c>
      <c r="AA185" s="836"/>
      <c r="AB185" s="982"/>
      <c r="AC185" s="867">
        <v>13</v>
      </c>
      <c r="AD185" s="867">
        <v>4</v>
      </c>
      <c r="AE185" s="979">
        <f t="shared" si="33"/>
        <v>17</v>
      </c>
      <c r="AF185" s="878"/>
      <c r="AG185" s="335">
        <v>150</v>
      </c>
      <c r="AH185" s="979">
        <f t="shared" si="39"/>
        <v>10</v>
      </c>
      <c r="AI185" s="979"/>
      <c r="AJ185" s="979">
        <f t="shared" si="32"/>
        <v>0</v>
      </c>
      <c r="AK185" s="878"/>
      <c r="AL185" s="648"/>
      <c r="AM185" s="648"/>
      <c r="AN185" s="647"/>
      <c r="AO185" s="647"/>
      <c r="AP185" s="647"/>
      <c r="AQ185" s="647"/>
      <c r="AR185" s="647"/>
      <c r="AS185" s="647"/>
      <c r="AT185" s="647"/>
      <c r="AU185" s="647"/>
      <c r="AV185" s="647"/>
      <c r="AW185" s="647"/>
      <c r="AX185" s="647"/>
      <c r="AY185" s="647"/>
      <c r="AZ185" s="647"/>
      <c r="BA185" s="647"/>
      <c r="BB185" s="647"/>
      <c r="BC185" s="647"/>
      <c r="BD185" s="647"/>
      <c r="BE185" s="647"/>
      <c r="BF185" s="647"/>
      <c r="BG185" s="647"/>
      <c r="BH185" s="647"/>
      <c r="BI185" s="647"/>
      <c r="BJ185" s="647"/>
      <c r="BK185" s="647"/>
      <c r="BL185" s="647"/>
      <c r="BM185" s="647"/>
      <c r="BN185" s="647"/>
      <c r="BO185" s="647"/>
      <c r="BP185" s="647"/>
      <c r="BQ185" s="647"/>
      <c r="BR185" s="647"/>
      <c r="BS185" s="647"/>
      <c r="BT185" s="647"/>
      <c r="BU185" s="647"/>
      <c r="BV185" s="647"/>
      <c r="BW185" s="647"/>
      <c r="BX185" s="647"/>
      <c r="BY185" s="647"/>
      <c r="BZ185" s="647"/>
      <c r="CA185" s="647"/>
      <c r="CB185" s="647"/>
      <c r="CC185" s="647"/>
    </row>
    <row r="186" spans="1:81" ht="29.25" customHeight="1" x14ac:dyDescent="0.25">
      <c r="A186" s="664">
        <v>95</v>
      </c>
      <c r="B186" s="664" t="s">
        <v>28</v>
      </c>
      <c r="C186" s="664">
        <v>10</v>
      </c>
      <c r="D186" s="1086" t="s">
        <v>92</v>
      </c>
      <c r="E186" s="836" t="s">
        <v>429</v>
      </c>
      <c r="F186" s="846" t="s">
        <v>100</v>
      </c>
      <c r="G186" s="836" t="s">
        <v>265</v>
      </c>
      <c r="H186" s="844"/>
      <c r="I186" s="625"/>
      <c r="J186" s="844" t="s">
        <v>265</v>
      </c>
      <c r="K186" s="626" t="s">
        <v>768</v>
      </c>
      <c r="L186" s="893">
        <v>13</v>
      </c>
      <c r="M186" s="893"/>
      <c r="N186" s="893">
        <f t="shared" si="31"/>
        <v>13</v>
      </c>
      <c r="O186" s="856">
        <v>7.67</v>
      </c>
      <c r="P186" s="856"/>
      <c r="Q186" s="856">
        <f t="shared" si="34"/>
        <v>7.67</v>
      </c>
      <c r="R186" s="894"/>
      <c r="S186" s="855"/>
      <c r="T186" s="896">
        <f t="shared" si="36"/>
        <v>0</v>
      </c>
      <c r="U186" s="862"/>
      <c r="V186" s="857">
        <v>114</v>
      </c>
      <c r="W186" s="857">
        <f>V186/15</f>
        <v>7.6</v>
      </c>
      <c r="X186" s="863"/>
      <c r="Y186" s="664">
        <f t="shared" ref="Y186:Y244" si="40">V186+S186</f>
        <v>114</v>
      </c>
      <c r="Z186" s="664">
        <f t="shared" si="37"/>
        <v>7.6</v>
      </c>
      <c r="AA186" s="836"/>
      <c r="AB186" s="982"/>
      <c r="AC186" s="867">
        <v>13</v>
      </c>
      <c r="AD186" s="867">
        <v>0</v>
      </c>
      <c r="AE186" s="979">
        <f t="shared" si="33"/>
        <v>13</v>
      </c>
      <c r="AF186" s="878"/>
      <c r="AG186" s="335">
        <v>115.05</v>
      </c>
      <c r="AH186" s="979">
        <f t="shared" si="39"/>
        <v>7.67</v>
      </c>
      <c r="AI186" s="979"/>
      <c r="AJ186" s="979">
        <f t="shared" si="32"/>
        <v>-7.0000000000000284E-2</v>
      </c>
      <c r="AK186" s="878"/>
      <c r="AL186" s="618"/>
      <c r="AM186" s="618"/>
    </row>
    <row r="187" spans="1:81" ht="52.5" customHeight="1" x14ac:dyDescent="0.25">
      <c r="A187" s="664"/>
      <c r="B187" s="664"/>
      <c r="C187" s="664"/>
      <c r="D187" s="1086"/>
      <c r="E187" s="836"/>
      <c r="F187" s="846"/>
      <c r="G187" s="836"/>
      <c r="H187" s="844"/>
      <c r="I187" s="625"/>
      <c r="J187" s="844"/>
      <c r="K187" s="626"/>
      <c r="L187" s="893"/>
      <c r="M187" s="893"/>
      <c r="N187" s="893">
        <f t="shared" si="31"/>
        <v>0</v>
      </c>
      <c r="O187" s="856"/>
      <c r="P187" s="856"/>
      <c r="Q187" s="856">
        <f t="shared" si="34"/>
        <v>0</v>
      </c>
      <c r="R187" s="894"/>
      <c r="S187" s="855"/>
      <c r="T187" s="896">
        <f t="shared" si="36"/>
        <v>0</v>
      </c>
      <c r="U187" s="862"/>
      <c r="V187" s="857"/>
      <c r="W187" s="857">
        <f t="shared" si="38"/>
        <v>0</v>
      </c>
      <c r="X187" s="863"/>
      <c r="Y187" s="664">
        <f t="shared" si="40"/>
        <v>0</v>
      </c>
      <c r="Z187" s="664">
        <f t="shared" si="37"/>
        <v>0</v>
      </c>
      <c r="AA187" s="836"/>
      <c r="AB187" s="982"/>
      <c r="AC187" s="867"/>
      <c r="AD187" s="867"/>
      <c r="AE187" s="979">
        <f t="shared" si="33"/>
        <v>0</v>
      </c>
      <c r="AF187" s="878"/>
      <c r="AG187" s="335"/>
      <c r="AH187" s="979">
        <f t="shared" si="39"/>
        <v>0</v>
      </c>
      <c r="AI187" s="979"/>
      <c r="AJ187" s="979">
        <f t="shared" ref="AJ187:AJ245" si="41">Z187-AH187</f>
        <v>0</v>
      </c>
      <c r="AK187" s="878"/>
      <c r="AL187" s="618" t="s">
        <v>762</v>
      </c>
      <c r="AM187" s="618"/>
      <c r="AN187" s="663"/>
      <c r="AO187" s="663"/>
      <c r="AP187" s="663"/>
      <c r="AQ187" s="663"/>
      <c r="AR187" s="663"/>
      <c r="AS187" s="663"/>
      <c r="AT187" s="663"/>
      <c r="AU187" s="663"/>
      <c r="AV187" s="663"/>
      <c r="AW187" s="663"/>
      <c r="AX187" s="663"/>
      <c r="AY187" s="663"/>
      <c r="AZ187" s="663"/>
      <c r="BA187" s="663"/>
      <c r="BB187" s="663"/>
      <c r="BC187" s="663"/>
      <c r="BD187" s="663"/>
      <c r="BE187" s="663"/>
      <c r="BF187" s="663"/>
      <c r="BG187" s="663"/>
      <c r="BH187" s="663"/>
      <c r="BI187" s="663"/>
      <c r="BJ187" s="663"/>
      <c r="BK187" s="663"/>
      <c r="BL187" s="663"/>
      <c r="BM187" s="663"/>
      <c r="BN187" s="663"/>
      <c r="BO187" s="663"/>
      <c r="BP187" s="663"/>
      <c r="BQ187" s="663"/>
      <c r="BR187" s="663"/>
      <c r="BS187" s="663"/>
      <c r="BT187" s="663"/>
      <c r="BU187" s="663"/>
      <c r="BV187" s="663"/>
      <c r="BW187" s="663"/>
      <c r="BX187" s="663"/>
      <c r="BY187" s="663"/>
      <c r="BZ187" s="663"/>
      <c r="CA187" s="663"/>
      <c r="CB187" s="663"/>
      <c r="CC187" s="663"/>
    </row>
    <row r="188" spans="1:81" ht="33" customHeight="1" x14ac:dyDescent="0.25">
      <c r="A188" s="664">
        <v>96</v>
      </c>
      <c r="B188" s="664" t="s">
        <v>28</v>
      </c>
      <c r="C188" s="664">
        <v>1</v>
      </c>
      <c r="D188" s="1086" t="s">
        <v>101</v>
      </c>
      <c r="E188" s="836"/>
      <c r="F188" s="846" t="s">
        <v>102</v>
      </c>
      <c r="G188" s="836" t="s">
        <v>265</v>
      </c>
      <c r="H188" s="844"/>
      <c r="I188" s="625"/>
      <c r="J188" s="844"/>
      <c r="K188" s="626"/>
      <c r="L188" s="893"/>
      <c r="M188" s="893"/>
      <c r="N188" s="893">
        <f t="shared" si="31"/>
        <v>0</v>
      </c>
      <c r="O188" s="856"/>
      <c r="P188" s="856"/>
      <c r="Q188" s="856">
        <f t="shared" si="34"/>
        <v>0</v>
      </c>
      <c r="R188" s="894"/>
      <c r="S188" s="855">
        <v>0</v>
      </c>
      <c r="T188" s="896">
        <f t="shared" si="36"/>
        <v>0</v>
      </c>
      <c r="U188" s="862">
        <f>SUM(T188:T196)</f>
        <v>0</v>
      </c>
      <c r="V188" s="857"/>
      <c r="W188" s="857">
        <f t="shared" si="38"/>
        <v>0</v>
      </c>
      <c r="X188" s="863">
        <f>SUM(W188:W196)</f>
        <v>99.999999999999986</v>
      </c>
      <c r="Y188" s="664">
        <f t="shared" si="40"/>
        <v>0</v>
      </c>
      <c r="Z188" s="664">
        <f t="shared" si="37"/>
        <v>0</v>
      </c>
      <c r="AA188" s="836">
        <f>SUM(Z188:Z196)</f>
        <v>99.999999999999986</v>
      </c>
      <c r="AB188" s="982">
        <v>100</v>
      </c>
      <c r="AC188" s="867"/>
      <c r="AD188" s="867"/>
      <c r="AE188" s="979">
        <f t="shared" ref="AE188:AE245" si="42">AC188+AD188</f>
        <v>0</v>
      </c>
      <c r="AF188" s="878">
        <f>SUM(AE188:AE196)</f>
        <v>142</v>
      </c>
      <c r="AG188" s="335"/>
      <c r="AH188" s="979">
        <f t="shared" si="39"/>
        <v>0</v>
      </c>
      <c r="AI188" s="979">
        <f>SUM(AH188:AH196)</f>
        <v>99.999999999999986</v>
      </c>
      <c r="AJ188" s="979">
        <f t="shared" si="41"/>
        <v>0</v>
      </c>
      <c r="AK188" s="878">
        <f>SUM(AJ188:AJ196)</f>
        <v>0</v>
      </c>
      <c r="AL188" s="618"/>
      <c r="AM188" s="618"/>
    </row>
    <row r="189" spans="1:81" ht="25.5" customHeight="1" x14ac:dyDescent="0.25">
      <c r="A189" s="664">
        <v>97</v>
      </c>
      <c r="B189" s="664" t="s">
        <v>28</v>
      </c>
      <c r="C189" s="664">
        <v>2</v>
      </c>
      <c r="D189" s="1086" t="s">
        <v>101</v>
      </c>
      <c r="E189" s="836"/>
      <c r="F189" s="846" t="s">
        <v>103</v>
      </c>
      <c r="G189" s="836" t="s">
        <v>265</v>
      </c>
      <c r="H189" s="844"/>
      <c r="I189" s="625"/>
      <c r="J189" s="844"/>
      <c r="K189" s="626"/>
      <c r="L189" s="893"/>
      <c r="M189" s="893"/>
      <c r="N189" s="893">
        <f t="shared" ref="N189:N245" si="43">M189+L189</f>
        <v>0</v>
      </c>
      <c r="O189" s="856"/>
      <c r="P189" s="856"/>
      <c r="Q189" s="856">
        <f t="shared" si="34"/>
        <v>0</v>
      </c>
      <c r="R189" s="894"/>
      <c r="S189" s="855"/>
      <c r="T189" s="896">
        <f t="shared" si="36"/>
        <v>0</v>
      </c>
      <c r="U189" s="862"/>
      <c r="V189" s="857"/>
      <c r="W189" s="857">
        <f t="shared" si="38"/>
        <v>0</v>
      </c>
      <c r="X189" s="863"/>
      <c r="Y189" s="664">
        <f t="shared" si="40"/>
        <v>0</v>
      </c>
      <c r="Z189" s="664">
        <f t="shared" si="37"/>
        <v>0</v>
      </c>
      <c r="AA189" s="836"/>
      <c r="AB189" s="982"/>
      <c r="AC189" s="867"/>
      <c r="AD189" s="867"/>
      <c r="AE189" s="979">
        <f t="shared" si="42"/>
        <v>0</v>
      </c>
      <c r="AF189" s="878"/>
      <c r="AG189" s="335"/>
      <c r="AH189" s="979">
        <f t="shared" si="39"/>
        <v>0</v>
      </c>
      <c r="AI189" s="979"/>
      <c r="AJ189" s="979">
        <f t="shared" si="41"/>
        <v>0</v>
      </c>
      <c r="AK189" s="878"/>
      <c r="AL189" s="618"/>
      <c r="AM189" s="618"/>
    </row>
    <row r="190" spans="1:81" ht="63.75" customHeight="1" x14ac:dyDescent="0.25">
      <c r="A190" s="664"/>
      <c r="B190" s="664"/>
      <c r="C190" s="664"/>
      <c r="D190" s="1086" t="s">
        <v>101</v>
      </c>
      <c r="E190" s="845"/>
      <c r="F190" s="846" t="s">
        <v>753</v>
      </c>
      <c r="G190" s="836" t="s">
        <v>265</v>
      </c>
      <c r="H190" s="844"/>
      <c r="I190" s="625" t="s">
        <v>265</v>
      </c>
      <c r="J190" s="844" t="s">
        <v>265</v>
      </c>
      <c r="K190" s="626" t="s">
        <v>799</v>
      </c>
      <c r="L190" s="893">
        <v>47</v>
      </c>
      <c r="M190" s="893">
        <v>13</v>
      </c>
      <c r="N190" s="893">
        <f t="shared" si="43"/>
        <v>60</v>
      </c>
      <c r="O190" s="856"/>
      <c r="P190" s="856">
        <v>30</v>
      </c>
      <c r="Q190" s="856">
        <f t="shared" si="34"/>
        <v>30</v>
      </c>
      <c r="R190" s="894"/>
      <c r="S190" s="855">
        <v>0</v>
      </c>
      <c r="T190" s="896">
        <f t="shared" si="36"/>
        <v>0</v>
      </c>
      <c r="U190" s="862"/>
      <c r="V190" s="857">
        <v>450</v>
      </c>
      <c r="W190" s="857">
        <f t="shared" si="38"/>
        <v>30</v>
      </c>
      <c r="X190" s="863"/>
      <c r="Y190" s="664">
        <f t="shared" si="40"/>
        <v>450</v>
      </c>
      <c r="Z190" s="664">
        <f t="shared" si="37"/>
        <v>30</v>
      </c>
      <c r="AA190" s="836"/>
      <c r="AB190" s="982"/>
      <c r="AC190" s="867">
        <v>47</v>
      </c>
      <c r="AD190" s="867">
        <v>13</v>
      </c>
      <c r="AE190" s="979">
        <f t="shared" si="42"/>
        <v>60</v>
      </c>
      <c r="AF190" s="878"/>
      <c r="AG190" s="335">
        <v>450</v>
      </c>
      <c r="AH190" s="979">
        <f t="shared" si="39"/>
        <v>30</v>
      </c>
      <c r="AI190" s="979"/>
      <c r="AJ190" s="979">
        <f t="shared" si="41"/>
        <v>0</v>
      </c>
      <c r="AK190" s="878"/>
      <c r="AL190" s="618"/>
      <c r="AM190" s="618"/>
    </row>
    <row r="191" spans="1:81" s="641" customFormat="1" ht="37.5" customHeight="1" x14ac:dyDescent="0.25">
      <c r="A191" s="836">
        <v>98</v>
      </c>
      <c r="B191" s="836" t="s">
        <v>28</v>
      </c>
      <c r="C191" s="836">
        <v>3</v>
      </c>
      <c r="D191" s="1086" t="s">
        <v>101</v>
      </c>
      <c r="E191" s="836"/>
      <c r="F191" s="846" t="s">
        <v>599</v>
      </c>
      <c r="G191" s="836" t="s">
        <v>265</v>
      </c>
      <c r="H191" s="844"/>
      <c r="I191" s="625"/>
      <c r="J191" s="844" t="s">
        <v>265</v>
      </c>
      <c r="K191" s="626" t="s">
        <v>828</v>
      </c>
      <c r="L191" s="890">
        <v>0</v>
      </c>
      <c r="M191" s="890">
        <v>82</v>
      </c>
      <c r="N191" s="890">
        <f t="shared" si="43"/>
        <v>82</v>
      </c>
      <c r="O191" s="467"/>
      <c r="P191" s="467">
        <v>34</v>
      </c>
      <c r="Q191" s="467">
        <f t="shared" ref="Q191:Q245" si="44">P191+O191</f>
        <v>34</v>
      </c>
      <c r="R191" s="625"/>
      <c r="S191" s="842"/>
      <c r="T191" s="862">
        <f t="shared" si="36"/>
        <v>0</v>
      </c>
      <c r="U191" s="862"/>
      <c r="V191" s="863">
        <v>447</v>
      </c>
      <c r="W191" s="857">
        <f t="shared" si="38"/>
        <v>29.8</v>
      </c>
      <c r="X191" s="863"/>
      <c r="Y191" s="836">
        <f t="shared" si="40"/>
        <v>447</v>
      </c>
      <c r="Z191" s="664">
        <f t="shared" si="37"/>
        <v>29.8</v>
      </c>
      <c r="AA191" s="836"/>
      <c r="AB191" s="982"/>
      <c r="AC191" s="867">
        <v>0</v>
      </c>
      <c r="AD191" s="867">
        <v>82</v>
      </c>
      <c r="AE191" s="979">
        <f t="shared" si="42"/>
        <v>82</v>
      </c>
      <c r="AF191" s="878"/>
      <c r="AG191" s="335">
        <v>447</v>
      </c>
      <c r="AH191" s="979">
        <f t="shared" si="39"/>
        <v>29.8</v>
      </c>
      <c r="AI191" s="979"/>
      <c r="AJ191" s="979">
        <f t="shared" si="41"/>
        <v>0</v>
      </c>
      <c r="AK191" s="878"/>
      <c r="AL191" s="648"/>
      <c r="AM191" s="648"/>
      <c r="AN191" s="647"/>
      <c r="AO191" s="647"/>
      <c r="AP191" s="647"/>
      <c r="AQ191" s="647"/>
      <c r="AR191" s="647"/>
      <c r="AS191" s="647"/>
      <c r="AT191" s="647"/>
      <c r="AU191" s="647"/>
      <c r="AV191" s="647"/>
      <c r="AW191" s="647"/>
      <c r="AX191" s="647"/>
      <c r="AY191" s="647"/>
      <c r="AZ191" s="647"/>
      <c r="BA191" s="647"/>
      <c r="BB191" s="647"/>
      <c r="BC191" s="647"/>
      <c r="BD191" s="647"/>
      <c r="BE191" s="647"/>
      <c r="BF191" s="647"/>
      <c r="BG191" s="647"/>
      <c r="BH191" s="647"/>
      <c r="BI191" s="647"/>
      <c r="BJ191" s="647"/>
      <c r="BK191" s="647"/>
      <c r="BL191" s="647"/>
      <c r="BM191" s="647"/>
      <c r="BN191" s="647"/>
      <c r="BO191" s="647"/>
      <c r="BP191" s="647"/>
      <c r="BQ191" s="647"/>
      <c r="BR191" s="647"/>
      <c r="BS191" s="647"/>
      <c r="BT191" s="647"/>
      <c r="BU191" s="647"/>
      <c r="BV191" s="647"/>
      <c r="BW191" s="647"/>
      <c r="BX191" s="647"/>
      <c r="BY191" s="647"/>
      <c r="BZ191" s="647"/>
      <c r="CA191" s="647"/>
      <c r="CB191" s="647"/>
      <c r="CC191" s="647"/>
    </row>
    <row r="192" spans="1:81" s="641" customFormat="1" ht="21.6" customHeight="1" x14ac:dyDescent="0.25">
      <c r="A192" s="836"/>
      <c r="B192" s="836"/>
      <c r="C192" s="836"/>
      <c r="D192" s="1086" t="s">
        <v>101</v>
      </c>
      <c r="E192" s="836"/>
      <c r="F192" s="846" t="s">
        <v>821</v>
      </c>
      <c r="G192" s="836"/>
      <c r="H192" s="844"/>
      <c r="I192" s="625"/>
      <c r="J192" s="844" t="s">
        <v>265</v>
      </c>
      <c r="K192" s="626" t="s">
        <v>828</v>
      </c>
      <c r="L192" s="890">
        <v>23</v>
      </c>
      <c r="M192" s="890">
        <v>6</v>
      </c>
      <c r="N192" s="890"/>
      <c r="O192" s="467"/>
      <c r="P192" s="467">
        <v>11.6</v>
      </c>
      <c r="Q192" s="467"/>
      <c r="R192" s="625"/>
      <c r="S192" s="842"/>
      <c r="T192" s="862">
        <f t="shared" si="36"/>
        <v>0</v>
      </c>
      <c r="U192" s="862"/>
      <c r="V192" s="863">
        <v>174</v>
      </c>
      <c r="W192" s="857">
        <f t="shared" si="38"/>
        <v>11.6</v>
      </c>
      <c r="X192" s="863"/>
      <c r="Y192" s="1014">
        <f t="shared" si="40"/>
        <v>174</v>
      </c>
      <c r="Z192" s="664">
        <f>W192+T192</f>
        <v>11.6</v>
      </c>
      <c r="AA192" s="836"/>
      <c r="AB192" s="982"/>
      <c r="AC192" s="867">
        <v>23</v>
      </c>
      <c r="AD192" s="867">
        <v>6</v>
      </c>
      <c r="AE192" s="979"/>
      <c r="AF192" s="878"/>
      <c r="AG192" s="335">
        <v>174</v>
      </c>
      <c r="AH192" s="979">
        <f t="shared" si="39"/>
        <v>11.6</v>
      </c>
      <c r="AI192" s="979"/>
      <c r="AJ192" s="979"/>
      <c r="AK192" s="878"/>
      <c r="AL192" s="648"/>
      <c r="AM192" s="648"/>
      <c r="AN192" s="647"/>
      <c r="AO192" s="647"/>
      <c r="AP192" s="647"/>
      <c r="AQ192" s="647"/>
      <c r="AR192" s="647"/>
      <c r="AS192" s="647"/>
      <c r="AT192" s="647"/>
      <c r="AU192" s="647"/>
      <c r="AV192" s="647"/>
      <c r="AW192" s="647"/>
      <c r="AX192" s="647"/>
      <c r="AY192" s="647"/>
      <c r="AZ192" s="647"/>
      <c r="BA192" s="647"/>
      <c r="BB192" s="647"/>
      <c r="BC192" s="647"/>
      <c r="BD192" s="647"/>
      <c r="BE192" s="647"/>
      <c r="BF192" s="647"/>
      <c r="BG192" s="647"/>
      <c r="BH192" s="647"/>
      <c r="BI192" s="647"/>
      <c r="BJ192" s="647"/>
      <c r="BK192" s="647"/>
      <c r="BL192" s="647"/>
      <c r="BM192" s="647"/>
      <c r="BN192" s="647"/>
      <c r="BO192" s="647"/>
      <c r="BP192" s="647"/>
      <c r="BQ192" s="647"/>
      <c r="BR192" s="647"/>
      <c r="BS192" s="647"/>
      <c r="BT192" s="647"/>
      <c r="BU192" s="647"/>
      <c r="BV192" s="647"/>
      <c r="BW192" s="647"/>
      <c r="BX192" s="647"/>
      <c r="BY192" s="647"/>
      <c r="BZ192" s="647"/>
      <c r="CA192" s="647"/>
      <c r="CB192" s="647"/>
      <c r="CC192" s="647"/>
    </row>
    <row r="193" spans="1:81" s="641" customFormat="1" ht="36" customHeight="1" x14ac:dyDescent="0.25">
      <c r="A193" s="836"/>
      <c r="B193" s="836"/>
      <c r="C193" s="836"/>
      <c r="D193" s="1086" t="s">
        <v>101</v>
      </c>
      <c r="E193" s="836"/>
      <c r="F193" s="846" t="s">
        <v>822</v>
      </c>
      <c r="G193" s="836"/>
      <c r="H193" s="844"/>
      <c r="I193" s="625"/>
      <c r="J193" s="844" t="s">
        <v>265</v>
      </c>
      <c r="K193" s="626" t="s">
        <v>828</v>
      </c>
      <c r="L193" s="890">
        <v>25</v>
      </c>
      <c r="M193" s="890">
        <v>0</v>
      </c>
      <c r="N193" s="890"/>
      <c r="O193" s="467"/>
      <c r="P193" s="467">
        <v>15</v>
      </c>
      <c r="Q193" s="467"/>
      <c r="R193" s="625"/>
      <c r="S193" s="842"/>
      <c r="T193" s="862">
        <f t="shared" si="36"/>
        <v>0</v>
      </c>
      <c r="U193" s="862"/>
      <c r="V193" s="863">
        <v>225</v>
      </c>
      <c r="W193" s="857">
        <f t="shared" si="38"/>
        <v>15</v>
      </c>
      <c r="X193" s="863"/>
      <c r="Y193" s="1014">
        <f t="shared" si="40"/>
        <v>225</v>
      </c>
      <c r="Z193" s="664">
        <f t="shared" si="37"/>
        <v>15</v>
      </c>
      <c r="AA193" s="836"/>
      <c r="AB193" s="982"/>
      <c r="AC193" s="867">
        <v>25</v>
      </c>
      <c r="AD193" s="867">
        <v>0</v>
      </c>
      <c r="AE193" s="979"/>
      <c r="AF193" s="878"/>
      <c r="AG193" s="335">
        <v>225</v>
      </c>
      <c r="AH193" s="979">
        <f t="shared" si="39"/>
        <v>15</v>
      </c>
      <c r="AI193" s="979"/>
      <c r="AJ193" s="979"/>
      <c r="AK193" s="878"/>
      <c r="AL193" s="648"/>
      <c r="AM193" s="648"/>
      <c r="AN193" s="647"/>
      <c r="AO193" s="647"/>
      <c r="AP193" s="647"/>
      <c r="AQ193" s="647"/>
      <c r="AR193" s="647"/>
      <c r="AS193" s="647"/>
      <c r="AT193" s="647"/>
      <c r="AU193" s="647"/>
      <c r="AV193" s="647"/>
      <c r="AW193" s="647"/>
      <c r="AX193" s="647"/>
      <c r="AY193" s="647"/>
      <c r="AZ193" s="647"/>
      <c r="BA193" s="647"/>
      <c r="BB193" s="647"/>
      <c r="BC193" s="647"/>
      <c r="BD193" s="647"/>
      <c r="BE193" s="647"/>
      <c r="BF193" s="647"/>
      <c r="BG193" s="647"/>
      <c r="BH193" s="647"/>
      <c r="BI193" s="647"/>
      <c r="BJ193" s="647"/>
      <c r="BK193" s="647"/>
      <c r="BL193" s="647"/>
      <c r="BM193" s="647"/>
      <c r="BN193" s="647"/>
      <c r="BO193" s="647"/>
      <c r="BP193" s="647"/>
      <c r="BQ193" s="647"/>
      <c r="BR193" s="647"/>
      <c r="BS193" s="647"/>
      <c r="BT193" s="647"/>
      <c r="BU193" s="647"/>
      <c r="BV193" s="647"/>
      <c r="BW193" s="647"/>
      <c r="BX193" s="647"/>
      <c r="BY193" s="647"/>
      <c r="BZ193" s="647"/>
      <c r="CA193" s="647"/>
      <c r="CB193" s="647"/>
      <c r="CC193" s="647"/>
    </row>
    <row r="194" spans="1:81" s="641" customFormat="1" ht="45.75" customHeight="1" x14ac:dyDescent="0.25">
      <c r="A194" s="836"/>
      <c r="B194" s="836"/>
      <c r="C194" s="836"/>
      <c r="D194" s="1086" t="s">
        <v>101</v>
      </c>
      <c r="E194" s="836"/>
      <c r="F194" s="846" t="s">
        <v>823</v>
      </c>
      <c r="G194" s="836"/>
      <c r="H194" s="844"/>
      <c r="I194" s="625"/>
      <c r="J194" s="844" t="s">
        <v>265</v>
      </c>
      <c r="K194" s="626" t="s">
        <v>829</v>
      </c>
      <c r="L194" s="890">
        <v>8</v>
      </c>
      <c r="M194" s="890">
        <v>13</v>
      </c>
      <c r="N194" s="890"/>
      <c r="O194" s="467"/>
      <c r="P194" s="467">
        <v>8.6</v>
      </c>
      <c r="Q194" s="467"/>
      <c r="R194" s="625"/>
      <c r="S194" s="842"/>
      <c r="T194" s="862">
        <f t="shared" si="36"/>
        <v>0</v>
      </c>
      <c r="U194" s="862"/>
      <c r="V194" s="863">
        <v>129</v>
      </c>
      <c r="W194" s="857">
        <f t="shared" si="38"/>
        <v>8.6</v>
      </c>
      <c r="X194" s="863"/>
      <c r="Y194" s="1014">
        <f t="shared" si="40"/>
        <v>129</v>
      </c>
      <c r="Z194" s="664">
        <f t="shared" si="37"/>
        <v>8.6</v>
      </c>
      <c r="AA194" s="836"/>
      <c r="AB194" s="982"/>
      <c r="AC194" s="867">
        <v>8</v>
      </c>
      <c r="AD194" s="867">
        <v>13</v>
      </c>
      <c r="AE194" s="979"/>
      <c r="AF194" s="878"/>
      <c r="AG194" s="335">
        <v>129</v>
      </c>
      <c r="AH194" s="979">
        <f t="shared" si="39"/>
        <v>8.6</v>
      </c>
      <c r="AI194" s="979"/>
      <c r="AJ194" s="979"/>
      <c r="AK194" s="878"/>
      <c r="AL194" s="648"/>
      <c r="AM194" s="648"/>
      <c r="AN194" s="647"/>
      <c r="AO194" s="647"/>
      <c r="AP194" s="647"/>
      <c r="AQ194" s="647"/>
      <c r="AR194" s="647"/>
      <c r="AS194" s="647"/>
      <c r="AT194" s="647"/>
      <c r="AU194" s="647"/>
      <c r="AV194" s="647"/>
      <c r="AW194" s="647"/>
      <c r="AX194" s="647"/>
      <c r="AY194" s="647"/>
      <c r="AZ194" s="647"/>
      <c r="BA194" s="647"/>
      <c r="BB194" s="647"/>
      <c r="BC194" s="647"/>
      <c r="BD194" s="647"/>
      <c r="BE194" s="647"/>
      <c r="BF194" s="647"/>
      <c r="BG194" s="647"/>
      <c r="BH194" s="647"/>
      <c r="BI194" s="647"/>
      <c r="BJ194" s="647"/>
      <c r="BK194" s="647"/>
      <c r="BL194" s="647"/>
      <c r="BM194" s="647"/>
      <c r="BN194" s="647"/>
      <c r="BO194" s="647"/>
      <c r="BP194" s="647"/>
      <c r="BQ194" s="647"/>
      <c r="BR194" s="647"/>
      <c r="BS194" s="647"/>
      <c r="BT194" s="647"/>
      <c r="BU194" s="647"/>
      <c r="BV194" s="647"/>
      <c r="BW194" s="647"/>
      <c r="BX194" s="647"/>
      <c r="BY194" s="647"/>
      <c r="BZ194" s="647"/>
      <c r="CA194" s="647"/>
      <c r="CB194" s="647"/>
      <c r="CC194" s="647"/>
    </row>
    <row r="195" spans="1:81" s="641" customFormat="1" ht="45.75" customHeight="1" x14ac:dyDescent="0.25">
      <c r="A195" s="836"/>
      <c r="B195" s="836"/>
      <c r="C195" s="836"/>
      <c r="D195" s="1086" t="s">
        <v>101</v>
      </c>
      <c r="E195" s="836"/>
      <c r="F195" s="846" t="s">
        <v>824</v>
      </c>
      <c r="G195" s="836"/>
      <c r="H195" s="844"/>
      <c r="I195" s="625"/>
      <c r="J195" s="844" t="s">
        <v>265</v>
      </c>
      <c r="K195" s="626" t="s">
        <v>828</v>
      </c>
      <c r="L195" s="890">
        <v>0</v>
      </c>
      <c r="M195" s="890">
        <v>10</v>
      </c>
      <c r="N195" s="890"/>
      <c r="O195" s="467"/>
      <c r="P195" s="467">
        <v>5</v>
      </c>
      <c r="Q195" s="467"/>
      <c r="R195" s="625"/>
      <c r="S195" s="842"/>
      <c r="T195" s="862">
        <f t="shared" si="36"/>
        <v>0</v>
      </c>
      <c r="U195" s="862"/>
      <c r="V195" s="863">
        <v>75</v>
      </c>
      <c r="W195" s="857">
        <f t="shared" si="38"/>
        <v>5</v>
      </c>
      <c r="X195" s="863"/>
      <c r="Y195" s="1014">
        <f t="shared" si="40"/>
        <v>75</v>
      </c>
      <c r="Z195" s="664">
        <f t="shared" si="37"/>
        <v>5</v>
      </c>
      <c r="AA195" s="836"/>
      <c r="AB195" s="982"/>
      <c r="AC195" s="867">
        <v>0</v>
      </c>
      <c r="AD195" s="867">
        <v>10</v>
      </c>
      <c r="AE195" s="979"/>
      <c r="AF195" s="878"/>
      <c r="AG195" s="335">
        <v>75</v>
      </c>
      <c r="AH195" s="979">
        <f t="shared" si="39"/>
        <v>5</v>
      </c>
      <c r="AI195" s="979"/>
      <c r="AJ195" s="979"/>
      <c r="AK195" s="878"/>
      <c r="AL195" s="648"/>
      <c r="AM195" s="648"/>
      <c r="AN195" s="647"/>
      <c r="AO195" s="647"/>
      <c r="AP195" s="647"/>
      <c r="AQ195" s="647"/>
      <c r="AR195" s="647"/>
      <c r="AS195" s="647"/>
      <c r="AT195" s="647"/>
      <c r="AU195" s="647"/>
      <c r="AV195" s="647"/>
      <c r="AW195" s="647"/>
      <c r="AX195" s="647"/>
      <c r="AY195" s="647"/>
      <c r="AZ195" s="647"/>
      <c r="BA195" s="647"/>
      <c r="BB195" s="647"/>
      <c r="BC195" s="647"/>
      <c r="BD195" s="647"/>
      <c r="BE195" s="647"/>
      <c r="BF195" s="647"/>
      <c r="BG195" s="647"/>
      <c r="BH195" s="647"/>
      <c r="BI195" s="647"/>
      <c r="BJ195" s="647"/>
      <c r="BK195" s="647"/>
      <c r="BL195" s="647"/>
      <c r="BM195" s="647"/>
      <c r="BN195" s="647"/>
      <c r="BO195" s="647"/>
      <c r="BP195" s="647"/>
      <c r="BQ195" s="647"/>
      <c r="BR195" s="647"/>
      <c r="BS195" s="647"/>
      <c r="BT195" s="647"/>
      <c r="BU195" s="647"/>
      <c r="BV195" s="647"/>
      <c r="BW195" s="647"/>
      <c r="BX195" s="647"/>
      <c r="BY195" s="647"/>
      <c r="BZ195" s="647"/>
      <c r="CA195" s="647"/>
      <c r="CB195" s="647"/>
      <c r="CC195" s="647"/>
    </row>
    <row r="196" spans="1:81" ht="34.5" customHeight="1" x14ac:dyDescent="0.25">
      <c r="A196" s="664">
        <v>99</v>
      </c>
      <c r="B196" s="664" t="s">
        <v>28</v>
      </c>
      <c r="C196" s="664">
        <v>4</v>
      </c>
      <c r="D196" s="1086" t="s">
        <v>101</v>
      </c>
      <c r="E196" s="836"/>
      <c r="F196" s="846" t="s">
        <v>104</v>
      </c>
      <c r="G196" s="836" t="s">
        <v>265</v>
      </c>
      <c r="H196" s="844"/>
      <c r="I196" s="625"/>
      <c r="J196" s="844"/>
      <c r="K196" s="626"/>
      <c r="L196" s="893"/>
      <c r="M196" s="893"/>
      <c r="N196" s="893">
        <f t="shared" si="43"/>
        <v>0</v>
      </c>
      <c r="O196" s="856"/>
      <c r="P196" s="856"/>
      <c r="Q196" s="856">
        <f t="shared" si="44"/>
        <v>0</v>
      </c>
      <c r="R196" s="894"/>
      <c r="S196" s="855"/>
      <c r="T196" s="896">
        <f t="shared" si="36"/>
        <v>0</v>
      </c>
      <c r="U196" s="862"/>
      <c r="V196" s="857"/>
      <c r="W196" s="857">
        <f t="shared" si="38"/>
        <v>0</v>
      </c>
      <c r="X196" s="863"/>
      <c r="Y196" s="664">
        <f t="shared" si="40"/>
        <v>0</v>
      </c>
      <c r="Z196" s="664">
        <f t="shared" si="37"/>
        <v>0</v>
      </c>
      <c r="AA196" s="836"/>
      <c r="AB196" s="982"/>
      <c r="AC196" s="867"/>
      <c r="AD196" s="867"/>
      <c r="AE196" s="979">
        <f t="shared" si="42"/>
        <v>0</v>
      </c>
      <c r="AF196" s="878"/>
      <c r="AG196" s="335"/>
      <c r="AH196" s="979">
        <f t="shared" si="39"/>
        <v>0</v>
      </c>
      <c r="AI196" s="979"/>
      <c r="AJ196" s="979">
        <f t="shared" si="41"/>
        <v>0</v>
      </c>
      <c r="AK196" s="878"/>
      <c r="AL196" s="618"/>
      <c r="AM196" s="618"/>
    </row>
    <row r="197" spans="1:81" ht="28.5" customHeight="1" x14ac:dyDescent="0.25">
      <c r="A197" s="664"/>
      <c r="B197" s="664"/>
      <c r="C197" s="664"/>
      <c r="D197" s="1086"/>
      <c r="E197" s="836"/>
      <c r="F197" s="846"/>
      <c r="G197" s="836"/>
      <c r="H197" s="844"/>
      <c r="I197" s="625"/>
      <c r="J197" s="844"/>
      <c r="K197" s="626"/>
      <c r="L197" s="893"/>
      <c r="M197" s="893"/>
      <c r="N197" s="893">
        <f t="shared" si="43"/>
        <v>0</v>
      </c>
      <c r="O197" s="856"/>
      <c r="P197" s="856"/>
      <c r="Q197" s="856">
        <f t="shared" si="44"/>
        <v>0</v>
      </c>
      <c r="R197" s="894"/>
      <c r="S197" s="855"/>
      <c r="T197" s="896">
        <f t="shared" si="36"/>
        <v>0</v>
      </c>
      <c r="U197" s="862"/>
      <c r="V197" s="857"/>
      <c r="W197" s="857">
        <f t="shared" si="38"/>
        <v>0</v>
      </c>
      <c r="X197" s="863"/>
      <c r="Y197" s="664">
        <f t="shared" si="40"/>
        <v>0</v>
      </c>
      <c r="Z197" s="664">
        <f t="shared" si="37"/>
        <v>0</v>
      </c>
      <c r="AA197" s="836"/>
      <c r="AB197" s="982"/>
      <c r="AC197" s="867"/>
      <c r="AD197" s="867"/>
      <c r="AE197" s="979">
        <f t="shared" si="42"/>
        <v>0</v>
      </c>
      <c r="AF197" s="878"/>
      <c r="AG197" s="335"/>
      <c r="AH197" s="979">
        <f t="shared" si="39"/>
        <v>0</v>
      </c>
      <c r="AI197" s="979"/>
      <c r="AJ197" s="979">
        <f t="shared" si="41"/>
        <v>0</v>
      </c>
      <c r="AK197" s="878"/>
      <c r="AL197" s="618"/>
      <c r="AM197" s="618"/>
    </row>
    <row r="198" spans="1:81" ht="21.6" customHeight="1" x14ac:dyDescent="0.25">
      <c r="A198" s="664"/>
      <c r="B198" s="664"/>
      <c r="C198" s="664"/>
      <c r="D198" s="1086" t="s">
        <v>105</v>
      </c>
      <c r="E198" s="836" t="s">
        <v>429</v>
      </c>
      <c r="F198" s="846" t="s">
        <v>547</v>
      </c>
      <c r="G198" s="836" t="s">
        <v>276</v>
      </c>
      <c r="H198" s="844"/>
      <c r="I198" s="625"/>
      <c r="J198" s="844"/>
      <c r="K198" s="626"/>
      <c r="L198" s="893"/>
      <c r="M198" s="893"/>
      <c r="N198" s="893">
        <f t="shared" ref="N198:N232" si="45">M198+L198</f>
        <v>0</v>
      </c>
      <c r="O198" s="856"/>
      <c r="P198" s="856"/>
      <c r="Q198" s="856">
        <f t="shared" ref="Q198:Q232" si="46">P198+O198</f>
        <v>0</v>
      </c>
      <c r="R198" s="894"/>
      <c r="T198" s="896">
        <f>S219/15</f>
        <v>0</v>
      </c>
      <c r="U198" s="862">
        <f>SUM(T198:T244)</f>
        <v>-1.8</v>
      </c>
      <c r="V198" s="857"/>
      <c r="W198" s="857">
        <f t="shared" ref="W198:W244" si="47">V198/15</f>
        <v>0</v>
      </c>
      <c r="X198" s="863">
        <f>SUM(W198:W244)</f>
        <v>234.8</v>
      </c>
      <c r="Y198" s="664">
        <f>V198+S219</f>
        <v>0</v>
      </c>
      <c r="Z198" s="664">
        <f t="shared" ref="Z198:Z245" si="48">W198+T198</f>
        <v>0</v>
      </c>
      <c r="AA198" s="836">
        <f>SUM(Z198:Z244)</f>
        <v>233</v>
      </c>
      <c r="AB198" s="982">
        <v>233</v>
      </c>
      <c r="AC198" s="867"/>
      <c r="AD198" s="867"/>
      <c r="AE198" s="979">
        <f t="shared" ref="AE198:AE227" si="49">AC198+AD198</f>
        <v>0</v>
      </c>
      <c r="AF198" s="878">
        <f>SUM(AE198:AE244)</f>
        <v>148</v>
      </c>
      <c r="AG198" s="335"/>
      <c r="AH198" s="979">
        <f t="shared" si="39"/>
        <v>0</v>
      </c>
      <c r="AI198" s="979">
        <f>SUM(AH198:AH244)</f>
        <v>234.8</v>
      </c>
      <c r="AJ198" s="979">
        <f t="shared" ref="AJ198:AJ225" si="50">Z198-AH198</f>
        <v>0</v>
      </c>
      <c r="AK198" s="878">
        <f>SUM(AJ198:AJ244)</f>
        <v>-1.8</v>
      </c>
      <c r="AL198" s="618"/>
      <c r="AM198" s="618"/>
    </row>
    <row r="199" spans="1:81" ht="21.6" customHeight="1" x14ac:dyDescent="0.25">
      <c r="A199" s="664">
        <v>100</v>
      </c>
      <c r="B199" s="664" t="s">
        <v>28</v>
      </c>
      <c r="C199" s="664">
        <v>1</v>
      </c>
      <c r="D199" s="1086" t="s">
        <v>105</v>
      </c>
      <c r="E199" s="836"/>
      <c r="F199" s="846" t="s">
        <v>106</v>
      </c>
      <c r="G199" s="836" t="s">
        <v>265</v>
      </c>
      <c r="H199" s="844"/>
      <c r="I199" s="625"/>
      <c r="J199" s="844"/>
      <c r="K199" s="626"/>
      <c r="L199" s="893"/>
      <c r="M199" s="893"/>
      <c r="N199" s="893">
        <f t="shared" si="45"/>
        <v>0</v>
      </c>
      <c r="O199" s="856"/>
      <c r="P199" s="856"/>
      <c r="Q199" s="856">
        <f t="shared" si="46"/>
        <v>0</v>
      </c>
      <c r="R199" s="894"/>
      <c r="S199" s="855">
        <v>-27</v>
      </c>
      <c r="T199" s="896">
        <f t="shared" ref="T199:T225" si="51">S199/15</f>
        <v>-1.8</v>
      </c>
      <c r="U199" s="862"/>
      <c r="V199" s="857"/>
      <c r="W199" s="857">
        <f t="shared" si="47"/>
        <v>0</v>
      </c>
      <c r="X199" s="863"/>
      <c r="Y199" s="664">
        <f t="shared" si="40"/>
        <v>-27</v>
      </c>
      <c r="Z199" s="664">
        <f t="shared" si="48"/>
        <v>-1.8</v>
      </c>
      <c r="AA199" s="631"/>
      <c r="AB199" s="982"/>
      <c r="AC199" s="867"/>
      <c r="AD199" s="867"/>
      <c r="AE199" s="979">
        <f t="shared" si="49"/>
        <v>0</v>
      </c>
      <c r="AF199" s="878"/>
      <c r="AG199" s="335"/>
      <c r="AH199" s="979">
        <f t="shared" si="39"/>
        <v>0</v>
      </c>
      <c r="AI199" s="979"/>
      <c r="AJ199" s="979">
        <f t="shared" si="50"/>
        <v>-1.8</v>
      </c>
      <c r="AK199" s="878"/>
      <c r="AL199" s="618"/>
      <c r="AM199" s="618"/>
    </row>
    <row r="200" spans="1:81" ht="31.5" customHeight="1" x14ac:dyDescent="0.25">
      <c r="A200" s="664"/>
      <c r="B200" s="664"/>
      <c r="C200" s="664"/>
      <c r="D200" s="1086" t="s">
        <v>105</v>
      </c>
      <c r="E200" s="836" t="s">
        <v>429</v>
      </c>
      <c r="F200" s="846" t="s">
        <v>602</v>
      </c>
      <c r="G200" s="836" t="s">
        <v>276</v>
      </c>
      <c r="H200" s="844"/>
      <c r="I200" s="625"/>
      <c r="J200" s="844"/>
      <c r="K200" s="626"/>
      <c r="L200" s="893"/>
      <c r="M200" s="893"/>
      <c r="N200" s="893">
        <f t="shared" si="45"/>
        <v>0</v>
      </c>
      <c r="O200" s="856"/>
      <c r="P200" s="856"/>
      <c r="Q200" s="856">
        <f t="shared" si="46"/>
        <v>0</v>
      </c>
      <c r="R200" s="894"/>
      <c r="S200" s="855"/>
      <c r="T200" s="896">
        <f t="shared" si="51"/>
        <v>0</v>
      </c>
      <c r="U200" s="862"/>
      <c r="V200" s="857"/>
      <c r="W200" s="857">
        <f t="shared" si="47"/>
        <v>0</v>
      </c>
      <c r="X200" s="863"/>
      <c r="Y200" s="664">
        <f t="shared" si="40"/>
        <v>0</v>
      </c>
      <c r="Z200" s="664">
        <f t="shared" si="48"/>
        <v>0</v>
      </c>
      <c r="AA200" s="836"/>
      <c r="AB200" s="982"/>
      <c r="AC200" s="867"/>
      <c r="AD200" s="867"/>
      <c r="AE200" s="979">
        <f t="shared" si="49"/>
        <v>0</v>
      </c>
      <c r="AF200" s="878"/>
      <c r="AG200" s="335"/>
      <c r="AH200" s="979">
        <f t="shared" si="39"/>
        <v>0</v>
      </c>
      <c r="AI200" s="979"/>
      <c r="AJ200" s="979">
        <f t="shared" si="50"/>
        <v>0</v>
      </c>
      <c r="AK200" s="878"/>
      <c r="AL200" s="618"/>
      <c r="AM200" s="618"/>
    </row>
    <row r="201" spans="1:81" ht="37.5" customHeight="1" x14ac:dyDescent="0.25">
      <c r="A201" s="664"/>
      <c r="B201" s="664"/>
      <c r="C201" s="664"/>
      <c r="D201" s="1086" t="s">
        <v>105</v>
      </c>
      <c r="E201" s="836" t="s">
        <v>429</v>
      </c>
      <c r="F201" s="846" t="s">
        <v>548</v>
      </c>
      <c r="G201" s="836" t="s">
        <v>276</v>
      </c>
      <c r="H201" s="844"/>
      <c r="I201" s="625"/>
      <c r="J201" s="844"/>
      <c r="K201" s="626"/>
      <c r="L201" s="893"/>
      <c r="M201" s="893"/>
      <c r="N201" s="893">
        <f t="shared" si="45"/>
        <v>0</v>
      </c>
      <c r="O201" s="856"/>
      <c r="P201" s="856"/>
      <c r="Q201" s="856">
        <f t="shared" si="46"/>
        <v>0</v>
      </c>
      <c r="R201" s="894"/>
      <c r="S201" s="855"/>
      <c r="T201" s="896">
        <f t="shared" si="51"/>
        <v>0</v>
      </c>
      <c r="U201" s="862"/>
      <c r="V201" s="857"/>
      <c r="W201" s="857">
        <f t="shared" si="47"/>
        <v>0</v>
      </c>
      <c r="X201" s="863"/>
      <c r="Y201" s="664">
        <f t="shared" si="40"/>
        <v>0</v>
      </c>
      <c r="Z201" s="664">
        <f t="shared" si="48"/>
        <v>0</v>
      </c>
      <c r="AA201" s="836"/>
      <c r="AB201" s="982"/>
      <c r="AC201" s="867"/>
      <c r="AD201" s="867"/>
      <c r="AE201" s="979">
        <f t="shared" si="49"/>
        <v>0</v>
      </c>
      <c r="AF201" s="878"/>
      <c r="AG201" s="335"/>
      <c r="AH201" s="979">
        <f t="shared" si="39"/>
        <v>0</v>
      </c>
      <c r="AI201" s="979"/>
      <c r="AJ201" s="979">
        <f t="shared" si="50"/>
        <v>0</v>
      </c>
      <c r="AK201" s="878"/>
      <c r="AL201" s="618"/>
      <c r="AM201" s="618"/>
    </row>
    <row r="202" spans="1:81" ht="21.6" customHeight="1" x14ac:dyDescent="0.25">
      <c r="A202" s="664">
        <v>103</v>
      </c>
      <c r="B202" s="664" t="s">
        <v>28</v>
      </c>
      <c r="C202" s="664">
        <v>4</v>
      </c>
      <c r="D202" s="1086" t="s">
        <v>105</v>
      </c>
      <c r="E202" s="836"/>
      <c r="F202" s="846" t="s">
        <v>107</v>
      </c>
      <c r="G202" s="836" t="s">
        <v>265</v>
      </c>
      <c r="H202" s="844"/>
      <c r="I202" s="625"/>
      <c r="J202" s="844"/>
      <c r="K202" s="626"/>
      <c r="L202" s="893"/>
      <c r="M202" s="893"/>
      <c r="N202" s="893">
        <f t="shared" si="45"/>
        <v>0</v>
      </c>
      <c r="O202" s="856"/>
      <c r="P202" s="856"/>
      <c r="Q202" s="856">
        <f t="shared" si="46"/>
        <v>0</v>
      </c>
      <c r="R202" s="894"/>
      <c r="S202" s="855"/>
      <c r="T202" s="896">
        <f t="shared" si="51"/>
        <v>0</v>
      </c>
      <c r="U202" s="862"/>
      <c r="V202" s="857"/>
      <c r="W202" s="857">
        <f t="shared" si="47"/>
        <v>0</v>
      </c>
      <c r="X202" s="863"/>
      <c r="Y202" s="664">
        <f t="shared" si="40"/>
        <v>0</v>
      </c>
      <c r="Z202" s="664">
        <f t="shared" si="48"/>
        <v>0</v>
      </c>
      <c r="AA202" s="836"/>
      <c r="AB202" s="982"/>
      <c r="AC202" s="867"/>
      <c r="AD202" s="867"/>
      <c r="AE202" s="979">
        <f t="shared" si="49"/>
        <v>0</v>
      </c>
      <c r="AF202" s="878"/>
      <c r="AG202" s="335"/>
      <c r="AH202" s="979">
        <f t="shared" si="39"/>
        <v>0</v>
      </c>
      <c r="AI202" s="979"/>
      <c r="AJ202" s="979">
        <f t="shared" si="50"/>
        <v>0</v>
      </c>
      <c r="AK202" s="878"/>
      <c r="AL202" s="618"/>
      <c r="AM202" s="618"/>
    </row>
    <row r="203" spans="1:81" ht="21.6" customHeight="1" x14ac:dyDescent="0.25">
      <c r="A203" s="664">
        <v>104</v>
      </c>
      <c r="B203" s="664" t="s">
        <v>28</v>
      </c>
      <c r="C203" s="664">
        <v>5</v>
      </c>
      <c r="D203" s="1086" t="s">
        <v>105</v>
      </c>
      <c r="E203" s="836"/>
      <c r="F203" s="846" t="s">
        <v>108</v>
      </c>
      <c r="G203" s="836" t="s">
        <v>265</v>
      </c>
      <c r="H203" s="844"/>
      <c r="I203" s="625"/>
      <c r="J203" s="844"/>
      <c r="K203" s="626"/>
      <c r="L203" s="893"/>
      <c r="M203" s="893"/>
      <c r="N203" s="893">
        <f t="shared" si="45"/>
        <v>0</v>
      </c>
      <c r="O203" s="856"/>
      <c r="P203" s="856"/>
      <c r="Q203" s="856">
        <f t="shared" si="46"/>
        <v>0</v>
      </c>
      <c r="R203" s="894"/>
      <c r="S203" s="855"/>
      <c r="T203" s="896">
        <f t="shared" si="51"/>
        <v>0</v>
      </c>
      <c r="U203" s="862"/>
      <c r="V203" s="857"/>
      <c r="W203" s="857">
        <f t="shared" si="47"/>
        <v>0</v>
      </c>
      <c r="X203" s="863"/>
      <c r="Y203" s="664">
        <f t="shared" si="40"/>
        <v>0</v>
      </c>
      <c r="Z203" s="664">
        <f t="shared" si="48"/>
        <v>0</v>
      </c>
      <c r="AA203" s="836"/>
      <c r="AB203" s="982"/>
      <c r="AC203" s="867"/>
      <c r="AD203" s="867"/>
      <c r="AE203" s="979">
        <f t="shared" si="49"/>
        <v>0</v>
      </c>
      <c r="AF203" s="878"/>
      <c r="AG203" s="335"/>
      <c r="AH203" s="979">
        <f t="shared" si="39"/>
        <v>0</v>
      </c>
      <c r="AI203" s="979"/>
      <c r="AJ203" s="979">
        <f t="shared" si="50"/>
        <v>0</v>
      </c>
      <c r="AK203" s="878"/>
      <c r="AL203" s="618"/>
      <c r="AM203" s="618"/>
    </row>
    <row r="204" spans="1:81" ht="21.6" customHeight="1" x14ac:dyDescent="0.25">
      <c r="A204" s="664"/>
      <c r="B204" s="664"/>
      <c r="C204" s="664"/>
      <c r="D204" s="1086" t="s">
        <v>105</v>
      </c>
      <c r="E204" s="836"/>
      <c r="F204" s="846" t="s">
        <v>177</v>
      </c>
      <c r="G204" s="836"/>
      <c r="H204" s="844"/>
      <c r="I204" s="625"/>
      <c r="J204" s="844"/>
      <c r="K204" s="626"/>
      <c r="L204" s="893"/>
      <c r="M204" s="893"/>
      <c r="N204" s="893">
        <f t="shared" si="45"/>
        <v>0</v>
      </c>
      <c r="O204" s="856"/>
      <c r="P204" s="856"/>
      <c r="Q204" s="856">
        <f t="shared" si="46"/>
        <v>0</v>
      </c>
      <c r="R204" s="894"/>
      <c r="S204" s="855"/>
      <c r="T204" s="896">
        <f t="shared" si="51"/>
        <v>0</v>
      </c>
      <c r="U204" s="862"/>
      <c r="V204" s="857"/>
      <c r="W204" s="857">
        <f t="shared" si="47"/>
        <v>0</v>
      </c>
      <c r="X204" s="863"/>
      <c r="Y204" s="664">
        <f t="shared" si="40"/>
        <v>0</v>
      </c>
      <c r="Z204" s="664">
        <f t="shared" si="48"/>
        <v>0</v>
      </c>
      <c r="AA204" s="836"/>
      <c r="AB204" s="982"/>
      <c r="AC204" s="867"/>
      <c r="AD204" s="867"/>
      <c r="AE204" s="979">
        <f t="shared" si="49"/>
        <v>0</v>
      </c>
      <c r="AF204" s="878"/>
      <c r="AG204" s="335"/>
      <c r="AH204" s="979">
        <f t="shared" si="39"/>
        <v>0</v>
      </c>
      <c r="AI204" s="979"/>
      <c r="AJ204" s="979">
        <f t="shared" si="50"/>
        <v>0</v>
      </c>
      <c r="AK204" s="878"/>
      <c r="AL204" s="618"/>
      <c r="AM204" s="618"/>
    </row>
    <row r="205" spans="1:81" ht="21.6" customHeight="1" x14ac:dyDescent="0.25">
      <c r="A205" s="664">
        <v>105</v>
      </c>
      <c r="B205" s="664" t="s">
        <v>28</v>
      </c>
      <c r="C205" s="664">
        <v>6</v>
      </c>
      <c r="D205" s="1086" t="s">
        <v>105</v>
      </c>
      <c r="E205" s="836"/>
      <c r="F205" s="846" t="s">
        <v>109</v>
      </c>
      <c r="G205" s="836" t="s">
        <v>265</v>
      </c>
      <c r="H205" s="844"/>
      <c r="I205" s="625"/>
      <c r="J205" s="844"/>
      <c r="K205" s="626"/>
      <c r="L205" s="893"/>
      <c r="M205" s="893"/>
      <c r="N205" s="893">
        <f t="shared" si="45"/>
        <v>0</v>
      </c>
      <c r="O205" s="856"/>
      <c r="P205" s="856"/>
      <c r="Q205" s="856">
        <f t="shared" si="46"/>
        <v>0</v>
      </c>
      <c r="R205" s="894"/>
      <c r="S205" s="855"/>
      <c r="T205" s="896">
        <f t="shared" si="51"/>
        <v>0</v>
      </c>
      <c r="U205" s="862"/>
      <c r="V205" s="857"/>
      <c r="W205" s="857">
        <f t="shared" si="47"/>
        <v>0</v>
      </c>
      <c r="X205" s="863"/>
      <c r="Y205" s="664">
        <f t="shared" si="40"/>
        <v>0</v>
      </c>
      <c r="Z205" s="664">
        <f t="shared" si="48"/>
        <v>0</v>
      </c>
      <c r="AA205" s="836"/>
      <c r="AB205" s="982"/>
      <c r="AC205" s="867"/>
      <c r="AD205" s="867"/>
      <c r="AE205" s="979">
        <f t="shared" si="49"/>
        <v>0</v>
      </c>
      <c r="AF205" s="878"/>
      <c r="AG205" s="335"/>
      <c r="AH205" s="979">
        <f t="shared" si="39"/>
        <v>0</v>
      </c>
      <c r="AI205" s="979"/>
      <c r="AJ205" s="979">
        <f t="shared" si="50"/>
        <v>0</v>
      </c>
      <c r="AK205" s="878"/>
      <c r="AL205" s="618"/>
      <c r="AM205" s="618"/>
    </row>
    <row r="206" spans="1:81" ht="21.6" customHeight="1" x14ac:dyDescent="0.25">
      <c r="A206" s="664">
        <v>106</v>
      </c>
      <c r="B206" s="664" t="s">
        <v>28</v>
      </c>
      <c r="C206" s="664">
        <v>7</v>
      </c>
      <c r="D206" s="1086" t="s">
        <v>105</v>
      </c>
      <c r="E206" s="900"/>
      <c r="F206" s="846" t="s">
        <v>110</v>
      </c>
      <c r="G206" s="836" t="s">
        <v>265</v>
      </c>
      <c r="H206" s="844"/>
      <c r="I206" s="625"/>
      <c r="J206" s="844"/>
      <c r="K206" s="626"/>
      <c r="L206" s="893"/>
      <c r="M206" s="893"/>
      <c r="N206" s="893">
        <f t="shared" si="45"/>
        <v>0</v>
      </c>
      <c r="O206" s="856"/>
      <c r="P206" s="856"/>
      <c r="Q206" s="856">
        <f t="shared" si="46"/>
        <v>0</v>
      </c>
      <c r="R206" s="894"/>
      <c r="S206" s="855"/>
      <c r="T206" s="896">
        <f t="shared" si="51"/>
        <v>0</v>
      </c>
      <c r="U206" s="862"/>
      <c r="V206" s="857"/>
      <c r="W206" s="857">
        <f t="shared" si="47"/>
        <v>0</v>
      </c>
      <c r="X206" s="863"/>
      <c r="Y206" s="664">
        <f t="shared" si="40"/>
        <v>0</v>
      </c>
      <c r="Z206" s="664">
        <f t="shared" si="48"/>
        <v>0</v>
      </c>
      <c r="AA206" s="836"/>
      <c r="AB206" s="982"/>
      <c r="AC206" s="867"/>
      <c r="AD206" s="867"/>
      <c r="AE206" s="979">
        <f t="shared" si="49"/>
        <v>0</v>
      </c>
      <c r="AF206" s="878"/>
      <c r="AG206" s="335"/>
      <c r="AH206" s="979">
        <f t="shared" si="39"/>
        <v>0</v>
      </c>
      <c r="AI206" s="979"/>
      <c r="AJ206" s="979">
        <f t="shared" si="50"/>
        <v>0</v>
      </c>
      <c r="AK206" s="878"/>
      <c r="AL206" s="618"/>
      <c r="AM206" s="618"/>
    </row>
    <row r="207" spans="1:81" ht="21.6" customHeight="1" x14ac:dyDescent="0.25">
      <c r="A207" s="664">
        <v>107</v>
      </c>
      <c r="B207" s="664" t="s">
        <v>28</v>
      </c>
      <c r="C207" s="664">
        <v>8</v>
      </c>
      <c r="D207" s="1086" t="s">
        <v>105</v>
      </c>
      <c r="E207" s="836"/>
      <c r="F207" s="846" t="s">
        <v>111</v>
      </c>
      <c r="G207" s="836" t="s">
        <v>265</v>
      </c>
      <c r="H207" s="844"/>
      <c r="I207" s="625"/>
      <c r="J207" s="844"/>
      <c r="K207" s="626"/>
      <c r="L207" s="893"/>
      <c r="M207" s="893"/>
      <c r="N207" s="893">
        <f t="shared" si="45"/>
        <v>0</v>
      </c>
      <c r="O207" s="856"/>
      <c r="P207" s="856"/>
      <c r="Q207" s="856">
        <f t="shared" si="46"/>
        <v>0</v>
      </c>
      <c r="R207" s="894"/>
      <c r="S207" s="855"/>
      <c r="T207" s="896">
        <f t="shared" si="51"/>
        <v>0</v>
      </c>
      <c r="U207" s="862"/>
      <c r="V207" s="857"/>
      <c r="W207" s="857">
        <f t="shared" si="47"/>
        <v>0</v>
      </c>
      <c r="X207" s="863"/>
      <c r="Y207" s="664">
        <f t="shared" si="40"/>
        <v>0</v>
      </c>
      <c r="Z207" s="664">
        <f t="shared" si="48"/>
        <v>0</v>
      </c>
      <c r="AA207" s="836"/>
      <c r="AB207" s="982"/>
      <c r="AC207" s="867"/>
      <c r="AD207" s="867"/>
      <c r="AE207" s="979">
        <f t="shared" si="49"/>
        <v>0</v>
      </c>
      <c r="AF207" s="878"/>
      <c r="AG207" s="335"/>
      <c r="AH207" s="979">
        <f t="shared" si="39"/>
        <v>0</v>
      </c>
      <c r="AI207" s="979"/>
      <c r="AJ207" s="979">
        <f t="shared" si="50"/>
        <v>0</v>
      </c>
      <c r="AK207" s="878"/>
      <c r="AL207" s="618"/>
      <c r="AM207" s="618"/>
    </row>
    <row r="208" spans="1:81" ht="36" customHeight="1" x14ac:dyDescent="0.25">
      <c r="A208" s="664">
        <v>108</v>
      </c>
      <c r="B208" s="664" t="s">
        <v>28</v>
      </c>
      <c r="C208" s="664">
        <v>9</v>
      </c>
      <c r="D208" s="1086" t="s">
        <v>105</v>
      </c>
      <c r="E208" s="900"/>
      <c r="F208" s="846" t="s">
        <v>112</v>
      </c>
      <c r="G208" s="836" t="s">
        <v>265</v>
      </c>
      <c r="H208" s="844"/>
      <c r="I208" s="625"/>
      <c r="J208" s="844" t="s">
        <v>265</v>
      </c>
      <c r="K208" s="626" t="s">
        <v>799</v>
      </c>
      <c r="L208" s="893">
        <v>6</v>
      </c>
      <c r="M208" s="893">
        <v>3</v>
      </c>
      <c r="N208" s="893">
        <f t="shared" si="45"/>
        <v>9</v>
      </c>
      <c r="O208" s="856"/>
      <c r="P208" s="856">
        <v>11</v>
      </c>
      <c r="Q208" s="856">
        <f t="shared" si="46"/>
        <v>11</v>
      </c>
      <c r="R208" s="894"/>
      <c r="S208" s="855"/>
      <c r="T208" s="896">
        <f t="shared" si="51"/>
        <v>0</v>
      </c>
      <c r="U208" s="862"/>
      <c r="V208" s="857">
        <v>165</v>
      </c>
      <c r="W208" s="857">
        <f t="shared" si="47"/>
        <v>11</v>
      </c>
      <c r="X208" s="863"/>
      <c r="Y208" s="664">
        <f t="shared" si="40"/>
        <v>165</v>
      </c>
      <c r="Z208" s="664">
        <f t="shared" si="48"/>
        <v>11</v>
      </c>
      <c r="AA208" s="836"/>
      <c r="AB208" s="982"/>
      <c r="AC208" s="867">
        <v>6</v>
      </c>
      <c r="AD208" s="867">
        <v>3</v>
      </c>
      <c r="AE208" s="979">
        <f t="shared" si="49"/>
        <v>9</v>
      </c>
      <c r="AF208" s="878"/>
      <c r="AG208" s="335">
        <v>165</v>
      </c>
      <c r="AH208" s="979">
        <f t="shared" si="39"/>
        <v>11</v>
      </c>
      <c r="AI208" s="979"/>
      <c r="AJ208" s="979">
        <f t="shared" si="50"/>
        <v>0</v>
      </c>
      <c r="AK208" s="878"/>
      <c r="AL208" s="618"/>
      <c r="AM208" s="618"/>
    </row>
    <row r="209" spans="1:81" ht="21.6" customHeight="1" x14ac:dyDescent="0.25">
      <c r="A209" s="664">
        <v>109</v>
      </c>
      <c r="B209" s="664" t="s">
        <v>28</v>
      </c>
      <c r="C209" s="664">
        <v>10</v>
      </c>
      <c r="D209" s="1086" t="s">
        <v>105</v>
      </c>
      <c r="E209" s="836"/>
      <c r="F209" s="846" t="s">
        <v>113</v>
      </c>
      <c r="G209" s="836" t="s">
        <v>265</v>
      </c>
      <c r="H209" s="844"/>
      <c r="I209" s="625"/>
      <c r="J209" s="844"/>
      <c r="K209" s="626"/>
      <c r="L209" s="893"/>
      <c r="M209" s="893"/>
      <c r="N209" s="893">
        <f t="shared" si="45"/>
        <v>0</v>
      </c>
      <c r="O209" s="856"/>
      <c r="P209" s="856"/>
      <c r="Q209" s="856">
        <f t="shared" si="46"/>
        <v>0</v>
      </c>
      <c r="R209" s="894"/>
      <c r="S209" s="855"/>
      <c r="T209" s="896">
        <f t="shared" si="51"/>
        <v>0</v>
      </c>
      <c r="U209" s="862"/>
      <c r="V209" s="857"/>
      <c r="W209" s="857">
        <f t="shared" si="47"/>
        <v>0</v>
      </c>
      <c r="X209" s="863"/>
      <c r="Y209" s="664">
        <f t="shared" si="40"/>
        <v>0</v>
      </c>
      <c r="Z209" s="664">
        <f t="shared" si="48"/>
        <v>0</v>
      </c>
      <c r="AA209" s="836"/>
      <c r="AB209" s="982"/>
      <c r="AC209" s="867"/>
      <c r="AD209" s="867"/>
      <c r="AE209" s="979">
        <f t="shared" si="49"/>
        <v>0</v>
      </c>
      <c r="AF209" s="878"/>
      <c r="AG209" s="335"/>
      <c r="AH209" s="979">
        <f t="shared" si="39"/>
        <v>0</v>
      </c>
      <c r="AI209" s="979"/>
      <c r="AJ209" s="979">
        <f t="shared" si="50"/>
        <v>0</v>
      </c>
      <c r="AK209" s="878"/>
      <c r="AL209" s="618"/>
      <c r="AM209" s="618"/>
    </row>
    <row r="210" spans="1:81" ht="21.6" customHeight="1" x14ac:dyDescent="0.25">
      <c r="A210" s="664">
        <v>110</v>
      </c>
      <c r="B210" s="664" t="s">
        <v>28</v>
      </c>
      <c r="C210" s="664">
        <v>11</v>
      </c>
      <c r="D210" s="1086" t="s">
        <v>105</v>
      </c>
      <c r="E210" s="836"/>
      <c r="F210" s="846" t="s">
        <v>114</v>
      </c>
      <c r="G210" s="836" t="s">
        <v>265</v>
      </c>
      <c r="H210" s="844"/>
      <c r="I210" s="625"/>
      <c r="J210" s="844"/>
      <c r="K210" s="626"/>
      <c r="L210" s="893"/>
      <c r="M210" s="893"/>
      <c r="N210" s="893">
        <f t="shared" si="45"/>
        <v>0</v>
      </c>
      <c r="O210" s="856"/>
      <c r="P210" s="856"/>
      <c r="Q210" s="856">
        <f t="shared" si="46"/>
        <v>0</v>
      </c>
      <c r="R210" s="894"/>
      <c r="S210" s="855"/>
      <c r="T210" s="896">
        <f t="shared" si="51"/>
        <v>0</v>
      </c>
      <c r="U210" s="862"/>
      <c r="V210" s="857"/>
      <c r="W210" s="857">
        <f t="shared" si="47"/>
        <v>0</v>
      </c>
      <c r="X210" s="863"/>
      <c r="Y210" s="664">
        <f t="shared" si="40"/>
        <v>0</v>
      </c>
      <c r="Z210" s="664">
        <f t="shared" si="48"/>
        <v>0</v>
      </c>
      <c r="AA210" s="836"/>
      <c r="AB210" s="982"/>
      <c r="AC210" s="867"/>
      <c r="AD210" s="867"/>
      <c r="AE210" s="979">
        <f t="shared" si="49"/>
        <v>0</v>
      </c>
      <c r="AF210" s="878"/>
      <c r="AG210" s="335"/>
      <c r="AH210" s="979">
        <f t="shared" si="39"/>
        <v>0</v>
      </c>
      <c r="AI210" s="979"/>
      <c r="AJ210" s="979">
        <f t="shared" si="50"/>
        <v>0</v>
      </c>
      <c r="AK210" s="878"/>
      <c r="AL210" s="618"/>
      <c r="AM210" s="618"/>
    </row>
    <row r="211" spans="1:81" ht="21.6" customHeight="1" x14ac:dyDescent="0.25">
      <c r="A211" s="664">
        <v>111</v>
      </c>
      <c r="B211" s="664" t="s">
        <v>28</v>
      </c>
      <c r="C211" s="664">
        <v>12</v>
      </c>
      <c r="D211" s="1086" t="s">
        <v>105</v>
      </c>
      <c r="E211" s="836"/>
      <c r="F211" s="846" t="s">
        <v>115</v>
      </c>
      <c r="G211" s="836" t="s">
        <v>265</v>
      </c>
      <c r="H211" s="844"/>
      <c r="I211" s="625"/>
      <c r="J211" s="844"/>
      <c r="K211" s="626"/>
      <c r="L211" s="893"/>
      <c r="M211" s="893"/>
      <c r="N211" s="893">
        <f t="shared" si="45"/>
        <v>0</v>
      </c>
      <c r="O211" s="856"/>
      <c r="P211" s="856"/>
      <c r="Q211" s="856">
        <f t="shared" si="46"/>
        <v>0</v>
      </c>
      <c r="R211" s="894"/>
      <c r="S211" s="855"/>
      <c r="T211" s="896">
        <f t="shared" si="51"/>
        <v>0</v>
      </c>
      <c r="U211" s="862"/>
      <c r="V211" s="857"/>
      <c r="W211" s="857">
        <f t="shared" si="47"/>
        <v>0</v>
      </c>
      <c r="X211" s="863"/>
      <c r="Y211" s="664">
        <f t="shared" si="40"/>
        <v>0</v>
      </c>
      <c r="Z211" s="664">
        <f t="shared" si="48"/>
        <v>0</v>
      </c>
      <c r="AA211" s="836"/>
      <c r="AB211" s="982"/>
      <c r="AC211" s="867"/>
      <c r="AD211" s="867"/>
      <c r="AE211" s="979">
        <f t="shared" si="49"/>
        <v>0</v>
      </c>
      <c r="AF211" s="878"/>
      <c r="AG211" s="335"/>
      <c r="AH211" s="979">
        <f t="shared" si="39"/>
        <v>0</v>
      </c>
      <c r="AI211" s="979"/>
      <c r="AJ211" s="979">
        <f t="shared" si="50"/>
        <v>0</v>
      </c>
      <c r="AK211" s="878"/>
      <c r="AL211" s="618"/>
      <c r="AM211" s="618"/>
    </row>
    <row r="212" spans="1:81" s="639" customFormat="1" ht="21.6" customHeight="1" x14ac:dyDescent="0.25">
      <c r="A212" s="910">
        <v>112</v>
      </c>
      <c r="B212" s="910" t="s">
        <v>28</v>
      </c>
      <c r="C212" s="910">
        <v>13</v>
      </c>
      <c r="D212" s="1086" t="s">
        <v>105</v>
      </c>
      <c r="E212" s="845"/>
      <c r="F212" s="911" t="s">
        <v>116</v>
      </c>
      <c r="G212" s="845" t="s">
        <v>265</v>
      </c>
      <c r="H212" s="901"/>
      <c r="I212" s="402"/>
      <c r="J212" s="901"/>
      <c r="K212" s="918"/>
      <c r="L212" s="912"/>
      <c r="M212" s="912"/>
      <c r="N212" s="912">
        <f t="shared" si="45"/>
        <v>0</v>
      </c>
      <c r="O212" s="913"/>
      <c r="P212" s="913"/>
      <c r="Q212" s="913">
        <f t="shared" si="46"/>
        <v>0</v>
      </c>
      <c r="R212" s="346"/>
      <c r="S212" s="914"/>
      <c r="T212" s="896">
        <f t="shared" si="51"/>
        <v>0</v>
      </c>
      <c r="U212" s="915"/>
      <c r="V212" s="916"/>
      <c r="W212" s="857">
        <f t="shared" si="47"/>
        <v>0</v>
      </c>
      <c r="X212" s="917"/>
      <c r="Y212" s="664">
        <f t="shared" si="40"/>
        <v>0</v>
      </c>
      <c r="Z212" s="664">
        <f t="shared" si="48"/>
        <v>0</v>
      </c>
      <c r="AA212" s="845"/>
      <c r="AB212" s="984"/>
      <c r="AC212" s="981"/>
      <c r="AD212" s="981"/>
      <c r="AE212" s="980">
        <f t="shared" si="49"/>
        <v>0</v>
      </c>
      <c r="AF212" s="879"/>
      <c r="AG212" s="966"/>
      <c r="AH212" s="979">
        <f t="shared" si="39"/>
        <v>0</v>
      </c>
      <c r="AI212" s="980"/>
      <c r="AJ212" s="980">
        <f t="shared" si="50"/>
        <v>0</v>
      </c>
      <c r="AK212" s="879"/>
      <c r="AL212" s="638"/>
      <c r="AM212" s="638"/>
      <c r="AN212" s="222"/>
      <c r="AO212" s="222"/>
      <c r="AP212" s="222"/>
      <c r="AQ212" s="222"/>
      <c r="AR212" s="222"/>
      <c r="AS212" s="222"/>
      <c r="AT212" s="222"/>
      <c r="AU212" s="222"/>
      <c r="AV212" s="222"/>
      <c r="AW212" s="222"/>
      <c r="AX212" s="222"/>
      <c r="AY212" s="222"/>
      <c r="AZ212" s="222"/>
      <c r="BA212" s="222"/>
      <c r="BB212" s="222"/>
      <c r="BC212" s="222"/>
      <c r="BD212" s="222"/>
      <c r="BE212" s="222"/>
      <c r="BF212" s="222"/>
      <c r="BG212" s="222"/>
      <c r="BH212" s="222"/>
      <c r="BI212" s="222"/>
      <c r="BJ212" s="222"/>
      <c r="BK212" s="222"/>
      <c r="BL212" s="222"/>
      <c r="BM212" s="222"/>
      <c r="BN212" s="222"/>
      <c r="BO212" s="222"/>
      <c r="BP212" s="222"/>
      <c r="BQ212" s="222"/>
      <c r="BR212" s="222"/>
      <c r="BS212" s="222"/>
      <c r="BT212" s="222"/>
      <c r="BU212" s="222"/>
      <c r="BV212" s="222"/>
      <c r="BW212" s="222"/>
      <c r="BX212" s="222"/>
      <c r="BY212" s="222"/>
      <c r="BZ212" s="222"/>
      <c r="CA212" s="222"/>
      <c r="CB212" s="222"/>
      <c r="CC212" s="222"/>
    </row>
    <row r="213" spans="1:81" s="639" customFormat="1" ht="31.5" customHeight="1" x14ac:dyDescent="0.25">
      <c r="A213" s="910"/>
      <c r="B213" s="910"/>
      <c r="C213" s="910"/>
      <c r="D213" s="1086" t="s">
        <v>105</v>
      </c>
      <c r="E213" s="845"/>
      <c r="F213" s="911" t="s">
        <v>420</v>
      </c>
      <c r="G213" s="845" t="s">
        <v>276</v>
      </c>
      <c r="H213" s="901"/>
      <c r="I213" s="402"/>
      <c r="J213" s="901"/>
      <c r="K213" s="918"/>
      <c r="L213" s="912"/>
      <c r="M213" s="912"/>
      <c r="N213" s="912">
        <f t="shared" si="45"/>
        <v>0</v>
      </c>
      <c r="O213" s="913"/>
      <c r="P213" s="913"/>
      <c r="Q213" s="913">
        <f t="shared" si="46"/>
        <v>0</v>
      </c>
      <c r="R213" s="346"/>
      <c r="S213" s="914"/>
      <c r="T213" s="896">
        <f t="shared" si="51"/>
        <v>0</v>
      </c>
      <c r="U213" s="915"/>
      <c r="V213" s="916"/>
      <c r="W213" s="857">
        <f t="shared" si="47"/>
        <v>0</v>
      </c>
      <c r="X213" s="917"/>
      <c r="Y213" s="664">
        <f t="shared" si="40"/>
        <v>0</v>
      </c>
      <c r="Z213" s="664">
        <f t="shared" si="48"/>
        <v>0</v>
      </c>
      <c r="AA213" s="845"/>
      <c r="AB213" s="984"/>
      <c r="AC213" s="981"/>
      <c r="AD213" s="981"/>
      <c r="AE213" s="980">
        <f t="shared" si="49"/>
        <v>0</v>
      </c>
      <c r="AF213" s="879"/>
      <c r="AG213" s="966"/>
      <c r="AH213" s="979">
        <f t="shared" si="39"/>
        <v>0</v>
      </c>
      <c r="AI213" s="980"/>
      <c r="AJ213" s="980">
        <f t="shared" si="50"/>
        <v>0</v>
      </c>
      <c r="AK213" s="879"/>
      <c r="AL213" s="638"/>
      <c r="AM213" s="638"/>
      <c r="AN213" s="222"/>
      <c r="AO213" s="222"/>
      <c r="AP213" s="222"/>
      <c r="AQ213" s="222"/>
      <c r="AR213" s="222"/>
      <c r="AS213" s="222"/>
      <c r="AT213" s="222"/>
      <c r="AU213" s="222"/>
      <c r="AV213" s="222"/>
      <c r="AW213" s="222"/>
      <c r="AX213" s="222"/>
      <c r="AY213" s="222"/>
      <c r="AZ213" s="222"/>
      <c r="BA213" s="222"/>
      <c r="BB213" s="222"/>
      <c r="BC213" s="222"/>
      <c r="BD213" s="222"/>
      <c r="BE213" s="222"/>
      <c r="BF213" s="222"/>
      <c r="BG213" s="222"/>
      <c r="BH213" s="222"/>
      <c r="BI213" s="222"/>
      <c r="BJ213" s="222"/>
      <c r="BK213" s="222"/>
      <c r="BL213" s="222"/>
      <c r="BM213" s="222"/>
      <c r="BN213" s="222"/>
      <c r="BO213" s="222"/>
      <c r="BP213" s="222"/>
      <c r="BQ213" s="222"/>
      <c r="BR213" s="222"/>
      <c r="BS213" s="222"/>
      <c r="BT213" s="222"/>
      <c r="BU213" s="222"/>
      <c r="BV213" s="222"/>
      <c r="BW213" s="222"/>
      <c r="BX213" s="222"/>
      <c r="BY213" s="222"/>
      <c r="BZ213" s="222"/>
      <c r="CA213" s="222"/>
      <c r="CB213" s="222"/>
      <c r="CC213" s="222"/>
    </row>
    <row r="214" spans="1:81" ht="21.6" customHeight="1" x14ac:dyDescent="0.25">
      <c r="A214" s="664">
        <v>113</v>
      </c>
      <c r="B214" s="664" t="s">
        <v>28</v>
      </c>
      <c r="C214" s="664">
        <v>14</v>
      </c>
      <c r="D214" s="1086" t="s">
        <v>105</v>
      </c>
      <c r="E214" s="836"/>
      <c r="F214" s="846" t="s">
        <v>117</v>
      </c>
      <c r="G214" s="836" t="s">
        <v>265</v>
      </c>
      <c r="H214" s="844"/>
      <c r="I214" s="625"/>
      <c r="J214" s="844"/>
      <c r="K214" s="626"/>
      <c r="L214" s="893"/>
      <c r="M214" s="893"/>
      <c r="N214" s="893">
        <f t="shared" si="45"/>
        <v>0</v>
      </c>
      <c r="O214" s="856"/>
      <c r="P214" s="856"/>
      <c r="Q214" s="856">
        <f t="shared" si="46"/>
        <v>0</v>
      </c>
      <c r="R214" s="894"/>
      <c r="S214" s="855"/>
      <c r="T214" s="896">
        <f t="shared" si="51"/>
        <v>0</v>
      </c>
      <c r="U214" s="862"/>
      <c r="V214" s="857"/>
      <c r="W214" s="857">
        <f t="shared" si="47"/>
        <v>0</v>
      </c>
      <c r="X214" s="863"/>
      <c r="Y214" s="664">
        <f t="shared" si="40"/>
        <v>0</v>
      </c>
      <c r="Z214" s="664">
        <f t="shared" si="48"/>
        <v>0</v>
      </c>
      <c r="AA214" s="836"/>
      <c r="AB214" s="982"/>
      <c r="AC214" s="867"/>
      <c r="AD214" s="867"/>
      <c r="AE214" s="979">
        <f t="shared" si="49"/>
        <v>0</v>
      </c>
      <c r="AF214" s="878"/>
      <c r="AG214" s="335"/>
      <c r="AH214" s="979">
        <f t="shared" si="39"/>
        <v>0</v>
      </c>
      <c r="AI214" s="979"/>
      <c r="AJ214" s="979">
        <f t="shared" si="50"/>
        <v>0</v>
      </c>
      <c r="AK214" s="878"/>
      <c r="AL214" s="618"/>
      <c r="AM214" s="618"/>
    </row>
    <row r="215" spans="1:81" ht="21.6" customHeight="1" x14ac:dyDescent="0.25">
      <c r="A215" s="664"/>
      <c r="B215" s="664"/>
      <c r="C215" s="664"/>
      <c r="D215" s="1086"/>
      <c r="E215" s="836"/>
      <c r="F215" s="846" t="s">
        <v>825</v>
      </c>
      <c r="G215" s="836" t="s">
        <v>265</v>
      </c>
      <c r="H215" s="844"/>
      <c r="I215" s="625"/>
      <c r="J215" s="844" t="s">
        <v>265</v>
      </c>
      <c r="K215" s="626" t="s">
        <v>826</v>
      </c>
      <c r="L215" s="893">
        <v>12</v>
      </c>
      <c r="M215" s="893">
        <v>1</v>
      </c>
      <c r="N215" s="893"/>
      <c r="O215" s="856">
        <v>20</v>
      </c>
      <c r="P215" s="856"/>
      <c r="Q215" s="856"/>
      <c r="R215" s="894"/>
      <c r="S215" s="855"/>
      <c r="T215" s="896"/>
      <c r="U215" s="862"/>
      <c r="V215" s="857">
        <v>300</v>
      </c>
      <c r="W215" s="857">
        <f t="shared" si="47"/>
        <v>20</v>
      </c>
      <c r="X215" s="863"/>
      <c r="Y215" s="664">
        <f t="shared" si="40"/>
        <v>300</v>
      </c>
      <c r="Z215" s="664">
        <f t="shared" si="48"/>
        <v>20</v>
      </c>
      <c r="AA215" s="836"/>
      <c r="AB215" s="982"/>
      <c r="AC215" s="867">
        <v>12</v>
      </c>
      <c r="AD215" s="867">
        <v>1</v>
      </c>
      <c r="AE215" s="979"/>
      <c r="AF215" s="878"/>
      <c r="AG215" s="335">
        <v>300</v>
      </c>
      <c r="AH215" s="979">
        <f t="shared" ref="AH215:AH245" si="52">AG215/15</f>
        <v>20</v>
      </c>
      <c r="AI215" s="979"/>
      <c r="AJ215" s="979"/>
      <c r="AK215" s="878"/>
      <c r="AL215" s="618"/>
      <c r="AM215" s="618"/>
      <c r="AN215" s="847"/>
      <c r="AO215" s="847"/>
      <c r="AP215" s="847"/>
      <c r="AQ215" s="847"/>
      <c r="AR215" s="847"/>
      <c r="AS215" s="847"/>
      <c r="AT215" s="847"/>
      <c r="AU215" s="847"/>
      <c r="AV215" s="847"/>
      <c r="AW215" s="847"/>
      <c r="AX215" s="847"/>
      <c r="AY215" s="847"/>
      <c r="AZ215" s="847"/>
      <c r="BA215" s="847"/>
      <c r="BB215" s="847"/>
      <c r="BC215" s="847"/>
      <c r="BD215" s="847"/>
      <c r="BE215" s="847"/>
      <c r="BF215" s="847"/>
      <c r="BG215" s="847"/>
      <c r="BH215" s="847"/>
      <c r="BI215" s="847"/>
      <c r="BJ215" s="847"/>
      <c r="BK215" s="847"/>
      <c r="BL215" s="847"/>
      <c r="BM215" s="847"/>
      <c r="BN215" s="847"/>
      <c r="BO215" s="847"/>
      <c r="BP215" s="847"/>
      <c r="BQ215" s="847"/>
      <c r="BR215" s="847"/>
      <c r="BS215" s="847"/>
      <c r="BT215" s="847"/>
      <c r="BU215" s="847"/>
      <c r="BV215" s="847"/>
      <c r="BW215" s="847"/>
      <c r="BX215" s="847"/>
      <c r="BY215" s="847"/>
      <c r="BZ215" s="847"/>
      <c r="CA215" s="847"/>
      <c r="CB215" s="847"/>
      <c r="CC215" s="847"/>
    </row>
    <row r="216" spans="1:81" ht="21.6" customHeight="1" x14ac:dyDescent="0.25">
      <c r="A216" s="664">
        <v>114</v>
      </c>
      <c r="B216" s="664" t="s">
        <v>28</v>
      </c>
      <c r="C216" s="664">
        <v>15</v>
      </c>
      <c r="D216" s="1086" t="s">
        <v>105</v>
      </c>
      <c r="E216" s="836"/>
      <c r="F216" s="846" t="s">
        <v>118</v>
      </c>
      <c r="G216" s="836" t="s">
        <v>265</v>
      </c>
      <c r="H216" s="844"/>
      <c r="I216" s="625"/>
      <c r="J216" s="844"/>
      <c r="K216" s="626"/>
      <c r="L216" s="893"/>
      <c r="M216" s="893"/>
      <c r="N216" s="893">
        <f t="shared" si="45"/>
        <v>0</v>
      </c>
      <c r="O216" s="856"/>
      <c r="P216" s="856"/>
      <c r="Q216" s="856">
        <f t="shared" si="46"/>
        <v>0</v>
      </c>
      <c r="R216" s="894"/>
      <c r="S216" s="855"/>
      <c r="T216" s="896">
        <f t="shared" si="51"/>
        <v>0</v>
      </c>
      <c r="U216" s="862"/>
      <c r="V216" s="857"/>
      <c r="W216" s="857">
        <f t="shared" si="47"/>
        <v>0</v>
      </c>
      <c r="X216" s="863"/>
      <c r="Y216" s="664">
        <f t="shared" si="40"/>
        <v>0</v>
      </c>
      <c r="Z216" s="664">
        <f t="shared" si="48"/>
        <v>0</v>
      </c>
      <c r="AA216" s="836"/>
      <c r="AB216" s="982"/>
      <c r="AC216" s="867"/>
      <c r="AD216" s="867"/>
      <c r="AE216" s="979">
        <f t="shared" si="49"/>
        <v>0</v>
      </c>
      <c r="AF216" s="878"/>
      <c r="AG216" s="335"/>
      <c r="AH216" s="979">
        <f t="shared" si="52"/>
        <v>0</v>
      </c>
      <c r="AI216" s="979"/>
      <c r="AJ216" s="979">
        <f t="shared" si="50"/>
        <v>0</v>
      </c>
      <c r="AK216" s="878"/>
      <c r="AL216" s="618"/>
      <c r="AM216" s="618"/>
    </row>
    <row r="217" spans="1:81" ht="21.6" customHeight="1" x14ac:dyDescent="0.25">
      <c r="A217" s="664"/>
      <c r="B217" s="664"/>
      <c r="C217" s="664"/>
      <c r="D217" s="1086" t="s">
        <v>105</v>
      </c>
      <c r="E217" s="836"/>
      <c r="F217" s="846" t="s">
        <v>301</v>
      </c>
      <c r="G217" s="836" t="s">
        <v>276</v>
      </c>
      <c r="H217" s="844"/>
      <c r="I217" s="625"/>
      <c r="J217" s="844"/>
      <c r="K217" s="626"/>
      <c r="L217" s="893"/>
      <c r="M217" s="893"/>
      <c r="N217" s="893">
        <f t="shared" si="45"/>
        <v>0</v>
      </c>
      <c r="O217" s="856"/>
      <c r="P217" s="856"/>
      <c r="Q217" s="856">
        <f t="shared" si="46"/>
        <v>0</v>
      </c>
      <c r="R217" s="894"/>
      <c r="S217" s="855"/>
      <c r="T217" s="896">
        <f t="shared" si="51"/>
        <v>0</v>
      </c>
      <c r="U217" s="862"/>
      <c r="V217" s="857"/>
      <c r="W217" s="857">
        <f t="shared" si="47"/>
        <v>0</v>
      </c>
      <c r="X217" s="863"/>
      <c r="Y217" s="664">
        <f t="shared" si="40"/>
        <v>0</v>
      </c>
      <c r="Z217" s="664">
        <f t="shared" si="48"/>
        <v>0</v>
      </c>
      <c r="AA217" s="836"/>
      <c r="AB217" s="982"/>
      <c r="AC217" s="867"/>
      <c r="AD217" s="867"/>
      <c r="AE217" s="979">
        <f t="shared" si="49"/>
        <v>0</v>
      </c>
      <c r="AF217" s="878"/>
      <c r="AG217" s="335"/>
      <c r="AH217" s="979">
        <f t="shared" si="52"/>
        <v>0</v>
      </c>
      <c r="AI217" s="979"/>
      <c r="AJ217" s="979">
        <f t="shared" si="50"/>
        <v>0</v>
      </c>
      <c r="AK217" s="878"/>
      <c r="AL217" s="618"/>
      <c r="AM217" s="618"/>
    </row>
    <row r="218" spans="1:81" ht="21.6" customHeight="1" x14ac:dyDescent="0.25">
      <c r="A218" s="664"/>
      <c r="B218" s="664"/>
      <c r="C218" s="664"/>
      <c r="D218" s="1086" t="s">
        <v>105</v>
      </c>
      <c r="E218" s="900"/>
      <c r="F218" s="911" t="s">
        <v>621</v>
      </c>
      <c r="G218" s="836"/>
      <c r="H218" s="844"/>
      <c r="I218" s="625"/>
      <c r="J218" s="844" t="s">
        <v>265</v>
      </c>
      <c r="K218" s="626" t="s">
        <v>826</v>
      </c>
      <c r="L218" s="893">
        <v>7</v>
      </c>
      <c r="M218" s="893">
        <v>4</v>
      </c>
      <c r="N218" s="893">
        <f t="shared" si="45"/>
        <v>11</v>
      </c>
      <c r="O218" s="856">
        <v>11.04</v>
      </c>
      <c r="P218" s="856"/>
      <c r="Q218" s="856">
        <f t="shared" si="46"/>
        <v>11.04</v>
      </c>
      <c r="R218" s="894"/>
      <c r="S218" s="855"/>
      <c r="T218" s="896">
        <f t="shared" si="51"/>
        <v>0</v>
      </c>
      <c r="U218" s="862"/>
      <c r="V218" s="857">
        <v>162</v>
      </c>
      <c r="W218" s="857">
        <f t="shared" si="47"/>
        <v>10.8</v>
      </c>
      <c r="X218" s="863"/>
      <c r="Y218" s="664">
        <f t="shared" si="40"/>
        <v>162</v>
      </c>
      <c r="Z218" s="664">
        <f t="shared" si="48"/>
        <v>10.8</v>
      </c>
      <c r="AA218" s="836"/>
      <c r="AB218" s="982"/>
      <c r="AC218" s="867">
        <v>7</v>
      </c>
      <c r="AD218" s="867">
        <v>4</v>
      </c>
      <c r="AE218" s="979">
        <f t="shared" si="49"/>
        <v>11</v>
      </c>
      <c r="AF218" s="878"/>
      <c r="AG218" s="335">
        <v>162</v>
      </c>
      <c r="AH218" s="979">
        <f t="shared" si="52"/>
        <v>10.8</v>
      </c>
      <c r="AI218" s="979"/>
      <c r="AJ218" s="979">
        <f t="shared" si="50"/>
        <v>0</v>
      </c>
      <c r="AK218" s="878"/>
      <c r="AL218" s="618"/>
      <c r="AM218" s="618"/>
    </row>
    <row r="219" spans="1:81" ht="21.6" customHeight="1" x14ac:dyDescent="0.25">
      <c r="A219" s="664"/>
      <c r="B219" s="664"/>
      <c r="C219" s="664"/>
      <c r="D219" s="1086" t="s">
        <v>105</v>
      </c>
      <c r="E219" s="845" t="s">
        <v>429</v>
      </c>
      <c r="F219" s="911" t="s">
        <v>549</v>
      </c>
      <c r="G219" s="836" t="s">
        <v>276</v>
      </c>
      <c r="H219" s="844"/>
      <c r="I219" s="625"/>
      <c r="J219" s="844" t="s">
        <v>265</v>
      </c>
      <c r="K219" s="626" t="s">
        <v>866</v>
      </c>
      <c r="L219" s="893">
        <v>11</v>
      </c>
      <c r="M219" s="893">
        <v>9</v>
      </c>
      <c r="N219" s="893">
        <f t="shared" si="45"/>
        <v>20</v>
      </c>
      <c r="O219" s="856"/>
      <c r="P219" s="856">
        <v>21</v>
      </c>
      <c r="Q219" s="856">
        <f t="shared" si="46"/>
        <v>21</v>
      </c>
      <c r="R219" s="894"/>
      <c r="S219" s="855">
        <f>33*15-315-180</f>
        <v>0</v>
      </c>
      <c r="T219" s="896">
        <f t="shared" si="51"/>
        <v>0</v>
      </c>
      <c r="U219" s="862"/>
      <c r="V219" s="857">
        <f>315+180</f>
        <v>495</v>
      </c>
      <c r="W219" s="857">
        <f t="shared" si="47"/>
        <v>33</v>
      </c>
      <c r="X219" s="863"/>
      <c r="Y219" s="664">
        <f t="shared" si="40"/>
        <v>495</v>
      </c>
      <c r="Z219" s="664">
        <f t="shared" si="48"/>
        <v>33</v>
      </c>
      <c r="AA219" s="836"/>
      <c r="AB219" s="982"/>
      <c r="AC219" s="867">
        <f>11+9</f>
        <v>20</v>
      </c>
      <c r="AD219" s="867">
        <f>9</f>
        <v>9</v>
      </c>
      <c r="AE219" s="979">
        <f t="shared" si="49"/>
        <v>29</v>
      </c>
      <c r="AF219" s="878"/>
      <c r="AG219" s="335">
        <f>315+180</f>
        <v>495</v>
      </c>
      <c r="AH219" s="979">
        <f t="shared" si="52"/>
        <v>33</v>
      </c>
      <c r="AI219" s="979"/>
      <c r="AJ219" s="979">
        <f t="shared" si="50"/>
        <v>0</v>
      </c>
      <c r="AK219" s="878"/>
      <c r="AL219" s="618"/>
      <c r="AM219" s="618"/>
    </row>
    <row r="220" spans="1:81" ht="21.6" customHeight="1" x14ac:dyDescent="0.25">
      <c r="A220" s="664"/>
      <c r="B220" s="664"/>
      <c r="C220" s="664"/>
      <c r="D220" s="1086" t="s">
        <v>105</v>
      </c>
      <c r="E220" s="836"/>
      <c r="F220" s="846" t="s">
        <v>418</v>
      </c>
      <c r="G220" s="836" t="s">
        <v>276</v>
      </c>
      <c r="H220" s="844"/>
      <c r="I220" s="625"/>
      <c r="J220" s="844"/>
      <c r="K220" s="626"/>
      <c r="L220" s="893"/>
      <c r="M220" s="893"/>
      <c r="N220" s="893">
        <f t="shared" si="45"/>
        <v>0</v>
      </c>
      <c r="O220" s="856"/>
      <c r="P220" s="856"/>
      <c r="Q220" s="856">
        <f t="shared" si="46"/>
        <v>0</v>
      </c>
      <c r="R220" s="894"/>
      <c r="S220" s="855"/>
      <c r="T220" s="896">
        <f t="shared" si="51"/>
        <v>0</v>
      </c>
      <c r="U220" s="862"/>
      <c r="V220" s="857"/>
      <c r="W220" s="857">
        <f t="shared" si="47"/>
        <v>0</v>
      </c>
      <c r="X220" s="863"/>
      <c r="Y220" s="664">
        <f t="shared" si="40"/>
        <v>0</v>
      </c>
      <c r="Z220" s="664">
        <f t="shared" si="48"/>
        <v>0</v>
      </c>
      <c r="AA220" s="836"/>
      <c r="AB220" s="982"/>
      <c r="AC220" s="867"/>
      <c r="AD220" s="867"/>
      <c r="AE220" s="979">
        <f t="shared" si="49"/>
        <v>0</v>
      </c>
      <c r="AF220" s="878"/>
      <c r="AG220" s="335"/>
      <c r="AH220" s="979">
        <f t="shared" si="52"/>
        <v>0</v>
      </c>
      <c r="AI220" s="979"/>
      <c r="AJ220" s="979">
        <f t="shared" si="50"/>
        <v>0</v>
      </c>
      <c r="AK220" s="878"/>
      <c r="AL220" s="618"/>
      <c r="AM220" s="618"/>
    </row>
    <row r="221" spans="1:81" ht="21.6" customHeight="1" x14ac:dyDescent="0.25">
      <c r="A221" s="664">
        <v>115</v>
      </c>
      <c r="B221" s="664" t="s">
        <v>28</v>
      </c>
      <c r="C221" s="664">
        <v>16</v>
      </c>
      <c r="D221" s="1086" t="s">
        <v>105</v>
      </c>
      <c r="E221" s="900"/>
      <c r="F221" s="846" t="s">
        <v>119</v>
      </c>
      <c r="G221" s="836" t="s">
        <v>265</v>
      </c>
      <c r="H221" s="844"/>
      <c r="I221" s="625"/>
      <c r="J221" s="844"/>
      <c r="K221" s="626"/>
      <c r="L221" s="893"/>
      <c r="M221" s="893"/>
      <c r="N221" s="893">
        <f t="shared" si="45"/>
        <v>0</v>
      </c>
      <c r="O221" s="856"/>
      <c r="P221" s="856"/>
      <c r="Q221" s="856">
        <f t="shared" si="46"/>
        <v>0</v>
      </c>
      <c r="R221" s="894"/>
      <c r="S221" s="855"/>
      <c r="T221" s="896">
        <f t="shared" si="51"/>
        <v>0</v>
      </c>
      <c r="U221" s="862"/>
      <c r="V221" s="857"/>
      <c r="W221" s="857">
        <f t="shared" si="47"/>
        <v>0</v>
      </c>
      <c r="X221" s="863"/>
      <c r="Y221" s="664">
        <f t="shared" si="40"/>
        <v>0</v>
      </c>
      <c r="Z221" s="664">
        <f t="shared" si="48"/>
        <v>0</v>
      </c>
      <c r="AA221" s="836"/>
      <c r="AB221" s="982"/>
      <c r="AC221" s="867"/>
      <c r="AD221" s="867"/>
      <c r="AE221" s="979">
        <f t="shared" si="49"/>
        <v>0</v>
      </c>
      <c r="AF221" s="878"/>
      <c r="AG221" s="335"/>
      <c r="AH221" s="979">
        <f t="shared" si="52"/>
        <v>0</v>
      </c>
      <c r="AI221" s="979"/>
      <c r="AJ221" s="979">
        <f t="shared" si="50"/>
        <v>0</v>
      </c>
      <c r="AK221" s="878"/>
      <c r="AL221" s="618"/>
      <c r="AM221" s="618"/>
    </row>
    <row r="222" spans="1:81" ht="21.6" customHeight="1" x14ac:dyDescent="0.25">
      <c r="A222" s="664"/>
      <c r="B222" s="664"/>
      <c r="C222" s="664"/>
      <c r="D222" s="1086" t="s">
        <v>105</v>
      </c>
      <c r="E222" s="900" t="s">
        <v>429</v>
      </c>
      <c r="F222" s="846" t="s">
        <v>550</v>
      </c>
      <c r="G222" s="836" t="s">
        <v>276</v>
      </c>
      <c r="H222" s="844"/>
      <c r="I222" s="625"/>
      <c r="J222" s="844"/>
      <c r="K222" s="626"/>
      <c r="L222" s="893"/>
      <c r="M222" s="893"/>
      <c r="N222" s="893">
        <f t="shared" si="45"/>
        <v>0</v>
      </c>
      <c r="O222" s="856"/>
      <c r="P222" s="856"/>
      <c r="Q222" s="856">
        <f t="shared" si="46"/>
        <v>0</v>
      </c>
      <c r="R222" s="894"/>
      <c r="S222" s="855"/>
      <c r="T222" s="896">
        <f t="shared" si="51"/>
        <v>0</v>
      </c>
      <c r="U222" s="862"/>
      <c r="V222" s="857"/>
      <c r="W222" s="857">
        <f t="shared" si="47"/>
        <v>0</v>
      </c>
      <c r="X222" s="863"/>
      <c r="Y222" s="664">
        <f t="shared" si="40"/>
        <v>0</v>
      </c>
      <c r="Z222" s="664">
        <f t="shared" si="48"/>
        <v>0</v>
      </c>
      <c r="AA222" s="836"/>
      <c r="AB222" s="982"/>
      <c r="AC222" s="867"/>
      <c r="AD222" s="867"/>
      <c r="AE222" s="979">
        <f t="shared" si="49"/>
        <v>0</v>
      </c>
      <c r="AF222" s="878"/>
      <c r="AG222" s="335"/>
      <c r="AH222" s="979">
        <f t="shared" si="52"/>
        <v>0</v>
      </c>
      <c r="AI222" s="979"/>
      <c r="AJ222" s="979">
        <f t="shared" si="50"/>
        <v>0</v>
      </c>
      <c r="AK222" s="878"/>
      <c r="AL222" s="618"/>
      <c r="AM222" s="618"/>
    </row>
    <row r="223" spans="1:81" ht="21.6" customHeight="1" x14ac:dyDescent="0.25">
      <c r="A223" s="664">
        <v>116</v>
      </c>
      <c r="B223" s="664" t="s">
        <v>28</v>
      </c>
      <c r="C223" s="664">
        <v>17</v>
      </c>
      <c r="D223" s="1086" t="s">
        <v>105</v>
      </c>
      <c r="E223" s="900"/>
      <c r="F223" s="846" t="s">
        <v>120</v>
      </c>
      <c r="G223" s="836" t="s">
        <v>265</v>
      </c>
      <c r="H223" s="844"/>
      <c r="I223" s="625"/>
      <c r="J223" s="844"/>
      <c r="K223" s="626"/>
      <c r="L223" s="893"/>
      <c r="M223" s="893"/>
      <c r="N223" s="893">
        <f t="shared" si="45"/>
        <v>0</v>
      </c>
      <c r="O223" s="856"/>
      <c r="P223" s="856"/>
      <c r="Q223" s="856">
        <f t="shared" si="46"/>
        <v>0</v>
      </c>
      <c r="R223" s="894"/>
      <c r="S223" s="855"/>
      <c r="T223" s="896">
        <f t="shared" si="51"/>
        <v>0</v>
      </c>
      <c r="U223" s="862"/>
      <c r="V223" s="857"/>
      <c r="W223" s="857">
        <f t="shared" si="47"/>
        <v>0</v>
      </c>
      <c r="X223" s="863"/>
      <c r="Y223" s="664">
        <f t="shared" si="40"/>
        <v>0</v>
      </c>
      <c r="Z223" s="664">
        <f t="shared" si="48"/>
        <v>0</v>
      </c>
      <c r="AA223" s="836"/>
      <c r="AB223" s="982"/>
      <c r="AC223" s="867"/>
      <c r="AD223" s="867"/>
      <c r="AE223" s="979">
        <f t="shared" si="49"/>
        <v>0</v>
      </c>
      <c r="AF223" s="878"/>
      <c r="AG223" s="335"/>
      <c r="AH223" s="979">
        <f t="shared" si="52"/>
        <v>0</v>
      </c>
      <c r="AI223" s="979"/>
      <c r="AJ223" s="979">
        <f t="shared" si="50"/>
        <v>0</v>
      </c>
      <c r="AK223" s="878"/>
      <c r="AL223" s="618"/>
      <c r="AM223" s="618"/>
    </row>
    <row r="224" spans="1:81" ht="21.6" customHeight="1" x14ac:dyDescent="0.25">
      <c r="A224" s="664">
        <v>117</v>
      </c>
      <c r="B224" s="664" t="s">
        <v>28</v>
      </c>
      <c r="C224" s="664">
        <v>18</v>
      </c>
      <c r="D224" s="1086" t="s">
        <v>105</v>
      </c>
      <c r="E224" s="836"/>
      <c r="F224" s="846" t="s">
        <v>121</v>
      </c>
      <c r="G224" s="836" t="s">
        <v>265</v>
      </c>
      <c r="H224" s="844"/>
      <c r="I224" s="625"/>
      <c r="J224" s="844"/>
      <c r="K224" s="626"/>
      <c r="L224" s="893"/>
      <c r="M224" s="893"/>
      <c r="N224" s="893">
        <f t="shared" si="45"/>
        <v>0</v>
      </c>
      <c r="O224" s="856"/>
      <c r="P224" s="856"/>
      <c r="Q224" s="856">
        <f t="shared" si="46"/>
        <v>0</v>
      </c>
      <c r="R224" s="894"/>
      <c r="S224" s="855"/>
      <c r="T224" s="896">
        <f t="shared" si="51"/>
        <v>0</v>
      </c>
      <c r="U224" s="862"/>
      <c r="V224" s="857"/>
      <c r="W224" s="857">
        <f t="shared" si="47"/>
        <v>0</v>
      </c>
      <c r="X224" s="863"/>
      <c r="Y224" s="664">
        <f t="shared" si="40"/>
        <v>0</v>
      </c>
      <c r="Z224" s="664">
        <f t="shared" si="48"/>
        <v>0</v>
      </c>
      <c r="AA224" s="836"/>
      <c r="AB224" s="982"/>
      <c r="AC224" s="867"/>
      <c r="AD224" s="867"/>
      <c r="AE224" s="979">
        <f t="shared" si="49"/>
        <v>0</v>
      </c>
      <c r="AF224" s="878"/>
      <c r="AG224" s="335"/>
      <c r="AH224" s="979">
        <f t="shared" si="52"/>
        <v>0</v>
      </c>
      <c r="AI224" s="979"/>
      <c r="AJ224" s="979">
        <f t="shared" si="50"/>
        <v>0</v>
      </c>
      <c r="AK224" s="878"/>
      <c r="AL224" s="618"/>
      <c r="AM224" s="618"/>
    </row>
    <row r="225" spans="1:81" ht="21.6" customHeight="1" x14ac:dyDescent="0.25">
      <c r="A225" s="664"/>
      <c r="B225" s="664"/>
      <c r="C225" s="664"/>
      <c r="D225" s="1086" t="s">
        <v>105</v>
      </c>
      <c r="E225" s="836"/>
      <c r="F225" s="846" t="s">
        <v>302</v>
      </c>
      <c r="G225" s="836" t="s">
        <v>276</v>
      </c>
      <c r="H225" s="844"/>
      <c r="I225" s="625"/>
      <c r="J225" s="844" t="s">
        <v>265</v>
      </c>
      <c r="K225" s="626" t="s">
        <v>826</v>
      </c>
      <c r="L225" s="893">
        <v>5</v>
      </c>
      <c r="M225" s="893"/>
      <c r="N225" s="893">
        <f t="shared" si="45"/>
        <v>5</v>
      </c>
      <c r="O225" s="856"/>
      <c r="P225" s="856">
        <v>5</v>
      </c>
      <c r="Q225" s="856">
        <f t="shared" si="46"/>
        <v>5</v>
      </c>
      <c r="R225" s="894"/>
      <c r="S225" s="855"/>
      <c r="T225" s="896">
        <f t="shared" si="51"/>
        <v>0</v>
      </c>
      <c r="U225" s="862"/>
      <c r="V225" s="857">
        <v>75</v>
      </c>
      <c r="W225" s="857">
        <f t="shared" si="47"/>
        <v>5</v>
      </c>
      <c r="X225" s="863"/>
      <c r="Y225" s="664">
        <f t="shared" si="40"/>
        <v>75</v>
      </c>
      <c r="Z225" s="664">
        <f t="shared" si="48"/>
        <v>5</v>
      </c>
      <c r="AA225" s="836"/>
      <c r="AB225" s="982"/>
      <c r="AC225" s="867">
        <v>5</v>
      </c>
      <c r="AD225" s="867">
        <v>0</v>
      </c>
      <c r="AE225" s="979">
        <f t="shared" si="49"/>
        <v>5</v>
      </c>
      <c r="AF225" s="878"/>
      <c r="AG225" s="335">
        <v>75</v>
      </c>
      <c r="AH225" s="979">
        <f t="shared" si="52"/>
        <v>5</v>
      </c>
      <c r="AI225" s="979"/>
      <c r="AJ225" s="979">
        <f t="shared" si="50"/>
        <v>0</v>
      </c>
      <c r="AK225" s="878"/>
      <c r="AL225" s="618"/>
      <c r="AM225" s="618"/>
    </row>
    <row r="226" spans="1:81" ht="21.6" customHeight="1" x14ac:dyDescent="0.25">
      <c r="A226" s="664"/>
      <c r="B226" s="664"/>
      <c r="C226" s="664"/>
      <c r="D226" s="1086" t="s">
        <v>105</v>
      </c>
      <c r="E226" s="836"/>
      <c r="F226" s="846" t="s">
        <v>808</v>
      </c>
      <c r="G226" s="836" t="s">
        <v>276</v>
      </c>
      <c r="H226" s="844"/>
      <c r="I226" s="625"/>
      <c r="J226" s="844" t="s">
        <v>265</v>
      </c>
      <c r="K226" s="626" t="s">
        <v>799</v>
      </c>
      <c r="L226" s="893">
        <v>5</v>
      </c>
      <c r="M226" s="893">
        <v>2</v>
      </c>
      <c r="N226" s="893">
        <f t="shared" si="45"/>
        <v>7</v>
      </c>
      <c r="O226" s="856"/>
      <c r="P226" s="856">
        <v>10</v>
      </c>
      <c r="Q226" s="856">
        <f t="shared" si="46"/>
        <v>10</v>
      </c>
      <c r="R226" s="894"/>
      <c r="S226" s="855"/>
      <c r="T226" s="896">
        <f t="shared" ref="T226:T227" si="53">S226/15</f>
        <v>0</v>
      </c>
      <c r="U226" s="862"/>
      <c r="V226" s="857">
        <v>150</v>
      </c>
      <c r="W226" s="857">
        <f t="shared" si="47"/>
        <v>10</v>
      </c>
      <c r="X226" s="863"/>
      <c r="Y226" s="664">
        <f t="shared" ref="Y226" si="54">V226+S226</f>
        <v>150</v>
      </c>
      <c r="Z226" s="664">
        <f t="shared" si="48"/>
        <v>10</v>
      </c>
      <c r="AA226" s="836"/>
      <c r="AB226" s="982"/>
      <c r="AC226" s="867">
        <v>5</v>
      </c>
      <c r="AD226" s="867">
        <v>2</v>
      </c>
      <c r="AE226" s="979">
        <f t="shared" si="49"/>
        <v>7</v>
      </c>
      <c r="AF226" s="878"/>
      <c r="AG226" s="335">
        <v>150</v>
      </c>
      <c r="AH226" s="979">
        <f t="shared" si="52"/>
        <v>10</v>
      </c>
      <c r="AI226" s="979"/>
      <c r="AJ226" s="979">
        <f t="shared" ref="AJ226:AJ227" si="55">Z226-AH226</f>
        <v>0</v>
      </c>
      <c r="AK226" s="878"/>
      <c r="AL226" s="618"/>
      <c r="AM226" s="618"/>
      <c r="AN226" s="800"/>
      <c r="AO226" s="800"/>
      <c r="AP226" s="800"/>
      <c r="AQ226" s="800"/>
      <c r="AR226" s="800"/>
      <c r="AS226" s="800"/>
      <c r="AT226" s="800"/>
      <c r="AU226" s="800"/>
      <c r="AV226" s="800"/>
      <c r="AW226" s="800"/>
      <c r="AX226" s="800"/>
      <c r="AY226" s="800"/>
      <c r="AZ226" s="800"/>
      <c r="BA226" s="800"/>
      <c r="BB226" s="800"/>
      <c r="BC226" s="800"/>
      <c r="BD226" s="800"/>
      <c r="BE226" s="800"/>
      <c r="BF226" s="800"/>
      <c r="BG226" s="800"/>
      <c r="BH226" s="800"/>
      <c r="BI226" s="800"/>
      <c r="BJ226" s="800"/>
      <c r="BK226" s="800"/>
      <c r="BL226" s="800"/>
      <c r="BM226" s="800"/>
      <c r="BN226" s="800"/>
      <c r="BO226" s="800"/>
      <c r="BP226" s="800"/>
      <c r="BQ226" s="800"/>
      <c r="BR226" s="800"/>
      <c r="BS226" s="800"/>
      <c r="BT226" s="800"/>
      <c r="BU226" s="800"/>
      <c r="BV226" s="800"/>
      <c r="BW226" s="800"/>
      <c r="BX226" s="800"/>
      <c r="BY226" s="800"/>
      <c r="BZ226" s="800"/>
      <c r="CA226" s="800"/>
      <c r="CB226" s="800"/>
      <c r="CC226" s="800"/>
    </row>
    <row r="227" spans="1:81" ht="21.6" customHeight="1" x14ac:dyDescent="0.25">
      <c r="A227" s="664"/>
      <c r="B227" s="664"/>
      <c r="C227" s="664"/>
      <c r="D227" s="1086" t="s">
        <v>105</v>
      </c>
      <c r="E227" s="836"/>
      <c r="F227" s="846" t="s">
        <v>806</v>
      </c>
      <c r="G227" s="836" t="s">
        <v>276</v>
      </c>
      <c r="H227" s="844"/>
      <c r="I227" s="625"/>
      <c r="J227" s="844" t="s">
        <v>265</v>
      </c>
      <c r="K227" s="626" t="s">
        <v>799</v>
      </c>
      <c r="L227" s="893">
        <v>5</v>
      </c>
      <c r="M227" s="893">
        <v>5</v>
      </c>
      <c r="N227" s="893">
        <f t="shared" si="45"/>
        <v>10</v>
      </c>
      <c r="O227" s="856"/>
      <c r="P227" s="856">
        <v>10</v>
      </c>
      <c r="Q227" s="856">
        <f t="shared" si="46"/>
        <v>10</v>
      </c>
      <c r="R227" s="894"/>
      <c r="S227" s="855"/>
      <c r="T227" s="896">
        <f t="shared" si="53"/>
        <v>0</v>
      </c>
      <c r="U227" s="862"/>
      <c r="V227" s="857">
        <v>150</v>
      </c>
      <c r="W227" s="857">
        <f t="shared" si="47"/>
        <v>10</v>
      </c>
      <c r="X227" s="863"/>
      <c r="Y227" s="664">
        <f t="shared" si="40"/>
        <v>150</v>
      </c>
      <c r="Z227" s="664">
        <f t="shared" si="48"/>
        <v>10</v>
      </c>
      <c r="AA227" s="836"/>
      <c r="AB227" s="982"/>
      <c r="AC227" s="867">
        <v>5</v>
      </c>
      <c r="AD227" s="867">
        <v>5</v>
      </c>
      <c r="AE227" s="979">
        <f t="shared" si="49"/>
        <v>10</v>
      </c>
      <c r="AF227" s="878"/>
      <c r="AG227" s="335">
        <v>150</v>
      </c>
      <c r="AH227" s="979">
        <f t="shared" si="52"/>
        <v>10</v>
      </c>
      <c r="AI227" s="979"/>
      <c r="AJ227" s="979">
        <f t="shared" si="55"/>
        <v>0</v>
      </c>
      <c r="AK227" s="878"/>
      <c r="AL227" s="618"/>
      <c r="AM227" s="618"/>
      <c r="AN227" s="800"/>
      <c r="AO227" s="800"/>
      <c r="AP227" s="800"/>
      <c r="AQ227" s="800"/>
      <c r="AR227" s="800"/>
      <c r="AS227" s="800"/>
      <c r="AT227" s="800"/>
      <c r="AU227" s="800"/>
      <c r="AV227" s="800"/>
      <c r="AW227" s="800"/>
      <c r="AX227" s="800"/>
      <c r="AY227" s="800"/>
      <c r="AZ227" s="800"/>
      <c r="BA227" s="800"/>
      <c r="BB227" s="800"/>
      <c r="BC227" s="800"/>
      <c r="BD227" s="800"/>
      <c r="BE227" s="800"/>
      <c r="BF227" s="800"/>
      <c r="BG227" s="800"/>
      <c r="BH227" s="800"/>
      <c r="BI227" s="800"/>
      <c r="BJ227" s="800"/>
      <c r="BK227" s="800"/>
      <c r="BL227" s="800"/>
      <c r="BM227" s="800"/>
      <c r="BN227" s="800"/>
      <c r="BO227" s="800"/>
      <c r="BP227" s="800"/>
      <c r="BQ227" s="800"/>
      <c r="BR227" s="800"/>
      <c r="BS227" s="800"/>
      <c r="BT227" s="800"/>
      <c r="BU227" s="800"/>
      <c r="BV227" s="800"/>
      <c r="BW227" s="800"/>
      <c r="BX227" s="800"/>
      <c r="BY227" s="800"/>
      <c r="BZ227" s="800"/>
      <c r="CA227" s="800"/>
      <c r="CB227" s="800"/>
      <c r="CC227" s="800"/>
    </row>
    <row r="228" spans="1:81" ht="21.6" customHeight="1" x14ac:dyDescent="0.25">
      <c r="A228" s="664"/>
      <c r="B228" s="664"/>
      <c r="C228" s="664"/>
      <c r="D228" s="1086" t="s">
        <v>105</v>
      </c>
      <c r="E228" s="836"/>
      <c r="F228" s="846" t="s">
        <v>807</v>
      </c>
      <c r="G228" s="836" t="s">
        <v>276</v>
      </c>
      <c r="H228" s="844"/>
      <c r="I228" s="625"/>
      <c r="J228" s="844" t="s">
        <v>265</v>
      </c>
      <c r="K228" s="626" t="s">
        <v>799</v>
      </c>
      <c r="L228" s="893">
        <v>24</v>
      </c>
      <c r="M228" s="893">
        <v>8</v>
      </c>
      <c r="N228" s="893">
        <f t="shared" si="45"/>
        <v>32</v>
      </c>
      <c r="O228" s="856">
        <v>60</v>
      </c>
      <c r="P228" s="856"/>
      <c r="Q228" s="856">
        <f t="shared" si="46"/>
        <v>60</v>
      </c>
      <c r="R228" s="894"/>
      <c r="S228" s="855"/>
      <c r="T228" s="896">
        <f t="shared" ref="T228:T244" si="56">S228/15</f>
        <v>0</v>
      </c>
      <c r="U228" s="862"/>
      <c r="V228" s="857">
        <v>900</v>
      </c>
      <c r="W228" s="857">
        <f t="shared" si="47"/>
        <v>60</v>
      </c>
      <c r="X228" s="863"/>
      <c r="Y228" s="664">
        <f t="shared" ref="Y228" si="57">V228+S228</f>
        <v>900</v>
      </c>
      <c r="Z228" s="664">
        <f t="shared" si="48"/>
        <v>60</v>
      </c>
      <c r="AA228" s="836"/>
      <c r="AB228" s="982"/>
      <c r="AC228" s="867">
        <v>24</v>
      </c>
      <c r="AD228" s="867">
        <v>8</v>
      </c>
      <c r="AE228" s="979">
        <f t="shared" ref="AE228:AE229" si="58">AC228+AD228</f>
        <v>32</v>
      </c>
      <c r="AF228" s="878"/>
      <c r="AG228" s="335">
        <v>900</v>
      </c>
      <c r="AH228" s="979">
        <f t="shared" si="52"/>
        <v>60</v>
      </c>
      <c r="AI228" s="979"/>
      <c r="AJ228" s="979">
        <f t="shared" ref="AJ228:AJ244" si="59">Z228-AH228</f>
        <v>0</v>
      </c>
      <c r="AK228" s="878"/>
      <c r="AL228" s="618"/>
      <c r="AM228" s="618"/>
      <c r="AN228" s="800"/>
      <c r="AO228" s="800"/>
      <c r="AP228" s="800"/>
      <c r="AQ228" s="800"/>
      <c r="AR228" s="800"/>
      <c r="AS228" s="800"/>
      <c r="AT228" s="800"/>
      <c r="AU228" s="800"/>
      <c r="AV228" s="800"/>
      <c r="AW228" s="800"/>
      <c r="AX228" s="800"/>
      <c r="AY228" s="800"/>
      <c r="AZ228" s="800"/>
      <c r="BA228" s="800"/>
      <c r="BB228" s="800"/>
      <c r="BC228" s="800"/>
      <c r="BD228" s="800"/>
      <c r="BE228" s="800"/>
      <c r="BF228" s="800"/>
      <c r="BG228" s="800"/>
      <c r="BH228" s="800"/>
      <c r="BI228" s="800"/>
      <c r="BJ228" s="800"/>
      <c r="BK228" s="800"/>
      <c r="BL228" s="800"/>
      <c r="BM228" s="800"/>
      <c r="BN228" s="800"/>
      <c r="BO228" s="800"/>
      <c r="BP228" s="800"/>
      <c r="BQ228" s="800"/>
      <c r="BR228" s="800"/>
      <c r="BS228" s="800"/>
      <c r="BT228" s="800"/>
      <c r="BU228" s="800"/>
      <c r="BV228" s="800"/>
      <c r="BW228" s="800"/>
      <c r="BX228" s="800"/>
      <c r="BY228" s="800"/>
      <c r="BZ228" s="800"/>
      <c r="CA228" s="800"/>
      <c r="CB228" s="800"/>
      <c r="CC228" s="800"/>
    </row>
    <row r="229" spans="1:81" ht="21.6" customHeight="1" x14ac:dyDescent="0.25">
      <c r="A229" s="664">
        <v>118</v>
      </c>
      <c r="B229" s="664" t="s">
        <v>28</v>
      </c>
      <c r="C229" s="664">
        <v>19</v>
      </c>
      <c r="D229" s="1086" t="s">
        <v>105</v>
      </c>
      <c r="E229" s="836"/>
      <c r="F229" s="846" t="s">
        <v>122</v>
      </c>
      <c r="G229" s="836" t="s">
        <v>265</v>
      </c>
      <c r="H229" s="844"/>
      <c r="I229" s="625"/>
      <c r="J229" s="844"/>
      <c r="K229" s="626"/>
      <c r="L229" s="893"/>
      <c r="M229" s="893"/>
      <c r="N229" s="893">
        <f t="shared" si="45"/>
        <v>0</v>
      </c>
      <c r="O229" s="856"/>
      <c r="P229" s="856"/>
      <c r="Q229" s="856">
        <f t="shared" si="46"/>
        <v>0</v>
      </c>
      <c r="R229" s="894"/>
      <c r="S229" s="855"/>
      <c r="T229" s="896">
        <f t="shared" si="56"/>
        <v>0</v>
      </c>
      <c r="U229" s="862"/>
      <c r="V229" s="857"/>
      <c r="W229" s="857">
        <f t="shared" si="47"/>
        <v>0</v>
      </c>
      <c r="X229" s="863"/>
      <c r="Y229" s="664">
        <f t="shared" si="40"/>
        <v>0</v>
      </c>
      <c r="Z229" s="664">
        <f t="shared" si="48"/>
        <v>0</v>
      </c>
      <c r="AA229" s="836"/>
      <c r="AB229" s="982"/>
      <c r="AC229" s="867"/>
      <c r="AD229" s="867"/>
      <c r="AE229" s="979">
        <f t="shared" si="58"/>
        <v>0</v>
      </c>
      <c r="AF229" s="878"/>
      <c r="AG229" s="335"/>
      <c r="AH229" s="979">
        <f t="shared" si="52"/>
        <v>0</v>
      </c>
      <c r="AI229" s="979"/>
      <c r="AJ229" s="979">
        <f t="shared" si="59"/>
        <v>0</v>
      </c>
      <c r="AK229" s="878"/>
      <c r="AL229" s="618"/>
      <c r="AM229" s="618"/>
    </row>
    <row r="230" spans="1:81" ht="25.5" customHeight="1" x14ac:dyDescent="0.25">
      <c r="A230" s="664">
        <v>119</v>
      </c>
      <c r="B230" s="664" t="s">
        <v>28</v>
      </c>
      <c r="C230" s="664">
        <v>20</v>
      </c>
      <c r="D230" s="1086" t="s">
        <v>105</v>
      </c>
      <c r="E230" s="836"/>
      <c r="F230" s="846" t="s">
        <v>123</v>
      </c>
      <c r="G230" s="836" t="s">
        <v>265</v>
      </c>
      <c r="H230" s="844"/>
      <c r="I230" s="625"/>
      <c r="J230" s="844"/>
      <c r="K230" s="626"/>
      <c r="L230" s="893"/>
      <c r="M230" s="893"/>
      <c r="N230" s="893">
        <f t="shared" si="45"/>
        <v>0</v>
      </c>
      <c r="O230" s="856"/>
      <c r="P230" s="856"/>
      <c r="Q230" s="856">
        <f t="shared" si="46"/>
        <v>0</v>
      </c>
      <c r="R230" s="894"/>
      <c r="S230" s="855"/>
      <c r="T230" s="896">
        <f t="shared" si="56"/>
        <v>0</v>
      </c>
      <c r="U230" s="862"/>
      <c r="V230" s="857"/>
      <c r="W230" s="857">
        <f t="shared" si="47"/>
        <v>0</v>
      </c>
      <c r="X230" s="863"/>
      <c r="Y230" s="664">
        <f t="shared" si="40"/>
        <v>0</v>
      </c>
      <c r="Z230" s="664">
        <f t="shared" si="48"/>
        <v>0</v>
      </c>
      <c r="AA230" s="836"/>
      <c r="AB230" s="982"/>
      <c r="AC230" s="867"/>
      <c r="AD230" s="867"/>
      <c r="AE230" s="979">
        <f t="shared" ref="AE230:AE244" si="60">AC230+AD230</f>
        <v>0</v>
      </c>
      <c r="AF230" s="878"/>
      <c r="AG230" s="335"/>
      <c r="AH230" s="979">
        <f t="shared" si="52"/>
        <v>0</v>
      </c>
      <c r="AI230" s="979"/>
      <c r="AJ230" s="979">
        <f t="shared" si="59"/>
        <v>0</v>
      </c>
      <c r="AK230" s="878"/>
      <c r="AL230" s="618"/>
      <c r="AM230" s="618"/>
    </row>
    <row r="231" spans="1:81" ht="21.6" customHeight="1" x14ac:dyDescent="0.25">
      <c r="A231" s="664">
        <v>120</v>
      </c>
      <c r="B231" s="664" t="s">
        <v>28</v>
      </c>
      <c r="C231" s="664">
        <v>21</v>
      </c>
      <c r="D231" s="1086" t="s">
        <v>105</v>
      </c>
      <c r="E231" s="836"/>
      <c r="F231" s="846" t="s">
        <v>124</v>
      </c>
      <c r="G231" s="836" t="s">
        <v>265</v>
      </c>
      <c r="H231" s="844"/>
      <c r="I231" s="625"/>
      <c r="J231" s="844"/>
      <c r="K231" s="626"/>
      <c r="L231" s="893"/>
      <c r="M231" s="893"/>
      <c r="N231" s="893">
        <f t="shared" si="45"/>
        <v>0</v>
      </c>
      <c r="O231" s="856"/>
      <c r="P231" s="856"/>
      <c r="Q231" s="856">
        <f t="shared" si="46"/>
        <v>0</v>
      </c>
      <c r="R231" s="894"/>
      <c r="S231" s="855"/>
      <c r="T231" s="896">
        <f t="shared" si="56"/>
        <v>0</v>
      </c>
      <c r="U231" s="862"/>
      <c r="V231" s="857"/>
      <c r="W231" s="857">
        <f t="shared" si="47"/>
        <v>0</v>
      </c>
      <c r="X231" s="863"/>
      <c r="Y231" s="664">
        <f t="shared" si="40"/>
        <v>0</v>
      </c>
      <c r="Z231" s="664">
        <f t="shared" si="48"/>
        <v>0</v>
      </c>
      <c r="AA231" s="836"/>
      <c r="AB231" s="982"/>
      <c r="AC231" s="867"/>
      <c r="AD231" s="867"/>
      <c r="AE231" s="979">
        <f t="shared" si="60"/>
        <v>0</v>
      </c>
      <c r="AF231" s="878"/>
      <c r="AG231" s="335"/>
      <c r="AH231" s="979">
        <f t="shared" si="52"/>
        <v>0</v>
      </c>
      <c r="AI231" s="979"/>
      <c r="AJ231" s="979">
        <f t="shared" si="59"/>
        <v>0</v>
      </c>
      <c r="AK231" s="878"/>
      <c r="AL231" s="618"/>
      <c r="AM231" s="618"/>
    </row>
    <row r="232" spans="1:81" ht="26.25" customHeight="1" x14ac:dyDescent="0.25">
      <c r="A232" s="664">
        <v>121</v>
      </c>
      <c r="B232" s="664" t="s">
        <v>28</v>
      </c>
      <c r="C232" s="664">
        <v>22</v>
      </c>
      <c r="D232" s="1086" t="s">
        <v>105</v>
      </c>
      <c r="E232" s="836"/>
      <c r="F232" s="846" t="s">
        <v>125</v>
      </c>
      <c r="G232" s="836" t="s">
        <v>265</v>
      </c>
      <c r="H232" s="844"/>
      <c r="I232" s="625"/>
      <c r="J232" s="844"/>
      <c r="K232" s="626"/>
      <c r="L232" s="893"/>
      <c r="M232" s="893"/>
      <c r="N232" s="893">
        <f t="shared" si="45"/>
        <v>0</v>
      </c>
      <c r="O232" s="856"/>
      <c r="P232" s="856"/>
      <c r="Q232" s="856">
        <f t="shared" si="46"/>
        <v>0</v>
      </c>
      <c r="R232" s="894"/>
      <c r="S232" s="855"/>
      <c r="T232" s="896">
        <f t="shared" si="56"/>
        <v>0</v>
      </c>
      <c r="U232" s="862"/>
      <c r="V232" s="857"/>
      <c r="W232" s="857">
        <f t="shared" si="47"/>
        <v>0</v>
      </c>
      <c r="X232" s="863"/>
      <c r="Y232" s="664">
        <f t="shared" si="40"/>
        <v>0</v>
      </c>
      <c r="Z232" s="664">
        <f t="shared" si="48"/>
        <v>0</v>
      </c>
      <c r="AA232" s="836"/>
      <c r="AB232" s="982"/>
      <c r="AC232" s="867"/>
      <c r="AD232" s="867"/>
      <c r="AE232" s="979">
        <f t="shared" si="60"/>
        <v>0</v>
      </c>
      <c r="AF232" s="878"/>
      <c r="AG232" s="335"/>
      <c r="AH232" s="979">
        <f t="shared" si="52"/>
        <v>0</v>
      </c>
      <c r="AI232" s="979"/>
      <c r="AJ232" s="979">
        <f t="shared" si="59"/>
        <v>0</v>
      </c>
      <c r="AK232" s="878"/>
      <c r="AL232" s="618"/>
      <c r="AM232" s="618"/>
    </row>
    <row r="233" spans="1:81" ht="30.75" customHeight="1" x14ac:dyDescent="0.25">
      <c r="A233" s="664"/>
      <c r="B233" s="664"/>
      <c r="C233" s="664"/>
      <c r="D233" s="1086" t="s">
        <v>105</v>
      </c>
      <c r="E233" s="836"/>
      <c r="F233" s="846" t="s">
        <v>804</v>
      </c>
      <c r="G233" s="836" t="s">
        <v>276</v>
      </c>
      <c r="H233" s="844"/>
      <c r="I233" s="625"/>
      <c r="J233" s="844" t="s">
        <v>265</v>
      </c>
      <c r="K233" s="626" t="s">
        <v>799</v>
      </c>
      <c r="L233" s="893">
        <v>4</v>
      </c>
      <c r="M233" s="893">
        <v>2</v>
      </c>
      <c r="N233" s="893">
        <f t="shared" ref="N233:N234" si="61">M233+L233</f>
        <v>6</v>
      </c>
      <c r="O233" s="856">
        <v>8</v>
      </c>
      <c r="P233" s="856"/>
      <c r="Q233" s="856">
        <f t="shared" ref="Q233:Q234" si="62">P233+O233</f>
        <v>8</v>
      </c>
      <c r="R233" s="894"/>
      <c r="S233" s="855"/>
      <c r="T233" s="896">
        <f t="shared" si="56"/>
        <v>0</v>
      </c>
      <c r="U233" s="862"/>
      <c r="V233" s="857">
        <v>120</v>
      </c>
      <c r="W233" s="857">
        <f t="shared" si="47"/>
        <v>8</v>
      </c>
      <c r="X233" s="863"/>
      <c r="Y233" s="664">
        <f t="shared" si="40"/>
        <v>120</v>
      </c>
      <c r="Z233" s="664">
        <f t="shared" si="48"/>
        <v>8</v>
      </c>
      <c r="AA233" s="836"/>
      <c r="AB233" s="982"/>
      <c r="AC233" s="867">
        <v>4</v>
      </c>
      <c r="AD233" s="867">
        <v>2</v>
      </c>
      <c r="AE233" s="979">
        <f t="shared" si="60"/>
        <v>6</v>
      </c>
      <c r="AF233" s="878"/>
      <c r="AG233" s="335">
        <v>120</v>
      </c>
      <c r="AH233" s="979">
        <f t="shared" si="52"/>
        <v>8</v>
      </c>
      <c r="AI233" s="979"/>
      <c r="AJ233" s="979">
        <f t="shared" si="59"/>
        <v>0</v>
      </c>
      <c r="AK233" s="878"/>
      <c r="AL233" s="618"/>
      <c r="AM233" s="618"/>
      <c r="AN233" s="800"/>
      <c r="AO233" s="800"/>
      <c r="AP233" s="800"/>
      <c r="AQ233" s="800"/>
      <c r="AR233" s="800"/>
      <c r="AS233" s="800"/>
      <c r="AT233" s="800"/>
      <c r="AU233" s="800"/>
      <c r="AV233" s="800"/>
      <c r="AW233" s="800"/>
      <c r="AX233" s="800"/>
      <c r="AY233" s="800"/>
      <c r="AZ233" s="800"/>
      <c r="BA233" s="800"/>
      <c r="BB233" s="800"/>
      <c r="BC233" s="800"/>
      <c r="BD233" s="800"/>
      <c r="BE233" s="800"/>
      <c r="BF233" s="800"/>
      <c r="BG233" s="800"/>
      <c r="BH233" s="800"/>
      <c r="BI233" s="800"/>
      <c r="BJ233" s="800"/>
      <c r="BK233" s="800"/>
      <c r="BL233" s="800"/>
      <c r="BM233" s="800"/>
      <c r="BN233" s="800"/>
      <c r="BO233" s="800"/>
      <c r="BP233" s="800"/>
      <c r="BQ233" s="800"/>
      <c r="BR233" s="800"/>
      <c r="BS233" s="800"/>
      <c r="BT233" s="800"/>
      <c r="BU233" s="800"/>
      <c r="BV233" s="800"/>
      <c r="BW233" s="800"/>
      <c r="BX233" s="800"/>
      <c r="BY233" s="800"/>
      <c r="BZ233" s="800"/>
      <c r="CA233" s="800"/>
      <c r="CB233" s="800"/>
      <c r="CC233" s="800"/>
    </row>
    <row r="234" spans="1:81" ht="21.6" customHeight="1" x14ac:dyDescent="0.25">
      <c r="A234" s="664"/>
      <c r="B234" s="664"/>
      <c r="C234" s="664"/>
      <c r="D234" s="1086" t="s">
        <v>105</v>
      </c>
      <c r="E234" s="836"/>
      <c r="F234" s="846" t="s">
        <v>805</v>
      </c>
      <c r="G234" s="836" t="s">
        <v>276</v>
      </c>
      <c r="H234" s="844"/>
      <c r="I234" s="625"/>
      <c r="J234" s="844" t="s">
        <v>265</v>
      </c>
      <c r="K234" s="626" t="s">
        <v>799</v>
      </c>
      <c r="L234" s="893">
        <v>2</v>
      </c>
      <c r="M234" s="893">
        <v>3</v>
      </c>
      <c r="N234" s="893">
        <f t="shared" si="61"/>
        <v>5</v>
      </c>
      <c r="O234" s="856">
        <v>3</v>
      </c>
      <c r="P234" s="856">
        <v>2</v>
      </c>
      <c r="Q234" s="856">
        <f t="shared" si="62"/>
        <v>5</v>
      </c>
      <c r="R234" s="894"/>
      <c r="S234" s="855"/>
      <c r="T234" s="896">
        <f t="shared" si="56"/>
        <v>0</v>
      </c>
      <c r="U234" s="862"/>
      <c r="V234" s="857">
        <v>75</v>
      </c>
      <c r="W234" s="857">
        <f t="shared" si="47"/>
        <v>5</v>
      </c>
      <c r="X234" s="863"/>
      <c r="Y234" s="664">
        <f t="shared" si="40"/>
        <v>75</v>
      </c>
      <c r="Z234" s="664">
        <f t="shared" si="48"/>
        <v>5</v>
      </c>
      <c r="AA234" s="836"/>
      <c r="AB234" s="982"/>
      <c r="AC234" s="867">
        <v>2</v>
      </c>
      <c r="AD234" s="867">
        <v>3</v>
      </c>
      <c r="AE234" s="979">
        <f t="shared" si="60"/>
        <v>5</v>
      </c>
      <c r="AF234" s="878"/>
      <c r="AG234" s="335">
        <v>75</v>
      </c>
      <c r="AH234" s="979">
        <f t="shared" si="52"/>
        <v>5</v>
      </c>
      <c r="AI234" s="979"/>
      <c r="AJ234" s="979">
        <f t="shared" si="59"/>
        <v>0</v>
      </c>
      <c r="AK234" s="878"/>
      <c r="AL234" s="618"/>
      <c r="AM234" s="618"/>
      <c r="AN234" s="800"/>
      <c r="AO234" s="800"/>
      <c r="AP234" s="800"/>
      <c r="AQ234" s="800"/>
      <c r="AR234" s="800"/>
      <c r="AS234" s="800"/>
      <c r="AT234" s="800"/>
      <c r="AU234" s="800"/>
      <c r="AV234" s="800"/>
      <c r="AW234" s="800"/>
      <c r="AX234" s="800"/>
      <c r="AY234" s="800"/>
      <c r="AZ234" s="800"/>
      <c r="BA234" s="800"/>
      <c r="BB234" s="800"/>
      <c r="BC234" s="800"/>
      <c r="BD234" s="800"/>
      <c r="BE234" s="800"/>
      <c r="BF234" s="800"/>
      <c r="BG234" s="800"/>
      <c r="BH234" s="800"/>
      <c r="BI234" s="800"/>
      <c r="BJ234" s="800"/>
      <c r="BK234" s="800"/>
      <c r="BL234" s="800"/>
      <c r="BM234" s="800"/>
      <c r="BN234" s="800"/>
      <c r="BO234" s="800"/>
      <c r="BP234" s="800"/>
      <c r="BQ234" s="800"/>
      <c r="BR234" s="800"/>
      <c r="BS234" s="800"/>
      <c r="BT234" s="800"/>
      <c r="BU234" s="800"/>
      <c r="BV234" s="800"/>
      <c r="BW234" s="800"/>
      <c r="BX234" s="800"/>
      <c r="BY234" s="800"/>
      <c r="BZ234" s="800"/>
      <c r="CA234" s="800"/>
      <c r="CB234" s="800"/>
      <c r="CC234" s="800"/>
    </row>
    <row r="235" spans="1:81" ht="21.6" customHeight="1" x14ac:dyDescent="0.25">
      <c r="A235" s="664">
        <v>122</v>
      </c>
      <c r="B235" s="664" t="s">
        <v>28</v>
      </c>
      <c r="C235" s="664">
        <v>23</v>
      </c>
      <c r="D235" s="1086" t="s">
        <v>105</v>
      </c>
      <c r="E235" s="836"/>
      <c r="F235" s="846" t="s">
        <v>126</v>
      </c>
      <c r="G235" s="836" t="s">
        <v>265</v>
      </c>
      <c r="H235" s="844"/>
      <c r="I235" s="625"/>
      <c r="J235" s="844"/>
      <c r="K235" s="626"/>
      <c r="L235" s="893"/>
      <c r="M235" s="893"/>
      <c r="N235" s="893">
        <f t="shared" ref="N235:N244" si="63">M235+L235</f>
        <v>0</v>
      </c>
      <c r="O235" s="856"/>
      <c r="P235" s="856"/>
      <c r="Q235" s="856">
        <f t="shared" ref="Q235:Q244" si="64">P235+O235</f>
        <v>0</v>
      </c>
      <c r="R235" s="894"/>
      <c r="S235" s="855"/>
      <c r="T235" s="896">
        <f t="shared" si="56"/>
        <v>0</v>
      </c>
      <c r="U235" s="862"/>
      <c r="V235" s="857"/>
      <c r="W235" s="857">
        <f t="shared" si="47"/>
        <v>0</v>
      </c>
      <c r="X235" s="863"/>
      <c r="Y235" s="664">
        <f t="shared" si="40"/>
        <v>0</v>
      </c>
      <c r="Z235" s="664">
        <f t="shared" si="48"/>
        <v>0</v>
      </c>
      <c r="AA235" s="836"/>
      <c r="AB235" s="982"/>
      <c r="AC235" s="867"/>
      <c r="AD235" s="867"/>
      <c r="AE235" s="979">
        <f t="shared" si="60"/>
        <v>0</v>
      </c>
      <c r="AF235" s="878"/>
      <c r="AG235" s="335"/>
      <c r="AH235" s="979">
        <f t="shared" si="52"/>
        <v>0</v>
      </c>
      <c r="AI235" s="979"/>
      <c r="AJ235" s="979">
        <f t="shared" si="59"/>
        <v>0</v>
      </c>
      <c r="AK235" s="878"/>
      <c r="AL235" s="618"/>
      <c r="AM235" s="618"/>
    </row>
    <row r="236" spans="1:81" ht="21.6" customHeight="1" x14ac:dyDescent="0.25">
      <c r="A236" s="664"/>
      <c r="B236" s="664"/>
      <c r="C236" s="664"/>
      <c r="D236" s="1086" t="s">
        <v>105</v>
      </c>
      <c r="E236" s="845" t="s">
        <v>429</v>
      </c>
      <c r="F236" s="846" t="s">
        <v>551</v>
      </c>
      <c r="G236" s="836" t="s">
        <v>276</v>
      </c>
      <c r="H236" s="844"/>
      <c r="I236" s="625"/>
      <c r="J236" s="844"/>
      <c r="K236" s="626"/>
      <c r="L236" s="893"/>
      <c r="M236" s="893"/>
      <c r="N236" s="893">
        <f t="shared" si="63"/>
        <v>0</v>
      </c>
      <c r="O236" s="856"/>
      <c r="P236" s="856"/>
      <c r="Q236" s="856">
        <f t="shared" si="64"/>
        <v>0</v>
      </c>
      <c r="R236" s="894"/>
      <c r="S236" s="855"/>
      <c r="T236" s="896">
        <f t="shared" si="56"/>
        <v>0</v>
      </c>
      <c r="U236" s="862"/>
      <c r="V236" s="857"/>
      <c r="W236" s="857">
        <f t="shared" si="47"/>
        <v>0</v>
      </c>
      <c r="X236" s="863"/>
      <c r="Y236" s="664">
        <f t="shared" si="40"/>
        <v>0</v>
      </c>
      <c r="Z236" s="664">
        <f t="shared" si="48"/>
        <v>0</v>
      </c>
      <c r="AA236" s="836"/>
      <c r="AB236" s="982"/>
      <c r="AC236" s="867"/>
      <c r="AD236" s="867"/>
      <c r="AE236" s="979">
        <f t="shared" si="60"/>
        <v>0</v>
      </c>
      <c r="AF236" s="878"/>
      <c r="AG236" s="335"/>
      <c r="AH236" s="979">
        <f t="shared" si="52"/>
        <v>0</v>
      </c>
      <c r="AI236" s="979"/>
      <c r="AJ236" s="979">
        <f t="shared" si="59"/>
        <v>0</v>
      </c>
      <c r="AK236" s="878"/>
      <c r="AL236" s="618"/>
      <c r="AM236" s="618"/>
    </row>
    <row r="237" spans="1:81" ht="21.6" customHeight="1" x14ac:dyDescent="0.25">
      <c r="A237" s="664">
        <v>123</v>
      </c>
      <c r="B237" s="664" t="s">
        <v>28</v>
      </c>
      <c r="C237" s="664">
        <v>24</v>
      </c>
      <c r="D237" s="1086" t="s">
        <v>105</v>
      </c>
      <c r="E237" s="836"/>
      <c r="F237" s="846" t="s">
        <v>127</v>
      </c>
      <c r="G237" s="836" t="s">
        <v>265</v>
      </c>
      <c r="H237" s="844"/>
      <c r="I237" s="625"/>
      <c r="J237" s="844"/>
      <c r="K237" s="626"/>
      <c r="L237" s="893"/>
      <c r="M237" s="893"/>
      <c r="N237" s="893">
        <f t="shared" si="63"/>
        <v>0</v>
      </c>
      <c r="O237" s="856"/>
      <c r="P237" s="856"/>
      <c r="Q237" s="856">
        <f t="shared" si="64"/>
        <v>0</v>
      </c>
      <c r="R237" s="894"/>
      <c r="S237" s="855"/>
      <c r="T237" s="896">
        <f t="shared" si="56"/>
        <v>0</v>
      </c>
      <c r="U237" s="862"/>
      <c r="V237" s="857"/>
      <c r="W237" s="857">
        <f t="shared" si="47"/>
        <v>0</v>
      </c>
      <c r="X237" s="863"/>
      <c r="Y237" s="664">
        <f t="shared" si="40"/>
        <v>0</v>
      </c>
      <c r="Z237" s="664">
        <f t="shared" si="48"/>
        <v>0</v>
      </c>
      <c r="AA237" s="836"/>
      <c r="AB237" s="982"/>
      <c r="AC237" s="867"/>
      <c r="AD237" s="867"/>
      <c r="AE237" s="979">
        <f t="shared" si="60"/>
        <v>0</v>
      </c>
      <c r="AF237" s="878"/>
      <c r="AG237" s="335"/>
      <c r="AH237" s="979">
        <f t="shared" si="52"/>
        <v>0</v>
      </c>
      <c r="AI237" s="979"/>
      <c r="AJ237" s="979">
        <f t="shared" si="59"/>
        <v>0</v>
      </c>
      <c r="AK237" s="878"/>
      <c r="AL237" s="618"/>
      <c r="AM237" s="618"/>
    </row>
    <row r="238" spans="1:81" ht="21.6" customHeight="1" x14ac:dyDescent="0.25">
      <c r="A238" s="664"/>
      <c r="B238" s="664"/>
      <c r="C238" s="664"/>
      <c r="D238" s="1086" t="s">
        <v>105</v>
      </c>
      <c r="E238" s="900" t="s">
        <v>429</v>
      </c>
      <c r="F238" s="846" t="s">
        <v>365</v>
      </c>
      <c r="G238" s="836" t="s">
        <v>276</v>
      </c>
      <c r="H238" s="844"/>
      <c r="I238" s="625"/>
      <c r="J238" s="844" t="s">
        <v>265</v>
      </c>
      <c r="K238" s="626" t="s">
        <v>826</v>
      </c>
      <c r="L238" s="893">
        <v>7</v>
      </c>
      <c r="M238" s="893">
        <v>3</v>
      </c>
      <c r="N238" s="893">
        <f t="shared" si="63"/>
        <v>10</v>
      </c>
      <c r="O238" s="856">
        <v>10</v>
      </c>
      <c r="P238" s="856"/>
      <c r="Q238" s="856">
        <f t="shared" si="64"/>
        <v>10</v>
      </c>
      <c r="R238" s="894"/>
      <c r="S238" s="855"/>
      <c r="T238" s="896">
        <f t="shared" si="56"/>
        <v>0</v>
      </c>
      <c r="U238" s="862"/>
      <c r="V238" s="857">
        <v>150</v>
      </c>
      <c r="W238" s="857">
        <f t="shared" si="47"/>
        <v>10</v>
      </c>
      <c r="X238" s="863"/>
      <c r="Y238" s="664">
        <f t="shared" si="40"/>
        <v>150</v>
      </c>
      <c r="Z238" s="664">
        <f t="shared" si="48"/>
        <v>10</v>
      </c>
      <c r="AA238" s="836"/>
      <c r="AB238" s="982"/>
      <c r="AC238" s="867">
        <v>7</v>
      </c>
      <c r="AD238" s="867">
        <v>3</v>
      </c>
      <c r="AE238" s="979">
        <f t="shared" si="60"/>
        <v>10</v>
      </c>
      <c r="AF238" s="878"/>
      <c r="AG238" s="335">
        <v>150</v>
      </c>
      <c r="AH238" s="979">
        <f t="shared" si="52"/>
        <v>10</v>
      </c>
      <c r="AI238" s="979"/>
      <c r="AJ238" s="979">
        <f t="shared" si="59"/>
        <v>0</v>
      </c>
      <c r="AK238" s="878"/>
      <c r="AL238" s="618"/>
      <c r="AM238" s="618"/>
    </row>
    <row r="239" spans="1:81" ht="21.6" customHeight="1" x14ac:dyDescent="0.25">
      <c r="A239" s="664">
        <v>124</v>
      </c>
      <c r="B239" s="664" t="s">
        <v>28</v>
      </c>
      <c r="C239" s="664">
        <v>25</v>
      </c>
      <c r="D239" s="1086" t="s">
        <v>105</v>
      </c>
      <c r="E239" s="900"/>
      <c r="F239" s="846" t="s">
        <v>128</v>
      </c>
      <c r="G239" s="836" t="s">
        <v>265</v>
      </c>
      <c r="H239" s="844"/>
      <c r="I239" s="625"/>
      <c r="J239" s="844"/>
      <c r="K239" s="626"/>
      <c r="L239" s="893"/>
      <c r="M239" s="893"/>
      <c r="N239" s="893">
        <f t="shared" si="63"/>
        <v>0</v>
      </c>
      <c r="O239" s="856"/>
      <c r="P239" s="856"/>
      <c r="Q239" s="856">
        <f t="shared" si="64"/>
        <v>0</v>
      </c>
      <c r="R239" s="894"/>
      <c r="S239" s="855"/>
      <c r="T239" s="896">
        <f t="shared" si="56"/>
        <v>0</v>
      </c>
      <c r="U239" s="862"/>
      <c r="V239" s="857"/>
      <c r="W239" s="857">
        <f t="shared" si="47"/>
        <v>0</v>
      </c>
      <c r="X239" s="863"/>
      <c r="Y239" s="664">
        <f t="shared" si="40"/>
        <v>0</v>
      </c>
      <c r="Z239" s="664">
        <f t="shared" si="48"/>
        <v>0</v>
      </c>
      <c r="AA239" s="836"/>
      <c r="AB239" s="982"/>
      <c r="AC239" s="867"/>
      <c r="AD239" s="867"/>
      <c r="AE239" s="979">
        <f t="shared" si="60"/>
        <v>0</v>
      </c>
      <c r="AF239" s="878"/>
      <c r="AG239" s="335"/>
      <c r="AH239" s="979">
        <f t="shared" si="52"/>
        <v>0</v>
      </c>
      <c r="AI239" s="979"/>
      <c r="AJ239" s="979">
        <f t="shared" si="59"/>
        <v>0</v>
      </c>
      <c r="AK239" s="878"/>
      <c r="AL239" s="618"/>
      <c r="AM239" s="618"/>
    </row>
    <row r="240" spans="1:81" ht="21.6" customHeight="1" x14ac:dyDescent="0.25">
      <c r="A240" s="664">
        <v>125</v>
      </c>
      <c r="B240" s="664" t="s">
        <v>28</v>
      </c>
      <c r="C240" s="664">
        <v>26</v>
      </c>
      <c r="D240" s="1086" t="s">
        <v>105</v>
      </c>
      <c r="E240" s="845"/>
      <c r="F240" s="846" t="s">
        <v>129</v>
      </c>
      <c r="G240" s="836" t="s">
        <v>265</v>
      </c>
      <c r="H240" s="844"/>
      <c r="I240" s="625"/>
      <c r="J240" s="844"/>
      <c r="K240" s="626"/>
      <c r="L240" s="893"/>
      <c r="M240" s="893"/>
      <c r="N240" s="893">
        <f t="shared" si="63"/>
        <v>0</v>
      </c>
      <c r="O240" s="856"/>
      <c r="P240" s="856"/>
      <c r="Q240" s="856">
        <f t="shared" si="64"/>
        <v>0</v>
      </c>
      <c r="R240" s="894"/>
      <c r="S240" s="855"/>
      <c r="T240" s="839">
        <f t="shared" si="56"/>
        <v>0</v>
      </c>
      <c r="U240" s="862"/>
      <c r="V240" s="857"/>
      <c r="W240" s="857">
        <f t="shared" si="47"/>
        <v>0</v>
      </c>
      <c r="X240" s="863"/>
      <c r="Y240" s="664">
        <f t="shared" si="40"/>
        <v>0</v>
      </c>
      <c r="Z240" s="664">
        <f t="shared" si="48"/>
        <v>0</v>
      </c>
      <c r="AA240" s="836"/>
      <c r="AB240" s="982"/>
      <c r="AC240" s="867"/>
      <c r="AD240" s="867"/>
      <c r="AE240" s="979">
        <f t="shared" si="60"/>
        <v>0</v>
      </c>
      <c r="AF240" s="878"/>
      <c r="AG240" s="335"/>
      <c r="AH240" s="979">
        <f t="shared" si="52"/>
        <v>0</v>
      </c>
      <c r="AI240" s="979"/>
      <c r="AJ240" s="979">
        <f t="shared" si="59"/>
        <v>0</v>
      </c>
      <c r="AK240" s="878"/>
      <c r="AL240" s="618"/>
      <c r="AM240" s="618"/>
    </row>
    <row r="241" spans="1:81" ht="21.6" customHeight="1" x14ac:dyDescent="0.25">
      <c r="A241" s="664"/>
      <c r="B241" s="664"/>
      <c r="C241" s="664"/>
      <c r="D241" s="1086" t="s">
        <v>105</v>
      </c>
      <c r="E241" s="845"/>
      <c r="F241" s="846" t="s">
        <v>801</v>
      </c>
      <c r="G241" s="836" t="s">
        <v>361</v>
      </c>
      <c r="H241" s="844"/>
      <c r="I241" s="625"/>
      <c r="J241" s="844" t="s">
        <v>265</v>
      </c>
      <c r="K241" s="626" t="s">
        <v>799</v>
      </c>
      <c r="L241" s="893">
        <v>11</v>
      </c>
      <c r="M241" s="893">
        <v>3</v>
      </c>
      <c r="N241" s="893">
        <f t="shared" si="63"/>
        <v>14</v>
      </c>
      <c r="O241" s="856">
        <v>42</v>
      </c>
      <c r="P241" s="856"/>
      <c r="Q241" s="856">
        <f t="shared" si="64"/>
        <v>42</v>
      </c>
      <c r="R241" s="894"/>
      <c r="S241" s="855"/>
      <c r="T241" s="839">
        <f t="shared" si="56"/>
        <v>0</v>
      </c>
      <c r="U241" s="862"/>
      <c r="V241" s="857">
        <v>630</v>
      </c>
      <c r="W241" s="857">
        <f t="shared" si="47"/>
        <v>42</v>
      </c>
      <c r="X241" s="863"/>
      <c r="Y241" s="664">
        <f t="shared" si="40"/>
        <v>630</v>
      </c>
      <c r="Z241" s="664">
        <f t="shared" si="48"/>
        <v>42</v>
      </c>
      <c r="AA241" s="836"/>
      <c r="AB241" s="982"/>
      <c r="AC241" s="867">
        <v>11</v>
      </c>
      <c r="AD241" s="867">
        <v>3</v>
      </c>
      <c r="AE241" s="979">
        <f t="shared" si="60"/>
        <v>14</v>
      </c>
      <c r="AF241" s="878"/>
      <c r="AG241" s="335">
        <v>630</v>
      </c>
      <c r="AH241" s="979">
        <f t="shared" si="52"/>
        <v>42</v>
      </c>
      <c r="AI241" s="979"/>
      <c r="AJ241" s="979">
        <f t="shared" si="59"/>
        <v>0</v>
      </c>
      <c r="AK241" s="878"/>
      <c r="AL241" s="618"/>
      <c r="AM241" s="618"/>
      <c r="AN241" s="791"/>
      <c r="AO241" s="791"/>
      <c r="AP241" s="791"/>
      <c r="AQ241" s="791"/>
      <c r="AR241" s="791"/>
      <c r="AS241" s="791"/>
      <c r="AT241" s="791"/>
      <c r="AU241" s="791"/>
      <c r="AV241" s="791"/>
      <c r="AW241" s="791"/>
      <c r="AX241" s="791"/>
      <c r="AY241" s="791"/>
      <c r="AZ241" s="791"/>
      <c r="BA241" s="791"/>
      <c r="BB241" s="791"/>
      <c r="BC241" s="791"/>
      <c r="BD241" s="791"/>
      <c r="BE241" s="791"/>
      <c r="BF241" s="791"/>
      <c r="BG241" s="791"/>
      <c r="BH241" s="791"/>
      <c r="BI241" s="791"/>
      <c r="BJ241" s="791"/>
      <c r="BK241" s="791"/>
      <c r="BL241" s="791"/>
      <c r="BM241" s="791"/>
      <c r="BN241" s="791"/>
      <c r="BO241" s="791"/>
      <c r="BP241" s="791"/>
      <c r="BQ241" s="791"/>
      <c r="BR241" s="791"/>
      <c r="BS241" s="791"/>
      <c r="BT241" s="791"/>
      <c r="BU241" s="791"/>
      <c r="BV241" s="791"/>
      <c r="BW241" s="791"/>
      <c r="BX241" s="791"/>
      <c r="BY241" s="791"/>
      <c r="BZ241" s="791"/>
      <c r="CA241" s="791"/>
      <c r="CB241" s="791"/>
      <c r="CC241" s="791"/>
    </row>
    <row r="242" spans="1:81" ht="21.6" customHeight="1" x14ac:dyDescent="0.25">
      <c r="A242" s="664"/>
      <c r="B242" s="664"/>
      <c r="C242" s="664"/>
      <c r="D242" s="1086" t="s">
        <v>105</v>
      </c>
      <c r="E242" s="845"/>
      <c r="F242" s="846" t="s">
        <v>300</v>
      </c>
      <c r="G242" s="836" t="s">
        <v>276</v>
      </c>
      <c r="H242" s="844"/>
      <c r="I242" s="625"/>
      <c r="J242" s="844"/>
      <c r="K242" s="626"/>
      <c r="L242" s="893"/>
      <c r="M242" s="893"/>
      <c r="N242" s="893">
        <f t="shared" si="63"/>
        <v>0</v>
      </c>
      <c r="O242" s="856"/>
      <c r="P242" s="856"/>
      <c r="Q242" s="856">
        <f t="shared" si="64"/>
        <v>0</v>
      </c>
      <c r="R242" s="894"/>
      <c r="S242" s="855"/>
      <c r="T242" s="839">
        <f t="shared" si="56"/>
        <v>0</v>
      </c>
      <c r="U242" s="862"/>
      <c r="V242" s="857"/>
      <c r="W242" s="857">
        <f t="shared" si="47"/>
        <v>0</v>
      </c>
      <c r="X242" s="863"/>
      <c r="Y242" s="664">
        <f t="shared" si="40"/>
        <v>0</v>
      </c>
      <c r="Z242" s="664">
        <f t="shared" si="48"/>
        <v>0</v>
      </c>
      <c r="AA242" s="836"/>
      <c r="AB242" s="982"/>
      <c r="AC242" s="867"/>
      <c r="AD242" s="867"/>
      <c r="AE242" s="979">
        <f t="shared" si="60"/>
        <v>0</v>
      </c>
      <c r="AF242" s="878"/>
      <c r="AG242" s="335"/>
      <c r="AH242" s="979">
        <f t="shared" si="52"/>
        <v>0</v>
      </c>
      <c r="AI242" s="979"/>
      <c r="AJ242" s="979">
        <f t="shared" si="59"/>
        <v>0</v>
      </c>
      <c r="AK242" s="878"/>
      <c r="AL242" s="618"/>
      <c r="AM242" s="618"/>
      <c r="AN242" s="791"/>
      <c r="AO242" s="791"/>
      <c r="AP242" s="791"/>
      <c r="AQ242" s="791"/>
      <c r="AR242" s="791"/>
      <c r="AS242" s="791"/>
      <c r="AT242" s="791"/>
      <c r="AU242" s="791"/>
      <c r="AV242" s="791"/>
      <c r="AW242" s="791"/>
      <c r="AX242" s="791"/>
      <c r="AY242" s="791"/>
      <c r="AZ242" s="791"/>
      <c r="BA242" s="791"/>
      <c r="BB242" s="791"/>
      <c r="BC242" s="791"/>
      <c r="BD242" s="791"/>
      <c r="BE242" s="791"/>
      <c r="BF242" s="791"/>
      <c r="BG242" s="791"/>
      <c r="BH242" s="791"/>
      <c r="BI242" s="791"/>
      <c r="BJ242" s="791"/>
      <c r="BK242" s="791"/>
      <c r="BL242" s="791"/>
      <c r="BM242" s="791"/>
      <c r="BN242" s="791"/>
      <c r="BO242" s="791"/>
      <c r="BP242" s="791"/>
      <c r="BQ242" s="791"/>
      <c r="BR242" s="791"/>
      <c r="BS242" s="791"/>
      <c r="BT242" s="791"/>
      <c r="BU242" s="791"/>
      <c r="BV242" s="791"/>
      <c r="BW242" s="791"/>
      <c r="BX242" s="791"/>
      <c r="BY242" s="791"/>
      <c r="BZ242" s="791"/>
      <c r="CA242" s="791"/>
      <c r="CB242" s="791"/>
      <c r="CC242" s="791"/>
    </row>
    <row r="243" spans="1:81" ht="21.6" customHeight="1" x14ac:dyDescent="0.25">
      <c r="A243" s="664"/>
      <c r="B243" s="664"/>
      <c r="C243" s="664"/>
      <c r="D243" s="1086" t="s">
        <v>105</v>
      </c>
      <c r="E243" s="845"/>
      <c r="F243" s="846" t="s">
        <v>800</v>
      </c>
      <c r="G243" s="836" t="s">
        <v>361</v>
      </c>
      <c r="H243" s="844"/>
      <c r="I243" s="625"/>
      <c r="J243" s="844" t="s">
        <v>265</v>
      </c>
      <c r="K243" s="626" t="s">
        <v>799</v>
      </c>
      <c r="L243" s="893">
        <v>5</v>
      </c>
      <c r="M243" s="893">
        <v>5</v>
      </c>
      <c r="N243" s="893">
        <f t="shared" si="63"/>
        <v>10</v>
      </c>
      <c r="O243" s="856"/>
      <c r="P243" s="856">
        <v>10</v>
      </c>
      <c r="Q243" s="856">
        <f t="shared" si="64"/>
        <v>10</v>
      </c>
      <c r="R243" s="894"/>
      <c r="S243" s="855"/>
      <c r="T243" s="839">
        <f t="shared" si="56"/>
        <v>0</v>
      </c>
      <c r="U243" s="862"/>
      <c r="V243" s="857">
        <v>150</v>
      </c>
      <c r="W243" s="857">
        <f t="shared" si="47"/>
        <v>10</v>
      </c>
      <c r="X243" s="863"/>
      <c r="Y243" s="664">
        <f t="shared" si="40"/>
        <v>150</v>
      </c>
      <c r="Z243" s="664">
        <f t="shared" si="48"/>
        <v>10</v>
      </c>
      <c r="AA243" s="836"/>
      <c r="AB243" s="982"/>
      <c r="AC243" s="867">
        <v>5</v>
      </c>
      <c r="AD243" s="867">
        <v>5</v>
      </c>
      <c r="AE243" s="979">
        <f t="shared" si="60"/>
        <v>10</v>
      </c>
      <c r="AF243" s="878"/>
      <c r="AG243" s="335">
        <v>150</v>
      </c>
      <c r="AH243" s="979">
        <f t="shared" si="52"/>
        <v>10</v>
      </c>
      <c r="AI243" s="979"/>
      <c r="AJ243" s="979">
        <f t="shared" si="59"/>
        <v>0</v>
      </c>
      <c r="AK243" s="878"/>
      <c r="AL243" s="618"/>
      <c r="AM243" s="618"/>
      <c r="AN243" s="791"/>
      <c r="AO243" s="791"/>
      <c r="AP243" s="791"/>
      <c r="AQ243" s="791"/>
      <c r="AR243" s="791"/>
      <c r="AS243" s="791"/>
      <c r="AT243" s="791"/>
      <c r="AU243" s="791"/>
      <c r="AV243" s="791"/>
      <c r="AW243" s="791"/>
      <c r="AX243" s="791"/>
      <c r="AY243" s="791"/>
      <c r="AZ243" s="791"/>
      <c r="BA243" s="791"/>
      <c r="BB243" s="791"/>
      <c r="BC243" s="791"/>
      <c r="BD243" s="791"/>
      <c r="BE243" s="791"/>
      <c r="BF243" s="791"/>
      <c r="BG243" s="791"/>
      <c r="BH243" s="791"/>
      <c r="BI243" s="791"/>
      <c r="BJ243" s="791"/>
      <c r="BK243" s="791"/>
      <c r="BL243" s="791"/>
      <c r="BM243" s="791"/>
      <c r="BN243" s="791"/>
      <c r="BO243" s="791"/>
      <c r="BP243" s="791"/>
      <c r="BQ243" s="791"/>
      <c r="BR243" s="791"/>
      <c r="BS243" s="791"/>
      <c r="BT243" s="791"/>
      <c r="BU243" s="791"/>
      <c r="BV243" s="791"/>
      <c r="BW243" s="791"/>
      <c r="BX243" s="791"/>
      <c r="BY243" s="791"/>
      <c r="BZ243" s="791"/>
      <c r="CA243" s="791"/>
      <c r="CB243" s="791"/>
      <c r="CC243" s="791"/>
    </row>
    <row r="244" spans="1:81" ht="21.6" customHeight="1" x14ac:dyDescent="0.25">
      <c r="A244" s="664"/>
      <c r="B244" s="664"/>
      <c r="C244" s="664"/>
      <c r="D244" s="1086" t="s">
        <v>105</v>
      </c>
      <c r="E244" s="845"/>
      <c r="F244" s="846" t="s">
        <v>299</v>
      </c>
      <c r="G244" s="836" t="s">
        <v>276</v>
      </c>
      <c r="H244" s="844"/>
      <c r="I244" s="625"/>
      <c r="J244" s="844"/>
      <c r="K244" s="626"/>
      <c r="L244" s="893"/>
      <c r="M244" s="893"/>
      <c r="N244" s="893">
        <f t="shared" si="63"/>
        <v>0</v>
      </c>
      <c r="O244" s="856"/>
      <c r="P244" s="856"/>
      <c r="Q244" s="856">
        <f t="shared" si="64"/>
        <v>0</v>
      </c>
      <c r="R244" s="894"/>
      <c r="S244" s="855"/>
      <c r="T244" s="839">
        <f t="shared" si="56"/>
        <v>0</v>
      </c>
      <c r="U244" s="862"/>
      <c r="V244" s="857"/>
      <c r="W244" s="857">
        <f t="shared" si="47"/>
        <v>0</v>
      </c>
      <c r="X244" s="863"/>
      <c r="Y244" s="664">
        <f t="shared" si="40"/>
        <v>0</v>
      </c>
      <c r="Z244" s="664">
        <f t="shared" si="48"/>
        <v>0</v>
      </c>
      <c r="AA244" s="836"/>
      <c r="AB244" s="982"/>
      <c r="AC244" s="867"/>
      <c r="AD244" s="867"/>
      <c r="AE244" s="979">
        <f t="shared" si="60"/>
        <v>0</v>
      </c>
      <c r="AF244" s="878"/>
      <c r="AG244" s="335"/>
      <c r="AH244" s="979">
        <f t="shared" si="52"/>
        <v>0</v>
      </c>
      <c r="AI244" s="979"/>
      <c r="AJ244" s="979">
        <f t="shared" si="59"/>
        <v>0</v>
      </c>
      <c r="AK244" s="878"/>
      <c r="AL244" s="618"/>
      <c r="AM244" s="618"/>
      <c r="AN244" s="791"/>
      <c r="AO244" s="791"/>
      <c r="AP244" s="791"/>
      <c r="AQ244" s="791"/>
      <c r="AR244" s="791"/>
      <c r="AS244" s="791"/>
      <c r="AT244" s="791"/>
      <c r="AU244" s="791"/>
      <c r="AV244" s="791"/>
      <c r="AW244" s="791"/>
      <c r="AX244" s="791"/>
      <c r="AY244" s="791"/>
      <c r="AZ244" s="791"/>
      <c r="BA244" s="791"/>
      <c r="BB244" s="791"/>
      <c r="BC244" s="791"/>
      <c r="BD244" s="791"/>
      <c r="BE244" s="791"/>
      <c r="BF244" s="791"/>
      <c r="BG244" s="791"/>
      <c r="BH244" s="791"/>
      <c r="BI244" s="791"/>
      <c r="BJ244" s="791"/>
      <c r="BK244" s="791"/>
      <c r="BL244" s="791"/>
      <c r="BM244" s="791"/>
      <c r="BN244" s="791"/>
      <c r="BO244" s="791"/>
      <c r="BP244" s="791"/>
      <c r="BQ244" s="791"/>
      <c r="BR244" s="791"/>
      <c r="BS244" s="791"/>
      <c r="BT244" s="791"/>
      <c r="BU244" s="791"/>
      <c r="BV244" s="791"/>
      <c r="BW244" s="791"/>
      <c r="BX244" s="791"/>
      <c r="BY244" s="791"/>
      <c r="BZ244" s="791"/>
      <c r="CA244" s="791"/>
      <c r="CB244" s="791"/>
      <c r="CC244" s="791"/>
    </row>
    <row r="245" spans="1:81" ht="21.6" customHeight="1" x14ac:dyDescent="0.25">
      <c r="A245" s="664"/>
      <c r="B245" s="664"/>
      <c r="C245" s="664"/>
      <c r="D245" s="1086"/>
      <c r="E245" s="845"/>
      <c r="F245" s="846"/>
      <c r="G245" s="836"/>
      <c r="H245" s="844"/>
      <c r="I245" s="625"/>
      <c r="J245" s="844"/>
      <c r="K245" s="626"/>
      <c r="L245" s="893"/>
      <c r="M245" s="893"/>
      <c r="N245" s="893">
        <f t="shared" si="43"/>
        <v>0</v>
      </c>
      <c r="O245" s="856"/>
      <c r="P245" s="856"/>
      <c r="Q245" s="856">
        <f t="shared" si="44"/>
        <v>0</v>
      </c>
      <c r="R245" s="894"/>
      <c r="S245" s="855"/>
      <c r="T245" s="839"/>
      <c r="U245" s="862"/>
      <c r="V245" s="857"/>
      <c r="W245" s="857">
        <f t="shared" ref="W245" si="65">V245/15</f>
        <v>0</v>
      </c>
      <c r="X245" s="863"/>
      <c r="Y245" s="664"/>
      <c r="Z245" s="664">
        <f t="shared" si="48"/>
        <v>0</v>
      </c>
      <c r="AA245" s="836"/>
      <c r="AB245" s="982"/>
      <c r="AC245" s="867"/>
      <c r="AD245" s="867"/>
      <c r="AE245" s="979">
        <f t="shared" si="42"/>
        <v>0</v>
      </c>
      <c r="AF245" s="878"/>
      <c r="AG245" s="335"/>
      <c r="AH245" s="979">
        <f t="shared" si="52"/>
        <v>0</v>
      </c>
      <c r="AI245" s="979"/>
      <c r="AJ245" s="979">
        <f t="shared" si="41"/>
        <v>0</v>
      </c>
      <c r="AK245" s="878"/>
      <c r="AL245" s="618"/>
      <c r="AM245" s="618"/>
      <c r="AN245" s="791"/>
      <c r="AO245" s="791"/>
      <c r="AP245" s="791"/>
      <c r="AQ245" s="791"/>
      <c r="AR245" s="791"/>
      <c r="AS245" s="791"/>
      <c r="AT245" s="791"/>
      <c r="AU245" s="791"/>
      <c r="AV245" s="791"/>
      <c r="AW245" s="791"/>
      <c r="AX245" s="791"/>
      <c r="AY245" s="791"/>
      <c r="AZ245" s="791"/>
      <c r="BA245" s="791"/>
      <c r="BB245" s="791"/>
      <c r="BC245" s="791"/>
      <c r="BD245" s="791"/>
      <c r="BE245" s="791"/>
      <c r="BF245" s="791"/>
      <c r="BG245" s="791"/>
      <c r="BH245" s="791"/>
      <c r="BI245" s="791"/>
      <c r="BJ245" s="791"/>
      <c r="BK245" s="791"/>
      <c r="BL245" s="791"/>
      <c r="BM245" s="791"/>
      <c r="BN245" s="791"/>
      <c r="BO245" s="791"/>
      <c r="BP245" s="791"/>
      <c r="BQ245" s="791"/>
      <c r="BR245" s="791"/>
      <c r="BS245" s="791"/>
      <c r="BT245" s="791"/>
      <c r="BU245" s="791"/>
      <c r="BV245" s="791"/>
      <c r="BW245" s="791"/>
      <c r="BX245" s="791"/>
      <c r="BY245" s="791"/>
      <c r="BZ245" s="791"/>
      <c r="CA245" s="791"/>
      <c r="CB245" s="791"/>
      <c r="CC245" s="791"/>
    </row>
    <row r="246" spans="1:81" s="191" customFormat="1" ht="21.6" customHeight="1" x14ac:dyDescent="0.25">
      <c r="A246" s="903">
        <f>A539</f>
        <v>174</v>
      </c>
      <c r="B246" s="903" t="s">
        <v>130</v>
      </c>
      <c r="C246" s="903"/>
      <c r="D246" s="904" t="s">
        <v>130</v>
      </c>
      <c r="E246" s="904"/>
      <c r="F246" s="905"/>
      <c r="G246" s="903">
        <v>0</v>
      </c>
      <c r="H246" s="882">
        <v>0</v>
      </c>
      <c r="I246" s="903">
        <v>0</v>
      </c>
      <c r="J246" s="903">
        <v>0</v>
      </c>
      <c r="K246" s="906">
        <v>42563</v>
      </c>
      <c r="L246" s="903">
        <f>SUM(L248:L539)</f>
        <v>1122</v>
      </c>
      <c r="M246" s="903">
        <f>SUM(M248:M539)</f>
        <v>441</v>
      </c>
      <c r="N246" s="903">
        <f t="shared" ref="N246" si="66">SUM(N248:N539)</f>
        <v>1440</v>
      </c>
      <c r="O246" s="903">
        <f>SUM(O248:O539)</f>
        <v>1025.71</v>
      </c>
      <c r="P246" s="903">
        <f>SUM(P248:P539)</f>
        <v>371.48000000000008</v>
      </c>
      <c r="Q246" s="903">
        <f>SUM(Q248:Q542)</f>
        <v>1269.8899999999999</v>
      </c>
      <c r="R246" s="903"/>
      <c r="S246" s="903">
        <f>SUM(S248:S542)</f>
        <v>2215.1999999999998</v>
      </c>
      <c r="T246" s="903">
        <f t="shared" ref="T246" si="67">SUM(T248:T542)</f>
        <v>147.67999999999998</v>
      </c>
      <c r="U246" s="903">
        <f>SUM(U248:U542)</f>
        <v>147.67999999999998</v>
      </c>
      <c r="V246" s="903">
        <f t="shared" ref="V246:AK246" si="68">SUM(V248:V542)</f>
        <v>20578.8</v>
      </c>
      <c r="W246" s="903">
        <f t="shared" si="68"/>
        <v>1371.9199999999998</v>
      </c>
      <c r="X246" s="903">
        <f t="shared" si="68"/>
        <v>1371.9199999999998</v>
      </c>
      <c r="Y246" s="903">
        <f t="shared" si="68"/>
        <v>22441.200000000001</v>
      </c>
      <c r="Z246" s="903">
        <f t="shared" si="68"/>
        <v>1519.6</v>
      </c>
      <c r="AA246" s="903">
        <f t="shared" si="68"/>
        <v>1519.6</v>
      </c>
      <c r="AB246" s="903">
        <f t="shared" si="68"/>
        <v>1509.6</v>
      </c>
      <c r="AC246" s="903">
        <f t="shared" si="68"/>
        <v>1382</v>
      </c>
      <c r="AD246" s="903">
        <f t="shared" si="68"/>
        <v>497</v>
      </c>
      <c r="AE246" s="903">
        <f t="shared" si="68"/>
        <v>1752</v>
      </c>
      <c r="AF246" s="903">
        <f t="shared" si="68"/>
        <v>1752</v>
      </c>
      <c r="AG246" s="903">
        <f t="shared" si="68"/>
        <v>23425.3</v>
      </c>
      <c r="AH246" s="903">
        <f t="shared" si="68"/>
        <v>1531.6866666666667</v>
      </c>
      <c r="AI246" s="903">
        <f t="shared" si="68"/>
        <v>1531.6866666666667</v>
      </c>
      <c r="AJ246" s="903">
        <f>SUM(AJ248:AJ542)</f>
        <v>-42.086666666666659</v>
      </c>
      <c r="AK246" s="903">
        <f t="shared" si="68"/>
        <v>-42.086666666666659</v>
      </c>
      <c r="AL246" s="786"/>
      <c r="AM246" s="786"/>
      <c r="AN246" s="191">
        <f>Z246-AA246</f>
        <v>0</v>
      </c>
    </row>
    <row r="247" spans="1:81" s="636" customFormat="1" ht="21.6" customHeight="1" x14ac:dyDescent="0.25">
      <c r="A247" s="625"/>
      <c r="B247" s="625"/>
      <c r="C247" s="625"/>
      <c r="D247" s="402"/>
      <c r="E247" s="402"/>
      <c r="F247" s="907"/>
      <c r="G247" s="625"/>
      <c r="H247" s="844"/>
      <c r="I247" s="625"/>
      <c r="J247" s="844"/>
      <c r="K247" s="626"/>
      <c r="L247" s="890"/>
      <c r="M247" s="890"/>
      <c r="N247" s="890">
        <f t="shared" ref="N247:N294" si="69">M247+L247</f>
        <v>0</v>
      </c>
      <c r="O247" s="467"/>
      <c r="P247" s="467"/>
      <c r="Q247" s="467">
        <f t="shared" ref="Q247:Q294" si="70">P247+O247</f>
        <v>0</v>
      </c>
      <c r="R247" s="625"/>
      <c r="S247" s="842"/>
      <c r="T247" s="842"/>
      <c r="U247" s="842"/>
      <c r="V247" s="467"/>
      <c r="W247" s="467">
        <f t="shared" ref="W247:W312" si="71">V247/15</f>
        <v>0</v>
      </c>
      <c r="X247" s="467"/>
      <c r="Y247" s="625"/>
      <c r="Z247" s="625">
        <f>W247+T247</f>
        <v>0</v>
      </c>
      <c r="AA247" s="625"/>
      <c r="AB247" s="983"/>
      <c r="AC247" s="50"/>
      <c r="AD247" s="50"/>
      <c r="AE247" s="906">
        <f t="shared" ref="AE247:AE314" si="72">AC247+AD247</f>
        <v>0</v>
      </c>
      <c r="AF247" s="903"/>
      <c r="AG247" s="51"/>
      <c r="AH247" s="906">
        <f t="shared" ref="AH247:AH312" si="73">AG247/15</f>
        <v>0</v>
      </c>
      <c r="AI247" s="906"/>
      <c r="AJ247" s="906">
        <f t="shared" ref="AJ247:AJ289" si="74">Z247-AH247</f>
        <v>0</v>
      </c>
      <c r="AK247" s="903"/>
      <c r="AL247" s="635"/>
      <c r="AM247" s="635"/>
      <c r="AN247" s="322"/>
      <c r="AO247" s="322"/>
      <c r="AP247" s="322"/>
      <c r="AQ247" s="322"/>
      <c r="AR247" s="322"/>
      <c r="AS247" s="322"/>
      <c r="AT247" s="322"/>
      <c r="AU247" s="322"/>
      <c r="AV247" s="322"/>
      <c r="AW247" s="322"/>
      <c r="AX247" s="322"/>
      <c r="AY247" s="322"/>
      <c r="AZ247" s="322"/>
      <c r="BA247" s="322"/>
      <c r="BB247" s="322"/>
      <c r="BC247" s="322"/>
      <c r="BD247" s="322"/>
      <c r="BE247" s="322"/>
      <c r="BF247" s="322"/>
      <c r="BG247" s="322"/>
      <c r="BH247" s="322"/>
      <c r="BI247" s="322"/>
      <c r="BJ247" s="322"/>
      <c r="BK247" s="322"/>
      <c r="BL247" s="322"/>
      <c r="BM247" s="322"/>
      <c r="BN247" s="322"/>
      <c r="BO247" s="322"/>
      <c r="BP247" s="322"/>
      <c r="BQ247" s="322"/>
      <c r="BR247" s="322"/>
      <c r="BS247" s="322"/>
      <c r="BT247" s="322"/>
      <c r="BU247" s="322"/>
      <c r="BV247" s="322"/>
      <c r="BW247" s="322"/>
      <c r="BX247" s="322"/>
      <c r="BY247" s="322"/>
      <c r="BZ247" s="322"/>
      <c r="CA247" s="322"/>
      <c r="CB247" s="322"/>
      <c r="CC247" s="322"/>
    </row>
    <row r="248" spans="1:81" s="641" customFormat="1" ht="21.6" customHeight="1" x14ac:dyDescent="0.25">
      <c r="A248" s="836">
        <v>1</v>
      </c>
      <c r="B248" s="836" t="s">
        <v>130</v>
      </c>
      <c r="C248" s="836">
        <v>1</v>
      </c>
      <c r="D248" s="1086" t="s">
        <v>131</v>
      </c>
      <c r="E248" s="845" t="s">
        <v>431</v>
      </c>
      <c r="F248" s="846" t="s">
        <v>132</v>
      </c>
      <c r="G248" s="836" t="s">
        <v>265</v>
      </c>
      <c r="H248" s="844"/>
      <c r="I248" s="625"/>
      <c r="J248" s="844"/>
      <c r="K248" s="626"/>
      <c r="L248" s="890"/>
      <c r="M248" s="890"/>
      <c r="N248" s="890">
        <f t="shared" si="69"/>
        <v>0</v>
      </c>
      <c r="O248" s="467"/>
      <c r="P248" s="467"/>
      <c r="Q248" s="467">
        <f t="shared" si="70"/>
        <v>0</v>
      </c>
      <c r="R248" s="625"/>
      <c r="S248" s="842"/>
      <c r="T248" s="862">
        <f>S248/15</f>
        <v>0</v>
      </c>
      <c r="U248" s="862">
        <f>SUM(T248:T265)</f>
        <v>0</v>
      </c>
      <c r="V248" s="863"/>
      <c r="W248" s="863">
        <f t="shared" si="71"/>
        <v>0</v>
      </c>
      <c r="X248" s="863">
        <f>SUM(W248:W265)</f>
        <v>0</v>
      </c>
      <c r="Y248" s="836">
        <f t="shared" ref="Y248:Y313" si="75">V248+S248</f>
        <v>0</v>
      </c>
      <c r="Z248" s="836">
        <f>W248+T248</f>
        <v>0</v>
      </c>
      <c r="AA248" s="836">
        <f>SUM(Z248:Z265)</f>
        <v>0</v>
      </c>
      <c r="AB248" s="982">
        <v>0</v>
      </c>
      <c r="AC248" s="867"/>
      <c r="AD248" s="867"/>
      <c r="AE248" s="979">
        <f t="shared" si="72"/>
        <v>0</v>
      </c>
      <c r="AF248" s="878">
        <f>SUM(AE248:AE265)</f>
        <v>0</v>
      </c>
      <c r="AG248" s="335"/>
      <c r="AH248" s="979">
        <f t="shared" si="73"/>
        <v>0</v>
      </c>
      <c r="AI248" s="979">
        <f>SUM(AH248:AH265)</f>
        <v>0</v>
      </c>
      <c r="AJ248" s="979">
        <f t="shared" si="74"/>
        <v>0</v>
      </c>
      <c r="AK248" s="878">
        <f>SUM(AJ248:AJ265)</f>
        <v>0</v>
      </c>
      <c r="AL248" s="648"/>
      <c r="AM248" s="648"/>
      <c r="AN248" s="647"/>
      <c r="AO248" s="647"/>
      <c r="AP248" s="647"/>
      <c r="AQ248" s="647"/>
      <c r="AR248" s="647"/>
      <c r="AS248" s="647"/>
      <c r="AT248" s="647"/>
      <c r="AU248" s="647"/>
      <c r="AV248" s="647"/>
      <c r="AW248" s="647"/>
      <c r="AX248" s="647"/>
      <c r="AY248" s="647"/>
      <c r="AZ248" s="647"/>
      <c r="BA248" s="647"/>
      <c r="BB248" s="647"/>
      <c r="BC248" s="647"/>
      <c r="BD248" s="647"/>
      <c r="BE248" s="647"/>
      <c r="BF248" s="647"/>
      <c r="BG248" s="647"/>
      <c r="BH248" s="647"/>
      <c r="BI248" s="647"/>
      <c r="BJ248" s="647"/>
      <c r="BK248" s="647"/>
      <c r="BL248" s="647"/>
      <c r="BM248" s="647"/>
      <c r="BN248" s="647"/>
      <c r="BO248" s="647"/>
      <c r="BP248" s="647"/>
      <c r="BQ248" s="647"/>
      <c r="BR248" s="647"/>
      <c r="BS248" s="647"/>
      <c r="BT248" s="647"/>
      <c r="BU248" s="647"/>
      <c r="BV248" s="647"/>
      <c r="BW248" s="647"/>
      <c r="BX248" s="647"/>
      <c r="BY248" s="647"/>
      <c r="BZ248" s="647"/>
      <c r="CA248" s="647"/>
      <c r="CB248" s="647"/>
      <c r="CC248" s="647"/>
    </row>
    <row r="249" spans="1:81" ht="21.6" customHeight="1" x14ac:dyDescent="0.25">
      <c r="A249" s="664"/>
      <c r="B249" s="664"/>
      <c r="C249" s="664"/>
      <c r="D249" s="1086" t="s">
        <v>131</v>
      </c>
      <c r="E249" s="845" t="s">
        <v>489</v>
      </c>
      <c r="F249" s="846" t="s">
        <v>285</v>
      </c>
      <c r="G249" s="836" t="s">
        <v>276</v>
      </c>
      <c r="H249" s="844"/>
      <c r="I249" s="625"/>
      <c r="J249" s="844"/>
      <c r="K249" s="626"/>
      <c r="L249" s="893"/>
      <c r="M249" s="893"/>
      <c r="N249" s="893">
        <f t="shared" si="69"/>
        <v>0</v>
      </c>
      <c r="O249" s="856"/>
      <c r="P249" s="856"/>
      <c r="Q249" s="856">
        <f t="shared" si="70"/>
        <v>0</v>
      </c>
      <c r="R249" s="894"/>
      <c r="S249" s="855"/>
      <c r="T249" s="896">
        <f t="shared" ref="T249:T314" si="76">S249/15</f>
        <v>0</v>
      </c>
      <c r="U249" s="862"/>
      <c r="V249" s="857"/>
      <c r="W249" s="857">
        <f t="shared" si="71"/>
        <v>0</v>
      </c>
      <c r="X249" s="863"/>
      <c r="Y249" s="664">
        <f t="shared" si="75"/>
        <v>0</v>
      </c>
      <c r="Z249" s="664">
        <f>W249+T249</f>
        <v>0</v>
      </c>
      <c r="AA249" s="836"/>
      <c r="AB249" s="982"/>
      <c r="AC249" s="867"/>
      <c r="AD249" s="867"/>
      <c r="AE249" s="979">
        <f t="shared" si="72"/>
        <v>0</v>
      </c>
      <c r="AF249" s="878"/>
      <c r="AG249" s="335"/>
      <c r="AH249" s="979">
        <f t="shared" si="73"/>
        <v>0</v>
      </c>
      <c r="AI249" s="979"/>
      <c r="AJ249" s="979">
        <f t="shared" si="74"/>
        <v>0</v>
      </c>
      <c r="AK249" s="878"/>
      <c r="AL249" s="618"/>
      <c r="AM249" s="618"/>
    </row>
    <row r="250" spans="1:81" ht="21.6" customHeight="1" x14ac:dyDescent="0.25">
      <c r="A250" s="664"/>
      <c r="B250" s="664"/>
      <c r="C250" s="664"/>
      <c r="D250" s="1086" t="s">
        <v>131</v>
      </c>
      <c r="E250" s="845" t="s">
        <v>489</v>
      </c>
      <c r="F250" s="846" t="s">
        <v>286</v>
      </c>
      <c r="G250" s="836" t="s">
        <v>276</v>
      </c>
      <c r="H250" s="844"/>
      <c r="I250" s="625"/>
      <c r="J250" s="844"/>
      <c r="K250" s="626"/>
      <c r="L250" s="893"/>
      <c r="M250" s="893"/>
      <c r="N250" s="893">
        <f t="shared" si="69"/>
        <v>0</v>
      </c>
      <c r="O250" s="856"/>
      <c r="P250" s="856"/>
      <c r="Q250" s="856">
        <f t="shared" si="70"/>
        <v>0</v>
      </c>
      <c r="R250" s="894"/>
      <c r="S250" s="855"/>
      <c r="T250" s="896">
        <f t="shared" si="76"/>
        <v>0</v>
      </c>
      <c r="U250" s="862"/>
      <c r="V250" s="857"/>
      <c r="W250" s="857">
        <f t="shared" si="71"/>
        <v>0</v>
      </c>
      <c r="X250" s="863"/>
      <c r="Y250" s="664">
        <f t="shared" si="75"/>
        <v>0</v>
      </c>
      <c r="Z250" s="664">
        <f t="shared" ref="Z250:Z315" si="77">W250+T250</f>
        <v>0</v>
      </c>
      <c r="AA250" s="836"/>
      <c r="AB250" s="982"/>
      <c r="AC250" s="867"/>
      <c r="AD250" s="867"/>
      <c r="AE250" s="979">
        <f t="shared" si="72"/>
        <v>0</v>
      </c>
      <c r="AF250" s="878"/>
      <c r="AG250" s="335"/>
      <c r="AH250" s="979">
        <f t="shared" si="73"/>
        <v>0</v>
      </c>
      <c r="AI250" s="979"/>
      <c r="AJ250" s="979">
        <f t="shared" si="74"/>
        <v>0</v>
      </c>
      <c r="AK250" s="878"/>
      <c r="AL250" s="618"/>
      <c r="AM250" s="618"/>
    </row>
    <row r="251" spans="1:81" ht="21.6" customHeight="1" x14ac:dyDescent="0.25">
      <c r="A251" s="664"/>
      <c r="B251" s="664"/>
      <c r="C251" s="664"/>
      <c r="D251" s="1086" t="s">
        <v>131</v>
      </c>
      <c r="E251" s="845" t="s">
        <v>489</v>
      </c>
      <c r="F251" s="846" t="s">
        <v>288</v>
      </c>
      <c r="G251" s="836" t="s">
        <v>276</v>
      </c>
      <c r="H251" s="844"/>
      <c r="I251" s="625"/>
      <c r="J251" s="844"/>
      <c r="K251" s="626"/>
      <c r="L251" s="893"/>
      <c r="M251" s="893"/>
      <c r="N251" s="893">
        <f t="shared" si="69"/>
        <v>0</v>
      </c>
      <c r="O251" s="856"/>
      <c r="P251" s="856"/>
      <c r="Q251" s="856">
        <f t="shared" si="70"/>
        <v>0</v>
      </c>
      <c r="R251" s="894"/>
      <c r="S251" s="855"/>
      <c r="T251" s="896">
        <f t="shared" si="76"/>
        <v>0</v>
      </c>
      <c r="U251" s="862"/>
      <c r="V251" s="857"/>
      <c r="W251" s="857">
        <f t="shared" si="71"/>
        <v>0</v>
      </c>
      <c r="X251" s="863"/>
      <c r="Y251" s="664">
        <f t="shared" si="75"/>
        <v>0</v>
      </c>
      <c r="Z251" s="664">
        <f t="shared" si="77"/>
        <v>0</v>
      </c>
      <c r="AA251" s="836"/>
      <c r="AB251" s="982"/>
      <c r="AC251" s="867"/>
      <c r="AD251" s="867"/>
      <c r="AE251" s="979">
        <f t="shared" si="72"/>
        <v>0</v>
      </c>
      <c r="AF251" s="878"/>
      <c r="AG251" s="335"/>
      <c r="AH251" s="979">
        <f t="shared" si="73"/>
        <v>0</v>
      </c>
      <c r="AI251" s="979"/>
      <c r="AJ251" s="979">
        <f t="shared" si="74"/>
        <v>0</v>
      </c>
      <c r="AK251" s="878"/>
      <c r="AL251" s="618"/>
      <c r="AM251" s="618"/>
    </row>
    <row r="252" spans="1:81" ht="21.6" customHeight="1" x14ac:dyDescent="0.25">
      <c r="A252" s="664"/>
      <c r="B252" s="664"/>
      <c r="C252" s="664"/>
      <c r="D252" s="1086" t="s">
        <v>131</v>
      </c>
      <c r="E252" s="845" t="s">
        <v>431</v>
      </c>
      <c r="F252" s="846" t="s">
        <v>289</v>
      </c>
      <c r="G252" s="836" t="s">
        <v>276</v>
      </c>
      <c r="H252" s="844"/>
      <c r="I252" s="625"/>
      <c r="J252" s="844"/>
      <c r="K252" s="626"/>
      <c r="L252" s="893"/>
      <c r="M252" s="893"/>
      <c r="N252" s="893">
        <f t="shared" si="69"/>
        <v>0</v>
      </c>
      <c r="O252" s="856"/>
      <c r="P252" s="856"/>
      <c r="Q252" s="856">
        <f t="shared" si="70"/>
        <v>0</v>
      </c>
      <c r="R252" s="894"/>
      <c r="S252" s="855"/>
      <c r="T252" s="896">
        <f t="shared" si="76"/>
        <v>0</v>
      </c>
      <c r="U252" s="862"/>
      <c r="V252" s="857"/>
      <c r="W252" s="857">
        <f t="shared" si="71"/>
        <v>0</v>
      </c>
      <c r="X252" s="863"/>
      <c r="Y252" s="664">
        <f t="shared" si="75"/>
        <v>0</v>
      </c>
      <c r="Z252" s="664">
        <f t="shared" si="77"/>
        <v>0</v>
      </c>
      <c r="AA252" s="836"/>
      <c r="AB252" s="982"/>
      <c r="AC252" s="867"/>
      <c r="AD252" s="867"/>
      <c r="AE252" s="979">
        <f t="shared" si="72"/>
        <v>0</v>
      </c>
      <c r="AF252" s="878"/>
      <c r="AG252" s="335"/>
      <c r="AH252" s="979">
        <f t="shared" si="73"/>
        <v>0</v>
      </c>
      <c r="AI252" s="979"/>
      <c r="AJ252" s="979">
        <f t="shared" si="74"/>
        <v>0</v>
      </c>
      <c r="AK252" s="878"/>
      <c r="AL252" s="618"/>
      <c r="AM252" s="618"/>
    </row>
    <row r="253" spans="1:81" ht="21.6" customHeight="1" x14ac:dyDescent="0.25">
      <c r="A253" s="664"/>
      <c r="B253" s="664"/>
      <c r="C253" s="664"/>
      <c r="D253" s="1086" t="s">
        <v>131</v>
      </c>
      <c r="E253" s="845" t="s">
        <v>431</v>
      </c>
      <c r="F253" s="846" t="s">
        <v>295</v>
      </c>
      <c r="G253" s="836" t="s">
        <v>276</v>
      </c>
      <c r="H253" s="844"/>
      <c r="I253" s="625"/>
      <c r="J253" s="844"/>
      <c r="K253" s="626"/>
      <c r="L253" s="893"/>
      <c r="M253" s="893"/>
      <c r="N253" s="893">
        <f t="shared" si="69"/>
        <v>0</v>
      </c>
      <c r="O253" s="856"/>
      <c r="P253" s="856"/>
      <c r="Q253" s="856">
        <f t="shared" si="70"/>
        <v>0</v>
      </c>
      <c r="R253" s="894"/>
      <c r="S253" s="855"/>
      <c r="T253" s="896">
        <f t="shared" si="76"/>
        <v>0</v>
      </c>
      <c r="U253" s="862"/>
      <c r="V253" s="857"/>
      <c r="W253" s="857">
        <f t="shared" si="71"/>
        <v>0</v>
      </c>
      <c r="X253" s="863"/>
      <c r="Y253" s="664">
        <f t="shared" si="75"/>
        <v>0</v>
      </c>
      <c r="Z253" s="664">
        <f t="shared" si="77"/>
        <v>0</v>
      </c>
      <c r="AA253" s="836"/>
      <c r="AB253" s="982"/>
      <c r="AC253" s="867"/>
      <c r="AD253" s="867"/>
      <c r="AE253" s="979">
        <f t="shared" si="72"/>
        <v>0</v>
      </c>
      <c r="AF253" s="878"/>
      <c r="AG253" s="335"/>
      <c r="AH253" s="979">
        <f t="shared" si="73"/>
        <v>0</v>
      </c>
      <c r="AI253" s="979"/>
      <c r="AJ253" s="979">
        <f t="shared" si="74"/>
        <v>0</v>
      </c>
      <c r="AK253" s="878"/>
      <c r="AL253" s="618"/>
      <c r="AM253" s="618"/>
    </row>
    <row r="254" spans="1:81" ht="21.6" customHeight="1" x14ac:dyDescent="0.25">
      <c r="A254" s="664"/>
      <c r="B254" s="664"/>
      <c r="C254" s="664"/>
      <c r="D254" s="1086" t="s">
        <v>131</v>
      </c>
      <c r="E254" s="845" t="s">
        <v>489</v>
      </c>
      <c r="F254" s="846" t="s">
        <v>54</v>
      </c>
      <c r="G254" s="836" t="s">
        <v>276</v>
      </c>
      <c r="H254" s="844"/>
      <c r="I254" s="625"/>
      <c r="J254" s="844"/>
      <c r="K254" s="626"/>
      <c r="L254" s="893"/>
      <c r="M254" s="893"/>
      <c r="N254" s="893">
        <f t="shared" si="69"/>
        <v>0</v>
      </c>
      <c r="O254" s="856"/>
      <c r="P254" s="856"/>
      <c r="Q254" s="856">
        <f t="shared" si="70"/>
        <v>0</v>
      </c>
      <c r="R254" s="894"/>
      <c r="S254" s="855"/>
      <c r="T254" s="896">
        <f t="shared" si="76"/>
        <v>0</v>
      </c>
      <c r="U254" s="862"/>
      <c r="V254" s="857"/>
      <c r="W254" s="857">
        <f t="shared" si="71"/>
        <v>0</v>
      </c>
      <c r="X254" s="863"/>
      <c r="Y254" s="664">
        <f t="shared" si="75"/>
        <v>0</v>
      </c>
      <c r="Z254" s="664">
        <f t="shared" si="77"/>
        <v>0</v>
      </c>
      <c r="AA254" s="836"/>
      <c r="AB254" s="982"/>
      <c r="AC254" s="867"/>
      <c r="AD254" s="867"/>
      <c r="AE254" s="979">
        <f t="shared" si="72"/>
        <v>0</v>
      </c>
      <c r="AF254" s="878"/>
      <c r="AG254" s="335"/>
      <c r="AH254" s="979">
        <f t="shared" si="73"/>
        <v>0</v>
      </c>
      <c r="AI254" s="979"/>
      <c r="AJ254" s="979">
        <f t="shared" si="74"/>
        <v>0</v>
      </c>
      <c r="AK254" s="878"/>
      <c r="AL254" s="618"/>
      <c r="AM254" s="618"/>
    </row>
    <row r="255" spans="1:81" ht="21.6" customHeight="1" x14ac:dyDescent="0.25">
      <c r="A255" s="664"/>
      <c r="B255" s="664"/>
      <c r="C255" s="664"/>
      <c r="D255" s="1086" t="s">
        <v>131</v>
      </c>
      <c r="E255" s="845" t="s">
        <v>489</v>
      </c>
      <c r="F255" s="846" t="s">
        <v>290</v>
      </c>
      <c r="G255" s="836" t="s">
        <v>276</v>
      </c>
      <c r="H255" s="844"/>
      <c r="I255" s="625"/>
      <c r="J255" s="844"/>
      <c r="K255" s="626"/>
      <c r="L255" s="893"/>
      <c r="M255" s="893"/>
      <c r="N255" s="893">
        <f t="shared" si="69"/>
        <v>0</v>
      </c>
      <c r="O255" s="856"/>
      <c r="P255" s="856"/>
      <c r="Q255" s="856">
        <f t="shared" si="70"/>
        <v>0</v>
      </c>
      <c r="R255" s="894"/>
      <c r="S255" s="855"/>
      <c r="T255" s="896">
        <f t="shared" si="76"/>
        <v>0</v>
      </c>
      <c r="U255" s="862"/>
      <c r="V255" s="857"/>
      <c r="W255" s="857">
        <f t="shared" si="71"/>
        <v>0</v>
      </c>
      <c r="X255" s="863"/>
      <c r="Y255" s="664">
        <f t="shared" si="75"/>
        <v>0</v>
      </c>
      <c r="Z255" s="664">
        <f t="shared" si="77"/>
        <v>0</v>
      </c>
      <c r="AA255" s="836"/>
      <c r="AB255" s="982"/>
      <c r="AC255" s="867"/>
      <c r="AD255" s="867"/>
      <c r="AE255" s="979">
        <f t="shared" si="72"/>
        <v>0</v>
      </c>
      <c r="AF255" s="878"/>
      <c r="AG255" s="335"/>
      <c r="AH255" s="979">
        <f t="shared" si="73"/>
        <v>0</v>
      </c>
      <c r="AI255" s="979"/>
      <c r="AJ255" s="979">
        <f t="shared" si="74"/>
        <v>0</v>
      </c>
      <c r="AK255" s="878"/>
      <c r="AL255" s="618"/>
      <c r="AM255" s="618"/>
    </row>
    <row r="256" spans="1:81" ht="21.6" customHeight="1" x14ac:dyDescent="0.25">
      <c r="A256" s="664">
        <v>3</v>
      </c>
      <c r="B256" s="664" t="s">
        <v>130</v>
      </c>
      <c r="C256" s="664">
        <v>3</v>
      </c>
      <c r="D256" s="1086" t="s">
        <v>131</v>
      </c>
      <c r="E256" s="845" t="s">
        <v>489</v>
      </c>
      <c r="F256" s="846" t="s">
        <v>133</v>
      </c>
      <c r="G256" s="836" t="s">
        <v>265</v>
      </c>
      <c r="H256" s="844"/>
      <c r="I256" s="625"/>
      <c r="J256" s="844"/>
      <c r="K256" s="626"/>
      <c r="L256" s="893"/>
      <c r="M256" s="893"/>
      <c r="N256" s="893">
        <f t="shared" si="69"/>
        <v>0</v>
      </c>
      <c r="O256" s="856"/>
      <c r="P256" s="856"/>
      <c r="Q256" s="856">
        <f t="shared" si="70"/>
        <v>0</v>
      </c>
      <c r="R256" s="894"/>
      <c r="S256" s="855"/>
      <c r="T256" s="896">
        <f t="shared" si="76"/>
        <v>0</v>
      </c>
      <c r="U256" s="862"/>
      <c r="V256" s="857"/>
      <c r="W256" s="857">
        <f t="shared" si="71"/>
        <v>0</v>
      </c>
      <c r="X256" s="863"/>
      <c r="Y256" s="664">
        <f t="shared" si="75"/>
        <v>0</v>
      </c>
      <c r="Z256" s="664">
        <f t="shared" si="77"/>
        <v>0</v>
      </c>
      <c r="AA256" s="836"/>
      <c r="AB256" s="982"/>
      <c r="AC256" s="867"/>
      <c r="AD256" s="867"/>
      <c r="AE256" s="979">
        <f t="shared" si="72"/>
        <v>0</v>
      </c>
      <c r="AF256" s="878"/>
      <c r="AG256" s="335"/>
      <c r="AH256" s="979">
        <f t="shared" si="73"/>
        <v>0</v>
      </c>
      <c r="AI256" s="979"/>
      <c r="AJ256" s="979">
        <f t="shared" si="74"/>
        <v>0</v>
      </c>
      <c r="AK256" s="878"/>
      <c r="AL256" s="618"/>
      <c r="AM256" s="618"/>
    </row>
    <row r="257" spans="1:81" ht="21.6" customHeight="1" x14ac:dyDescent="0.25">
      <c r="A257" s="664"/>
      <c r="B257" s="664"/>
      <c r="C257" s="664"/>
      <c r="D257" s="1086" t="s">
        <v>131</v>
      </c>
      <c r="E257" s="845" t="s">
        <v>489</v>
      </c>
      <c r="F257" s="846" t="s">
        <v>291</v>
      </c>
      <c r="G257" s="836" t="s">
        <v>276</v>
      </c>
      <c r="H257" s="844"/>
      <c r="I257" s="625"/>
      <c r="J257" s="844"/>
      <c r="K257" s="626"/>
      <c r="L257" s="893"/>
      <c r="M257" s="893"/>
      <c r="N257" s="893">
        <f t="shared" si="69"/>
        <v>0</v>
      </c>
      <c r="O257" s="856"/>
      <c r="P257" s="856"/>
      <c r="Q257" s="856">
        <f t="shared" si="70"/>
        <v>0</v>
      </c>
      <c r="R257" s="894"/>
      <c r="S257" s="855"/>
      <c r="T257" s="896">
        <f t="shared" si="76"/>
        <v>0</v>
      </c>
      <c r="U257" s="862"/>
      <c r="V257" s="857"/>
      <c r="W257" s="857">
        <f t="shared" si="71"/>
        <v>0</v>
      </c>
      <c r="X257" s="863"/>
      <c r="Y257" s="664">
        <f t="shared" si="75"/>
        <v>0</v>
      </c>
      <c r="Z257" s="664">
        <f t="shared" si="77"/>
        <v>0</v>
      </c>
      <c r="AA257" s="836"/>
      <c r="AB257" s="982"/>
      <c r="AC257" s="867"/>
      <c r="AD257" s="867"/>
      <c r="AE257" s="979">
        <f t="shared" si="72"/>
        <v>0</v>
      </c>
      <c r="AF257" s="878"/>
      <c r="AG257" s="335"/>
      <c r="AH257" s="979">
        <f t="shared" si="73"/>
        <v>0</v>
      </c>
      <c r="AI257" s="979"/>
      <c r="AJ257" s="979">
        <f t="shared" si="74"/>
        <v>0</v>
      </c>
      <c r="AK257" s="878"/>
      <c r="AL257" s="618"/>
      <c r="AM257" s="618"/>
    </row>
    <row r="258" spans="1:81" ht="21.6" customHeight="1" x14ac:dyDescent="0.25">
      <c r="A258" s="664"/>
      <c r="B258" s="664"/>
      <c r="C258" s="664"/>
      <c r="D258" s="1086" t="s">
        <v>131</v>
      </c>
      <c r="E258" s="845" t="s">
        <v>489</v>
      </c>
      <c r="F258" s="846" t="s">
        <v>287</v>
      </c>
      <c r="G258" s="836" t="s">
        <v>276</v>
      </c>
      <c r="H258" s="844"/>
      <c r="I258" s="625"/>
      <c r="J258" s="844"/>
      <c r="K258" s="626"/>
      <c r="L258" s="893"/>
      <c r="M258" s="893"/>
      <c r="N258" s="893">
        <f t="shared" si="69"/>
        <v>0</v>
      </c>
      <c r="O258" s="856"/>
      <c r="P258" s="856"/>
      <c r="Q258" s="856">
        <f t="shared" si="70"/>
        <v>0</v>
      </c>
      <c r="R258" s="894"/>
      <c r="S258" s="855"/>
      <c r="T258" s="896">
        <f t="shared" si="76"/>
        <v>0</v>
      </c>
      <c r="U258" s="862"/>
      <c r="V258" s="857"/>
      <c r="W258" s="857">
        <f t="shared" si="71"/>
        <v>0</v>
      </c>
      <c r="X258" s="863"/>
      <c r="Y258" s="664">
        <f t="shared" si="75"/>
        <v>0</v>
      </c>
      <c r="Z258" s="664">
        <f t="shared" si="77"/>
        <v>0</v>
      </c>
      <c r="AA258" s="836"/>
      <c r="AB258" s="982"/>
      <c r="AC258" s="867"/>
      <c r="AD258" s="867"/>
      <c r="AE258" s="979">
        <f t="shared" si="72"/>
        <v>0</v>
      </c>
      <c r="AF258" s="878"/>
      <c r="AG258" s="335"/>
      <c r="AH258" s="979">
        <f t="shared" si="73"/>
        <v>0</v>
      </c>
      <c r="AI258" s="979"/>
      <c r="AJ258" s="979">
        <f t="shared" si="74"/>
        <v>0</v>
      </c>
      <c r="AK258" s="878"/>
      <c r="AL258" s="618"/>
      <c r="AM258" s="618"/>
    </row>
    <row r="259" spans="1:81" ht="21.6" customHeight="1" x14ac:dyDescent="0.25">
      <c r="A259" s="664"/>
      <c r="B259" s="664"/>
      <c r="C259" s="664"/>
      <c r="D259" s="1086" t="s">
        <v>131</v>
      </c>
      <c r="E259" s="845" t="s">
        <v>489</v>
      </c>
      <c r="F259" s="846" t="s">
        <v>484</v>
      </c>
      <c r="G259" s="836" t="s">
        <v>276</v>
      </c>
      <c r="H259" s="844"/>
      <c r="I259" s="625"/>
      <c r="J259" s="844"/>
      <c r="K259" s="626"/>
      <c r="L259" s="893"/>
      <c r="M259" s="893"/>
      <c r="N259" s="893">
        <f t="shared" si="69"/>
        <v>0</v>
      </c>
      <c r="O259" s="856"/>
      <c r="P259" s="856"/>
      <c r="Q259" s="856">
        <f t="shared" si="70"/>
        <v>0</v>
      </c>
      <c r="R259" s="894"/>
      <c r="S259" s="855"/>
      <c r="T259" s="896">
        <f t="shared" si="76"/>
        <v>0</v>
      </c>
      <c r="U259" s="862"/>
      <c r="V259" s="857"/>
      <c r="W259" s="857">
        <f t="shared" si="71"/>
        <v>0</v>
      </c>
      <c r="X259" s="863"/>
      <c r="Y259" s="664">
        <f t="shared" si="75"/>
        <v>0</v>
      </c>
      <c r="Z259" s="664">
        <f t="shared" si="77"/>
        <v>0</v>
      </c>
      <c r="AA259" s="836"/>
      <c r="AB259" s="982"/>
      <c r="AC259" s="867"/>
      <c r="AD259" s="867"/>
      <c r="AE259" s="979">
        <f t="shared" si="72"/>
        <v>0</v>
      </c>
      <c r="AF259" s="878"/>
      <c r="AG259" s="335"/>
      <c r="AH259" s="979">
        <f t="shared" si="73"/>
        <v>0</v>
      </c>
      <c r="AI259" s="979"/>
      <c r="AJ259" s="979">
        <f t="shared" si="74"/>
        <v>0</v>
      </c>
      <c r="AK259" s="878"/>
      <c r="AL259" s="618"/>
      <c r="AM259" s="618"/>
    </row>
    <row r="260" spans="1:81" ht="21.6" customHeight="1" x14ac:dyDescent="0.25">
      <c r="A260" s="664"/>
      <c r="B260" s="664"/>
      <c r="C260" s="664"/>
      <c r="D260" s="1086" t="s">
        <v>131</v>
      </c>
      <c r="E260" s="845" t="s">
        <v>431</v>
      </c>
      <c r="F260" s="846" t="s">
        <v>294</v>
      </c>
      <c r="G260" s="836" t="s">
        <v>276</v>
      </c>
      <c r="H260" s="844"/>
      <c r="I260" s="625"/>
      <c r="J260" s="844"/>
      <c r="K260" s="626"/>
      <c r="L260" s="893"/>
      <c r="M260" s="893"/>
      <c r="N260" s="893">
        <f t="shared" si="69"/>
        <v>0</v>
      </c>
      <c r="O260" s="856"/>
      <c r="P260" s="856"/>
      <c r="Q260" s="856">
        <f t="shared" si="70"/>
        <v>0</v>
      </c>
      <c r="R260" s="894"/>
      <c r="S260" s="855"/>
      <c r="T260" s="896">
        <f t="shared" si="76"/>
        <v>0</v>
      </c>
      <c r="U260" s="862"/>
      <c r="V260" s="857"/>
      <c r="W260" s="857">
        <f t="shared" si="71"/>
        <v>0</v>
      </c>
      <c r="X260" s="863"/>
      <c r="Y260" s="664">
        <f t="shared" si="75"/>
        <v>0</v>
      </c>
      <c r="Z260" s="664">
        <f t="shared" si="77"/>
        <v>0</v>
      </c>
      <c r="AA260" s="836"/>
      <c r="AB260" s="982"/>
      <c r="AC260" s="867"/>
      <c r="AD260" s="867"/>
      <c r="AE260" s="979">
        <f t="shared" si="72"/>
        <v>0</v>
      </c>
      <c r="AF260" s="878"/>
      <c r="AG260" s="335"/>
      <c r="AH260" s="979">
        <f t="shared" si="73"/>
        <v>0</v>
      </c>
      <c r="AI260" s="979"/>
      <c r="AJ260" s="979">
        <f t="shared" si="74"/>
        <v>0</v>
      </c>
      <c r="AK260" s="878"/>
      <c r="AL260" s="618"/>
      <c r="AM260" s="618"/>
    </row>
    <row r="261" spans="1:81" ht="21.6" customHeight="1" x14ac:dyDescent="0.25">
      <c r="A261" s="664"/>
      <c r="B261" s="664"/>
      <c r="C261" s="664"/>
      <c r="D261" s="1086" t="s">
        <v>131</v>
      </c>
      <c r="E261" s="845" t="s">
        <v>431</v>
      </c>
      <c r="F261" s="846" t="s">
        <v>486</v>
      </c>
      <c r="G261" s="836" t="s">
        <v>276</v>
      </c>
      <c r="H261" s="844"/>
      <c r="I261" s="625"/>
      <c r="J261" s="844"/>
      <c r="K261" s="626"/>
      <c r="L261" s="893"/>
      <c r="M261" s="893"/>
      <c r="N261" s="893">
        <f t="shared" si="69"/>
        <v>0</v>
      </c>
      <c r="O261" s="856"/>
      <c r="P261" s="856"/>
      <c r="Q261" s="856">
        <f t="shared" si="70"/>
        <v>0</v>
      </c>
      <c r="R261" s="894"/>
      <c r="S261" s="855"/>
      <c r="T261" s="896">
        <f t="shared" si="76"/>
        <v>0</v>
      </c>
      <c r="U261" s="862"/>
      <c r="V261" s="857"/>
      <c r="W261" s="857">
        <f t="shared" si="71"/>
        <v>0</v>
      </c>
      <c r="X261" s="863"/>
      <c r="Y261" s="664">
        <f t="shared" si="75"/>
        <v>0</v>
      </c>
      <c r="Z261" s="664">
        <f t="shared" si="77"/>
        <v>0</v>
      </c>
      <c r="AA261" s="836"/>
      <c r="AB261" s="982"/>
      <c r="AC261" s="867"/>
      <c r="AD261" s="867"/>
      <c r="AE261" s="979">
        <f t="shared" si="72"/>
        <v>0</v>
      </c>
      <c r="AF261" s="878"/>
      <c r="AG261" s="335"/>
      <c r="AH261" s="979">
        <f t="shared" si="73"/>
        <v>0</v>
      </c>
      <c r="AI261" s="979"/>
      <c r="AJ261" s="979">
        <f t="shared" si="74"/>
        <v>0</v>
      </c>
      <c r="AK261" s="878"/>
      <c r="AL261" s="618"/>
      <c r="AM261" s="618"/>
    </row>
    <row r="262" spans="1:81" ht="21.6" customHeight="1" x14ac:dyDescent="0.25">
      <c r="A262" s="664"/>
      <c r="B262" s="664"/>
      <c r="C262" s="664"/>
      <c r="D262" s="1086" t="s">
        <v>131</v>
      </c>
      <c r="E262" s="845" t="s">
        <v>431</v>
      </c>
      <c r="F262" s="846" t="s">
        <v>488</v>
      </c>
      <c r="G262" s="836" t="s">
        <v>276</v>
      </c>
      <c r="H262" s="844"/>
      <c r="I262" s="625"/>
      <c r="J262" s="844"/>
      <c r="K262" s="626"/>
      <c r="L262" s="893"/>
      <c r="M262" s="893"/>
      <c r="N262" s="893">
        <f t="shared" si="69"/>
        <v>0</v>
      </c>
      <c r="O262" s="856"/>
      <c r="P262" s="856"/>
      <c r="Q262" s="856">
        <f t="shared" si="70"/>
        <v>0</v>
      </c>
      <c r="R262" s="894"/>
      <c r="S262" s="855"/>
      <c r="T262" s="896">
        <f t="shared" si="76"/>
        <v>0</v>
      </c>
      <c r="U262" s="862"/>
      <c r="V262" s="857"/>
      <c r="W262" s="857">
        <f t="shared" si="71"/>
        <v>0</v>
      </c>
      <c r="X262" s="863"/>
      <c r="Y262" s="664">
        <f t="shared" si="75"/>
        <v>0</v>
      </c>
      <c r="Z262" s="664">
        <f t="shared" si="77"/>
        <v>0</v>
      </c>
      <c r="AA262" s="836"/>
      <c r="AB262" s="982"/>
      <c r="AC262" s="867"/>
      <c r="AD262" s="867"/>
      <c r="AE262" s="979">
        <f t="shared" si="72"/>
        <v>0</v>
      </c>
      <c r="AF262" s="878"/>
      <c r="AG262" s="335"/>
      <c r="AH262" s="979">
        <f t="shared" si="73"/>
        <v>0</v>
      </c>
      <c r="AI262" s="979"/>
      <c r="AJ262" s="979">
        <f t="shared" si="74"/>
        <v>0</v>
      </c>
      <c r="AK262" s="878"/>
      <c r="AL262" s="618"/>
      <c r="AM262" s="618"/>
    </row>
    <row r="263" spans="1:81" ht="21.6" customHeight="1" x14ac:dyDescent="0.25">
      <c r="A263" s="664"/>
      <c r="B263" s="664"/>
      <c r="C263" s="664"/>
      <c r="D263" s="1086" t="s">
        <v>131</v>
      </c>
      <c r="E263" s="845" t="s">
        <v>489</v>
      </c>
      <c r="F263" s="846" t="s">
        <v>293</v>
      </c>
      <c r="G263" s="836" t="s">
        <v>276</v>
      </c>
      <c r="H263" s="844"/>
      <c r="I263" s="625"/>
      <c r="J263" s="844"/>
      <c r="K263" s="626"/>
      <c r="L263" s="893"/>
      <c r="M263" s="893"/>
      <c r="N263" s="893">
        <f t="shared" si="69"/>
        <v>0</v>
      </c>
      <c r="O263" s="856"/>
      <c r="P263" s="856"/>
      <c r="Q263" s="856">
        <f t="shared" si="70"/>
        <v>0</v>
      </c>
      <c r="R263" s="894"/>
      <c r="S263" s="855"/>
      <c r="T263" s="896">
        <f t="shared" si="76"/>
        <v>0</v>
      </c>
      <c r="U263" s="862"/>
      <c r="V263" s="857"/>
      <c r="W263" s="857">
        <f t="shared" si="71"/>
        <v>0</v>
      </c>
      <c r="X263" s="863"/>
      <c r="Y263" s="664">
        <f t="shared" si="75"/>
        <v>0</v>
      </c>
      <c r="Z263" s="664">
        <f t="shared" si="77"/>
        <v>0</v>
      </c>
      <c r="AA263" s="836"/>
      <c r="AB263" s="982"/>
      <c r="AC263" s="867"/>
      <c r="AD263" s="867"/>
      <c r="AE263" s="979">
        <f t="shared" si="72"/>
        <v>0</v>
      </c>
      <c r="AF263" s="878"/>
      <c r="AG263" s="335"/>
      <c r="AH263" s="979">
        <f t="shared" si="73"/>
        <v>0</v>
      </c>
      <c r="AI263" s="979"/>
      <c r="AJ263" s="979">
        <f t="shared" si="74"/>
        <v>0</v>
      </c>
      <c r="AK263" s="878"/>
      <c r="AL263" s="618"/>
      <c r="AM263" s="618"/>
    </row>
    <row r="264" spans="1:81" ht="21.6" customHeight="1" x14ac:dyDescent="0.25">
      <c r="A264" s="664">
        <v>4</v>
      </c>
      <c r="B264" s="664" t="s">
        <v>130</v>
      </c>
      <c r="C264" s="664">
        <v>4</v>
      </c>
      <c r="D264" s="1086" t="s">
        <v>131</v>
      </c>
      <c r="E264" s="845" t="s">
        <v>489</v>
      </c>
      <c r="F264" s="846" t="s">
        <v>134</v>
      </c>
      <c r="G264" s="836" t="s">
        <v>265</v>
      </c>
      <c r="H264" s="844"/>
      <c r="I264" s="625"/>
      <c r="J264" s="844"/>
      <c r="K264" s="626"/>
      <c r="L264" s="893"/>
      <c r="M264" s="893"/>
      <c r="N264" s="893">
        <f t="shared" si="69"/>
        <v>0</v>
      </c>
      <c r="O264" s="856"/>
      <c r="P264" s="856"/>
      <c r="Q264" s="856">
        <f t="shared" si="70"/>
        <v>0</v>
      </c>
      <c r="R264" s="894"/>
      <c r="S264" s="855"/>
      <c r="T264" s="896">
        <f t="shared" si="76"/>
        <v>0</v>
      </c>
      <c r="U264" s="862"/>
      <c r="V264" s="857"/>
      <c r="W264" s="857">
        <f t="shared" si="71"/>
        <v>0</v>
      </c>
      <c r="X264" s="863"/>
      <c r="Y264" s="664">
        <f t="shared" si="75"/>
        <v>0</v>
      </c>
      <c r="Z264" s="664">
        <f t="shared" si="77"/>
        <v>0</v>
      </c>
      <c r="AA264" s="836"/>
      <c r="AB264" s="982"/>
      <c r="AC264" s="867"/>
      <c r="AD264" s="867"/>
      <c r="AE264" s="979">
        <f t="shared" si="72"/>
        <v>0</v>
      </c>
      <c r="AF264" s="878"/>
      <c r="AG264" s="335"/>
      <c r="AH264" s="979">
        <f t="shared" si="73"/>
        <v>0</v>
      </c>
      <c r="AI264" s="979"/>
      <c r="AJ264" s="979">
        <f t="shared" si="74"/>
        <v>0</v>
      </c>
      <c r="AK264" s="878"/>
      <c r="AL264" s="618"/>
      <c r="AM264" s="618"/>
    </row>
    <row r="265" spans="1:81" ht="21.6" customHeight="1" x14ac:dyDescent="0.25">
      <c r="A265" s="664"/>
      <c r="B265" s="664"/>
      <c r="C265" s="664"/>
      <c r="D265" s="1086" t="s">
        <v>131</v>
      </c>
      <c r="E265" s="845" t="s">
        <v>489</v>
      </c>
      <c r="F265" s="846" t="s">
        <v>292</v>
      </c>
      <c r="G265" s="836" t="s">
        <v>276</v>
      </c>
      <c r="H265" s="844"/>
      <c r="I265" s="625"/>
      <c r="J265" s="844"/>
      <c r="K265" s="626"/>
      <c r="L265" s="893"/>
      <c r="M265" s="893"/>
      <c r="N265" s="893">
        <f t="shared" si="69"/>
        <v>0</v>
      </c>
      <c r="O265" s="856"/>
      <c r="P265" s="856"/>
      <c r="Q265" s="856">
        <f t="shared" si="70"/>
        <v>0</v>
      </c>
      <c r="R265" s="894"/>
      <c r="S265" s="855"/>
      <c r="T265" s="896">
        <f t="shared" si="76"/>
        <v>0</v>
      </c>
      <c r="U265" s="862"/>
      <c r="V265" s="857"/>
      <c r="W265" s="857">
        <f t="shared" si="71"/>
        <v>0</v>
      </c>
      <c r="X265" s="863"/>
      <c r="Y265" s="664">
        <f t="shared" si="75"/>
        <v>0</v>
      </c>
      <c r="Z265" s="664">
        <f t="shared" si="77"/>
        <v>0</v>
      </c>
      <c r="AA265" s="836"/>
      <c r="AB265" s="982"/>
      <c r="AC265" s="867"/>
      <c r="AD265" s="867"/>
      <c r="AE265" s="979">
        <f t="shared" si="72"/>
        <v>0</v>
      </c>
      <c r="AF265" s="878"/>
      <c r="AG265" s="335"/>
      <c r="AH265" s="979">
        <f t="shared" si="73"/>
        <v>0</v>
      </c>
      <c r="AI265" s="979"/>
      <c r="AJ265" s="979">
        <f t="shared" si="74"/>
        <v>0</v>
      </c>
      <c r="AK265" s="878"/>
      <c r="AL265" s="618"/>
      <c r="AM265" s="618"/>
    </row>
    <row r="266" spans="1:81" ht="21.6" customHeight="1" x14ac:dyDescent="0.25">
      <c r="A266" s="664"/>
      <c r="B266" s="664"/>
      <c r="C266" s="664"/>
      <c r="D266" s="1086" t="s">
        <v>131</v>
      </c>
      <c r="E266" s="845" t="s">
        <v>489</v>
      </c>
      <c r="F266" s="846" t="s">
        <v>604</v>
      </c>
      <c r="G266" s="836" t="s">
        <v>276</v>
      </c>
      <c r="H266" s="844"/>
      <c r="I266" s="625"/>
      <c r="J266" s="844"/>
      <c r="K266" s="626"/>
      <c r="L266" s="893"/>
      <c r="M266" s="893"/>
      <c r="N266" s="893">
        <f t="shared" si="69"/>
        <v>0</v>
      </c>
      <c r="O266" s="856"/>
      <c r="P266" s="856"/>
      <c r="Q266" s="856">
        <f t="shared" si="70"/>
        <v>0</v>
      </c>
      <c r="R266" s="894"/>
      <c r="S266" s="855"/>
      <c r="T266" s="896">
        <f t="shared" si="76"/>
        <v>0</v>
      </c>
      <c r="U266" s="862"/>
      <c r="V266" s="857"/>
      <c r="W266" s="857">
        <f t="shared" si="71"/>
        <v>0</v>
      </c>
      <c r="X266" s="863"/>
      <c r="Y266" s="664">
        <f t="shared" si="75"/>
        <v>0</v>
      </c>
      <c r="Z266" s="664">
        <f t="shared" si="77"/>
        <v>0</v>
      </c>
      <c r="AA266" s="836"/>
      <c r="AB266" s="982"/>
      <c r="AC266" s="867"/>
      <c r="AD266" s="867"/>
      <c r="AE266" s="979">
        <f t="shared" si="72"/>
        <v>0</v>
      </c>
      <c r="AF266" s="878"/>
      <c r="AG266" s="335"/>
      <c r="AH266" s="979">
        <f t="shared" si="73"/>
        <v>0</v>
      </c>
      <c r="AI266" s="979"/>
      <c r="AJ266" s="979">
        <f t="shared" si="74"/>
        <v>0</v>
      </c>
      <c r="AK266" s="878"/>
      <c r="AL266" s="618"/>
      <c r="AM266" s="618"/>
    </row>
    <row r="267" spans="1:81" ht="21.6" customHeight="1" x14ac:dyDescent="0.25">
      <c r="A267" s="664"/>
      <c r="B267" s="664"/>
      <c r="C267" s="664"/>
      <c r="D267" s="1086"/>
      <c r="E267" s="845"/>
      <c r="F267" s="846"/>
      <c r="G267" s="836"/>
      <c r="H267" s="844"/>
      <c r="I267" s="625"/>
      <c r="J267" s="844"/>
      <c r="K267" s="626"/>
      <c r="L267" s="893"/>
      <c r="M267" s="893"/>
      <c r="N267" s="893">
        <f t="shared" si="69"/>
        <v>0</v>
      </c>
      <c r="O267" s="856"/>
      <c r="P267" s="856"/>
      <c r="Q267" s="856">
        <f t="shared" si="70"/>
        <v>0</v>
      </c>
      <c r="R267" s="894"/>
      <c r="S267" s="855"/>
      <c r="T267" s="896">
        <f t="shared" si="76"/>
        <v>0</v>
      </c>
      <c r="U267" s="862"/>
      <c r="V267" s="857"/>
      <c r="W267" s="857">
        <f t="shared" si="71"/>
        <v>0</v>
      </c>
      <c r="X267" s="863"/>
      <c r="Y267" s="664">
        <f t="shared" si="75"/>
        <v>0</v>
      </c>
      <c r="Z267" s="664">
        <f t="shared" si="77"/>
        <v>0</v>
      </c>
      <c r="AA267" s="836"/>
      <c r="AB267" s="982"/>
      <c r="AC267" s="867"/>
      <c r="AD267" s="867"/>
      <c r="AE267" s="979">
        <f t="shared" si="72"/>
        <v>0</v>
      </c>
      <c r="AF267" s="878"/>
      <c r="AG267" s="335"/>
      <c r="AH267" s="979">
        <f t="shared" si="73"/>
        <v>0</v>
      </c>
      <c r="AI267" s="979"/>
      <c r="AJ267" s="979">
        <f t="shared" si="74"/>
        <v>0</v>
      </c>
      <c r="AK267" s="878"/>
      <c r="AL267" s="618"/>
      <c r="AM267" s="618"/>
    </row>
    <row r="268" spans="1:81" s="641" customFormat="1" ht="21.6" customHeight="1" x14ac:dyDescent="0.25">
      <c r="A268" s="836"/>
      <c r="B268" s="836"/>
      <c r="C268" s="836"/>
      <c r="D268" s="1086" t="s">
        <v>370</v>
      </c>
      <c r="E268" s="845"/>
      <c r="F268" s="846"/>
      <c r="G268" s="836"/>
      <c r="H268" s="844"/>
      <c r="I268" s="625"/>
      <c r="J268" s="844" t="s">
        <v>265</v>
      </c>
      <c r="K268" s="626" t="s">
        <v>858</v>
      </c>
      <c r="L268" s="890">
        <v>22</v>
      </c>
      <c r="M268" s="890">
        <v>8</v>
      </c>
      <c r="N268" s="890">
        <f t="shared" si="69"/>
        <v>30</v>
      </c>
      <c r="O268" s="467">
        <v>8.25</v>
      </c>
      <c r="P268" s="467">
        <v>13.95</v>
      </c>
      <c r="Q268" s="467">
        <f t="shared" si="70"/>
        <v>22.2</v>
      </c>
      <c r="R268" s="625"/>
      <c r="S268" s="842">
        <v>0</v>
      </c>
      <c r="T268" s="862">
        <f t="shared" si="76"/>
        <v>0</v>
      </c>
      <c r="U268" s="862">
        <f>T268</f>
        <v>0</v>
      </c>
      <c r="V268" s="863">
        <v>225</v>
      </c>
      <c r="W268" s="857">
        <f t="shared" si="71"/>
        <v>15</v>
      </c>
      <c r="X268" s="863">
        <f>W268</f>
        <v>15</v>
      </c>
      <c r="Y268" s="836">
        <f t="shared" si="75"/>
        <v>225</v>
      </c>
      <c r="Z268" s="664">
        <f t="shared" si="77"/>
        <v>15</v>
      </c>
      <c r="AA268" s="836">
        <f>Z268</f>
        <v>15</v>
      </c>
      <c r="AB268" s="982">
        <v>15</v>
      </c>
      <c r="AC268" s="867">
        <v>22</v>
      </c>
      <c r="AD268" s="867">
        <v>8</v>
      </c>
      <c r="AE268" s="979">
        <f t="shared" si="72"/>
        <v>30</v>
      </c>
      <c r="AF268" s="878">
        <f>AE268</f>
        <v>30</v>
      </c>
      <c r="AG268" s="335">
        <v>225</v>
      </c>
      <c r="AH268" s="979">
        <f t="shared" si="73"/>
        <v>15</v>
      </c>
      <c r="AI268" s="979">
        <f>AH268</f>
        <v>15</v>
      </c>
      <c r="AJ268" s="979">
        <f t="shared" si="74"/>
        <v>0</v>
      </c>
      <c r="AK268" s="878">
        <f>AJ268</f>
        <v>0</v>
      </c>
      <c r="AL268" s="648"/>
      <c r="AM268" s="648"/>
      <c r="AN268" s="647"/>
      <c r="AO268" s="647"/>
      <c r="AP268" s="647"/>
      <c r="AQ268" s="647"/>
      <c r="AR268" s="647"/>
      <c r="AS268" s="647"/>
      <c r="AT268" s="647"/>
      <c r="AU268" s="647"/>
      <c r="AV268" s="647"/>
      <c r="AW268" s="647"/>
      <c r="AX268" s="647"/>
      <c r="AY268" s="647"/>
      <c r="AZ268" s="647"/>
      <c r="BA268" s="647"/>
      <c r="BB268" s="647"/>
      <c r="BC268" s="647"/>
      <c r="BD268" s="647"/>
      <c r="BE268" s="647"/>
      <c r="BF268" s="647"/>
      <c r="BG268" s="647"/>
      <c r="BH268" s="647"/>
      <c r="BI268" s="647"/>
      <c r="BJ268" s="647"/>
      <c r="BK268" s="647"/>
      <c r="BL268" s="647"/>
      <c r="BM268" s="647"/>
      <c r="BN268" s="647"/>
      <c r="BO268" s="647"/>
      <c r="BP268" s="647"/>
      <c r="BQ268" s="647"/>
      <c r="BR268" s="647"/>
      <c r="BS268" s="647"/>
      <c r="BT268" s="647"/>
      <c r="BU268" s="647"/>
      <c r="BV268" s="647"/>
      <c r="BW268" s="647"/>
      <c r="BX268" s="647"/>
      <c r="BY268" s="647"/>
      <c r="BZ268" s="647"/>
      <c r="CA268" s="647"/>
      <c r="CB268" s="647"/>
      <c r="CC268" s="647"/>
    </row>
    <row r="269" spans="1:81" ht="21.6" customHeight="1" x14ac:dyDescent="0.25">
      <c r="A269" s="664"/>
      <c r="B269" s="664"/>
      <c r="C269" s="664"/>
      <c r="D269" s="1086"/>
      <c r="E269" s="845"/>
      <c r="F269" s="846"/>
      <c r="G269" s="836"/>
      <c r="H269" s="844"/>
      <c r="I269" s="625"/>
      <c r="J269" s="844"/>
      <c r="K269" s="626"/>
      <c r="L269" s="893"/>
      <c r="M269" s="893"/>
      <c r="N269" s="893">
        <f t="shared" si="69"/>
        <v>0</v>
      </c>
      <c r="O269" s="856"/>
      <c r="P269" s="856"/>
      <c r="Q269" s="856">
        <f t="shared" si="70"/>
        <v>0</v>
      </c>
      <c r="R269" s="894"/>
      <c r="S269" s="855"/>
      <c r="T269" s="896">
        <f t="shared" si="76"/>
        <v>0</v>
      </c>
      <c r="U269" s="862"/>
      <c r="V269" s="857"/>
      <c r="W269" s="857">
        <f t="shared" si="71"/>
        <v>0</v>
      </c>
      <c r="X269" s="863"/>
      <c r="Y269" s="664">
        <f t="shared" si="75"/>
        <v>0</v>
      </c>
      <c r="Z269" s="664">
        <f t="shared" si="77"/>
        <v>0</v>
      </c>
      <c r="AA269" s="836"/>
      <c r="AB269" s="982"/>
      <c r="AC269" s="867"/>
      <c r="AD269" s="867"/>
      <c r="AE269" s="979">
        <f t="shared" si="72"/>
        <v>0</v>
      </c>
      <c r="AF269" s="878"/>
      <c r="AG269" s="335"/>
      <c r="AH269" s="979">
        <f t="shared" si="73"/>
        <v>0</v>
      </c>
      <c r="AI269" s="979"/>
      <c r="AJ269" s="979">
        <f t="shared" si="74"/>
        <v>0</v>
      </c>
      <c r="AK269" s="878"/>
      <c r="AL269" s="618"/>
      <c r="AM269" s="618"/>
    </row>
    <row r="270" spans="1:81" s="641" customFormat="1" ht="21.6" customHeight="1" x14ac:dyDescent="0.25">
      <c r="A270" s="836">
        <v>6</v>
      </c>
      <c r="B270" s="836" t="s">
        <v>130</v>
      </c>
      <c r="C270" s="836">
        <v>2</v>
      </c>
      <c r="D270" s="1086" t="s">
        <v>135</v>
      </c>
      <c r="E270" s="845"/>
      <c r="F270" s="846" t="s">
        <v>608</v>
      </c>
      <c r="G270" s="836" t="s">
        <v>265</v>
      </c>
      <c r="H270" s="844"/>
      <c r="I270" s="625"/>
      <c r="J270" s="844"/>
      <c r="K270" s="626"/>
      <c r="L270" s="890"/>
      <c r="M270" s="890"/>
      <c r="N270" s="890">
        <f t="shared" si="69"/>
        <v>0</v>
      </c>
      <c r="O270" s="467"/>
      <c r="P270" s="467"/>
      <c r="Q270" s="467">
        <f t="shared" si="70"/>
        <v>0</v>
      </c>
      <c r="R270" s="625"/>
      <c r="S270" s="842">
        <f>270-222-48</f>
        <v>0</v>
      </c>
      <c r="T270" s="862">
        <f t="shared" si="76"/>
        <v>0</v>
      </c>
      <c r="U270" s="862">
        <f>SUM(T270:T278)</f>
        <v>0</v>
      </c>
      <c r="V270" s="863"/>
      <c r="W270" s="857">
        <f t="shared" si="71"/>
        <v>0</v>
      </c>
      <c r="X270" s="863">
        <f>SUM(W270:W278)</f>
        <v>18</v>
      </c>
      <c r="Y270" s="836">
        <f t="shared" si="75"/>
        <v>0</v>
      </c>
      <c r="Z270" s="664">
        <f t="shared" si="77"/>
        <v>0</v>
      </c>
      <c r="AA270" s="836">
        <f>SUM(Z270:Z278)</f>
        <v>18</v>
      </c>
      <c r="AB270" s="982">
        <v>18</v>
      </c>
      <c r="AC270" s="867"/>
      <c r="AD270" s="867"/>
      <c r="AE270" s="979">
        <f t="shared" si="72"/>
        <v>0</v>
      </c>
      <c r="AF270" s="878">
        <f>SUM(AE270:AE278)</f>
        <v>57</v>
      </c>
      <c r="AG270" s="335"/>
      <c r="AH270" s="979">
        <f t="shared" si="73"/>
        <v>0</v>
      </c>
      <c r="AI270" s="979">
        <f>SUM(AH270:AH278)</f>
        <v>18</v>
      </c>
      <c r="AJ270" s="979">
        <f t="shared" si="74"/>
        <v>0</v>
      </c>
      <c r="AK270" s="878">
        <f>SUM(AJ270:AJ278)</f>
        <v>0</v>
      </c>
      <c r="AL270" s="648"/>
      <c r="AM270" s="648"/>
      <c r="AN270" s="647"/>
      <c r="AO270" s="647"/>
      <c r="AP270" s="647"/>
      <c r="AQ270" s="647"/>
      <c r="AR270" s="647"/>
      <c r="AS270" s="647"/>
      <c r="AT270" s="647"/>
      <c r="AU270" s="647"/>
      <c r="AV270" s="647"/>
      <c r="AW270" s="647"/>
      <c r="AX270" s="647"/>
      <c r="AY270" s="647"/>
      <c r="AZ270" s="647"/>
      <c r="BA270" s="647"/>
      <c r="BB270" s="647"/>
      <c r="BC270" s="647"/>
      <c r="BD270" s="647"/>
      <c r="BE270" s="647"/>
      <c r="BF270" s="647"/>
      <c r="BG270" s="647"/>
      <c r="BH270" s="647"/>
      <c r="BI270" s="647"/>
      <c r="BJ270" s="647"/>
      <c r="BK270" s="647"/>
      <c r="BL270" s="647"/>
      <c r="BM270" s="647"/>
      <c r="BN270" s="647"/>
      <c r="BO270" s="647"/>
      <c r="BP270" s="647"/>
      <c r="BQ270" s="647"/>
      <c r="BR270" s="647"/>
      <c r="BS270" s="647"/>
      <c r="BT270" s="647"/>
      <c r="BU270" s="647"/>
      <c r="BV270" s="647"/>
      <c r="BW270" s="647"/>
      <c r="BX270" s="647"/>
      <c r="BY270" s="647"/>
      <c r="BZ270" s="647"/>
      <c r="CA270" s="647"/>
      <c r="CB270" s="647"/>
      <c r="CC270" s="647"/>
    </row>
    <row r="271" spans="1:81" ht="21.6" customHeight="1" x14ac:dyDescent="0.25">
      <c r="A271" s="664">
        <v>7</v>
      </c>
      <c r="B271" s="664" t="s">
        <v>130</v>
      </c>
      <c r="C271" s="664">
        <v>3</v>
      </c>
      <c r="D271" s="1086" t="s">
        <v>135</v>
      </c>
      <c r="E271" s="845"/>
      <c r="F271" s="846" t="s">
        <v>136</v>
      </c>
      <c r="G271" s="836" t="s">
        <v>265</v>
      </c>
      <c r="H271" s="844"/>
      <c r="I271" s="625"/>
      <c r="J271" s="844"/>
      <c r="K271" s="626"/>
      <c r="L271" s="893"/>
      <c r="M271" s="893"/>
      <c r="N271" s="893">
        <f t="shared" si="69"/>
        <v>0</v>
      </c>
      <c r="O271" s="856"/>
      <c r="P271" s="856"/>
      <c r="Q271" s="856">
        <f t="shared" si="70"/>
        <v>0</v>
      </c>
      <c r="R271" s="894"/>
      <c r="S271" s="855"/>
      <c r="T271" s="896">
        <f t="shared" si="76"/>
        <v>0</v>
      </c>
      <c r="U271" s="862"/>
      <c r="V271" s="857"/>
      <c r="W271" s="857">
        <f t="shared" si="71"/>
        <v>0</v>
      </c>
      <c r="X271" s="863"/>
      <c r="Y271" s="664">
        <f t="shared" si="75"/>
        <v>0</v>
      </c>
      <c r="Z271" s="664">
        <f t="shared" si="77"/>
        <v>0</v>
      </c>
      <c r="AA271" s="836"/>
      <c r="AB271" s="982"/>
      <c r="AC271" s="867"/>
      <c r="AD271" s="867"/>
      <c r="AE271" s="979">
        <f t="shared" si="72"/>
        <v>0</v>
      </c>
      <c r="AF271" s="878"/>
      <c r="AG271" s="335"/>
      <c r="AH271" s="979">
        <f t="shared" si="73"/>
        <v>0</v>
      </c>
      <c r="AI271" s="979"/>
      <c r="AJ271" s="979">
        <f t="shared" si="74"/>
        <v>0</v>
      </c>
      <c r="AK271" s="878"/>
      <c r="AL271" s="618"/>
      <c r="AM271" s="618"/>
    </row>
    <row r="272" spans="1:81" ht="21.6" customHeight="1" x14ac:dyDescent="0.25">
      <c r="A272" s="664">
        <v>9</v>
      </c>
      <c r="B272" s="664" t="s">
        <v>130</v>
      </c>
      <c r="C272" s="664">
        <v>5</v>
      </c>
      <c r="D272" s="1086" t="s">
        <v>135</v>
      </c>
      <c r="E272" s="845"/>
      <c r="F272" s="846" t="s">
        <v>137</v>
      </c>
      <c r="G272" s="836" t="s">
        <v>265</v>
      </c>
      <c r="H272" s="844"/>
      <c r="I272" s="625"/>
      <c r="J272" s="844"/>
      <c r="K272" s="626"/>
      <c r="L272" s="893">
        <f>6+5+2+13</f>
        <v>26</v>
      </c>
      <c r="M272" s="893">
        <f>1+2+11+5</f>
        <v>19</v>
      </c>
      <c r="N272" s="893">
        <f t="shared" si="69"/>
        <v>45</v>
      </c>
      <c r="O272" s="856"/>
      <c r="P272" s="856">
        <f>4.18+3.3+3.05+7.2</f>
        <v>17.73</v>
      </c>
      <c r="Q272" s="856">
        <f t="shared" si="70"/>
        <v>17.73</v>
      </c>
      <c r="R272" s="894"/>
      <c r="S272" s="855"/>
      <c r="T272" s="896">
        <f t="shared" si="76"/>
        <v>0</v>
      </c>
      <c r="U272" s="862"/>
      <c r="V272" s="857">
        <f>48+33+39+102</f>
        <v>222</v>
      </c>
      <c r="W272" s="857">
        <f t="shared" si="71"/>
        <v>14.8</v>
      </c>
      <c r="X272" s="863"/>
      <c r="Y272" s="664">
        <f t="shared" si="75"/>
        <v>222</v>
      </c>
      <c r="Z272" s="664">
        <f t="shared" si="77"/>
        <v>14.8</v>
      </c>
      <c r="AA272" s="836"/>
      <c r="AB272" s="982"/>
      <c r="AC272" s="867">
        <f>6+5+2+13</f>
        <v>26</v>
      </c>
      <c r="AD272" s="867">
        <f>1+2+11+5</f>
        <v>19</v>
      </c>
      <c r="AE272" s="979">
        <f t="shared" si="72"/>
        <v>45</v>
      </c>
      <c r="AF272" s="878"/>
      <c r="AG272" s="335">
        <f>48+33+39+102</f>
        <v>222</v>
      </c>
      <c r="AH272" s="979">
        <f t="shared" si="73"/>
        <v>14.8</v>
      </c>
      <c r="AI272" s="979"/>
      <c r="AJ272" s="979">
        <f t="shared" si="74"/>
        <v>0</v>
      </c>
      <c r="AK272" s="878"/>
      <c r="AL272" s="618"/>
      <c r="AM272" s="618"/>
    </row>
    <row r="273" spans="1:81" ht="21.6" customHeight="1" x14ac:dyDescent="0.25">
      <c r="A273" s="664">
        <v>11</v>
      </c>
      <c r="B273" s="664" t="s">
        <v>130</v>
      </c>
      <c r="C273" s="664">
        <v>7</v>
      </c>
      <c r="D273" s="1086" t="s">
        <v>135</v>
      </c>
      <c r="E273" s="845"/>
      <c r="F273" s="846" t="s">
        <v>138</v>
      </c>
      <c r="G273" s="836" t="s">
        <v>265</v>
      </c>
      <c r="H273" s="844"/>
      <c r="I273" s="625"/>
      <c r="J273" s="844"/>
      <c r="K273" s="626"/>
      <c r="L273" s="893"/>
      <c r="M273" s="893"/>
      <c r="N273" s="893">
        <f t="shared" si="69"/>
        <v>0</v>
      </c>
      <c r="O273" s="856"/>
      <c r="P273" s="856"/>
      <c r="Q273" s="856">
        <f t="shared" si="70"/>
        <v>0</v>
      </c>
      <c r="R273" s="894"/>
      <c r="S273" s="855"/>
      <c r="T273" s="896">
        <f t="shared" si="76"/>
        <v>0</v>
      </c>
      <c r="U273" s="862"/>
      <c r="V273" s="857"/>
      <c r="W273" s="857">
        <f t="shared" si="71"/>
        <v>0</v>
      </c>
      <c r="X273" s="863"/>
      <c r="Y273" s="664">
        <f t="shared" si="75"/>
        <v>0</v>
      </c>
      <c r="Z273" s="664">
        <f t="shared" si="77"/>
        <v>0</v>
      </c>
      <c r="AA273" s="836"/>
      <c r="AB273" s="982"/>
      <c r="AC273" s="867"/>
      <c r="AD273" s="867"/>
      <c r="AE273" s="979">
        <f t="shared" si="72"/>
        <v>0</v>
      </c>
      <c r="AF273" s="878"/>
      <c r="AG273" s="335"/>
      <c r="AH273" s="979">
        <f t="shared" si="73"/>
        <v>0</v>
      </c>
      <c r="AI273" s="979"/>
      <c r="AJ273" s="979">
        <f t="shared" si="74"/>
        <v>0</v>
      </c>
      <c r="AK273" s="878"/>
      <c r="AL273" s="618"/>
      <c r="AM273" s="618"/>
    </row>
    <row r="274" spans="1:81" ht="21.6" customHeight="1" x14ac:dyDescent="0.25">
      <c r="A274" s="664">
        <v>12</v>
      </c>
      <c r="B274" s="664" t="s">
        <v>130</v>
      </c>
      <c r="C274" s="664">
        <v>8</v>
      </c>
      <c r="D274" s="1086" t="s">
        <v>135</v>
      </c>
      <c r="E274" s="845"/>
      <c r="F274" s="846" t="s">
        <v>139</v>
      </c>
      <c r="G274" s="836" t="s">
        <v>265</v>
      </c>
      <c r="H274" s="844"/>
      <c r="I274" s="625"/>
      <c r="J274" s="844"/>
      <c r="K274" s="626"/>
      <c r="L274" s="893"/>
      <c r="M274" s="893"/>
      <c r="N274" s="893">
        <f t="shared" si="69"/>
        <v>0</v>
      </c>
      <c r="O274" s="856"/>
      <c r="P274" s="856"/>
      <c r="Q274" s="856">
        <f t="shared" si="70"/>
        <v>0</v>
      </c>
      <c r="R274" s="894"/>
      <c r="S274" s="855"/>
      <c r="T274" s="896">
        <f t="shared" si="76"/>
        <v>0</v>
      </c>
      <c r="U274" s="862"/>
      <c r="V274" s="857"/>
      <c r="W274" s="857">
        <f t="shared" si="71"/>
        <v>0</v>
      </c>
      <c r="X274" s="863"/>
      <c r="Y274" s="664">
        <f t="shared" si="75"/>
        <v>0</v>
      </c>
      <c r="Z274" s="664">
        <f t="shared" si="77"/>
        <v>0</v>
      </c>
      <c r="AA274" s="836"/>
      <c r="AB274" s="982"/>
      <c r="AC274" s="867"/>
      <c r="AD274" s="867"/>
      <c r="AE274" s="979">
        <f t="shared" si="72"/>
        <v>0</v>
      </c>
      <c r="AF274" s="878"/>
      <c r="AG274" s="335"/>
      <c r="AH274" s="979">
        <f t="shared" si="73"/>
        <v>0</v>
      </c>
      <c r="AI274" s="979"/>
      <c r="AJ274" s="979">
        <f t="shared" si="74"/>
        <v>0</v>
      </c>
      <c r="AK274" s="878"/>
      <c r="AL274" s="618"/>
      <c r="AM274" s="618"/>
    </row>
    <row r="275" spans="1:81" ht="21.6" customHeight="1" x14ac:dyDescent="0.25">
      <c r="A275" s="664">
        <v>13</v>
      </c>
      <c r="B275" s="664" t="s">
        <v>130</v>
      </c>
      <c r="C275" s="664">
        <v>9</v>
      </c>
      <c r="D275" s="1086" t="s">
        <v>135</v>
      </c>
      <c r="E275" s="845"/>
      <c r="F275" s="846" t="s">
        <v>140</v>
      </c>
      <c r="G275" s="836" t="s">
        <v>265</v>
      </c>
      <c r="H275" s="844"/>
      <c r="I275" s="625"/>
      <c r="J275" s="844"/>
      <c r="K275" s="626"/>
      <c r="L275" s="893"/>
      <c r="M275" s="893"/>
      <c r="N275" s="893">
        <f t="shared" si="69"/>
        <v>0</v>
      </c>
      <c r="O275" s="856"/>
      <c r="P275" s="856"/>
      <c r="Q275" s="856">
        <f t="shared" si="70"/>
        <v>0</v>
      </c>
      <c r="R275" s="894"/>
      <c r="S275" s="855"/>
      <c r="T275" s="896">
        <f t="shared" si="76"/>
        <v>0</v>
      </c>
      <c r="U275" s="862"/>
      <c r="V275" s="857"/>
      <c r="W275" s="857">
        <f t="shared" si="71"/>
        <v>0</v>
      </c>
      <c r="X275" s="863"/>
      <c r="Y275" s="664">
        <f t="shared" si="75"/>
        <v>0</v>
      </c>
      <c r="Z275" s="664">
        <f t="shared" si="77"/>
        <v>0</v>
      </c>
      <c r="AA275" s="836"/>
      <c r="AB275" s="982"/>
      <c r="AC275" s="867"/>
      <c r="AD275" s="867"/>
      <c r="AE275" s="979">
        <f t="shared" si="72"/>
        <v>0</v>
      </c>
      <c r="AF275" s="878"/>
      <c r="AG275" s="335"/>
      <c r="AH275" s="979">
        <f t="shared" si="73"/>
        <v>0</v>
      </c>
      <c r="AI275" s="979"/>
      <c r="AJ275" s="979">
        <f t="shared" si="74"/>
        <v>0</v>
      </c>
      <c r="AK275" s="878"/>
      <c r="AL275" s="618"/>
      <c r="AM275" s="618"/>
    </row>
    <row r="276" spans="1:81" ht="28.5" customHeight="1" x14ac:dyDescent="0.25">
      <c r="A276" s="664">
        <v>14</v>
      </c>
      <c r="B276" s="664" t="s">
        <v>130</v>
      </c>
      <c r="C276" s="664">
        <v>10</v>
      </c>
      <c r="D276" s="1086" t="s">
        <v>135</v>
      </c>
      <c r="E276" s="845"/>
      <c r="F276" s="846" t="s">
        <v>141</v>
      </c>
      <c r="G276" s="836" t="s">
        <v>265</v>
      </c>
      <c r="H276" s="844"/>
      <c r="I276" s="625"/>
      <c r="J276" s="844"/>
      <c r="K276" s="626"/>
      <c r="L276" s="893">
        <f>10</f>
        <v>10</v>
      </c>
      <c r="M276" s="893">
        <f>2</f>
        <v>2</v>
      </c>
      <c r="N276" s="893">
        <f t="shared" si="69"/>
        <v>12</v>
      </c>
      <c r="O276" s="856">
        <f>1</f>
        <v>1</v>
      </c>
      <c r="P276" s="856">
        <f>2.2</f>
        <v>2.2000000000000002</v>
      </c>
      <c r="Q276" s="856">
        <f t="shared" si="70"/>
        <v>3.2</v>
      </c>
      <c r="R276" s="894"/>
      <c r="S276" s="855"/>
      <c r="T276" s="896">
        <f t="shared" si="76"/>
        <v>0</v>
      </c>
      <c r="U276" s="862"/>
      <c r="V276" s="857">
        <f>48</f>
        <v>48</v>
      </c>
      <c r="W276" s="857">
        <f t="shared" si="71"/>
        <v>3.2</v>
      </c>
      <c r="X276" s="863"/>
      <c r="Y276" s="664">
        <f t="shared" si="75"/>
        <v>48</v>
      </c>
      <c r="Z276" s="664">
        <f t="shared" si="77"/>
        <v>3.2</v>
      </c>
      <c r="AA276" s="836"/>
      <c r="AB276" s="982"/>
      <c r="AC276" s="867">
        <v>10</v>
      </c>
      <c r="AD276" s="867">
        <v>2</v>
      </c>
      <c r="AE276" s="979">
        <f t="shared" si="72"/>
        <v>12</v>
      </c>
      <c r="AF276" s="878"/>
      <c r="AG276" s="335">
        <v>48</v>
      </c>
      <c r="AH276" s="979">
        <f t="shared" si="73"/>
        <v>3.2</v>
      </c>
      <c r="AI276" s="979"/>
      <c r="AJ276" s="979">
        <f t="shared" si="74"/>
        <v>0</v>
      </c>
      <c r="AK276" s="878"/>
      <c r="AL276" s="618"/>
      <c r="AM276" s="618"/>
    </row>
    <row r="277" spans="1:81" ht="21.6" customHeight="1" x14ac:dyDescent="0.25">
      <c r="A277" s="664"/>
      <c r="B277" s="664" t="s">
        <v>130</v>
      </c>
      <c r="C277" s="664"/>
      <c r="D277" s="1086" t="s">
        <v>135</v>
      </c>
      <c r="E277" s="845"/>
      <c r="F277" s="846" t="s">
        <v>495</v>
      </c>
      <c r="G277" s="836" t="s">
        <v>276</v>
      </c>
      <c r="H277" s="844"/>
      <c r="I277" s="625"/>
      <c r="J277" s="844"/>
      <c r="K277" s="626"/>
      <c r="L277" s="893"/>
      <c r="M277" s="893"/>
      <c r="N277" s="893">
        <f t="shared" si="69"/>
        <v>0</v>
      </c>
      <c r="O277" s="856"/>
      <c r="P277" s="856"/>
      <c r="Q277" s="856">
        <f t="shared" si="70"/>
        <v>0</v>
      </c>
      <c r="R277" s="894"/>
      <c r="S277" s="855"/>
      <c r="T277" s="896">
        <f t="shared" si="76"/>
        <v>0</v>
      </c>
      <c r="U277" s="862"/>
      <c r="V277" s="857"/>
      <c r="W277" s="857">
        <f t="shared" si="71"/>
        <v>0</v>
      </c>
      <c r="X277" s="863"/>
      <c r="Y277" s="664">
        <f t="shared" si="75"/>
        <v>0</v>
      </c>
      <c r="Z277" s="664">
        <f t="shared" si="77"/>
        <v>0</v>
      </c>
      <c r="AA277" s="836"/>
      <c r="AB277" s="982"/>
      <c r="AC277" s="867"/>
      <c r="AD277" s="867"/>
      <c r="AE277" s="979">
        <f t="shared" si="72"/>
        <v>0</v>
      </c>
      <c r="AF277" s="878"/>
      <c r="AG277" s="335"/>
      <c r="AH277" s="979">
        <f t="shared" si="73"/>
        <v>0</v>
      </c>
      <c r="AI277" s="979"/>
      <c r="AJ277" s="979">
        <f t="shared" si="74"/>
        <v>0</v>
      </c>
      <c r="AK277" s="878"/>
      <c r="AL277" s="618"/>
      <c r="AM277" s="618"/>
    </row>
    <row r="278" spans="1:81" ht="21.6" customHeight="1" x14ac:dyDescent="0.25">
      <c r="A278" s="664"/>
      <c r="B278" s="664" t="s">
        <v>130</v>
      </c>
      <c r="C278" s="664"/>
      <c r="D278" s="1086" t="s">
        <v>135</v>
      </c>
      <c r="E278" s="845"/>
      <c r="F278" s="846" t="s">
        <v>497</v>
      </c>
      <c r="G278" s="836" t="s">
        <v>276</v>
      </c>
      <c r="H278" s="844"/>
      <c r="I278" s="625"/>
      <c r="J278" s="844"/>
      <c r="K278" s="626"/>
      <c r="L278" s="893"/>
      <c r="M278" s="893"/>
      <c r="N278" s="893">
        <f t="shared" si="69"/>
        <v>0</v>
      </c>
      <c r="O278" s="856"/>
      <c r="P278" s="856"/>
      <c r="Q278" s="856">
        <f t="shared" si="70"/>
        <v>0</v>
      </c>
      <c r="R278" s="894"/>
      <c r="S278" s="855"/>
      <c r="T278" s="896">
        <f t="shared" si="76"/>
        <v>0</v>
      </c>
      <c r="U278" s="862"/>
      <c r="V278" s="857"/>
      <c r="W278" s="857">
        <f t="shared" si="71"/>
        <v>0</v>
      </c>
      <c r="X278" s="863"/>
      <c r="Y278" s="664">
        <f t="shared" si="75"/>
        <v>0</v>
      </c>
      <c r="Z278" s="664">
        <f t="shared" si="77"/>
        <v>0</v>
      </c>
      <c r="AA278" s="836"/>
      <c r="AB278" s="982"/>
      <c r="AC278" s="867"/>
      <c r="AD278" s="867"/>
      <c r="AE278" s="979">
        <f t="shared" si="72"/>
        <v>0</v>
      </c>
      <c r="AF278" s="878"/>
      <c r="AG278" s="335"/>
      <c r="AH278" s="979">
        <f t="shared" si="73"/>
        <v>0</v>
      </c>
      <c r="AI278" s="979"/>
      <c r="AJ278" s="979">
        <f t="shared" si="74"/>
        <v>0</v>
      </c>
      <c r="AK278" s="878"/>
      <c r="AL278" s="618"/>
      <c r="AM278" s="618"/>
    </row>
    <row r="279" spans="1:81" ht="21.6" customHeight="1" x14ac:dyDescent="0.25">
      <c r="A279" s="664"/>
      <c r="B279" s="664"/>
      <c r="C279" s="664"/>
      <c r="D279" s="1086"/>
      <c r="E279" s="845"/>
      <c r="F279" s="846"/>
      <c r="G279" s="836"/>
      <c r="H279" s="844"/>
      <c r="I279" s="625"/>
      <c r="J279" s="844"/>
      <c r="K279" s="626"/>
      <c r="L279" s="893"/>
      <c r="M279" s="893"/>
      <c r="N279" s="893">
        <f t="shared" si="69"/>
        <v>0</v>
      </c>
      <c r="O279" s="856"/>
      <c r="P279" s="856"/>
      <c r="Q279" s="856">
        <f t="shared" si="70"/>
        <v>0</v>
      </c>
      <c r="R279" s="894"/>
      <c r="S279" s="855"/>
      <c r="T279" s="896">
        <f t="shared" si="76"/>
        <v>0</v>
      </c>
      <c r="U279" s="862"/>
      <c r="V279" s="857"/>
      <c r="W279" s="857">
        <f t="shared" si="71"/>
        <v>0</v>
      </c>
      <c r="X279" s="863"/>
      <c r="Y279" s="664">
        <f t="shared" si="75"/>
        <v>0</v>
      </c>
      <c r="Z279" s="664">
        <f t="shared" si="77"/>
        <v>0</v>
      </c>
      <c r="AA279" s="836"/>
      <c r="AB279" s="982"/>
      <c r="AC279" s="867"/>
      <c r="AD279" s="867"/>
      <c r="AE279" s="979">
        <f t="shared" si="72"/>
        <v>0</v>
      </c>
      <c r="AF279" s="878"/>
      <c r="AG279" s="335"/>
      <c r="AH279" s="979">
        <f t="shared" si="73"/>
        <v>0</v>
      </c>
      <c r="AI279" s="979"/>
      <c r="AJ279" s="979">
        <f t="shared" si="74"/>
        <v>0</v>
      </c>
      <c r="AK279" s="878"/>
      <c r="AL279" s="618"/>
      <c r="AM279" s="618"/>
    </row>
    <row r="280" spans="1:81" s="641" customFormat="1" ht="21.6" customHeight="1" x14ac:dyDescent="0.25">
      <c r="A280" s="836">
        <v>16</v>
      </c>
      <c r="B280" s="836" t="s">
        <v>130</v>
      </c>
      <c r="C280" s="836">
        <v>1</v>
      </c>
      <c r="D280" s="1086" t="s">
        <v>142</v>
      </c>
      <c r="E280" s="845"/>
      <c r="F280" s="846" t="s">
        <v>143</v>
      </c>
      <c r="G280" s="836" t="s">
        <v>265</v>
      </c>
      <c r="H280" s="844"/>
      <c r="I280" s="625"/>
      <c r="J280" s="844"/>
      <c r="K280" s="626"/>
      <c r="L280" s="890"/>
      <c r="M280" s="890"/>
      <c r="N280" s="890">
        <f t="shared" si="69"/>
        <v>0</v>
      </c>
      <c r="O280" s="467"/>
      <c r="P280" s="467"/>
      <c r="Q280" s="467">
        <f t="shared" si="70"/>
        <v>0</v>
      </c>
      <c r="R280" s="625"/>
      <c r="S280" s="842">
        <f>124.2-15-63</f>
        <v>46.2</v>
      </c>
      <c r="T280" s="862">
        <f t="shared" si="76"/>
        <v>3.08</v>
      </c>
      <c r="U280" s="862">
        <f>SUM(T280:T304)</f>
        <v>3.08</v>
      </c>
      <c r="V280" s="863"/>
      <c r="W280" s="857">
        <f t="shared" si="71"/>
        <v>0</v>
      </c>
      <c r="X280" s="863">
        <f>SUM(W280:W304)</f>
        <v>46.92</v>
      </c>
      <c r="Y280" s="836">
        <f t="shared" si="75"/>
        <v>46.2</v>
      </c>
      <c r="Z280" s="664">
        <f t="shared" si="77"/>
        <v>3.08</v>
      </c>
      <c r="AA280" s="836">
        <f>SUM(Z280:Z304)</f>
        <v>50</v>
      </c>
      <c r="AB280" s="982">
        <v>50</v>
      </c>
      <c r="AC280" s="867"/>
      <c r="AD280" s="867"/>
      <c r="AE280" s="979">
        <f t="shared" si="72"/>
        <v>0</v>
      </c>
      <c r="AF280" s="878">
        <f>SUM(AE280:AE304)</f>
        <v>52</v>
      </c>
      <c r="AG280" s="335"/>
      <c r="AH280" s="979">
        <f t="shared" si="73"/>
        <v>0</v>
      </c>
      <c r="AI280" s="979">
        <f>SUM(AH280:AH304)</f>
        <v>50.02</v>
      </c>
      <c r="AJ280" s="979">
        <f t="shared" si="74"/>
        <v>3.08</v>
      </c>
      <c r="AK280" s="878">
        <f>SUM(AJ280:AJ304)</f>
        <v>-1.9999999999999574E-2</v>
      </c>
      <c r="AL280" s="648"/>
      <c r="AM280" s="648"/>
      <c r="AN280" s="647"/>
      <c r="AO280" s="647"/>
      <c r="AP280" s="647"/>
      <c r="AQ280" s="647"/>
      <c r="AR280" s="647"/>
      <c r="AS280" s="647"/>
      <c r="AT280" s="647"/>
      <c r="AU280" s="647"/>
      <c r="AV280" s="647"/>
      <c r="AW280" s="647"/>
      <c r="AX280" s="647"/>
      <c r="AY280" s="647"/>
      <c r="AZ280" s="647"/>
      <c r="BA280" s="647"/>
      <c r="BB280" s="647"/>
      <c r="BC280" s="647"/>
      <c r="BD280" s="647"/>
      <c r="BE280" s="647"/>
      <c r="BF280" s="647"/>
      <c r="BG280" s="647"/>
      <c r="BH280" s="647"/>
      <c r="BI280" s="647"/>
      <c r="BJ280" s="647"/>
      <c r="BK280" s="647"/>
      <c r="BL280" s="647"/>
      <c r="BM280" s="647"/>
      <c r="BN280" s="647"/>
      <c r="BO280" s="647"/>
      <c r="BP280" s="647"/>
      <c r="BQ280" s="647"/>
      <c r="BR280" s="647"/>
      <c r="BS280" s="647"/>
      <c r="BT280" s="647"/>
      <c r="BU280" s="647"/>
      <c r="BV280" s="647"/>
      <c r="BW280" s="647"/>
      <c r="BX280" s="647"/>
      <c r="BY280" s="647"/>
      <c r="BZ280" s="647"/>
      <c r="CA280" s="647"/>
      <c r="CB280" s="647"/>
      <c r="CC280" s="647"/>
    </row>
    <row r="281" spans="1:81" ht="21.6" customHeight="1" x14ac:dyDescent="0.25">
      <c r="A281" s="664">
        <v>18</v>
      </c>
      <c r="B281" s="664" t="s">
        <v>130</v>
      </c>
      <c r="C281" s="664">
        <v>3</v>
      </c>
      <c r="D281" s="1086" t="s">
        <v>142</v>
      </c>
      <c r="E281" s="845"/>
      <c r="F281" s="846" t="s">
        <v>144</v>
      </c>
      <c r="G281" s="836" t="s">
        <v>265</v>
      </c>
      <c r="H281" s="844"/>
      <c r="I281" s="625"/>
      <c r="J281" s="844"/>
      <c r="K281" s="626"/>
      <c r="L281" s="893"/>
      <c r="M281" s="893"/>
      <c r="N281" s="893">
        <f t="shared" si="69"/>
        <v>0</v>
      </c>
      <c r="O281" s="856"/>
      <c r="P281" s="856"/>
      <c r="Q281" s="856">
        <f t="shared" si="70"/>
        <v>0</v>
      </c>
      <c r="R281" s="894"/>
      <c r="S281" s="855"/>
      <c r="T281" s="896">
        <f t="shared" si="76"/>
        <v>0</v>
      </c>
      <c r="U281" s="862"/>
      <c r="V281" s="857"/>
      <c r="W281" s="857">
        <f t="shared" si="71"/>
        <v>0</v>
      </c>
      <c r="X281" s="863"/>
      <c r="Y281" s="664">
        <f t="shared" si="75"/>
        <v>0</v>
      </c>
      <c r="Z281" s="664">
        <f t="shared" si="77"/>
        <v>0</v>
      </c>
      <c r="AA281" s="836"/>
      <c r="AB281" s="982"/>
      <c r="AC281" s="867"/>
      <c r="AD281" s="867"/>
      <c r="AE281" s="979">
        <f t="shared" si="72"/>
        <v>0</v>
      </c>
      <c r="AF281" s="878"/>
      <c r="AG281" s="335"/>
      <c r="AH281" s="979">
        <f t="shared" si="73"/>
        <v>0</v>
      </c>
      <c r="AI281" s="979"/>
      <c r="AJ281" s="979">
        <f t="shared" si="74"/>
        <v>0</v>
      </c>
      <c r="AK281" s="878"/>
      <c r="AL281" s="618"/>
      <c r="AM281" s="618"/>
    </row>
    <row r="282" spans="1:81" ht="21.6" customHeight="1" x14ac:dyDescent="0.25">
      <c r="A282" s="664"/>
      <c r="B282" s="664"/>
      <c r="C282" s="664"/>
      <c r="D282" s="1086" t="s">
        <v>142</v>
      </c>
      <c r="E282" s="845"/>
      <c r="F282" s="846" t="s">
        <v>348</v>
      </c>
      <c r="G282" s="836" t="s">
        <v>276</v>
      </c>
      <c r="H282" s="844"/>
      <c r="I282" s="625"/>
      <c r="J282" s="844"/>
      <c r="K282" s="626"/>
      <c r="L282" s="893"/>
      <c r="M282" s="893"/>
      <c r="N282" s="893">
        <f t="shared" si="69"/>
        <v>0</v>
      </c>
      <c r="O282" s="856"/>
      <c r="P282" s="856"/>
      <c r="Q282" s="856">
        <f t="shared" si="70"/>
        <v>0</v>
      </c>
      <c r="R282" s="894"/>
      <c r="S282" s="855"/>
      <c r="T282" s="896">
        <f t="shared" si="76"/>
        <v>0</v>
      </c>
      <c r="U282" s="862"/>
      <c r="V282" s="857"/>
      <c r="W282" s="857">
        <f t="shared" si="71"/>
        <v>0</v>
      </c>
      <c r="X282" s="863"/>
      <c r="Y282" s="664">
        <f t="shared" si="75"/>
        <v>0</v>
      </c>
      <c r="Z282" s="664">
        <f t="shared" si="77"/>
        <v>0</v>
      </c>
      <c r="AA282" s="836"/>
      <c r="AB282" s="982"/>
      <c r="AC282" s="867"/>
      <c r="AD282" s="867"/>
      <c r="AE282" s="979">
        <f t="shared" si="72"/>
        <v>0</v>
      </c>
      <c r="AF282" s="878"/>
      <c r="AG282" s="335"/>
      <c r="AH282" s="979">
        <f t="shared" si="73"/>
        <v>0</v>
      </c>
      <c r="AI282" s="979"/>
      <c r="AJ282" s="979">
        <f t="shared" si="74"/>
        <v>0</v>
      </c>
      <c r="AK282" s="878"/>
      <c r="AL282" s="618"/>
      <c r="AM282" s="618"/>
    </row>
    <row r="283" spans="1:81" ht="36.75" customHeight="1" x14ac:dyDescent="0.25">
      <c r="A283" s="664">
        <v>19</v>
      </c>
      <c r="B283" s="664" t="s">
        <v>130</v>
      </c>
      <c r="C283" s="664">
        <v>4</v>
      </c>
      <c r="D283" s="1086" t="s">
        <v>142</v>
      </c>
      <c r="E283" s="845"/>
      <c r="F283" s="846" t="s">
        <v>402</v>
      </c>
      <c r="G283" s="836" t="s">
        <v>265</v>
      </c>
      <c r="H283" s="844"/>
      <c r="I283" s="625"/>
      <c r="J283" s="844"/>
      <c r="K283" s="626"/>
      <c r="L283" s="893"/>
      <c r="M283" s="893"/>
      <c r="N283" s="893">
        <f t="shared" si="69"/>
        <v>0</v>
      </c>
      <c r="O283" s="856"/>
      <c r="P283" s="856"/>
      <c r="Q283" s="856">
        <f t="shared" si="70"/>
        <v>0</v>
      </c>
      <c r="R283" s="894"/>
      <c r="S283" s="855"/>
      <c r="T283" s="896">
        <f t="shared" si="76"/>
        <v>0</v>
      </c>
      <c r="U283" s="862"/>
      <c r="V283" s="857"/>
      <c r="W283" s="857">
        <f t="shared" si="71"/>
        <v>0</v>
      </c>
      <c r="X283" s="863"/>
      <c r="Y283" s="664">
        <f t="shared" si="75"/>
        <v>0</v>
      </c>
      <c r="Z283" s="664">
        <f t="shared" si="77"/>
        <v>0</v>
      </c>
      <c r="AA283" s="836"/>
      <c r="AB283" s="982"/>
      <c r="AC283" s="867"/>
      <c r="AD283" s="867"/>
      <c r="AE283" s="979">
        <f t="shared" si="72"/>
        <v>0</v>
      </c>
      <c r="AF283" s="878"/>
      <c r="AG283" s="335"/>
      <c r="AH283" s="979">
        <f t="shared" si="73"/>
        <v>0</v>
      </c>
      <c r="AI283" s="979"/>
      <c r="AJ283" s="979">
        <f t="shared" si="74"/>
        <v>0</v>
      </c>
      <c r="AK283" s="878"/>
      <c r="AL283" s="618"/>
      <c r="AM283" s="618"/>
    </row>
    <row r="284" spans="1:81" ht="21.6" customHeight="1" x14ac:dyDescent="0.25">
      <c r="A284" s="664">
        <v>21</v>
      </c>
      <c r="B284" s="664" t="s">
        <v>130</v>
      </c>
      <c r="C284" s="664">
        <v>6</v>
      </c>
      <c r="D284" s="1086" t="s">
        <v>142</v>
      </c>
      <c r="E284" s="845"/>
      <c r="F284" s="846" t="s">
        <v>145</v>
      </c>
      <c r="G284" s="836" t="s">
        <v>265</v>
      </c>
      <c r="H284" s="844"/>
      <c r="I284" s="625"/>
      <c r="J284" s="844" t="s">
        <v>403</v>
      </c>
      <c r="K284" s="626" t="s">
        <v>859</v>
      </c>
      <c r="L284" s="893">
        <v>3</v>
      </c>
      <c r="M284" s="893">
        <f>6+1</f>
        <v>7</v>
      </c>
      <c r="N284" s="893">
        <f t="shared" si="69"/>
        <v>10</v>
      </c>
      <c r="O284" s="856">
        <f>3+1</f>
        <v>4</v>
      </c>
      <c r="P284" s="856">
        <v>5</v>
      </c>
      <c r="Q284" s="856">
        <f t="shared" si="70"/>
        <v>9</v>
      </c>
      <c r="R284" s="894"/>
      <c r="S284" s="855"/>
      <c r="T284" s="896">
        <f t="shared" si="76"/>
        <v>0</v>
      </c>
      <c r="U284" s="862"/>
      <c r="V284" s="857">
        <f>120+15</f>
        <v>135</v>
      </c>
      <c r="W284" s="857">
        <f t="shared" si="71"/>
        <v>9</v>
      </c>
      <c r="X284" s="863"/>
      <c r="Y284" s="664">
        <f t="shared" si="75"/>
        <v>135</v>
      </c>
      <c r="Z284" s="664">
        <f t="shared" si="77"/>
        <v>9</v>
      </c>
      <c r="AA284" s="836"/>
      <c r="AB284" s="982"/>
      <c r="AC284" s="867">
        <f>3+0+1</f>
        <v>4</v>
      </c>
      <c r="AD284" s="867">
        <f>6+1+0</f>
        <v>7</v>
      </c>
      <c r="AE284" s="979">
        <f t="shared" si="72"/>
        <v>11</v>
      </c>
      <c r="AF284" s="878"/>
      <c r="AG284" s="335">
        <f>120+15+15</f>
        <v>150</v>
      </c>
      <c r="AH284" s="979">
        <f t="shared" si="73"/>
        <v>10</v>
      </c>
      <c r="AI284" s="979"/>
      <c r="AJ284" s="979">
        <f t="shared" si="74"/>
        <v>-1</v>
      </c>
      <c r="AK284" s="878"/>
      <c r="AL284" s="618"/>
      <c r="AM284" s="618"/>
    </row>
    <row r="285" spans="1:81" ht="33" customHeight="1" x14ac:dyDescent="0.25">
      <c r="A285" s="664">
        <v>22</v>
      </c>
      <c r="B285" s="664" t="s">
        <v>130</v>
      </c>
      <c r="C285" s="664">
        <v>7</v>
      </c>
      <c r="D285" s="1086" t="s">
        <v>142</v>
      </c>
      <c r="E285" s="845"/>
      <c r="F285" s="846" t="s">
        <v>146</v>
      </c>
      <c r="G285" s="836" t="s">
        <v>265</v>
      </c>
      <c r="H285" s="844"/>
      <c r="I285" s="625"/>
      <c r="J285" s="844"/>
      <c r="K285" s="626"/>
      <c r="L285" s="893"/>
      <c r="M285" s="893"/>
      <c r="N285" s="893">
        <f t="shared" si="69"/>
        <v>0</v>
      </c>
      <c r="O285" s="856"/>
      <c r="P285" s="856"/>
      <c r="Q285" s="856">
        <f t="shared" si="70"/>
        <v>0</v>
      </c>
      <c r="R285" s="894"/>
      <c r="S285" s="855"/>
      <c r="T285" s="896">
        <f t="shared" si="76"/>
        <v>0</v>
      </c>
      <c r="U285" s="862"/>
      <c r="V285" s="857"/>
      <c r="W285" s="857">
        <f t="shared" si="71"/>
        <v>0</v>
      </c>
      <c r="X285" s="863"/>
      <c r="Y285" s="664">
        <f t="shared" si="75"/>
        <v>0</v>
      </c>
      <c r="Z285" s="664">
        <f t="shared" si="77"/>
        <v>0</v>
      </c>
      <c r="AA285" s="836"/>
      <c r="AB285" s="982"/>
      <c r="AC285" s="867"/>
      <c r="AD285" s="867"/>
      <c r="AE285" s="979">
        <f t="shared" si="72"/>
        <v>0</v>
      </c>
      <c r="AF285" s="878"/>
      <c r="AG285" s="335"/>
      <c r="AH285" s="979">
        <f t="shared" si="73"/>
        <v>0</v>
      </c>
      <c r="AI285" s="979"/>
      <c r="AJ285" s="979">
        <f t="shared" si="74"/>
        <v>0</v>
      </c>
      <c r="AK285" s="878"/>
      <c r="AL285" s="618"/>
      <c r="AM285" s="618"/>
    </row>
    <row r="286" spans="1:81" ht="36" customHeight="1" x14ac:dyDescent="0.25">
      <c r="A286" s="664"/>
      <c r="B286" s="664"/>
      <c r="C286" s="664"/>
      <c r="D286" s="1173" t="s">
        <v>142</v>
      </c>
      <c r="E286" s="1173"/>
      <c r="F286" s="1174" t="s">
        <v>878</v>
      </c>
      <c r="G286" s="1172" t="s">
        <v>276</v>
      </c>
      <c r="H286" s="1171"/>
      <c r="I286" s="625"/>
      <c r="J286" s="1171"/>
      <c r="K286" s="626"/>
      <c r="L286" s="893">
        <v>6</v>
      </c>
      <c r="M286" s="893"/>
      <c r="N286" s="893"/>
      <c r="O286" s="856">
        <v>4.3</v>
      </c>
      <c r="P286" s="856"/>
      <c r="Q286" s="856"/>
      <c r="R286" s="894"/>
      <c r="S286" s="855"/>
      <c r="T286" s="896"/>
      <c r="U286" s="862"/>
      <c r="V286" s="857">
        <f>63</f>
        <v>63</v>
      </c>
      <c r="W286" s="857">
        <f t="shared" si="71"/>
        <v>4.2</v>
      </c>
      <c r="X286" s="863"/>
      <c r="Y286" s="664">
        <f t="shared" si="75"/>
        <v>63</v>
      </c>
      <c r="Z286" s="664">
        <f t="shared" si="77"/>
        <v>4.2</v>
      </c>
      <c r="AA286" s="1172"/>
      <c r="AB286" s="982"/>
      <c r="AC286" s="867">
        <v>6</v>
      </c>
      <c r="AD286" s="867"/>
      <c r="AE286" s="979">
        <f t="shared" si="72"/>
        <v>6</v>
      </c>
      <c r="AF286" s="878"/>
      <c r="AG286" s="335">
        <v>64.5</v>
      </c>
      <c r="AH286" s="979">
        <f t="shared" si="73"/>
        <v>4.3</v>
      </c>
      <c r="AI286" s="979"/>
      <c r="AJ286" s="979">
        <f t="shared" si="74"/>
        <v>-9.9999999999999645E-2</v>
      </c>
      <c r="AK286" s="878"/>
      <c r="AL286" s="618"/>
      <c r="AM286" s="618"/>
      <c r="AN286" s="1175"/>
      <c r="AO286" s="1175"/>
      <c r="AP286" s="1175"/>
      <c r="AQ286" s="1175"/>
      <c r="AR286" s="1175"/>
      <c r="AS286" s="1175"/>
      <c r="AT286" s="1175"/>
      <c r="AU286" s="1175"/>
      <c r="AV286" s="1175"/>
      <c r="AW286" s="1175"/>
      <c r="AX286" s="1175"/>
      <c r="AY286" s="1175"/>
      <c r="AZ286" s="1175"/>
      <c r="BA286" s="1175"/>
      <c r="BB286" s="1175"/>
      <c r="BC286" s="1175"/>
      <c r="BD286" s="1175"/>
      <c r="BE286" s="1175"/>
      <c r="BF286" s="1175"/>
      <c r="BG286" s="1175"/>
      <c r="BH286" s="1175"/>
      <c r="BI286" s="1175"/>
      <c r="BJ286" s="1175"/>
      <c r="BK286" s="1175"/>
      <c r="BL286" s="1175"/>
      <c r="BM286" s="1175"/>
      <c r="BN286" s="1175"/>
      <c r="BO286" s="1175"/>
      <c r="BP286" s="1175"/>
      <c r="BQ286" s="1175"/>
      <c r="BR286" s="1175"/>
      <c r="BS286" s="1175"/>
      <c r="BT286" s="1175"/>
      <c r="BU286" s="1175"/>
      <c r="BV286" s="1175"/>
      <c r="BW286" s="1175"/>
      <c r="BX286" s="1175"/>
      <c r="BY286" s="1175"/>
      <c r="BZ286" s="1175"/>
      <c r="CA286" s="1175"/>
      <c r="CB286" s="1175"/>
      <c r="CC286" s="1175"/>
    </row>
    <row r="287" spans="1:81" s="639" customFormat="1" ht="33" customHeight="1" x14ac:dyDescent="0.25">
      <c r="A287" s="910"/>
      <c r="B287" s="910"/>
      <c r="C287" s="910"/>
      <c r="D287" s="1086" t="s">
        <v>142</v>
      </c>
      <c r="E287" s="845"/>
      <c r="F287" s="911" t="s">
        <v>405</v>
      </c>
      <c r="G287" s="845" t="s">
        <v>276</v>
      </c>
      <c r="H287" s="901"/>
      <c r="I287" s="402"/>
      <c r="J287" s="901"/>
      <c r="K287" s="918"/>
      <c r="L287" s="893"/>
      <c r="M287" s="893"/>
      <c r="N287" s="893">
        <f t="shared" si="69"/>
        <v>0</v>
      </c>
      <c r="O287" s="856"/>
      <c r="P287" s="856"/>
      <c r="Q287" s="856">
        <f t="shared" si="70"/>
        <v>0</v>
      </c>
      <c r="R287" s="894"/>
      <c r="S287" s="914"/>
      <c r="T287" s="896">
        <f t="shared" si="76"/>
        <v>0</v>
      </c>
      <c r="U287" s="915"/>
      <c r="V287" s="916"/>
      <c r="W287" s="857">
        <f t="shared" si="71"/>
        <v>0</v>
      </c>
      <c r="X287" s="917"/>
      <c r="Y287" s="910">
        <f t="shared" si="75"/>
        <v>0</v>
      </c>
      <c r="Z287" s="664">
        <f t="shared" si="77"/>
        <v>0</v>
      </c>
      <c r="AA287" s="845"/>
      <c r="AB287" s="984"/>
      <c r="AC287" s="981"/>
      <c r="AD287" s="981"/>
      <c r="AE287" s="980">
        <f t="shared" si="72"/>
        <v>0</v>
      </c>
      <c r="AF287" s="879"/>
      <c r="AG287" s="966"/>
      <c r="AH287" s="980">
        <f t="shared" si="73"/>
        <v>0</v>
      </c>
      <c r="AI287" s="980"/>
      <c r="AJ287" s="980">
        <f t="shared" si="74"/>
        <v>0</v>
      </c>
      <c r="AK287" s="879"/>
      <c r="AL287" s="638"/>
      <c r="AM287" s="638"/>
      <c r="AN287" s="222"/>
      <c r="AO287" s="222"/>
      <c r="AP287" s="222"/>
      <c r="AQ287" s="222"/>
      <c r="AR287" s="222"/>
      <c r="AS287" s="222"/>
      <c r="AT287" s="222"/>
      <c r="AU287" s="222"/>
      <c r="AV287" s="222"/>
      <c r="AW287" s="222"/>
      <c r="AX287" s="222"/>
      <c r="AY287" s="222"/>
      <c r="AZ287" s="222"/>
      <c r="BA287" s="222"/>
      <c r="BB287" s="222"/>
      <c r="BC287" s="222"/>
      <c r="BD287" s="222"/>
      <c r="BE287" s="222"/>
      <c r="BF287" s="222"/>
      <c r="BG287" s="222"/>
      <c r="BH287" s="222"/>
      <c r="BI287" s="222"/>
      <c r="BJ287" s="222"/>
      <c r="BK287" s="222"/>
      <c r="BL287" s="222"/>
      <c r="BM287" s="222"/>
      <c r="BN287" s="222"/>
      <c r="BO287" s="222"/>
      <c r="BP287" s="222"/>
      <c r="BQ287" s="222"/>
      <c r="BR287" s="222"/>
      <c r="BS287" s="222"/>
      <c r="BT287" s="222"/>
      <c r="BU287" s="222"/>
      <c r="BV287" s="222"/>
      <c r="BW287" s="222"/>
      <c r="BX287" s="222"/>
      <c r="BY287" s="222"/>
      <c r="BZ287" s="222"/>
      <c r="CA287" s="222"/>
      <c r="CB287" s="222"/>
      <c r="CC287" s="222"/>
    </row>
    <row r="288" spans="1:81" ht="21.6" customHeight="1" x14ac:dyDescent="0.25">
      <c r="A288" s="664">
        <v>24</v>
      </c>
      <c r="B288" s="664" t="s">
        <v>130</v>
      </c>
      <c r="C288" s="664">
        <v>9</v>
      </c>
      <c r="D288" s="1086" t="s">
        <v>142</v>
      </c>
      <c r="E288" s="845"/>
      <c r="F288" s="846" t="s">
        <v>147</v>
      </c>
      <c r="G288" s="836" t="s">
        <v>265</v>
      </c>
      <c r="H288" s="844"/>
      <c r="I288" s="625"/>
      <c r="J288" s="844"/>
      <c r="K288" s="626"/>
      <c r="L288" s="893"/>
      <c r="M288" s="893"/>
      <c r="N288" s="893">
        <f t="shared" si="69"/>
        <v>0</v>
      </c>
      <c r="O288" s="856"/>
      <c r="P288" s="856"/>
      <c r="Q288" s="913">
        <f t="shared" si="70"/>
        <v>0</v>
      </c>
      <c r="R288" s="894"/>
      <c r="S288" s="855"/>
      <c r="T288" s="896">
        <f t="shared" si="76"/>
        <v>0</v>
      </c>
      <c r="U288" s="862"/>
      <c r="V288" s="857"/>
      <c r="W288" s="857">
        <f t="shared" si="71"/>
        <v>0</v>
      </c>
      <c r="X288" s="863"/>
      <c r="Y288" s="664">
        <f t="shared" si="75"/>
        <v>0</v>
      </c>
      <c r="Z288" s="664">
        <f t="shared" si="77"/>
        <v>0</v>
      </c>
      <c r="AA288" s="836"/>
      <c r="AB288" s="982"/>
      <c r="AC288" s="867"/>
      <c r="AD288" s="867"/>
      <c r="AE288" s="979">
        <f t="shared" si="72"/>
        <v>0</v>
      </c>
      <c r="AF288" s="878"/>
      <c r="AG288" s="335"/>
      <c r="AH288" s="979">
        <f t="shared" si="73"/>
        <v>0</v>
      </c>
      <c r="AI288" s="979"/>
      <c r="AJ288" s="979">
        <f t="shared" si="74"/>
        <v>0</v>
      </c>
      <c r="AK288" s="878"/>
      <c r="AL288" s="618"/>
      <c r="AM288" s="618"/>
    </row>
    <row r="289" spans="1:81" ht="30.75" customHeight="1" x14ac:dyDescent="0.25">
      <c r="A289" s="664">
        <v>25</v>
      </c>
      <c r="B289" s="664" t="s">
        <v>130</v>
      </c>
      <c r="C289" s="664">
        <v>10</v>
      </c>
      <c r="D289" s="1086" t="s">
        <v>142</v>
      </c>
      <c r="E289" s="845"/>
      <c r="F289" s="846" t="s">
        <v>148</v>
      </c>
      <c r="G289" s="836" t="s">
        <v>265</v>
      </c>
      <c r="H289" s="844"/>
      <c r="I289" s="625"/>
      <c r="J289" s="844"/>
      <c r="K289" s="626"/>
      <c r="L289" s="893"/>
      <c r="M289" s="893"/>
      <c r="N289" s="893">
        <f t="shared" si="69"/>
        <v>0</v>
      </c>
      <c r="O289" s="856"/>
      <c r="P289" s="856"/>
      <c r="Q289" s="856">
        <f t="shared" si="70"/>
        <v>0</v>
      </c>
      <c r="R289" s="894"/>
      <c r="S289" s="855"/>
      <c r="T289" s="896">
        <f t="shared" si="76"/>
        <v>0</v>
      </c>
      <c r="U289" s="862"/>
      <c r="V289" s="857"/>
      <c r="W289" s="857">
        <f t="shared" si="71"/>
        <v>0</v>
      </c>
      <c r="X289" s="863"/>
      <c r="Y289" s="664">
        <f t="shared" si="75"/>
        <v>0</v>
      </c>
      <c r="Z289" s="664">
        <f t="shared" si="77"/>
        <v>0</v>
      </c>
      <c r="AA289" s="836"/>
      <c r="AB289" s="982"/>
      <c r="AC289" s="867"/>
      <c r="AD289" s="867"/>
      <c r="AE289" s="979">
        <f t="shared" si="72"/>
        <v>0</v>
      </c>
      <c r="AF289" s="878"/>
      <c r="AG289" s="335"/>
      <c r="AH289" s="979">
        <f t="shared" si="73"/>
        <v>0</v>
      </c>
      <c r="AI289" s="979"/>
      <c r="AJ289" s="979">
        <f t="shared" si="74"/>
        <v>0</v>
      </c>
      <c r="AK289" s="878"/>
      <c r="AL289" s="618"/>
      <c r="AM289" s="618"/>
    </row>
    <row r="290" spans="1:81" ht="18.75" customHeight="1" x14ac:dyDescent="0.25">
      <c r="A290" s="664"/>
      <c r="B290" s="664"/>
      <c r="C290" s="664"/>
      <c r="D290" s="1086" t="s">
        <v>142</v>
      </c>
      <c r="E290" s="845"/>
      <c r="F290" s="846" t="s">
        <v>407</v>
      </c>
      <c r="G290" s="836" t="s">
        <v>276</v>
      </c>
      <c r="H290" s="844"/>
      <c r="I290" s="625"/>
      <c r="J290" s="844"/>
      <c r="K290" s="626"/>
      <c r="L290" s="893"/>
      <c r="M290" s="893"/>
      <c r="N290" s="893">
        <f t="shared" si="69"/>
        <v>0</v>
      </c>
      <c r="O290" s="856"/>
      <c r="P290" s="856"/>
      <c r="Q290" s="856">
        <f t="shared" si="70"/>
        <v>0</v>
      </c>
      <c r="R290" s="894"/>
      <c r="S290" s="855"/>
      <c r="T290" s="896">
        <f t="shared" si="76"/>
        <v>0</v>
      </c>
      <c r="U290" s="862"/>
      <c r="V290" s="857"/>
      <c r="W290" s="857">
        <f t="shared" si="71"/>
        <v>0</v>
      </c>
      <c r="X290" s="863"/>
      <c r="Y290" s="664">
        <f t="shared" si="75"/>
        <v>0</v>
      </c>
      <c r="Z290" s="664">
        <f t="shared" si="77"/>
        <v>0</v>
      </c>
      <c r="AA290" s="836"/>
      <c r="AB290" s="982"/>
      <c r="AC290" s="867"/>
      <c r="AD290" s="867"/>
      <c r="AE290" s="979">
        <f t="shared" si="72"/>
        <v>0</v>
      </c>
      <c r="AF290" s="878"/>
      <c r="AG290" s="335"/>
      <c r="AH290" s="979">
        <f t="shared" si="73"/>
        <v>0</v>
      </c>
      <c r="AI290" s="979"/>
      <c r="AJ290" s="979">
        <f t="shared" ref="AJ290:AJ358" si="78">Z290-AH290</f>
        <v>0</v>
      </c>
      <c r="AK290" s="878"/>
      <c r="AL290" s="618"/>
      <c r="AM290" s="618"/>
    </row>
    <row r="291" spans="1:81" ht="31.5" customHeight="1" x14ac:dyDescent="0.25">
      <c r="A291" s="664"/>
      <c r="B291" s="664"/>
      <c r="C291" s="664"/>
      <c r="D291" s="1086" t="s">
        <v>142</v>
      </c>
      <c r="E291" s="845"/>
      <c r="F291" s="846" t="s">
        <v>404</v>
      </c>
      <c r="G291" s="836" t="s">
        <v>276</v>
      </c>
      <c r="H291" s="844"/>
      <c r="I291" s="625"/>
      <c r="J291" s="844"/>
      <c r="K291" s="626"/>
      <c r="L291" s="893"/>
      <c r="M291" s="893"/>
      <c r="N291" s="893">
        <f t="shared" si="69"/>
        <v>0</v>
      </c>
      <c r="O291" s="856"/>
      <c r="P291" s="856"/>
      <c r="Q291" s="856">
        <f t="shared" si="70"/>
        <v>0</v>
      </c>
      <c r="R291" s="894"/>
      <c r="S291" s="855"/>
      <c r="T291" s="896">
        <f t="shared" si="76"/>
        <v>0</v>
      </c>
      <c r="U291" s="862"/>
      <c r="V291" s="857"/>
      <c r="W291" s="857">
        <f t="shared" si="71"/>
        <v>0</v>
      </c>
      <c r="X291" s="863"/>
      <c r="Y291" s="664">
        <f t="shared" si="75"/>
        <v>0</v>
      </c>
      <c r="Z291" s="664">
        <f t="shared" si="77"/>
        <v>0</v>
      </c>
      <c r="AA291" s="836"/>
      <c r="AB291" s="982"/>
      <c r="AC291" s="867"/>
      <c r="AD291" s="867"/>
      <c r="AE291" s="979">
        <f t="shared" si="72"/>
        <v>0</v>
      </c>
      <c r="AF291" s="878"/>
      <c r="AG291" s="335"/>
      <c r="AH291" s="979">
        <f t="shared" si="73"/>
        <v>0</v>
      </c>
      <c r="AI291" s="979"/>
      <c r="AJ291" s="979">
        <f t="shared" si="78"/>
        <v>0</v>
      </c>
      <c r="AK291" s="878"/>
      <c r="AL291" s="618"/>
      <c r="AM291" s="618"/>
    </row>
    <row r="292" spans="1:81" ht="21.6" customHeight="1" x14ac:dyDescent="0.25">
      <c r="A292" s="664"/>
      <c r="B292" s="664"/>
      <c r="C292" s="664"/>
      <c r="D292" s="1086" t="s">
        <v>142</v>
      </c>
      <c r="E292" s="845"/>
      <c r="F292" s="846" t="s">
        <v>408</v>
      </c>
      <c r="G292" s="836" t="s">
        <v>276</v>
      </c>
      <c r="H292" s="844"/>
      <c r="I292" s="625"/>
      <c r="J292" s="844"/>
      <c r="K292" s="626"/>
      <c r="L292" s="893"/>
      <c r="M292" s="893"/>
      <c r="N292" s="893">
        <f t="shared" si="69"/>
        <v>0</v>
      </c>
      <c r="O292" s="856"/>
      <c r="P292" s="856"/>
      <c r="Q292" s="856">
        <f t="shared" si="70"/>
        <v>0</v>
      </c>
      <c r="R292" s="894"/>
      <c r="S292" s="855"/>
      <c r="T292" s="896">
        <f t="shared" si="76"/>
        <v>0</v>
      </c>
      <c r="U292" s="862"/>
      <c r="V292" s="857"/>
      <c r="W292" s="857">
        <f t="shared" si="71"/>
        <v>0</v>
      </c>
      <c r="X292" s="863"/>
      <c r="Y292" s="664">
        <f t="shared" si="75"/>
        <v>0</v>
      </c>
      <c r="Z292" s="664">
        <f t="shared" si="77"/>
        <v>0</v>
      </c>
      <c r="AA292" s="836"/>
      <c r="AB292" s="982"/>
      <c r="AC292" s="867"/>
      <c r="AD292" s="867"/>
      <c r="AE292" s="979">
        <f t="shared" si="72"/>
        <v>0</v>
      </c>
      <c r="AF292" s="878"/>
      <c r="AG292" s="335"/>
      <c r="AH292" s="979">
        <f t="shared" si="73"/>
        <v>0</v>
      </c>
      <c r="AI292" s="979"/>
      <c r="AJ292" s="979">
        <f t="shared" si="78"/>
        <v>0</v>
      </c>
      <c r="AK292" s="878"/>
      <c r="AL292" s="618"/>
      <c r="AM292" s="618"/>
    </row>
    <row r="293" spans="1:81" ht="21.6" customHeight="1" x14ac:dyDescent="0.25">
      <c r="A293" s="664">
        <v>27</v>
      </c>
      <c r="B293" s="664" t="s">
        <v>130</v>
      </c>
      <c r="C293" s="664">
        <v>12</v>
      </c>
      <c r="D293" s="1086" t="s">
        <v>142</v>
      </c>
      <c r="E293" s="845"/>
      <c r="F293" s="846" t="s">
        <v>149</v>
      </c>
      <c r="G293" s="836" t="s">
        <v>265</v>
      </c>
      <c r="H293" s="844"/>
      <c r="I293" s="625"/>
      <c r="J293" s="844"/>
      <c r="K293" s="626"/>
      <c r="L293" s="893"/>
      <c r="M293" s="893"/>
      <c r="N293" s="893">
        <f t="shared" si="69"/>
        <v>0</v>
      </c>
      <c r="O293" s="856"/>
      <c r="P293" s="856"/>
      <c r="Q293" s="913">
        <f t="shared" si="70"/>
        <v>0</v>
      </c>
      <c r="R293" s="894"/>
      <c r="S293" s="855"/>
      <c r="T293" s="896">
        <f t="shared" si="76"/>
        <v>0</v>
      </c>
      <c r="U293" s="862"/>
      <c r="V293" s="857"/>
      <c r="W293" s="857">
        <f t="shared" si="71"/>
        <v>0</v>
      </c>
      <c r="X293" s="863"/>
      <c r="Y293" s="664">
        <f t="shared" si="75"/>
        <v>0</v>
      </c>
      <c r="Z293" s="664">
        <f t="shared" si="77"/>
        <v>0</v>
      </c>
      <c r="AA293" s="836"/>
      <c r="AB293" s="982"/>
      <c r="AC293" s="867"/>
      <c r="AD293" s="867"/>
      <c r="AE293" s="979">
        <f t="shared" si="72"/>
        <v>0</v>
      </c>
      <c r="AF293" s="878"/>
      <c r="AG293" s="335"/>
      <c r="AH293" s="979">
        <f t="shared" si="73"/>
        <v>0</v>
      </c>
      <c r="AI293" s="979"/>
      <c r="AJ293" s="979">
        <f t="shared" si="78"/>
        <v>0</v>
      </c>
      <c r="AK293" s="878"/>
      <c r="AL293" s="618"/>
      <c r="AM293" s="618"/>
    </row>
    <row r="294" spans="1:81" ht="32.25" customHeight="1" x14ac:dyDescent="0.25">
      <c r="A294" s="664">
        <v>28</v>
      </c>
      <c r="B294" s="664" t="s">
        <v>130</v>
      </c>
      <c r="C294" s="664">
        <v>13</v>
      </c>
      <c r="D294" s="1086" t="s">
        <v>142</v>
      </c>
      <c r="E294" s="845"/>
      <c r="F294" s="846" t="s">
        <v>150</v>
      </c>
      <c r="G294" s="836" t="s">
        <v>265</v>
      </c>
      <c r="H294" s="844"/>
      <c r="I294" s="625"/>
      <c r="J294" s="844"/>
      <c r="K294" s="626"/>
      <c r="L294" s="893"/>
      <c r="M294" s="893"/>
      <c r="N294" s="893">
        <f t="shared" si="69"/>
        <v>0</v>
      </c>
      <c r="O294" s="856"/>
      <c r="P294" s="856"/>
      <c r="Q294" s="856">
        <f t="shared" si="70"/>
        <v>0</v>
      </c>
      <c r="R294" s="894"/>
      <c r="S294" s="855"/>
      <c r="T294" s="896">
        <f t="shared" si="76"/>
        <v>0</v>
      </c>
      <c r="U294" s="862"/>
      <c r="V294" s="857"/>
      <c r="W294" s="857">
        <f t="shared" si="71"/>
        <v>0</v>
      </c>
      <c r="X294" s="863"/>
      <c r="Y294" s="664">
        <f t="shared" si="75"/>
        <v>0</v>
      </c>
      <c r="Z294" s="664">
        <f t="shared" si="77"/>
        <v>0</v>
      </c>
      <c r="AA294" s="836"/>
      <c r="AB294" s="982"/>
      <c r="AC294" s="867"/>
      <c r="AD294" s="867"/>
      <c r="AE294" s="979">
        <f t="shared" si="72"/>
        <v>0</v>
      </c>
      <c r="AF294" s="878"/>
      <c r="AG294" s="335"/>
      <c r="AH294" s="979">
        <f t="shared" si="73"/>
        <v>0</v>
      </c>
      <c r="AI294" s="979"/>
      <c r="AJ294" s="979">
        <f t="shared" si="78"/>
        <v>0</v>
      </c>
      <c r="AK294" s="878"/>
      <c r="AL294" s="618"/>
      <c r="AM294" s="618"/>
    </row>
    <row r="295" spans="1:81" s="639" customFormat="1" ht="21.6" customHeight="1" x14ac:dyDescent="0.25">
      <c r="A295" s="910"/>
      <c r="B295" s="910"/>
      <c r="C295" s="910"/>
      <c r="D295" s="1086" t="s">
        <v>142</v>
      </c>
      <c r="E295" s="845"/>
      <c r="F295" s="911" t="s">
        <v>346</v>
      </c>
      <c r="G295" s="845" t="s">
        <v>276</v>
      </c>
      <c r="H295" s="901"/>
      <c r="I295" s="402"/>
      <c r="J295" s="901"/>
      <c r="K295" s="918"/>
      <c r="L295" s="912"/>
      <c r="M295" s="912"/>
      <c r="N295" s="893">
        <f t="shared" ref="N295:N363" si="79">M295+L295</f>
        <v>0</v>
      </c>
      <c r="O295" s="913"/>
      <c r="P295" s="913"/>
      <c r="Q295" s="856">
        <f t="shared" ref="Q295:Q363" si="80">P295+O295</f>
        <v>0</v>
      </c>
      <c r="R295" s="346"/>
      <c r="S295" s="914"/>
      <c r="T295" s="896">
        <f t="shared" si="76"/>
        <v>0</v>
      </c>
      <c r="U295" s="915"/>
      <c r="V295" s="916"/>
      <c r="W295" s="857">
        <f t="shared" si="71"/>
        <v>0</v>
      </c>
      <c r="X295" s="917"/>
      <c r="Y295" s="910">
        <f t="shared" si="75"/>
        <v>0</v>
      </c>
      <c r="Z295" s="664">
        <f t="shared" si="77"/>
        <v>0</v>
      </c>
      <c r="AA295" s="845"/>
      <c r="AB295" s="984"/>
      <c r="AC295" s="981"/>
      <c r="AD295" s="981"/>
      <c r="AE295" s="980">
        <f t="shared" si="72"/>
        <v>0</v>
      </c>
      <c r="AF295" s="879"/>
      <c r="AG295" s="966"/>
      <c r="AH295" s="980">
        <f t="shared" si="73"/>
        <v>0</v>
      </c>
      <c r="AI295" s="980"/>
      <c r="AJ295" s="980">
        <f t="shared" si="78"/>
        <v>0</v>
      </c>
      <c r="AK295" s="879"/>
      <c r="AL295" s="638"/>
      <c r="AM295" s="638"/>
      <c r="AN295" s="222"/>
      <c r="AO295" s="222"/>
      <c r="AP295" s="222"/>
      <c r="AQ295" s="222"/>
      <c r="AR295" s="222"/>
      <c r="AS295" s="222"/>
      <c r="AT295" s="222"/>
      <c r="AU295" s="222"/>
      <c r="AV295" s="222"/>
      <c r="AW295" s="222"/>
      <c r="AX295" s="222"/>
      <c r="AY295" s="222"/>
      <c r="AZ295" s="222"/>
      <c r="BA295" s="222"/>
      <c r="BB295" s="222"/>
      <c r="BC295" s="222"/>
      <c r="BD295" s="222"/>
      <c r="BE295" s="222"/>
      <c r="BF295" s="222"/>
      <c r="BG295" s="222"/>
      <c r="BH295" s="222"/>
      <c r="BI295" s="222"/>
      <c r="BJ295" s="222"/>
      <c r="BK295" s="222"/>
      <c r="BL295" s="222"/>
      <c r="BM295" s="222"/>
      <c r="BN295" s="222"/>
      <c r="BO295" s="222"/>
      <c r="BP295" s="222"/>
      <c r="BQ295" s="222"/>
      <c r="BR295" s="222"/>
      <c r="BS295" s="222"/>
      <c r="BT295" s="222"/>
      <c r="BU295" s="222"/>
      <c r="BV295" s="222"/>
      <c r="BW295" s="222"/>
      <c r="BX295" s="222"/>
      <c r="BY295" s="222"/>
      <c r="BZ295" s="222"/>
      <c r="CA295" s="222"/>
      <c r="CB295" s="222"/>
      <c r="CC295" s="222"/>
    </row>
    <row r="296" spans="1:81" ht="21.6" customHeight="1" x14ac:dyDescent="0.25">
      <c r="A296" s="664">
        <v>31</v>
      </c>
      <c r="B296" s="664" t="s">
        <v>130</v>
      </c>
      <c r="C296" s="664">
        <v>16</v>
      </c>
      <c r="D296" s="1086" t="s">
        <v>142</v>
      </c>
      <c r="E296" s="845"/>
      <c r="F296" s="846" t="s">
        <v>151</v>
      </c>
      <c r="G296" s="836" t="s">
        <v>265</v>
      </c>
      <c r="H296" s="844"/>
      <c r="I296" s="625"/>
      <c r="J296" s="844" t="s">
        <v>265</v>
      </c>
      <c r="K296" s="626" t="s">
        <v>813</v>
      </c>
      <c r="L296" s="893">
        <v>5</v>
      </c>
      <c r="M296" s="893">
        <v>5</v>
      </c>
      <c r="N296" s="893">
        <f t="shared" si="79"/>
        <v>10</v>
      </c>
      <c r="O296" s="856"/>
      <c r="P296" s="856">
        <v>10</v>
      </c>
      <c r="Q296" s="856">
        <f t="shared" si="80"/>
        <v>10</v>
      </c>
      <c r="R296" s="894"/>
      <c r="S296" s="855"/>
      <c r="T296" s="896">
        <f t="shared" si="76"/>
        <v>0</v>
      </c>
      <c r="U296" s="862"/>
      <c r="V296" s="857">
        <v>150</v>
      </c>
      <c r="W296" s="857">
        <f t="shared" si="71"/>
        <v>10</v>
      </c>
      <c r="X296" s="863"/>
      <c r="Y296" s="664">
        <f t="shared" si="75"/>
        <v>150</v>
      </c>
      <c r="Z296" s="664">
        <f t="shared" si="77"/>
        <v>10</v>
      </c>
      <c r="AA296" s="836"/>
      <c r="AB296" s="982"/>
      <c r="AC296" s="867">
        <v>5</v>
      </c>
      <c r="AD296" s="867">
        <v>5</v>
      </c>
      <c r="AE296" s="979">
        <f t="shared" si="72"/>
        <v>10</v>
      </c>
      <c r="AF296" s="878"/>
      <c r="AG296" s="335">
        <v>150</v>
      </c>
      <c r="AH296" s="979">
        <f t="shared" si="73"/>
        <v>10</v>
      </c>
      <c r="AI296" s="979"/>
      <c r="AJ296" s="979">
        <f t="shared" si="78"/>
        <v>0</v>
      </c>
      <c r="AK296" s="878"/>
      <c r="AL296" s="618"/>
      <c r="AM296" s="618"/>
    </row>
    <row r="297" spans="1:81" ht="21.6" customHeight="1" x14ac:dyDescent="0.25">
      <c r="A297" s="664"/>
      <c r="B297" s="664"/>
      <c r="C297" s="664"/>
      <c r="D297" s="1086" t="s">
        <v>142</v>
      </c>
      <c r="E297" s="845"/>
      <c r="F297" s="846" t="s">
        <v>253</v>
      </c>
      <c r="G297" s="836" t="s">
        <v>276</v>
      </c>
      <c r="H297" s="844"/>
      <c r="I297" s="625"/>
      <c r="J297" s="844"/>
      <c r="K297" s="626"/>
      <c r="L297" s="893"/>
      <c r="M297" s="893"/>
      <c r="N297" s="893">
        <f t="shared" si="79"/>
        <v>0</v>
      </c>
      <c r="O297" s="856"/>
      <c r="P297" s="856"/>
      <c r="Q297" s="856">
        <f t="shared" si="80"/>
        <v>0</v>
      </c>
      <c r="R297" s="894"/>
      <c r="S297" s="855"/>
      <c r="T297" s="896">
        <f t="shared" si="76"/>
        <v>0</v>
      </c>
      <c r="U297" s="862"/>
      <c r="V297" s="857"/>
      <c r="W297" s="857">
        <f t="shared" si="71"/>
        <v>0</v>
      </c>
      <c r="X297" s="863"/>
      <c r="Y297" s="664">
        <f t="shared" si="75"/>
        <v>0</v>
      </c>
      <c r="Z297" s="664">
        <f t="shared" si="77"/>
        <v>0</v>
      </c>
      <c r="AA297" s="836"/>
      <c r="AB297" s="982"/>
      <c r="AC297" s="867"/>
      <c r="AD297" s="867"/>
      <c r="AE297" s="979">
        <f t="shared" si="72"/>
        <v>0</v>
      </c>
      <c r="AF297" s="878"/>
      <c r="AG297" s="335"/>
      <c r="AH297" s="979">
        <f t="shared" si="73"/>
        <v>0</v>
      </c>
      <c r="AI297" s="979"/>
      <c r="AJ297" s="979">
        <f t="shared" si="78"/>
        <v>0</v>
      </c>
      <c r="AK297" s="878"/>
      <c r="AL297" s="618"/>
      <c r="AM297" s="618"/>
    </row>
    <row r="298" spans="1:81" s="819" customFormat="1" ht="30.75" customHeight="1" x14ac:dyDescent="0.25">
      <c r="A298" s="923"/>
      <c r="B298" s="923"/>
      <c r="C298" s="923"/>
      <c r="D298" s="924" t="s">
        <v>142</v>
      </c>
      <c r="E298" s="924"/>
      <c r="F298" s="925" t="s">
        <v>812</v>
      </c>
      <c r="G298" s="926"/>
      <c r="H298" s="927"/>
      <c r="I298" s="928"/>
      <c r="J298" s="927" t="s">
        <v>265</v>
      </c>
      <c r="K298" s="929" t="s">
        <v>813</v>
      </c>
      <c r="L298" s="930">
        <v>20</v>
      </c>
      <c r="M298" s="930"/>
      <c r="N298" s="930">
        <f t="shared" si="79"/>
        <v>20</v>
      </c>
      <c r="O298" s="931">
        <v>20.72</v>
      </c>
      <c r="P298" s="931"/>
      <c r="Q298" s="931">
        <f t="shared" si="80"/>
        <v>20.72</v>
      </c>
      <c r="R298" s="931"/>
      <c r="S298" s="931"/>
      <c r="T298" s="896">
        <f t="shared" si="76"/>
        <v>0</v>
      </c>
      <c r="U298" s="926"/>
      <c r="V298" s="923">
        <v>310.8</v>
      </c>
      <c r="W298" s="857">
        <f t="shared" si="71"/>
        <v>20.720000000000002</v>
      </c>
      <c r="X298" s="926"/>
      <c r="Y298" s="923"/>
      <c r="Z298" s="664">
        <f t="shared" si="77"/>
        <v>20.720000000000002</v>
      </c>
      <c r="AA298" s="926"/>
      <c r="AB298" s="982"/>
      <c r="AC298" s="867">
        <v>20</v>
      </c>
      <c r="AD298" s="867">
        <v>0</v>
      </c>
      <c r="AE298" s="979">
        <f t="shared" si="72"/>
        <v>20</v>
      </c>
      <c r="AF298" s="878"/>
      <c r="AG298" s="335">
        <v>310.8</v>
      </c>
      <c r="AH298" s="979">
        <f t="shared" si="73"/>
        <v>20.720000000000002</v>
      </c>
      <c r="AI298" s="979"/>
      <c r="AJ298" s="979">
        <f t="shared" si="78"/>
        <v>0</v>
      </c>
      <c r="AK298" s="878"/>
      <c r="AL298" s="820"/>
      <c r="AM298" s="820"/>
    </row>
    <row r="299" spans="1:81" ht="21.6" customHeight="1" x14ac:dyDescent="0.25">
      <c r="A299" s="664">
        <v>33</v>
      </c>
      <c r="B299" s="664" t="s">
        <v>130</v>
      </c>
      <c r="C299" s="664">
        <v>18</v>
      </c>
      <c r="D299" s="1086" t="s">
        <v>142</v>
      </c>
      <c r="E299" s="845"/>
      <c r="F299" s="846" t="s">
        <v>152</v>
      </c>
      <c r="G299" s="836" t="s">
        <v>265</v>
      </c>
      <c r="H299" s="844"/>
      <c r="I299" s="625"/>
      <c r="J299" s="844" t="s">
        <v>265</v>
      </c>
      <c r="K299" s="626" t="s">
        <v>826</v>
      </c>
      <c r="L299" s="893">
        <v>2</v>
      </c>
      <c r="M299" s="893">
        <v>1</v>
      </c>
      <c r="N299" s="893">
        <f t="shared" si="79"/>
        <v>3</v>
      </c>
      <c r="O299" s="856">
        <v>3</v>
      </c>
      <c r="P299" s="856"/>
      <c r="Q299" s="856">
        <f t="shared" si="80"/>
        <v>3</v>
      </c>
      <c r="R299" s="894"/>
      <c r="S299" s="855"/>
      <c r="T299" s="896">
        <f t="shared" si="76"/>
        <v>0</v>
      </c>
      <c r="U299" s="862"/>
      <c r="V299" s="857">
        <v>45</v>
      </c>
      <c r="W299" s="857">
        <f t="shared" si="71"/>
        <v>3</v>
      </c>
      <c r="X299" s="863"/>
      <c r="Y299" s="664">
        <f t="shared" si="75"/>
        <v>45</v>
      </c>
      <c r="Z299" s="664">
        <f t="shared" si="77"/>
        <v>3</v>
      </c>
      <c r="AA299" s="836"/>
      <c r="AB299" s="982"/>
      <c r="AC299" s="867">
        <v>2</v>
      </c>
      <c r="AD299" s="867">
        <v>1</v>
      </c>
      <c r="AE299" s="979">
        <f t="shared" si="72"/>
        <v>3</v>
      </c>
      <c r="AF299" s="878"/>
      <c r="AG299" s="335">
        <v>45</v>
      </c>
      <c r="AH299" s="979">
        <f t="shared" si="73"/>
        <v>3</v>
      </c>
      <c r="AI299" s="979"/>
      <c r="AJ299" s="979">
        <f t="shared" si="78"/>
        <v>0</v>
      </c>
      <c r="AK299" s="878"/>
      <c r="AL299" s="618"/>
      <c r="AM299" s="618"/>
    </row>
    <row r="300" spans="1:81" ht="28.5" customHeight="1" x14ac:dyDescent="0.25">
      <c r="A300" s="664">
        <v>36</v>
      </c>
      <c r="B300" s="664" t="s">
        <v>130</v>
      </c>
      <c r="C300" s="664">
        <v>21</v>
      </c>
      <c r="D300" s="1086" t="s">
        <v>142</v>
      </c>
      <c r="E300" s="845"/>
      <c r="F300" s="846" t="s">
        <v>153</v>
      </c>
      <c r="G300" s="836" t="s">
        <v>265</v>
      </c>
      <c r="H300" s="844"/>
      <c r="I300" s="625"/>
      <c r="J300" s="844"/>
      <c r="K300" s="626"/>
      <c r="L300" s="893"/>
      <c r="M300" s="893"/>
      <c r="N300" s="893">
        <f t="shared" si="79"/>
        <v>0</v>
      </c>
      <c r="O300" s="856"/>
      <c r="P300" s="856"/>
      <c r="Q300" s="856">
        <f t="shared" si="80"/>
        <v>0</v>
      </c>
      <c r="R300" s="894"/>
      <c r="S300" s="855"/>
      <c r="T300" s="896">
        <f t="shared" si="76"/>
        <v>0</v>
      </c>
      <c r="U300" s="862"/>
      <c r="V300" s="857"/>
      <c r="W300" s="857">
        <f t="shared" si="71"/>
        <v>0</v>
      </c>
      <c r="X300" s="863"/>
      <c r="Y300" s="664">
        <f t="shared" si="75"/>
        <v>0</v>
      </c>
      <c r="Z300" s="664">
        <f t="shared" si="77"/>
        <v>0</v>
      </c>
      <c r="AA300" s="836"/>
      <c r="AB300" s="982"/>
      <c r="AC300" s="867"/>
      <c r="AD300" s="867"/>
      <c r="AE300" s="979">
        <f t="shared" si="72"/>
        <v>0</v>
      </c>
      <c r="AF300" s="878"/>
      <c r="AG300" s="335"/>
      <c r="AH300" s="979">
        <f t="shared" si="73"/>
        <v>0</v>
      </c>
      <c r="AI300" s="979"/>
      <c r="AJ300" s="979">
        <f t="shared" si="78"/>
        <v>0</v>
      </c>
      <c r="AK300" s="878"/>
      <c r="AL300" s="618"/>
      <c r="AM300" s="618"/>
    </row>
    <row r="301" spans="1:81" ht="31.5" customHeight="1" x14ac:dyDescent="0.25">
      <c r="A301" s="664"/>
      <c r="B301" s="664"/>
      <c r="C301" s="664"/>
      <c r="D301" s="1086" t="s">
        <v>142</v>
      </c>
      <c r="E301" s="845"/>
      <c r="F301" s="846" t="s">
        <v>410</v>
      </c>
      <c r="G301" s="836" t="s">
        <v>276</v>
      </c>
      <c r="H301" s="844"/>
      <c r="I301" s="625"/>
      <c r="J301" s="844"/>
      <c r="K301" s="626"/>
      <c r="L301" s="893"/>
      <c r="M301" s="893"/>
      <c r="N301" s="893">
        <f t="shared" si="79"/>
        <v>0</v>
      </c>
      <c r="O301" s="856"/>
      <c r="P301" s="856"/>
      <c r="Q301" s="856">
        <f t="shared" si="80"/>
        <v>0</v>
      </c>
      <c r="R301" s="894"/>
      <c r="S301" s="855"/>
      <c r="T301" s="896">
        <f t="shared" si="76"/>
        <v>0</v>
      </c>
      <c r="U301" s="862"/>
      <c r="V301" s="857"/>
      <c r="W301" s="857">
        <f t="shared" si="71"/>
        <v>0</v>
      </c>
      <c r="X301" s="863"/>
      <c r="Y301" s="664">
        <f t="shared" si="75"/>
        <v>0</v>
      </c>
      <c r="Z301" s="664">
        <f t="shared" si="77"/>
        <v>0</v>
      </c>
      <c r="AA301" s="836"/>
      <c r="AB301" s="982"/>
      <c r="AC301" s="867"/>
      <c r="AD301" s="867"/>
      <c r="AE301" s="979">
        <f t="shared" si="72"/>
        <v>0</v>
      </c>
      <c r="AF301" s="878"/>
      <c r="AG301" s="335"/>
      <c r="AH301" s="979">
        <f t="shared" si="73"/>
        <v>0</v>
      </c>
      <c r="AI301" s="979"/>
      <c r="AJ301" s="979">
        <f t="shared" si="78"/>
        <v>0</v>
      </c>
      <c r="AK301" s="878"/>
      <c r="AL301" s="618"/>
      <c r="AM301" s="618"/>
    </row>
    <row r="302" spans="1:81" ht="52.5" customHeight="1" x14ac:dyDescent="0.25">
      <c r="A302" s="664">
        <v>38</v>
      </c>
      <c r="B302" s="664" t="s">
        <v>130</v>
      </c>
      <c r="C302" s="664">
        <v>23</v>
      </c>
      <c r="D302" s="1086" t="s">
        <v>142</v>
      </c>
      <c r="E302" s="845"/>
      <c r="F302" s="846" t="s">
        <v>154</v>
      </c>
      <c r="G302" s="836" t="s">
        <v>265</v>
      </c>
      <c r="H302" s="844"/>
      <c r="I302" s="625"/>
      <c r="J302" s="844"/>
      <c r="K302" s="626"/>
      <c r="L302" s="893"/>
      <c r="M302" s="893"/>
      <c r="N302" s="893">
        <f t="shared" si="79"/>
        <v>0</v>
      </c>
      <c r="O302" s="856"/>
      <c r="P302" s="856"/>
      <c r="Q302" s="856">
        <f t="shared" si="80"/>
        <v>0</v>
      </c>
      <c r="R302" s="894"/>
      <c r="S302" s="855"/>
      <c r="T302" s="896">
        <f t="shared" si="76"/>
        <v>0</v>
      </c>
      <c r="U302" s="862"/>
      <c r="V302" s="857"/>
      <c r="W302" s="857">
        <f t="shared" si="71"/>
        <v>0</v>
      </c>
      <c r="X302" s="863"/>
      <c r="Y302" s="664">
        <f t="shared" si="75"/>
        <v>0</v>
      </c>
      <c r="Z302" s="664">
        <f t="shared" si="77"/>
        <v>0</v>
      </c>
      <c r="AA302" s="836"/>
      <c r="AB302" s="982"/>
      <c r="AC302" s="867">
        <v>1</v>
      </c>
      <c r="AD302" s="867">
        <v>1</v>
      </c>
      <c r="AE302" s="979">
        <f t="shared" si="72"/>
        <v>2</v>
      </c>
      <c r="AF302" s="878"/>
      <c r="AG302" s="335">
        <v>30</v>
      </c>
      <c r="AH302" s="979">
        <f t="shared" si="73"/>
        <v>2</v>
      </c>
      <c r="AI302" s="979"/>
      <c r="AJ302" s="979">
        <f t="shared" si="78"/>
        <v>-2</v>
      </c>
      <c r="AK302" s="878"/>
      <c r="AL302" s="618"/>
      <c r="AM302" s="618"/>
    </row>
    <row r="303" spans="1:81" ht="21.6" customHeight="1" x14ac:dyDescent="0.25">
      <c r="A303" s="664">
        <v>39</v>
      </c>
      <c r="B303" s="664" t="s">
        <v>130</v>
      </c>
      <c r="C303" s="664">
        <v>24</v>
      </c>
      <c r="D303" s="1086" t="s">
        <v>142</v>
      </c>
      <c r="E303" s="845"/>
      <c r="F303" s="846" t="s">
        <v>155</v>
      </c>
      <c r="G303" s="836" t="s">
        <v>265</v>
      </c>
      <c r="H303" s="844"/>
      <c r="I303" s="625"/>
      <c r="J303" s="844"/>
      <c r="K303" s="626"/>
      <c r="L303" s="893"/>
      <c r="M303" s="893"/>
      <c r="N303" s="893">
        <f t="shared" si="79"/>
        <v>0</v>
      </c>
      <c r="O303" s="856"/>
      <c r="P303" s="856"/>
      <c r="Q303" s="856">
        <f t="shared" si="80"/>
        <v>0</v>
      </c>
      <c r="R303" s="894"/>
      <c r="S303" s="855"/>
      <c r="T303" s="896">
        <f t="shared" si="76"/>
        <v>0</v>
      </c>
      <c r="U303" s="862"/>
      <c r="V303" s="857"/>
      <c r="W303" s="857">
        <f t="shared" si="71"/>
        <v>0</v>
      </c>
      <c r="X303" s="863"/>
      <c r="Y303" s="664">
        <f t="shared" si="75"/>
        <v>0</v>
      </c>
      <c r="Z303" s="664">
        <f t="shared" si="77"/>
        <v>0</v>
      </c>
      <c r="AA303" s="836"/>
      <c r="AB303" s="982"/>
      <c r="AC303" s="867"/>
      <c r="AD303" s="867"/>
      <c r="AE303" s="979">
        <f t="shared" si="72"/>
        <v>0</v>
      </c>
      <c r="AF303" s="878"/>
      <c r="AG303" s="335"/>
      <c r="AH303" s="979">
        <f t="shared" si="73"/>
        <v>0</v>
      </c>
      <c r="AI303" s="979"/>
      <c r="AJ303" s="979">
        <f t="shared" si="78"/>
        <v>0</v>
      </c>
      <c r="AK303" s="878"/>
      <c r="AL303" s="618"/>
      <c r="AM303" s="618"/>
    </row>
    <row r="304" spans="1:81" ht="21.6" customHeight="1" x14ac:dyDescent="0.25">
      <c r="A304" s="664">
        <v>40</v>
      </c>
      <c r="B304" s="664" t="s">
        <v>130</v>
      </c>
      <c r="C304" s="664">
        <v>25</v>
      </c>
      <c r="D304" s="1086" t="s">
        <v>142</v>
      </c>
      <c r="E304" s="845"/>
      <c r="F304" s="846" t="s">
        <v>156</v>
      </c>
      <c r="G304" s="836" t="s">
        <v>265</v>
      </c>
      <c r="H304" s="844"/>
      <c r="I304" s="625"/>
      <c r="J304" s="844"/>
      <c r="K304" s="626"/>
      <c r="L304" s="893"/>
      <c r="M304" s="893"/>
      <c r="N304" s="893">
        <f t="shared" si="79"/>
        <v>0</v>
      </c>
      <c r="O304" s="856"/>
      <c r="P304" s="856"/>
      <c r="Q304" s="856">
        <f t="shared" si="80"/>
        <v>0</v>
      </c>
      <c r="R304" s="894"/>
      <c r="S304" s="855"/>
      <c r="T304" s="896">
        <f t="shared" si="76"/>
        <v>0</v>
      </c>
      <c r="U304" s="862"/>
      <c r="V304" s="857"/>
      <c r="W304" s="857">
        <f t="shared" si="71"/>
        <v>0</v>
      </c>
      <c r="X304" s="863"/>
      <c r="Y304" s="664">
        <f t="shared" si="75"/>
        <v>0</v>
      </c>
      <c r="Z304" s="664">
        <f t="shared" si="77"/>
        <v>0</v>
      </c>
      <c r="AA304" s="836"/>
      <c r="AB304" s="982"/>
      <c r="AC304" s="867"/>
      <c r="AD304" s="867"/>
      <c r="AE304" s="979">
        <f t="shared" si="72"/>
        <v>0</v>
      </c>
      <c r="AF304" s="878"/>
      <c r="AG304" s="335"/>
      <c r="AH304" s="979">
        <f t="shared" si="73"/>
        <v>0</v>
      </c>
      <c r="AI304" s="979"/>
      <c r="AJ304" s="979">
        <f t="shared" si="78"/>
        <v>0</v>
      </c>
      <c r="AK304" s="878"/>
      <c r="AL304" s="618"/>
      <c r="AM304" s="618"/>
    </row>
    <row r="305" spans="1:81" ht="21.6" customHeight="1" x14ac:dyDescent="0.25">
      <c r="A305" s="664"/>
      <c r="B305" s="664"/>
      <c r="C305" s="664"/>
      <c r="D305" s="1086"/>
      <c r="E305" s="845"/>
      <c r="F305" s="846"/>
      <c r="G305" s="836"/>
      <c r="H305" s="844"/>
      <c r="I305" s="625"/>
      <c r="J305" s="844"/>
      <c r="K305" s="626"/>
      <c r="L305" s="893"/>
      <c r="M305" s="893"/>
      <c r="N305" s="893">
        <f t="shared" si="79"/>
        <v>0</v>
      </c>
      <c r="O305" s="856"/>
      <c r="P305" s="856"/>
      <c r="Q305" s="856">
        <f t="shared" si="80"/>
        <v>0</v>
      </c>
      <c r="R305" s="894"/>
      <c r="S305" s="855"/>
      <c r="T305" s="896">
        <f t="shared" si="76"/>
        <v>0</v>
      </c>
      <c r="U305" s="862"/>
      <c r="V305" s="857"/>
      <c r="W305" s="857">
        <f t="shared" si="71"/>
        <v>0</v>
      </c>
      <c r="X305" s="863"/>
      <c r="Y305" s="664">
        <f t="shared" si="75"/>
        <v>0</v>
      </c>
      <c r="Z305" s="664">
        <f t="shared" si="77"/>
        <v>0</v>
      </c>
      <c r="AA305" s="836"/>
      <c r="AB305" s="982"/>
      <c r="AC305" s="867"/>
      <c r="AD305" s="867"/>
      <c r="AE305" s="979">
        <f t="shared" si="72"/>
        <v>0</v>
      </c>
      <c r="AF305" s="878"/>
      <c r="AG305" s="335"/>
      <c r="AH305" s="979">
        <f t="shared" si="73"/>
        <v>0</v>
      </c>
      <c r="AI305" s="979"/>
      <c r="AJ305" s="979">
        <f t="shared" si="78"/>
        <v>0</v>
      </c>
      <c r="AK305" s="878"/>
      <c r="AL305" s="618"/>
      <c r="AM305" s="618"/>
    </row>
    <row r="306" spans="1:81" s="641" customFormat="1" ht="21.6" customHeight="1" x14ac:dyDescent="0.25">
      <c r="A306" s="836">
        <v>41</v>
      </c>
      <c r="B306" s="836" t="s">
        <v>130</v>
      </c>
      <c r="C306" s="836">
        <v>1</v>
      </c>
      <c r="D306" s="1086" t="s">
        <v>157</v>
      </c>
      <c r="E306" s="845"/>
      <c r="F306" s="846" t="s">
        <v>360</v>
      </c>
      <c r="G306" s="836" t="s">
        <v>265</v>
      </c>
      <c r="H306" s="844"/>
      <c r="I306" s="836"/>
      <c r="J306" s="844" t="s">
        <v>403</v>
      </c>
      <c r="K306" s="626" t="s">
        <v>830</v>
      </c>
      <c r="L306" s="890">
        <v>2</v>
      </c>
      <c r="M306" s="890">
        <v>4</v>
      </c>
      <c r="N306" s="890">
        <f t="shared" si="79"/>
        <v>6</v>
      </c>
      <c r="O306" s="467">
        <v>1.75</v>
      </c>
      <c r="P306" s="467"/>
      <c r="Q306" s="467">
        <f t="shared" si="80"/>
        <v>1.75</v>
      </c>
      <c r="R306" s="625"/>
      <c r="S306" s="842">
        <v>1842</v>
      </c>
      <c r="T306" s="862">
        <f t="shared" si="76"/>
        <v>122.8</v>
      </c>
      <c r="U306" s="862">
        <f>SUM(T306:T326)</f>
        <v>122.8</v>
      </c>
      <c r="V306" s="863">
        <v>25</v>
      </c>
      <c r="W306" s="857">
        <f t="shared" si="71"/>
        <v>1.6666666666666667</v>
      </c>
      <c r="X306" s="863">
        <f>SUM(W306:W326)</f>
        <v>77.2</v>
      </c>
      <c r="Y306" s="836">
        <f t="shared" si="75"/>
        <v>1867</v>
      </c>
      <c r="Z306" s="664">
        <f t="shared" si="77"/>
        <v>124.46666666666667</v>
      </c>
      <c r="AA306" s="836">
        <f>SUM(Z306:Z326)</f>
        <v>200</v>
      </c>
      <c r="AB306" s="982">
        <v>200</v>
      </c>
      <c r="AC306" s="867">
        <v>2</v>
      </c>
      <c r="AD306" s="867">
        <v>4</v>
      </c>
      <c r="AE306" s="979">
        <f t="shared" si="72"/>
        <v>6</v>
      </c>
      <c r="AF306" s="878">
        <f>SUM(AE306:AE326)</f>
        <v>441</v>
      </c>
      <c r="AG306" s="335">
        <v>25</v>
      </c>
      <c r="AH306" s="979">
        <f t="shared" si="73"/>
        <v>1.6666666666666667</v>
      </c>
      <c r="AI306" s="979">
        <f>SUM(AH306:AH326)</f>
        <v>200</v>
      </c>
      <c r="AJ306" s="979">
        <f t="shared" si="78"/>
        <v>122.8</v>
      </c>
      <c r="AK306" s="878">
        <f>SUM(AJ306:AJ326)</f>
        <v>0</v>
      </c>
      <c r="AL306" s="648"/>
      <c r="AM306" s="648"/>
      <c r="AN306" s="647"/>
      <c r="AO306" s="647"/>
      <c r="AP306" s="647"/>
      <c r="AQ306" s="647"/>
      <c r="AR306" s="647"/>
      <c r="AS306" s="647"/>
      <c r="AT306" s="647"/>
      <c r="AU306" s="647"/>
      <c r="AV306" s="647"/>
      <c r="AW306" s="647"/>
      <c r="AX306" s="647"/>
      <c r="AY306" s="647"/>
      <c r="AZ306" s="647"/>
      <c r="BA306" s="647"/>
      <c r="BB306" s="647"/>
      <c r="BC306" s="647"/>
      <c r="BD306" s="647"/>
      <c r="BE306" s="647"/>
      <c r="BF306" s="647"/>
      <c r="BG306" s="647"/>
      <c r="BH306" s="647"/>
      <c r="BI306" s="647"/>
      <c r="BJ306" s="647"/>
      <c r="BK306" s="647"/>
      <c r="BL306" s="647"/>
      <c r="BM306" s="647"/>
      <c r="BN306" s="647"/>
      <c r="BO306" s="647"/>
      <c r="BP306" s="647"/>
      <c r="BQ306" s="647"/>
      <c r="BR306" s="647"/>
      <c r="BS306" s="647"/>
      <c r="BT306" s="647"/>
      <c r="BU306" s="647"/>
      <c r="BV306" s="647"/>
      <c r="BW306" s="647"/>
      <c r="BX306" s="647"/>
      <c r="BY306" s="647"/>
      <c r="BZ306" s="647"/>
      <c r="CA306" s="647"/>
      <c r="CB306" s="647"/>
      <c r="CC306" s="647"/>
    </row>
    <row r="307" spans="1:81" ht="21.6" customHeight="1" x14ac:dyDescent="0.25">
      <c r="A307" s="664">
        <v>42</v>
      </c>
      <c r="B307" s="664" t="s">
        <v>130</v>
      </c>
      <c r="C307" s="664">
        <v>2</v>
      </c>
      <c r="D307" s="1086" t="s">
        <v>157</v>
      </c>
      <c r="E307" s="845"/>
      <c r="F307" s="846" t="s">
        <v>158</v>
      </c>
      <c r="G307" s="836" t="s">
        <v>265</v>
      </c>
      <c r="H307" s="844"/>
      <c r="I307" s="836"/>
      <c r="J307" s="844" t="s">
        <v>403</v>
      </c>
      <c r="K307" s="626" t="s">
        <v>860</v>
      </c>
      <c r="L307" s="893">
        <v>9</v>
      </c>
      <c r="M307" s="893">
        <v>1</v>
      </c>
      <c r="N307" s="893">
        <f t="shared" si="79"/>
        <v>10</v>
      </c>
      <c r="O307" s="856">
        <v>4.3499999999999996</v>
      </c>
      <c r="P307" s="856"/>
      <c r="Q307" s="856">
        <f t="shared" si="80"/>
        <v>4.3499999999999996</v>
      </c>
      <c r="R307" s="894"/>
      <c r="S307" s="855"/>
      <c r="T307" s="896">
        <f t="shared" si="76"/>
        <v>0</v>
      </c>
      <c r="U307" s="862"/>
      <c r="V307" s="857">
        <v>65</v>
      </c>
      <c r="W307" s="857">
        <f t="shared" si="71"/>
        <v>4.333333333333333</v>
      </c>
      <c r="X307" s="863"/>
      <c r="Y307" s="664">
        <f t="shared" si="75"/>
        <v>65</v>
      </c>
      <c r="Z307" s="664">
        <f t="shared" si="77"/>
        <v>4.333333333333333</v>
      </c>
      <c r="AA307" s="836"/>
      <c r="AB307" s="982"/>
      <c r="AC307" s="867">
        <f>9+3+18+17+19</f>
        <v>66</v>
      </c>
      <c r="AD307" s="867">
        <f>1+1+2+3+1</f>
        <v>8</v>
      </c>
      <c r="AE307" s="979">
        <f t="shared" si="72"/>
        <v>74</v>
      </c>
      <c r="AF307" s="878"/>
      <c r="AG307" s="335">
        <f>55+30+188.5+326+329</f>
        <v>928.5</v>
      </c>
      <c r="AH307" s="979">
        <f t="shared" si="73"/>
        <v>61.9</v>
      </c>
      <c r="AI307" s="979"/>
      <c r="AJ307" s="979">
        <f t="shared" si="78"/>
        <v>-57.566666666666663</v>
      </c>
      <c r="AK307" s="878"/>
      <c r="AL307" s="618"/>
      <c r="AM307" s="618"/>
    </row>
    <row r="308" spans="1:81" ht="21.6" customHeight="1" x14ac:dyDescent="0.25">
      <c r="A308" s="664">
        <v>43</v>
      </c>
      <c r="B308" s="664" t="s">
        <v>130</v>
      </c>
      <c r="C308" s="664">
        <v>3</v>
      </c>
      <c r="D308" s="1086" t="s">
        <v>157</v>
      </c>
      <c r="E308" s="845"/>
      <c r="F308" s="846" t="s">
        <v>159</v>
      </c>
      <c r="G308" s="836" t="s">
        <v>265</v>
      </c>
      <c r="H308" s="844"/>
      <c r="I308" s="836"/>
      <c r="J308" s="844" t="s">
        <v>861</v>
      </c>
      <c r="K308" s="626" t="s">
        <v>862</v>
      </c>
      <c r="L308" s="893">
        <v>10</v>
      </c>
      <c r="M308" s="893">
        <v>9</v>
      </c>
      <c r="N308" s="893">
        <f t="shared" si="79"/>
        <v>19</v>
      </c>
      <c r="O308" s="856">
        <v>7.85</v>
      </c>
      <c r="P308" s="856"/>
      <c r="Q308" s="856">
        <f t="shared" si="80"/>
        <v>7.85</v>
      </c>
      <c r="R308" s="894"/>
      <c r="S308" s="855"/>
      <c r="T308" s="896">
        <f t="shared" si="76"/>
        <v>0</v>
      </c>
      <c r="U308" s="862"/>
      <c r="V308" s="857">
        <v>117</v>
      </c>
      <c r="W308" s="857">
        <f t="shared" si="71"/>
        <v>7.8</v>
      </c>
      <c r="X308" s="863"/>
      <c r="Y308" s="664">
        <f t="shared" si="75"/>
        <v>117</v>
      </c>
      <c r="Z308" s="664">
        <f t="shared" si="77"/>
        <v>7.8</v>
      </c>
      <c r="AA308" s="836"/>
      <c r="AB308" s="982"/>
      <c r="AC308" s="867">
        <v>10</v>
      </c>
      <c r="AD308" s="867">
        <v>9</v>
      </c>
      <c r="AE308" s="979">
        <f t="shared" si="72"/>
        <v>19</v>
      </c>
      <c r="AF308" s="878"/>
      <c r="AG308" s="335">
        <v>117</v>
      </c>
      <c r="AH308" s="979">
        <f t="shared" si="73"/>
        <v>7.8</v>
      </c>
      <c r="AI308" s="979"/>
      <c r="AJ308" s="979">
        <f t="shared" si="78"/>
        <v>0</v>
      </c>
      <c r="AK308" s="878"/>
      <c r="AL308" s="618"/>
      <c r="AM308" s="618"/>
    </row>
    <row r="309" spans="1:81" s="639" customFormat="1" ht="21.6" customHeight="1" x14ac:dyDescent="0.25">
      <c r="A309" s="910"/>
      <c r="B309" s="910" t="s">
        <v>130</v>
      </c>
      <c r="C309" s="910">
        <v>4</v>
      </c>
      <c r="D309" s="1086" t="s">
        <v>157</v>
      </c>
      <c r="E309" s="845"/>
      <c r="F309" s="911" t="s">
        <v>425</v>
      </c>
      <c r="G309" s="845" t="s">
        <v>361</v>
      </c>
      <c r="H309" s="901"/>
      <c r="I309" s="845"/>
      <c r="J309" s="901"/>
      <c r="K309" s="918"/>
      <c r="L309" s="912"/>
      <c r="M309" s="912"/>
      <c r="N309" s="912">
        <f t="shared" si="79"/>
        <v>0</v>
      </c>
      <c r="O309" s="913"/>
      <c r="P309" s="913"/>
      <c r="Q309" s="913">
        <f t="shared" si="80"/>
        <v>0</v>
      </c>
      <c r="R309" s="346"/>
      <c r="S309" s="914"/>
      <c r="T309" s="896">
        <f t="shared" si="76"/>
        <v>0</v>
      </c>
      <c r="U309" s="915"/>
      <c r="V309" s="916"/>
      <c r="W309" s="857">
        <f t="shared" si="71"/>
        <v>0</v>
      </c>
      <c r="X309" s="917"/>
      <c r="Y309" s="910">
        <f t="shared" si="75"/>
        <v>0</v>
      </c>
      <c r="Z309" s="664">
        <f t="shared" si="77"/>
        <v>0</v>
      </c>
      <c r="AA309" s="845"/>
      <c r="AB309" s="984"/>
      <c r="AC309" s="981"/>
      <c r="AD309" s="981"/>
      <c r="AE309" s="980">
        <f t="shared" si="72"/>
        <v>0</v>
      </c>
      <c r="AF309" s="879"/>
      <c r="AG309" s="966"/>
      <c r="AH309" s="980">
        <f t="shared" si="73"/>
        <v>0</v>
      </c>
      <c r="AI309" s="980"/>
      <c r="AJ309" s="980">
        <f t="shared" si="78"/>
        <v>0</v>
      </c>
      <c r="AK309" s="879"/>
      <c r="AL309" s="638"/>
      <c r="AM309" s="638"/>
      <c r="AN309" s="222"/>
      <c r="AO309" s="222"/>
      <c r="AP309" s="222"/>
      <c r="AQ309" s="222"/>
      <c r="AR309" s="222"/>
      <c r="AS309" s="222"/>
      <c r="AT309" s="222"/>
      <c r="AU309" s="222"/>
      <c r="AV309" s="222"/>
      <c r="AW309" s="222"/>
      <c r="AX309" s="222"/>
      <c r="AY309" s="222"/>
      <c r="AZ309" s="222"/>
      <c r="BA309" s="222"/>
      <c r="BB309" s="222"/>
      <c r="BC309" s="222"/>
      <c r="BD309" s="222"/>
      <c r="BE309" s="222"/>
      <c r="BF309" s="222"/>
      <c r="BG309" s="222"/>
      <c r="BH309" s="222"/>
      <c r="BI309" s="222"/>
      <c r="BJ309" s="222"/>
      <c r="BK309" s="222"/>
      <c r="BL309" s="222"/>
      <c r="BM309" s="222"/>
      <c r="BN309" s="222"/>
      <c r="BO309" s="222"/>
      <c r="BP309" s="222"/>
      <c r="BQ309" s="222"/>
      <c r="BR309" s="222"/>
      <c r="BS309" s="222"/>
      <c r="BT309" s="222"/>
      <c r="BU309" s="222"/>
      <c r="BV309" s="222"/>
      <c r="BW309" s="222"/>
      <c r="BX309" s="222"/>
      <c r="BY309" s="222"/>
      <c r="BZ309" s="222"/>
      <c r="CA309" s="222"/>
      <c r="CB309" s="222"/>
      <c r="CC309" s="222"/>
    </row>
    <row r="310" spans="1:81" ht="21.6" customHeight="1" x14ac:dyDescent="0.25">
      <c r="A310" s="664">
        <v>44</v>
      </c>
      <c r="B310" s="664" t="s">
        <v>130</v>
      </c>
      <c r="C310" s="664">
        <v>4</v>
      </c>
      <c r="D310" s="1086" t="s">
        <v>157</v>
      </c>
      <c r="E310" s="845"/>
      <c r="F310" s="846" t="s">
        <v>160</v>
      </c>
      <c r="G310" s="836" t="s">
        <v>265</v>
      </c>
      <c r="H310" s="844"/>
      <c r="I310" s="836"/>
      <c r="J310" s="844" t="s">
        <v>403</v>
      </c>
      <c r="K310" s="626" t="s">
        <v>830</v>
      </c>
      <c r="L310" s="893">
        <v>3</v>
      </c>
      <c r="M310" s="893"/>
      <c r="N310" s="893">
        <f t="shared" si="79"/>
        <v>3</v>
      </c>
      <c r="O310" s="856">
        <v>1.32</v>
      </c>
      <c r="P310" s="856"/>
      <c r="Q310" s="856">
        <f t="shared" si="80"/>
        <v>1.32</v>
      </c>
      <c r="R310" s="894"/>
      <c r="S310" s="855"/>
      <c r="T310" s="896">
        <f t="shared" si="76"/>
        <v>0</v>
      </c>
      <c r="U310" s="862"/>
      <c r="V310" s="857">
        <v>19</v>
      </c>
      <c r="W310" s="857">
        <f t="shared" si="71"/>
        <v>1.2666666666666666</v>
      </c>
      <c r="X310" s="863"/>
      <c r="Y310" s="664">
        <f t="shared" si="75"/>
        <v>19</v>
      </c>
      <c r="Z310" s="664">
        <f t="shared" si="77"/>
        <v>1.2666666666666666</v>
      </c>
      <c r="AA310" s="836"/>
      <c r="AB310" s="982"/>
      <c r="AC310" s="867">
        <f>3+3+4+8</f>
        <v>18</v>
      </c>
      <c r="AD310" s="867">
        <f>3+1+4</f>
        <v>8</v>
      </c>
      <c r="AE310" s="979">
        <f t="shared" si="72"/>
        <v>26</v>
      </c>
      <c r="AF310" s="878"/>
      <c r="AG310" s="335">
        <f>19+49+26.5+81</f>
        <v>175.5</v>
      </c>
      <c r="AH310" s="979">
        <f t="shared" si="73"/>
        <v>11.7</v>
      </c>
      <c r="AI310" s="979"/>
      <c r="AJ310" s="979">
        <f t="shared" si="78"/>
        <v>-10.433333333333334</v>
      </c>
      <c r="AK310" s="878"/>
      <c r="AL310" s="618"/>
      <c r="AM310" s="618"/>
    </row>
    <row r="311" spans="1:81" ht="21.6" customHeight="1" x14ac:dyDescent="0.25">
      <c r="A311" s="664">
        <v>45</v>
      </c>
      <c r="B311" s="664" t="s">
        <v>130</v>
      </c>
      <c r="C311" s="664">
        <v>5</v>
      </c>
      <c r="D311" s="1086" t="s">
        <v>157</v>
      </c>
      <c r="E311" s="845"/>
      <c r="F311" s="846" t="s">
        <v>161</v>
      </c>
      <c r="G311" s="836" t="s">
        <v>265</v>
      </c>
      <c r="H311" s="844"/>
      <c r="I311" s="836"/>
      <c r="J311" s="844" t="s">
        <v>265</v>
      </c>
      <c r="K311" s="626" t="s">
        <v>826</v>
      </c>
      <c r="L311" s="893"/>
      <c r="M311" s="893">
        <v>1</v>
      </c>
      <c r="N311" s="893">
        <f t="shared" si="79"/>
        <v>1</v>
      </c>
      <c r="O311" s="856"/>
      <c r="P311" s="856"/>
      <c r="Q311" s="856">
        <f t="shared" si="80"/>
        <v>0</v>
      </c>
      <c r="R311" s="894"/>
      <c r="S311" s="855"/>
      <c r="T311" s="896">
        <f t="shared" si="76"/>
        <v>0</v>
      </c>
      <c r="U311" s="862"/>
      <c r="V311" s="857">
        <v>3</v>
      </c>
      <c r="W311" s="857">
        <f t="shared" si="71"/>
        <v>0.2</v>
      </c>
      <c r="X311" s="863"/>
      <c r="Y311" s="664">
        <f t="shared" si="75"/>
        <v>3</v>
      </c>
      <c r="Z311" s="664">
        <f t="shared" si="77"/>
        <v>0.2</v>
      </c>
      <c r="AA311" s="836"/>
      <c r="AB311" s="982"/>
      <c r="AC311" s="867"/>
      <c r="AD311" s="867">
        <v>1</v>
      </c>
      <c r="AE311" s="979">
        <f t="shared" si="72"/>
        <v>1</v>
      </c>
      <c r="AF311" s="878"/>
      <c r="AG311" s="335">
        <v>3</v>
      </c>
      <c r="AH311" s="979">
        <f t="shared" si="73"/>
        <v>0.2</v>
      </c>
      <c r="AI311" s="979"/>
      <c r="AJ311" s="979">
        <f t="shared" si="78"/>
        <v>0</v>
      </c>
      <c r="AK311" s="878"/>
      <c r="AL311" s="618"/>
      <c r="AM311" s="618"/>
    </row>
    <row r="312" spans="1:81" ht="21.6" customHeight="1" x14ac:dyDescent="0.25">
      <c r="A312" s="664">
        <v>46</v>
      </c>
      <c r="B312" s="664" t="s">
        <v>130</v>
      </c>
      <c r="C312" s="664">
        <v>6</v>
      </c>
      <c r="D312" s="1086" t="s">
        <v>157</v>
      </c>
      <c r="E312" s="845"/>
      <c r="F312" s="846" t="s">
        <v>162</v>
      </c>
      <c r="G312" s="836" t="s">
        <v>265</v>
      </c>
      <c r="H312" s="844"/>
      <c r="I312" s="836"/>
      <c r="J312" s="844" t="s">
        <v>403</v>
      </c>
      <c r="K312" s="626" t="s">
        <v>830</v>
      </c>
      <c r="L312" s="893">
        <v>10</v>
      </c>
      <c r="M312" s="893">
        <v>3</v>
      </c>
      <c r="N312" s="893">
        <f t="shared" si="79"/>
        <v>13</v>
      </c>
      <c r="O312" s="856">
        <v>4.4300000000000006</v>
      </c>
      <c r="P312" s="856"/>
      <c r="Q312" s="856">
        <f t="shared" si="80"/>
        <v>4.4300000000000006</v>
      </c>
      <c r="R312" s="894"/>
      <c r="S312" s="855"/>
      <c r="T312" s="896">
        <f t="shared" si="76"/>
        <v>0</v>
      </c>
      <c r="U312" s="862"/>
      <c r="V312" s="857">
        <v>63</v>
      </c>
      <c r="W312" s="857">
        <f t="shared" si="71"/>
        <v>4.2</v>
      </c>
      <c r="X312" s="863"/>
      <c r="Y312" s="664">
        <f t="shared" si="75"/>
        <v>63</v>
      </c>
      <c r="Z312" s="664">
        <f t="shared" si="77"/>
        <v>4.2</v>
      </c>
      <c r="AA312" s="836"/>
      <c r="AB312" s="982"/>
      <c r="AC312" s="867">
        <v>10</v>
      </c>
      <c r="AD312" s="867">
        <v>3</v>
      </c>
      <c r="AE312" s="979">
        <f t="shared" si="72"/>
        <v>13</v>
      </c>
      <c r="AF312" s="878"/>
      <c r="AG312" s="335">
        <v>63</v>
      </c>
      <c r="AH312" s="979">
        <f t="shared" si="73"/>
        <v>4.2</v>
      </c>
      <c r="AI312" s="979"/>
      <c r="AJ312" s="979">
        <f t="shared" si="78"/>
        <v>0</v>
      </c>
      <c r="AK312" s="878"/>
      <c r="AL312" s="618"/>
      <c r="AM312" s="618"/>
    </row>
    <row r="313" spans="1:81" ht="21.6" customHeight="1" x14ac:dyDescent="0.25">
      <c r="A313" s="664">
        <v>47</v>
      </c>
      <c r="B313" s="664" t="s">
        <v>130</v>
      </c>
      <c r="C313" s="664">
        <v>7</v>
      </c>
      <c r="D313" s="1086" t="s">
        <v>157</v>
      </c>
      <c r="E313" s="845"/>
      <c r="F313" s="846" t="s">
        <v>163</v>
      </c>
      <c r="G313" s="836" t="s">
        <v>265</v>
      </c>
      <c r="H313" s="844"/>
      <c r="I313" s="836"/>
      <c r="J313" s="844" t="s">
        <v>403</v>
      </c>
      <c r="K313" s="626" t="s">
        <v>830</v>
      </c>
      <c r="L313" s="893">
        <v>6</v>
      </c>
      <c r="M313" s="893">
        <v>3</v>
      </c>
      <c r="N313" s="893">
        <f t="shared" si="79"/>
        <v>9</v>
      </c>
      <c r="O313" s="856">
        <v>3.9</v>
      </c>
      <c r="P313" s="856"/>
      <c r="Q313" s="856">
        <f t="shared" si="80"/>
        <v>3.9</v>
      </c>
      <c r="R313" s="894"/>
      <c r="S313" s="855"/>
      <c r="T313" s="896">
        <f t="shared" si="76"/>
        <v>0</v>
      </c>
      <c r="U313" s="862"/>
      <c r="V313" s="857">
        <v>54</v>
      </c>
      <c r="W313" s="857">
        <f t="shared" ref="W313:W380" si="81">V313/15</f>
        <v>3.6</v>
      </c>
      <c r="X313" s="863"/>
      <c r="Y313" s="664">
        <f t="shared" si="75"/>
        <v>54</v>
      </c>
      <c r="Z313" s="664">
        <f t="shared" si="77"/>
        <v>3.6</v>
      </c>
      <c r="AA313" s="836"/>
      <c r="AB313" s="982"/>
      <c r="AC313" s="867">
        <f>6+5</f>
        <v>11</v>
      </c>
      <c r="AD313" s="867">
        <f>3+1</f>
        <v>4</v>
      </c>
      <c r="AE313" s="979">
        <f t="shared" si="72"/>
        <v>15</v>
      </c>
      <c r="AF313" s="878"/>
      <c r="AG313" s="335">
        <f>54</f>
        <v>54</v>
      </c>
      <c r="AH313" s="979">
        <f t="shared" ref="AH313:AH380" si="82">AG313/15</f>
        <v>3.6</v>
      </c>
      <c r="AI313" s="979"/>
      <c r="AJ313" s="979">
        <f t="shared" si="78"/>
        <v>0</v>
      </c>
      <c r="AK313" s="878"/>
      <c r="AL313" s="618"/>
      <c r="AM313" s="618"/>
    </row>
    <row r="314" spans="1:81" ht="21.6" customHeight="1" x14ac:dyDescent="0.25">
      <c r="A314" s="664">
        <v>48</v>
      </c>
      <c r="B314" s="664" t="s">
        <v>130</v>
      </c>
      <c r="C314" s="664">
        <v>8</v>
      </c>
      <c r="D314" s="1086" t="s">
        <v>157</v>
      </c>
      <c r="E314" s="845"/>
      <c r="F314" s="846" t="s">
        <v>164</v>
      </c>
      <c r="G314" s="836" t="s">
        <v>265</v>
      </c>
      <c r="H314" s="844"/>
      <c r="I314" s="836"/>
      <c r="J314" s="844"/>
      <c r="K314" s="626"/>
      <c r="L314" s="893"/>
      <c r="M314" s="893"/>
      <c r="N314" s="893">
        <f t="shared" si="79"/>
        <v>0</v>
      </c>
      <c r="O314" s="856"/>
      <c r="P314" s="856"/>
      <c r="Q314" s="856">
        <f t="shared" si="80"/>
        <v>0</v>
      </c>
      <c r="R314" s="894"/>
      <c r="S314" s="855"/>
      <c r="T314" s="896">
        <f t="shared" si="76"/>
        <v>0</v>
      </c>
      <c r="U314" s="862"/>
      <c r="V314" s="857"/>
      <c r="W314" s="857">
        <f t="shared" si="81"/>
        <v>0</v>
      </c>
      <c r="X314" s="863"/>
      <c r="Y314" s="664">
        <f t="shared" ref="Y314:Y381" si="83">V314+S314</f>
        <v>0</v>
      </c>
      <c r="Z314" s="664">
        <f t="shared" si="77"/>
        <v>0</v>
      </c>
      <c r="AA314" s="836"/>
      <c r="AB314" s="982"/>
      <c r="AC314" s="867">
        <f>18</f>
        <v>18</v>
      </c>
      <c r="AD314" s="867">
        <f>2</f>
        <v>2</v>
      </c>
      <c r="AE314" s="979">
        <f t="shared" si="72"/>
        <v>20</v>
      </c>
      <c r="AF314" s="878"/>
      <c r="AG314" s="335">
        <f>102</f>
        <v>102</v>
      </c>
      <c r="AH314" s="979">
        <f t="shared" si="82"/>
        <v>6.8</v>
      </c>
      <c r="AI314" s="979"/>
      <c r="AJ314" s="979">
        <f t="shared" si="78"/>
        <v>-6.8</v>
      </c>
      <c r="AK314" s="878"/>
      <c r="AL314" s="618"/>
      <c r="AM314" s="618"/>
    </row>
    <row r="315" spans="1:81" ht="21.6" customHeight="1" x14ac:dyDescent="0.25">
      <c r="A315" s="664">
        <v>49</v>
      </c>
      <c r="B315" s="664" t="s">
        <v>130</v>
      </c>
      <c r="C315" s="664">
        <v>9</v>
      </c>
      <c r="D315" s="1086" t="s">
        <v>157</v>
      </c>
      <c r="E315" s="845"/>
      <c r="F315" s="846" t="s">
        <v>165</v>
      </c>
      <c r="G315" s="836" t="s">
        <v>265</v>
      </c>
      <c r="H315" s="844"/>
      <c r="I315" s="836"/>
      <c r="J315" s="844" t="s">
        <v>265</v>
      </c>
      <c r="K315" s="626" t="s">
        <v>826</v>
      </c>
      <c r="L315" s="893">
        <v>4</v>
      </c>
      <c r="M315" s="893">
        <v>1</v>
      </c>
      <c r="N315" s="893">
        <f t="shared" si="79"/>
        <v>5</v>
      </c>
      <c r="O315" s="856">
        <v>1.25</v>
      </c>
      <c r="P315" s="856"/>
      <c r="Q315" s="856">
        <f t="shared" si="80"/>
        <v>1.25</v>
      </c>
      <c r="R315" s="894"/>
      <c r="S315" s="855"/>
      <c r="T315" s="896">
        <f t="shared" ref="T315:T382" si="84">S315/15</f>
        <v>0</v>
      </c>
      <c r="U315" s="862"/>
      <c r="V315" s="857">
        <v>15</v>
      </c>
      <c r="W315" s="857">
        <f t="shared" si="81"/>
        <v>1</v>
      </c>
      <c r="X315" s="863"/>
      <c r="Y315" s="664">
        <f t="shared" si="83"/>
        <v>15</v>
      </c>
      <c r="Z315" s="664">
        <f t="shared" si="77"/>
        <v>1</v>
      </c>
      <c r="AA315" s="836"/>
      <c r="AB315" s="982"/>
      <c r="AC315" s="867">
        <f>4+19+18+19+9+15+20</f>
        <v>104</v>
      </c>
      <c r="AD315" s="867">
        <f>1+1+2+1+0+5+0</f>
        <v>10</v>
      </c>
      <c r="AE315" s="979">
        <f t="shared" ref="AE315:AE382" si="85">AC315+AD315</f>
        <v>114</v>
      </c>
      <c r="AF315" s="878"/>
      <c r="AG315" s="335">
        <f>15+117.5+136.5+128+62.5+130+145.5</f>
        <v>735</v>
      </c>
      <c r="AH315" s="979">
        <f t="shared" si="82"/>
        <v>49</v>
      </c>
      <c r="AI315" s="979"/>
      <c r="AJ315" s="979">
        <f t="shared" si="78"/>
        <v>-48</v>
      </c>
      <c r="AK315" s="878"/>
      <c r="AL315" s="618"/>
      <c r="AM315" s="618"/>
    </row>
    <row r="316" spans="1:81" ht="21.6" customHeight="1" x14ac:dyDescent="0.25">
      <c r="A316" s="664">
        <v>50</v>
      </c>
      <c r="B316" s="664" t="s">
        <v>130</v>
      </c>
      <c r="C316" s="664">
        <v>10</v>
      </c>
      <c r="D316" s="1086" t="s">
        <v>157</v>
      </c>
      <c r="E316" s="845"/>
      <c r="F316" s="846" t="s">
        <v>166</v>
      </c>
      <c r="G316" s="836" t="s">
        <v>265</v>
      </c>
      <c r="H316" s="844"/>
      <c r="I316" s="836"/>
      <c r="J316" s="844" t="s">
        <v>265</v>
      </c>
      <c r="K316" s="626" t="s">
        <v>826</v>
      </c>
      <c r="L316" s="893">
        <v>4</v>
      </c>
      <c r="M316" s="893">
        <v>1</v>
      </c>
      <c r="N316" s="893">
        <f t="shared" si="79"/>
        <v>5</v>
      </c>
      <c r="O316" s="856">
        <v>2.1</v>
      </c>
      <c r="P316" s="856"/>
      <c r="Q316" s="856">
        <f t="shared" si="80"/>
        <v>2.1</v>
      </c>
      <c r="R316" s="894"/>
      <c r="S316" s="855"/>
      <c r="T316" s="896">
        <f t="shared" si="84"/>
        <v>0</v>
      </c>
      <c r="U316" s="862"/>
      <c r="V316" s="857">
        <v>28</v>
      </c>
      <c r="W316" s="857">
        <f t="shared" si="81"/>
        <v>1.8666666666666667</v>
      </c>
      <c r="X316" s="863"/>
      <c r="Y316" s="664">
        <f t="shared" si="83"/>
        <v>28</v>
      </c>
      <c r="Z316" s="664">
        <f t="shared" ref="Z316:Z383" si="86">W316+T316</f>
        <v>1.8666666666666667</v>
      </c>
      <c r="AA316" s="836"/>
      <c r="AB316" s="982"/>
      <c r="AC316" s="867">
        <v>4</v>
      </c>
      <c r="AD316" s="867">
        <v>1</v>
      </c>
      <c r="AE316" s="979">
        <f t="shared" si="85"/>
        <v>5</v>
      </c>
      <c r="AF316" s="878"/>
      <c r="AG316" s="335">
        <v>28</v>
      </c>
      <c r="AH316" s="979">
        <f t="shared" si="82"/>
        <v>1.8666666666666667</v>
      </c>
      <c r="AI316" s="979"/>
      <c r="AJ316" s="979">
        <f t="shared" si="78"/>
        <v>0</v>
      </c>
      <c r="AK316" s="878"/>
      <c r="AL316" s="618"/>
      <c r="AM316" s="618"/>
    </row>
    <row r="317" spans="1:81" ht="21.6" customHeight="1" x14ac:dyDescent="0.25">
      <c r="A317" s="664">
        <v>51</v>
      </c>
      <c r="B317" s="664" t="s">
        <v>130</v>
      </c>
      <c r="C317" s="664">
        <v>11</v>
      </c>
      <c r="D317" s="1086" t="s">
        <v>157</v>
      </c>
      <c r="E317" s="845"/>
      <c r="F317" s="846" t="s">
        <v>167</v>
      </c>
      <c r="G317" s="836" t="s">
        <v>265</v>
      </c>
      <c r="H317" s="844"/>
      <c r="I317" s="836"/>
      <c r="J317" s="844" t="s">
        <v>403</v>
      </c>
      <c r="K317" s="626" t="s">
        <v>830</v>
      </c>
      <c r="L317" s="893">
        <v>20</v>
      </c>
      <c r="M317" s="893">
        <v>3</v>
      </c>
      <c r="N317" s="893">
        <f t="shared" si="79"/>
        <v>23</v>
      </c>
      <c r="O317" s="856">
        <v>7.93</v>
      </c>
      <c r="P317" s="856"/>
      <c r="Q317" s="856">
        <f t="shared" si="80"/>
        <v>7.93</v>
      </c>
      <c r="R317" s="894"/>
      <c r="S317" s="855"/>
      <c r="T317" s="896">
        <f t="shared" si="84"/>
        <v>0</v>
      </c>
      <c r="U317" s="862"/>
      <c r="V317" s="857">
        <v>109</v>
      </c>
      <c r="W317" s="857">
        <f t="shared" si="81"/>
        <v>7.2666666666666666</v>
      </c>
      <c r="X317" s="863"/>
      <c r="Y317" s="664">
        <f t="shared" si="83"/>
        <v>109</v>
      </c>
      <c r="Z317" s="664">
        <f t="shared" si="86"/>
        <v>7.2666666666666666</v>
      </c>
      <c r="AA317" s="836"/>
      <c r="AB317" s="982"/>
      <c r="AC317" s="867">
        <v>20</v>
      </c>
      <c r="AD317" s="867">
        <v>3</v>
      </c>
      <c r="AE317" s="979">
        <f t="shared" si="85"/>
        <v>23</v>
      </c>
      <c r="AF317" s="878"/>
      <c r="AG317" s="335">
        <v>109</v>
      </c>
      <c r="AH317" s="979">
        <f t="shared" si="82"/>
        <v>7.2666666666666666</v>
      </c>
      <c r="AI317" s="979"/>
      <c r="AJ317" s="979">
        <f t="shared" si="78"/>
        <v>0</v>
      </c>
      <c r="AK317" s="878"/>
      <c r="AL317" s="618"/>
      <c r="AM317" s="618"/>
    </row>
    <row r="318" spans="1:81" ht="21.6" customHeight="1" x14ac:dyDescent="0.25">
      <c r="A318" s="664">
        <v>53</v>
      </c>
      <c r="B318" s="664" t="s">
        <v>130</v>
      </c>
      <c r="C318" s="664">
        <v>13</v>
      </c>
      <c r="D318" s="1086" t="s">
        <v>157</v>
      </c>
      <c r="E318" s="845"/>
      <c r="F318" s="846" t="s">
        <v>168</v>
      </c>
      <c r="G318" s="836" t="s">
        <v>265</v>
      </c>
      <c r="H318" s="844"/>
      <c r="I318" s="625"/>
      <c r="J318" s="844"/>
      <c r="K318" s="626"/>
      <c r="L318" s="893"/>
      <c r="M318" s="893"/>
      <c r="N318" s="893">
        <f t="shared" si="79"/>
        <v>0</v>
      </c>
      <c r="O318" s="856"/>
      <c r="P318" s="856"/>
      <c r="Q318" s="856">
        <f t="shared" si="80"/>
        <v>0</v>
      </c>
      <c r="R318" s="894"/>
      <c r="S318" s="855"/>
      <c r="T318" s="896">
        <f t="shared" si="84"/>
        <v>0</v>
      </c>
      <c r="U318" s="862"/>
      <c r="V318" s="857"/>
      <c r="W318" s="857">
        <f t="shared" si="81"/>
        <v>0</v>
      </c>
      <c r="X318" s="863"/>
      <c r="Y318" s="664">
        <f t="shared" si="83"/>
        <v>0</v>
      </c>
      <c r="Z318" s="664">
        <f t="shared" si="86"/>
        <v>0</v>
      </c>
      <c r="AA318" s="836"/>
      <c r="AB318" s="982"/>
      <c r="AC318" s="867"/>
      <c r="AD318" s="867"/>
      <c r="AE318" s="979">
        <f t="shared" si="85"/>
        <v>0</v>
      </c>
      <c r="AF318" s="878"/>
      <c r="AG318" s="335"/>
      <c r="AH318" s="979">
        <f t="shared" si="82"/>
        <v>0</v>
      </c>
      <c r="AI318" s="979"/>
      <c r="AJ318" s="979">
        <f t="shared" si="78"/>
        <v>0</v>
      </c>
      <c r="AK318" s="878"/>
      <c r="AL318" s="618"/>
      <c r="AM318" s="618"/>
    </row>
    <row r="319" spans="1:81" ht="21.6" customHeight="1" x14ac:dyDescent="0.25">
      <c r="A319" s="664">
        <v>54</v>
      </c>
      <c r="B319" s="664" t="s">
        <v>130</v>
      </c>
      <c r="C319" s="664">
        <v>14</v>
      </c>
      <c r="D319" s="1086" t="s">
        <v>157</v>
      </c>
      <c r="E319" s="845"/>
      <c r="F319" s="846" t="s">
        <v>169</v>
      </c>
      <c r="G319" s="836" t="s">
        <v>265</v>
      </c>
      <c r="H319" s="844"/>
      <c r="I319" s="836"/>
      <c r="J319" s="844" t="s">
        <v>265</v>
      </c>
      <c r="K319" s="626" t="s">
        <v>826</v>
      </c>
      <c r="L319" s="893"/>
      <c r="M319" s="893">
        <v>2</v>
      </c>
      <c r="N319" s="893">
        <f t="shared" si="79"/>
        <v>2</v>
      </c>
      <c r="O319" s="856">
        <v>1.75</v>
      </c>
      <c r="P319" s="856"/>
      <c r="Q319" s="856">
        <f t="shared" si="80"/>
        <v>1.75</v>
      </c>
      <c r="R319" s="894"/>
      <c r="S319" s="855"/>
      <c r="T319" s="896">
        <f t="shared" si="84"/>
        <v>0</v>
      </c>
      <c r="U319" s="862"/>
      <c r="V319" s="857">
        <v>24</v>
      </c>
      <c r="W319" s="857">
        <f t="shared" si="81"/>
        <v>1.6</v>
      </c>
      <c r="X319" s="863"/>
      <c r="Y319" s="664">
        <f t="shared" si="83"/>
        <v>24</v>
      </c>
      <c r="Z319" s="664">
        <f t="shared" si="86"/>
        <v>1.6</v>
      </c>
      <c r="AA319" s="836"/>
      <c r="AB319" s="982"/>
      <c r="AC319" s="867"/>
      <c r="AD319" s="867">
        <v>2</v>
      </c>
      <c r="AE319" s="979">
        <f t="shared" si="85"/>
        <v>2</v>
      </c>
      <c r="AF319" s="878"/>
      <c r="AG319" s="335">
        <v>24</v>
      </c>
      <c r="AH319" s="979">
        <f t="shared" si="82"/>
        <v>1.6</v>
      </c>
      <c r="AI319" s="979"/>
      <c r="AJ319" s="979">
        <f t="shared" si="78"/>
        <v>0</v>
      </c>
      <c r="AK319" s="878"/>
      <c r="AL319" s="618"/>
      <c r="AM319" s="618"/>
    </row>
    <row r="320" spans="1:81" ht="21.6" customHeight="1" x14ac:dyDescent="0.25">
      <c r="A320" s="664">
        <v>55</v>
      </c>
      <c r="B320" s="664" t="s">
        <v>130</v>
      </c>
      <c r="C320" s="664">
        <v>15</v>
      </c>
      <c r="D320" s="1086" t="s">
        <v>157</v>
      </c>
      <c r="E320" s="845"/>
      <c r="F320" s="846" t="s">
        <v>170</v>
      </c>
      <c r="G320" s="836" t="s">
        <v>265</v>
      </c>
      <c r="H320" s="844"/>
      <c r="I320" s="836"/>
      <c r="J320" s="844" t="s">
        <v>265</v>
      </c>
      <c r="K320" s="626" t="s">
        <v>826</v>
      </c>
      <c r="L320" s="893">
        <v>4</v>
      </c>
      <c r="M320" s="893">
        <v>4</v>
      </c>
      <c r="N320" s="893">
        <f t="shared" si="79"/>
        <v>8</v>
      </c>
      <c r="O320" s="856">
        <v>3.15</v>
      </c>
      <c r="P320" s="856"/>
      <c r="Q320" s="856">
        <f t="shared" si="80"/>
        <v>3.15</v>
      </c>
      <c r="R320" s="894"/>
      <c r="S320" s="855"/>
      <c r="T320" s="896">
        <f t="shared" si="84"/>
        <v>0</v>
      </c>
      <c r="U320" s="862"/>
      <c r="V320" s="857">
        <v>40</v>
      </c>
      <c r="W320" s="857">
        <f t="shared" si="81"/>
        <v>2.6666666666666665</v>
      </c>
      <c r="X320" s="863"/>
      <c r="Y320" s="664">
        <f t="shared" si="83"/>
        <v>40</v>
      </c>
      <c r="Z320" s="664">
        <f t="shared" si="86"/>
        <v>2.6666666666666665</v>
      </c>
      <c r="AA320" s="836"/>
      <c r="AB320" s="982"/>
      <c r="AC320" s="867">
        <v>4</v>
      </c>
      <c r="AD320" s="867">
        <v>4</v>
      </c>
      <c r="AE320" s="979">
        <f t="shared" si="85"/>
        <v>8</v>
      </c>
      <c r="AF320" s="878"/>
      <c r="AG320" s="335">
        <v>40</v>
      </c>
      <c r="AH320" s="979">
        <f t="shared" si="82"/>
        <v>2.6666666666666665</v>
      </c>
      <c r="AI320" s="979"/>
      <c r="AJ320" s="979">
        <f t="shared" si="78"/>
        <v>0</v>
      </c>
      <c r="AK320" s="878"/>
      <c r="AL320" s="618"/>
      <c r="AM320" s="618"/>
    </row>
    <row r="321" spans="1:81" ht="21.6" customHeight="1" x14ac:dyDescent="0.25">
      <c r="A321" s="664">
        <v>56</v>
      </c>
      <c r="B321" s="664" t="s">
        <v>130</v>
      </c>
      <c r="C321" s="664">
        <v>16</v>
      </c>
      <c r="D321" s="1086" t="s">
        <v>157</v>
      </c>
      <c r="E321" s="845"/>
      <c r="F321" s="846" t="s">
        <v>171</v>
      </c>
      <c r="G321" s="836" t="s">
        <v>265</v>
      </c>
      <c r="H321" s="844"/>
      <c r="I321" s="836"/>
      <c r="J321" s="844" t="s">
        <v>403</v>
      </c>
      <c r="K321" s="626" t="s">
        <v>830</v>
      </c>
      <c r="L321" s="893">
        <v>21</v>
      </c>
      <c r="M321" s="893">
        <v>13</v>
      </c>
      <c r="N321" s="893">
        <f t="shared" si="79"/>
        <v>34</v>
      </c>
      <c r="O321" s="856">
        <v>13.43</v>
      </c>
      <c r="P321" s="856"/>
      <c r="Q321" s="856">
        <f t="shared" si="80"/>
        <v>13.43</v>
      </c>
      <c r="R321" s="894"/>
      <c r="S321" s="855"/>
      <c r="T321" s="896">
        <f t="shared" si="84"/>
        <v>0</v>
      </c>
      <c r="U321" s="862"/>
      <c r="V321" s="857">
        <v>191</v>
      </c>
      <c r="W321" s="857">
        <f t="shared" si="81"/>
        <v>12.733333333333333</v>
      </c>
      <c r="X321" s="863"/>
      <c r="Y321" s="664">
        <f t="shared" si="83"/>
        <v>191</v>
      </c>
      <c r="Z321" s="664">
        <f t="shared" si="86"/>
        <v>12.733333333333333</v>
      </c>
      <c r="AA321" s="836"/>
      <c r="AB321" s="982"/>
      <c r="AC321" s="867">
        <v>21</v>
      </c>
      <c r="AD321" s="867">
        <v>13</v>
      </c>
      <c r="AE321" s="979">
        <f t="shared" si="85"/>
        <v>34</v>
      </c>
      <c r="AF321" s="878"/>
      <c r="AG321" s="335">
        <v>191</v>
      </c>
      <c r="AH321" s="979">
        <f t="shared" si="82"/>
        <v>12.733333333333333</v>
      </c>
      <c r="AI321" s="979"/>
      <c r="AJ321" s="979">
        <f t="shared" si="78"/>
        <v>0</v>
      </c>
      <c r="AK321" s="878"/>
      <c r="AL321" s="618"/>
      <c r="AM321" s="618"/>
    </row>
    <row r="322" spans="1:81" ht="21.6" customHeight="1" x14ac:dyDescent="0.25">
      <c r="A322" s="664">
        <v>57</v>
      </c>
      <c r="B322" s="664" t="s">
        <v>130</v>
      </c>
      <c r="C322" s="664">
        <v>17</v>
      </c>
      <c r="D322" s="1086" t="s">
        <v>157</v>
      </c>
      <c r="E322" s="845"/>
      <c r="F322" s="846" t="s">
        <v>172</v>
      </c>
      <c r="G322" s="836" t="s">
        <v>265</v>
      </c>
      <c r="H322" s="844"/>
      <c r="I322" s="836"/>
      <c r="J322" s="844" t="s">
        <v>265</v>
      </c>
      <c r="K322" s="626" t="s">
        <v>826</v>
      </c>
      <c r="L322" s="893">
        <v>2</v>
      </c>
      <c r="M322" s="893">
        <v>1</v>
      </c>
      <c r="N322" s="893">
        <f t="shared" si="79"/>
        <v>3</v>
      </c>
      <c r="O322" s="856">
        <v>0.75</v>
      </c>
      <c r="P322" s="856"/>
      <c r="Q322" s="856">
        <f t="shared" si="80"/>
        <v>0.75</v>
      </c>
      <c r="R322" s="894"/>
      <c r="S322" s="855"/>
      <c r="T322" s="896">
        <f t="shared" si="84"/>
        <v>0</v>
      </c>
      <c r="U322" s="862"/>
      <c r="V322" s="857">
        <v>9</v>
      </c>
      <c r="W322" s="857">
        <f t="shared" si="81"/>
        <v>0.6</v>
      </c>
      <c r="X322" s="863"/>
      <c r="Y322" s="664">
        <f t="shared" si="83"/>
        <v>9</v>
      </c>
      <c r="Z322" s="664">
        <f t="shared" si="86"/>
        <v>0.6</v>
      </c>
      <c r="AA322" s="836"/>
      <c r="AB322" s="982"/>
      <c r="AC322" s="867">
        <v>2</v>
      </c>
      <c r="AD322" s="867">
        <v>1</v>
      </c>
      <c r="AE322" s="979">
        <f t="shared" si="85"/>
        <v>3</v>
      </c>
      <c r="AF322" s="878"/>
      <c r="AG322" s="335">
        <v>9</v>
      </c>
      <c r="AH322" s="979">
        <f t="shared" si="82"/>
        <v>0.6</v>
      </c>
      <c r="AI322" s="979"/>
      <c r="AJ322" s="979">
        <f t="shared" si="78"/>
        <v>0</v>
      </c>
      <c r="AK322" s="878"/>
      <c r="AL322" s="618"/>
      <c r="AM322" s="618"/>
    </row>
    <row r="323" spans="1:81" ht="21.6" customHeight="1" x14ac:dyDescent="0.25">
      <c r="A323" s="664"/>
      <c r="B323" s="664"/>
      <c r="C323" s="664"/>
      <c r="D323" s="1086" t="s">
        <v>157</v>
      </c>
      <c r="E323" s="845"/>
      <c r="F323" s="846" t="s">
        <v>359</v>
      </c>
      <c r="G323" s="836" t="s">
        <v>276</v>
      </c>
      <c r="H323" s="844"/>
      <c r="I323" s="836"/>
      <c r="J323" s="844" t="s">
        <v>403</v>
      </c>
      <c r="K323" s="626" t="s">
        <v>830</v>
      </c>
      <c r="L323" s="893">
        <v>38</v>
      </c>
      <c r="M323" s="893">
        <v>5</v>
      </c>
      <c r="N323" s="893">
        <f t="shared" si="79"/>
        <v>43</v>
      </c>
      <c r="O323" s="856">
        <v>16.850000000000001</v>
      </c>
      <c r="P323" s="856"/>
      <c r="Q323" s="856">
        <f t="shared" si="80"/>
        <v>16.850000000000001</v>
      </c>
      <c r="R323" s="894"/>
      <c r="S323" s="855"/>
      <c r="T323" s="896">
        <f t="shared" si="84"/>
        <v>0</v>
      </c>
      <c r="U323" s="862"/>
      <c r="V323" s="857">
        <v>222</v>
      </c>
      <c r="W323" s="857">
        <f t="shared" si="81"/>
        <v>14.8</v>
      </c>
      <c r="X323" s="863"/>
      <c r="Y323" s="664">
        <f t="shared" si="83"/>
        <v>222</v>
      </c>
      <c r="Z323" s="664">
        <f t="shared" si="86"/>
        <v>14.8</v>
      </c>
      <c r="AA323" s="836"/>
      <c r="AB323" s="982"/>
      <c r="AC323" s="867">
        <v>38</v>
      </c>
      <c r="AD323" s="867">
        <v>5</v>
      </c>
      <c r="AE323" s="979">
        <f t="shared" si="85"/>
        <v>43</v>
      </c>
      <c r="AF323" s="878"/>
      <c r="AG323" s="335">
        <v>222</v>
      </c>
      <c r="AH323" s="979">
        <f t="shared" si="82"/>
        <v>14.8</v>
      </c>
      <c r="AI323" s="979"/>
      <c r="AJ323" s="979">
        <f t="shared" si="78"/>
        <v>0</v>
      </c>
      <c r="AK323" s="878"/>
      <c r="AL323" s="618"/>
      <c r="AM323" s="618"/>
    </row>
    <row r="324" spans="1:81" ht="21.6" customHeight="1" x14ac:dyDescent="0.25">
      <c r="A324" s="664">
        <v>58</v>
      </c>
      <c r="B324" s="664" t="s">
        <v>130</v>
      </c>
      <c r="C324" s="664">
        <v>18</v>
      </c>
      <c r="D324" s="1086" t="s">
        <v>157</v>
      </c>
      <c r="E324" s="845"/>
      <c r="F324" s="846" t="s">
        <v>173</v>
      </c>
      <c r="G324" s="836" t="s">
        <v>265</v>
      </c>
      <c r="H324" s="844"/>
      <c r="I324" s="836"/>
      <c r="J324" s="844"/>
      <c r="K324" s="626"/>
      <c r="L324" s="893"/>
      <c r="M324" s="893"/>
      <c r="N324" s="893">
        <f t="shared" si="79"/>
        <v>0</v>
      </c>
      <c r="O324" s="856"/>
      <c r="P324" s="856"/>
      <c r="Q324" s="856">
        <f t="shared" si="80"/>
        <v>0</v>
      </c>
      <c r="R324" s="894"/>
      <c r="S324" s="855"/>
      <c r="T324" s="896">
        <f t="shared" si="84"/>
        <v>0</v>
      </c>
      <c r="U324" s="862"/>
      <c r="V324" s="857"/>
      <c r="W324" s="857">
        <f t="shared" si="81"/>
        <v>0</v>
      </c>
      <c r="X324" s="863"/>
      <c r="Y324" s="664">
        <f t="shared" si="83"/>
        <v>0</v>
      </c>
      <c r="Z324" s="664">
        <f t="shared" si="86"/>
        <v>0</v>
      </c>
      <c r="AA324" s="836"/>
      <c r="AB324" s="982"/>
      <c r="AC324" s="867"/>
      <c r="AD324" s="867"/>
      <c r="AE324" s="979">
        <f t="shared" si="85"/>
        <v>0</v>
      </c>
      <c r="AF324" s="878"/>
      <c r="AG324" s="335"/>
      <c r="AH324" s="979">
        <f t="shared" si="82"/>
        <v>0</v>
      </c>
      <c r="AI324" s="979"/>
      <c r="AJ324" s="979">
        <f t="shared" si="78"/>
        <v>0</v>
      </c>
      <c r="AK324" s="878"/>
      <c r="AL324" s="618"/>
      <c r="AM324" s="618"/>
    </row>
    <row r="325" spans="1:81" ht="21.6" customHeight="1" x14ac:dyDescent="0.25">
      <c r="A325" s="664">
        <v>59</v>
      </c>
      <c r="B325" s="664" t="s">
        <v>130</v>
      </c>
      <c r="C325" s="664">
        <v>19</v>
      </c>
      <c r="D325" s="1086" t="s">
        <v>157</v>
      </c>
      <c r="E325" s="845"/>
      <c r="F325" s="846" t="s">
        <v>174</v>
      </c>
      <c r="G325" s="836" t="s">
        <v>265</v>
      </c>
      <c r="H325" s="844"/>
      <c r="I325" s="836"/>
      <c r="J325" s="844" t="s">
        <v>403</v>
      </c>
      <c r="K325" s="626" t="s">
        <v>860</v>
      </c>
      <c r="L325" s="893">
        <v>4</v>
      </c>
      <c r="M325" s="893"/>
      <c r="N325" s="893">
        <f t="shared" si="79"/>
        <v>4</v>
      </c>
      <c r="O325" s="856">
        <v>1.1499999999999999</v>
      </c>
      <c r="P325" s="856"/>
      <c r="Q325" s="856">
        <f t="shared" si="80"/>
        <v>1.1499999999999999</v>
      </c>
      <c r="R325" s="894"/>
      <c r="S325" s="855"/>
      <c r="T325" s="896">
        <f t="shared" si="84"/>
        <v>0</v>
      </c>
      <c r="U325" s="862"/>
      <c r="V325" s="857">
        <v>16</v>
      </c>
      <c r="W325" s="857">
        <f t="shared" si="81"/>
        <v>1.0666666666666667</v>
      </c>
      <c r="X325" s="863"/>
      <c r="Y325" s="664">
        <f t="shared" si="83"/>
        <v>16</v>
      </c>
      <c r="Z325" s="664">
        <f t="shared" si="86"/>
        <v>1.0666666666666667</v>
      </c>
      <c r="AA325" s="836"/>
      <c r="AB325" s="982"/>
      <c r="AC325" s="867">
        <v>4</v>
      </c>
      <c r="AD325" s="867">
        <v>0</v>
      </c>
      <c r="AE325" s="979">
        <f t="shared" si="85"/>
        <v>4</v>
      </c>
      <c r="AF325" s="878"/>
      <c r="AG325" s="335">
        <v>16</v>
      </c>
      <c r="AH325" s="979">
        <f t="shared" si="82"/>
        <v>1.0666666666666667</v>
      </c>
      <c r="AI325" s="979"/>
      <c r="AJ325" s="979">
        <f t="shared" si="78"/>
        <v>0</v>
      </c>
      <c r="AK325" s="878"/>
      <c r="AL325" s="618"/>
      <c r="AM325" s="618"/>
    </row>
    <row r="326" spans="1:81" ht="21.6" customHeight="1" x14ac:dyDescent="0.25">
      <c r="A326" s="664">
        <v>60</v>
      </c>
      <c r="B326" s="664" t="s">
        <v>130</v>
      </c>
      <c r="C326" s="664">
        <v>20</v>
      </c>
      <c r="D326" s="1086" t="s">
        <v>157</v>
      </c>
      <c r="E326" s="845"/>
      <c r="F326" s="846" t="s">
        <v>175</v>
      </c>
      <c r="G326" s="836" t="s">
        <v>265</v>
      </c>
      <c r="H326" s="844"/>
      <c r="I326" s="836"/>
      <c r="J326" s="844" t="s">
        <v>265</v>
      </c>
      <c r="K326" s="626" t="s">
        <v>830</v>
      </c>
      <c r="L326" s="893">
        <v>23</v>
      </c>
      <c r="M326" s="893">
        <v>8</v>
      </c>
      <c r="N326" s="893">
        <f t="shared" si="79"/>
        <v>31</v>
      </c>
      <c r="O326" s="856">
        <v>11.23</v>
      </c>
      <c r="P326" s="856"/>
      <c r="Q326" s="856">
        <f t="shared" si="80"/>
        <v>11.23</v>
      </c>
      <c r="R326" s="894"/>
      <c r="S326" s="855"/>
      <c r="T326" s="896">
        <f t="shared" si="84"/>
        <v>0</v>
      </c>
      <c r="U326" s="862"/>
      <c r="V326" s="857">
        <v>158</v>
      </c>
      <c r="W326" s="857">
        <f t="shared" si="81"/>
        <v>10.533333333333333</v>
      </c>
      <c r="X326" s="863"/>
      <c r="Y326" s="664">
        <f t="shared" si="83"/>
        <v>158</v>
      </c>
      <c r="Z326" s="664">
        <f t="shared" si="86"/>
        <v>10.533333333333333</v>
      </c>
      <c r="AA326" s="836"/>
      <c r="AB326" s="982"/>
      <c r="AC326" s="867">
        <v>23</v>
      </c>
      <c r="AD326" s="867">
        <v>8</v>
      </c>
      <c r="AE326" s="979">
        <f t="shared" si="85"/>
        <v>31</v>
      </c>
      <c r="AF326" s="878"/>
      <c r="AG326" s="335">
        <v>158</v>
      </c>
      <c r="AH326" s="979">
        <f t="shared" si="82"/>
        <v>10.533333333333333</v>
      </c>
      <c r="AI326" s="979"/>
      <c r="AJ326" s="979">
        <f t="shared" si="78"/>
        <v>0</v>
      </c>
      <c r="AK326" s="878"/>
      <c r="AL326" s="618"/>
      <c r="AM326" s="618"/>
    </row>
    <row r="327" spans="1:81" ht="21.6" customHeight="1" x14ac:dyDescent="0.25">
      <c r="A327" s="664"/>
      <c r="B327" s="664"/>
      <c r="C327" s="664"/>
      <c r="D327" s="1086"/>
      <c r="E327" s="845"/>
      <c r="F327" s="846"/>
      <c r="G327" s="836"/>
      <c r="H327" s="844"/>
      <c r="I327" s="836"/>
      <c r="J327" s="844"/>
      <c r="K327" s="626"/>
      <c r="L327" s="893"/>
      <c r="M327" s="893"/>
      <c r="N327" s="893">
        <f t="shared" si="79"/>
        <v>0</v>
      </c>
      <c r="O327" s="856"/>
      <c r="P327" s="856"/>
      <c r="Q327" s="856">
        <f t="shared" si="80"/>
        <v>0</v>
      </c>
      <c r="R327" s="894"/>
      <c r="S327" s="855"/>
      <c r="T327" s="896">
        <f t="shared" si="84"/>
        <v>0</v>
      </c>
      <c r="U327" s="862"/>
      <c r="V327" s="857"/>
      <c r="W327" s="857">
        <f t="shared" si="81"/>
        <v>0</v>
      </c>
      <c r="X327" s="863"/>
      <c r="Y327" s="664">
        <f t="shared" si="83"/>
        <v>0</v>
      </c>
      <c r="Z327" s="664">
        <f t="shared" si="86"/>
        <v>0</v>
      </c>
      <c r="AA327" s="836"/>
      <c r="AB327" s="982"/>
      <c r="AC327" s="867"/>
      <c r="AD327" s="867"/>
      <c r="AE327" s="979">
        <f t="shared" si="85"/>
        <v>0</v>
      </c>
      <c r="AF327" s="878"/>
      <c r="AG327" s="335"/>
      <c r="AH327" s="979">
        <f t="shared" si="82"/>
        <v>0</v>
      </c>
      <c r="AI327" s="979"/>
      <c r="AJ327" s="979">
        <f t="shared" si="78"/>
        <v>0</v>
      </c>
      <c r="AK327" s="878"/>
      <c r="AL327" s="618"/>
      <c r="AM327" s="618"/>
    </row>
    <row r="328" spans="1:81" s="641" customFormat="1" ht="27.75" customHeight="1" x14ac:dyDescent="0.25">
      <c r="A328" s="836"/>
      <c r="B328" s="836"/>
      <c r="C328" s="836"/>
      <c r="D328" s="1086" t="s">
        <v>176</v>
      </c>
      <c r="E328" s="845"/>
      <c r="F328" s="846" t="s">
        <v>506</v>
      </c>
      <c r="G328" s="836" t="s">
        <v>276</v>
      </c>
      <c r="H328" s="844"/>
      <c r="I328" s="836"/>
      <c r="J328" s="844"/>
      <c r="K328" s="626"/>
      <c r="L328" s="890"/>
      <c r="M328" s="890"/>
      <c r="N328" s="890">
        <f t="shared" si="79"/>
        <v>0</v>
      </c>
      <c r="O328" s="467"/>
      <c r="P328" s="467"/>
      <c r="Q328" s="467">
        <f>P328+O328</f>
        <v>0</v>
      </c>
      <c r="R328" s="625"/>
      <c r="S328" s="842">
        <v>102</v>
      </c>
      <c r="T328" s="862">
        <f t="shared" si="84"/>
        <v>6.8</v>
      </c>
      <c r="U328" s="862">
        <f>SUM(T328:T355)</f>
        <v>6.8</v>
      </c>
      <c r="V328" s="863"/>
      <c r="W328" s="857">
        <f t="shared" si="81"/>
        <v>0</v>
      </c>
      <c r="X328" s="863">
        <f>SUM(W328:W355)</f>
        <v>393.2</v>
      </c>
      <c r="Y328" s="891">
        <f t="shared" si="83"/>
        <v>102</v>
      </c>
      <c r="Z328" s="664">
        <f t="shared" si="86"/>
        <v>6.8</v>
      </c>
      <c r="AA328" s="836">
        <f>SUM(Z328:Z355)</f>
        <v>399.99999999999994</v>
      </c>
      <c r="AB328" s="982">
        <v>400</v>
      </c>
      <c r="AC328" s="867">
        <f>2</f>
        <v>2</v>
      </c>
      <c r="AD328" s="867">
        <f>3</f>
        <v>3</v>
      </c>
      <c r="AE328" s="979">
        <f t="shared" si="85"/>
        <v>5</v>
      </c>
      <c r="AF328" s="878">
        <f>SUM(AE328:AE355)</f>
        <v>334</v>
      </c>
      <c r="AG328" s="335">
        <f>75</f>
        <v>75</v>
      </c>
      <c r="AH328" s="979">
        <f t="shared" si="82"/>
        <v>5</v>
      </c>
      <c r="AI328" s="979">
        <f>SUM(AH328:AH355)</f>
        <v>371.9666666666667</v>
      </c>
      <c r="AJ328" s="979">
        <f t="shared" si="78"/>
        <v>1.7999999999999998</v>
      </c>
      <c r="AK328" s="878">
        <f>SUM(AJ328:AJ355)</f>
        <v>-1.9666666666666677</v>
      </c>
      <c r="AL328" s="648">
        <f>400-X328</f>
        <v>6.8000000000000114</v>
      </c>
      <c r="AM328" s="648"/>
      <c r="AN328" s="647"/>
      <c r="AO328" s="647"/>
      <c r="AP328" s="647"/>
      <c r="AQ328" s="647"/>
      <c r="AR328" s="647"/>
      <c r="AS328" s="647"/>
      <c r="AT328" s="647"/>
      <c r="AU328" s="647"/>
      <c r="AV328" s="647"/>
      <c r="AW328" s="647"/>
      <c r="AX328" s="647"/>
      <c r="AY328" s="647"/>
      <c r="AZ328" s="647"/>
      <c r="BA328" s="647"/>
      <c r="BB328" s="647"/>
      <c r="BC328" s="647"/>
      <c r="BD328" s="647"/>
      <c r="BE328" s="647"/>
      <c r="BF328" s="647"/>
      <c r="BG328" s="647"/>
      <c r="BH328" s="647"/>
      <c r="BI328" s="647"/>
      <c r="BJ328" s="647"/>
      <c r="BK328" s="647"/>
      <c r="BL328" s="647"/>
      <c r="BM328" s="647"/>
      <c r="BN328" s="647"/>
      <c r="BO328" s="647"/>
      <c r="BP328" s="647"/>
      <c r="BQ328" s="647"/>
      <c r="BR328" s="647"/>
      <c r="BS328" s="647"/>
      <c r="BT328" s="647"/>
      <c r="BU328" s="647"/>
      <c r="BV328" s="647"/>
      <c r="BW328" s="647"/>
      <c r="BX328" s="647"/>
      <c r="BY328" s="647"/>
      <c r="BZ328" s="647"/>
      <c r="CA328" s="647"/>
      <c r="CB328" s="647"/>
      <c r="CC328" s="647"/>
    </row>
    <row r="329" spans="1:81" s="641" customFormat="1" ht="27.75" customHeight="1" x14ac:dyDescent="0.25">
      <c r="A329" s="1005"/>
      <c r="B329" s="1005"/>
      <c r="C329" s="1005"/>
      <c r="D329" s="1086" t="s">
        <v>176</v>
      </c>
      <c r="E329" s="1006"/>
      <c r="F329" s="1015" t="s">
        <v>854</v>
      </c>
      <c r="G329" s="1005" t="s">
        <v>276</v>
      </c>
      <c r="H329" s="1004" t="s">
        <v>276</v>
      </c>
      <c r="I329" s="1005"/>
      <c r="J329" s="1004" t="s">
        <v>265</v>
      </c>
      <c r="K329" s="626" t="s">
        <v>863</v>
      </c>
      <c r="L329" s="890">
        <f>28+1</f>
        <v>29</v>
      </c>
      <c r="M329" s="890">
        <v>11</v>
      </c>
      <c r="N329" s="890"/>
      <c r="O329" s="467">
        <f>44.5+0.5</f>
        <v>45</v>
      </c>
      <c r="P329" s="467"/>
      <c r="Q329" s="467"/>
      <c r="R329" s="625"/>
      <c r="S329" s="1011"/>
      <c r="T329" s="862"/>
      <c r="U329" s="862"/>
      <c r="V329" s="863">
        <f>667.5+7.5</f>
        <v>675</v>
      </c>
      <c r="W329" s="857">
        <f t="shared" si="81"/>
        <v>45</v>
      </c>
      <c r="X329" s="863"/>
      <c r="Y329" s="891">
        <f t="shared" si="83"/>
        <v>675</v>
      </c>
      <c r="Z329" s="664">
        <f t="shared" si="86"/>
        <v>45</v>
      </c>
      <c r="AA329" s="1005"/>
      <c r="AB329" s="982"/>
      <c r="AC329" s="867">
        <f>28+1</f>
        <v>29</v>
      </c>
      <c r="AD329" s="867">
        <v>11</v>
      </c>
      <c r="AE329" s="979"/>
      <c r="AF329" s="878"/>
      <c r="AG329" s="335">
        <f>667.5+7.5</f>
        <v>675</v>
      </c>
      <c r="AH329" s="979">
        <f t="shared" si="82"/>
        <v>45</v>
      </c>
      <c r="AI329" s="979"/>
      <c r="AJ329" s="979">
        <f t="shared" si="78"/>
        <v>0</v>
      </c>
      <c r="AK329" s="878"/>
      <c r="AL329" s="648"/>
      <c r="AM329" s="648"/>
      <c r="AN329" s="647"/>
      <c r="AO329" s="647"/>
      <c r="AP329" s="647"/>
      <c r="AQ329" s="647"/>
      <c r="AR329" s="647"/>
      <c r="AS329" s="647"/>
      <c r="AT329" s="647"/>
      <c r="AU329" s="647"/>
      <c r="AV329" s="647"/>
      <c r="AW329" s="647"/>
      <c r="AX329" s="647"/>
      <c r="AY329" s="647"/>
      <c r="AZ329" s="647"/>
      <c r="BA329" s="647"/>
      <c r="BB329" s="647"/>
      <c r="BC329" s="647"/>
      <c r="BD329" s="647"/>
      <c r="BE329" s="647"/>
      <c r="BF329" s="647"/>
      <c r="BG329" s="647"/>
      <c r="BH329" s="647"/>
      <c r="BI329" s="647"/>
      <c r="BJ329" s="647"/>
      <c r="BK329" s="647"/>
      <c r="BL329" s="647"/>
      <c r="BM329" s="647"/>
      <c r="BN329" s="647"/>
      <c r="BO329" s="647"/>
      <c r="BP329" s="647"/>
      <c r="BQ329" s="647"/>
      <c r="BR329" s="647"/>
      <c r="BS329" s="647"/>
      <c r="BT329" s="647"/>
      <c r="BU329" s="647"/>
      <c r="BV329" s="647"/>
      <c r="BW329" s="647"/>
      <c r="BX329" s="647"/>
      <c r="BY329" s="647"/>
      <c r="BZ329" s="647"/>
      <c r="CA329" s="647"/>
      <c r="CB329" s="647"/>
      <c r="CC329" s="647"/>
    </row>
    <row r="330" spans="1:81" ht="27.75" customHeight="1" x14ac:dyDescent="0.25">
      <c r="A330" s="664">
        <v>62</v>
      </c>
      <c r="B330" s="664" t="s">
        <v>130</v>
      </c>
      <c r="C330" s="664">
        <v>2</v>
      </c>
      <c r="D330" s="1086" t="s">
        <v>176</v>
      </c>
      <c r="E330" s="845"/>
      <c r="F330" s="846" t="s">
        <v>319</v>
      </c>
      <c r="G330" s="836" t="s">
        <v>265</v>
      </c>
      <c r="H330" s="844"/>
      <c r="I330" s="625"/>
      <c r="J330" s="844" t="s">
        <v>265</v>
      </c>
      <c r="K330" s="626" t="s">
        <v>863</v>
      </c>
      <c r="L330" s="893">
        <v>26</v>
      </c>
      <c r="M330" s="893">
        <v>17</v>
      </c>
      <c r="N330" s="893">
        <f t="shared" si="79"/>
        <v>43</v>
      </c>
      <c r="O330" s="856">
        <v>9.6000000000000014</v>
      </c>
      <c r="P330" s="856">
        <v>8.6</v>
      </c>
      <c r="Q330" s="856">
        <f t="shared" si="80"/>
        <v>18.200000000000003</v>
      </c>
      <c r="R330" s="894"/>
      <c r="S330" s="855"/>
      <c r="T330" s="896">
        <f t="shared" si="84"/>
        <v>0</v>
      </c>
      <c r="U330" s="862"/>
      <c r="V330" s="857">
        <v>258</v>
      </c>
      <c r="W330" s="857">
        <f t="shared" si="81"/>
        <v>17.2</v>
      </c>
      <c r="X330" s="863"/>
      <c r="Y330" s="891">
        <f t="shared" si="83"/>
        <v>258</v>
      </c>
      <c r="Z330" s="664">
        <f t="shared" si="86"/>
        <v>17.2</v>
      </c>
      <c r="AA330" s="836"/>
      <c r="AB330" s="982"/>
      <c r="AC330" s="867">
        <v>26</v>
      </c>
      <c r="AD330" s="867">
        <v>17</v>
      </c>
      <c r="AE330" s="979">
        <f t="shared" si="85"/>
        <v>43</v>
      </c>
      <c r="AF330" s="878"/>
      <c r="AG330" s="335">
        <f>258</f>
        <v>258</v>
      </c>
      <c r="AH330" s="979">
        <f t="shared" si="82"/>
        <v>17.2</v>
      </c>
      <c r="AI330" s="979"/>
      <c r="AJ330" s="979">
        <f t="shared" si="78"/>
        <v>0</v>
      </c>
      <c r="AK330" s="878"/>
      <c r="AL330" s="618"/>
      <c r="AM330" s="618"/>
    </row>
    <row r="331" spans="1:81" ht="27.75" customHeight="1" x14ac:dyDescent="0.25">
      <c r="A331" s="664"/>
      <c r="B331" s="664"/>
      <c r="C331" s="664"/>
      <c r="D331" s="1086" t="s">
        <v>176</v>
      </c>
      <c r="E331" s="1006"/>
      <c r="F331" s="1007" t="s">
        <v>855</v>
      </c>
      <c r="G331" s="1005" t="s">
        <v>276</v>
      </c>
      <c r="H331" s="1004" t="s">
        <v>276</v>
      </c>
      <c r="I331" s="625"/>
      <c r="J331" s="1004" t="s">
        <v>265</v>
      </c>
      <c r="K331" s="626" t="s">
        <v>863</v>
      </c>
      <c r="L331" s="893">
        <v>16</v>
      </c>
      <c r="M331" s="893">
        <v>4</v>
      </c>
      <c r="N331" s="893"/>
      <c r="O331" s="856">
        <v>5</v>
      </c>
      <c r="P331" s="856">
        <v>11</v>
      </c>
      <c r="Q331" s="856"/>
      <c r="R331" s="894"/>
      <c r="S331" s="855"/>
      <c r="T331" s="896"/>
      <c r="U331" s="862"/>
      <c r="V331" s="857">
        <v>240</v>
      </c>
      <c r="W331" s="857">
        <f t="shared" si="81"/>
        <v>16</v>
      </c>
      <c r="X331" s="863"/>
      <c r="Y331" s="891">
        <f t="shared" si="83"/>
        <v>240</v>
      </c>
      <c r="Z331" s="664">
        <f t="shared" si="86"/>
        <v>16</v>
      </c>
      <c r="AA331" s="1005"/>
      <c r="AB331" s="982"/>
      <c r="AC331" s="867">
        <v>16</v>
      </c>
      <c r="AD331" s="867">
        <v>4</v>
      </c>
      <c r="AE331" s="979"/>
      <c r="AF331" s="878"/>
      <c r="AG331" s="335">
        <v>240</v>
      </c>
      <c r="AH331" s="979">
        <f t="shared" si="82"/>
        <v>16</v>
      </c>
      <c r="AI331" s="979"/>
      <c r="AJ331" s="979">
        <f t="shared" si="78"/>
        <v>0</v>
      </c>
      <c r="AK331" s="878"/>
      <c r="AL331" s="618"/>
      <c r="AM331" s="618"/>
      <c r="AN331" s="1013"/>
      <c r="AO331" s="1013"/>
      <c r="AP331" s="1013"/>
      <c r="AQ331" s="1013"/>
      <c r="AR331" s="1013"/>
      <c r="AS331" s="1013"/>
      <c r="AT331" s="1013"/>
      <c r="AU331" s="1013"/>
      <c r="AV331" s="1013"/>
      <c r="AW331" s="1013"/>
      <c r="AX331" s="1013"/>
      <c r="AY331" s="1013"/>
      <c r="AZ331" s="1013"/>
      <c r="BA331" s="1013"/>
      <c r="BB331" s="1013"/>
      <c r="BC331" s="1013"/>
      <c r="BD331" s="1013"/>
      <c r="BE331" s="1013"/>
      <c r="BF331" s="1013"/>
      <c r="BG331" s="1013"/>
      <c r="BH331" s="1013"/>
      <c r="BI331" s="1013"/>
      <c r="BJ331" s="1013"/>
      <c r="BK331" s="1013"/>
      <c r="BL331" s="1013"/>
      <c r="BM331" s="1013"/>
      <c r="BN331" s="1013"/>
      <c r="BO331" s="1013"/>
      <c r="BP331" s="1013"/>
      <c r="BQ331" s="1013"/>
      <c r="BR331" s="1013"/>
      <c r="BS331" s="1013"/>
      <c r="BT331" s="1013"/>
      <c r="BU331" s="1013"/>
      <c r="BV331" s="1013"/>
      <c r="BW331" s="1013"/>
      <c r="BX331" s="1013"/>
      <c r="BY331" s="1013"/>
      <c r="BZ331" s="1013"/>
      <c r="CA331" s="1013"/>
      <c r="CB331" s="1013"/>
      <c r="CC331" s="1013"/>
    </row>
    <row r="332" spans="1:81" ht="27.75" customHeight="1" x14ac:dyDescent="0.25">
      <c r="A332" s="664"/>
      <c r="B332" s="664"/>
      <c r="C332" s="664"/>
      <c r="D332" s="1086" t="s">
        <v>176</v>
      </c>
      <c r="E332" s="1006"/>
      <c r="F332" s="1007" t="s">
        <v>856</v>
      </c>
      <c r="G332" s="1005" t="s">
        <v>276</v>
      </c>
      <c r="H332" s="1004" t="s">
        <v>276</v>
      </c>
      <c r="I332" s="625"/>
      <c r="J332" s="1004" t="s">
        <v>265</v>
      </c>
      <c r="K332" s="626" t="s">
        <v>863</v>
      </c>
      <c r="L332" s="893">
        <f>16+1</f>
        <v>17</v>
      </c>
      <c r="M332" s="893">
        <v>25</v>
      </c>
      <c r="N332" s="893"/>
      <c r="O332" s="856">
        <v>0</v>
      </c>
      <c r="P332" s="856">
        <f>31.4+0.6</f>
        <v>32</v>
      </c>
      <c r="Q332" s="856"/>
      <c r="R332" s="894"/>
      <c r="S332" s="855"/>
      <c r="T332" s="896"/>
      <c r="U332" s="862"/>
      <c r="V332" s="857">
        <f>471+9</f>
        <v>480</v>
      </c>
      <c r="W332" s="857">
        <f t="shared" si="81"/>
        <v>32</v>
      </c>
      <c r="X332" s="863"/>
      <c r="Y332" s="891">
        <f t="shared" si="83"/>
        <v>480</v>
      </c>
      <c r="Z332" s="664">
        <f t="shared" si="86"/>
        <v>32</v>
      </c>
      <c r="AA332" s="1005"/>
      <c r="AB332" s="982"/>
      <c r="AC332" s="867">
        <f>16+1</f>
        <v>17</v>
      </c>
      <c r="AD332" s="867">
        <v>25</v>
      </c>
      <c r="AE332" s="979"/>
      <c r="AF332" s="878"/>
      <c r="AG332" s="335">
        <f>471+9</f>
        <v>480</v>
      </c>
      <c r="AH332" s="979">
        <f t="shared" si="82"/>
        <v>32</v>
      </c>
      <c r="AI332" s="979"/>
      <c r="AJ332" s="979">
        <f t="shared" si="78"/>
        <v>0</v>
      </c>
      <c r="AK332" s="878"/>
      <c r="AL332" s="618"/>
      <c r="AM332" s="618"/>
      <c r="AN332" s="1013"/>
      <c r="AO332" s="1013"/>
      <c r="AP332" s="1013"/>
      <c r="AQ332" s="1013"/>
      <c r="AR332" s="1013"/>
      <c r="AS332" s="1013"/>
      <c r="AT332" s="1013"/>
      <c r="AU332" s="1013"/>
      <c r="AV332" s="1013"/>
      <c r="AW332" s="1013"/>
      <c r="AX332" s="1013"/>
      <c r="AY332" s="1013"/>
      <c r="AZ332" s="1013"/>
      <c r="BA332" s="1013"/>
      <c r="BB332" s="1013"/>
      <c r="BC332" s="1013"/>
      <c r="BD332" s="1013"/>
      <c r="BE332" s="1013"/>
      <c r="BF332" s="1013"/>
      <c r="BG332" s="1013"/>
      <c r="BH332" s="1013"/>
      <c r="BI332" s="1013"/>
      <c r="BJ332" s="1013"/>
      <c r="BK332" s="1013"/>
      <c r="BL332" s="1013"/>
      <c r="BM332" s="1013"/>
      <c r="BN332" s="1013"/>
      <c r="BO332" s="1013"/>
      <c r="BP332" s="1013"/>
      <c r="BQ332" s="1013"/>
      <c r="BR332" s="1013"/>
      <c r="BS332" s="1013"/>
      <c r="BT332" s="1013"/>
      <c r="BU332" s="1013"/>
      <c r="BV332" s="1013"/>
      <c r="BW332" s="1013"/>
      <c r="BX332" s="1013"/>
      <c r="BY332" s="1013"/>
      <c r="BZ332" s="1013"/>
      <c r="CA332" s="1013"/>
      <c r="CB332" s="1013"/>
      <c r="CC332" s="1013"/>
    </row>
    <row r="333" spans="1:81" ht="28.5" customHeight="1" x14ac:dyDescent="0.25">
      <c r="A333" s="664">
        <v>63</v>
      </c>
      <c r="B333" s="664" t="s">
        <v>130</v>
      </c>
      <c r="C333" s="664">
        <v>3</v>
      </c>
      <c r="D333" s="1086" t="s">
        <v>176</v>
      </c>
      <c r="E333" s="845"/>
      <c r="F333" s="846" t="s">
        <v>178</v>
      </c>
      <c r="G333" s="836" t="s">
        <v>265</v>
      </c>
      <c r="H333" s="844"/>
      <c r="I333" s="625"/>
      <c r="J333" s="844" t="s">
        <v>265</v>
      </c>
      <c r="K333" s="626" t="s">
        <v>723</v>
      </c>
      <c r="L333" s="893">
        <v>9</v>
      </c>
      <c r="M333" s="893">
        <v>3</v>
      </c>
      <c r="N333" s="893">
        <f t="shared" si="79"/>
        <v>12</v>
      </c>
      <c r="O333" s="856">
        <v>7.6</v>
      </c>
      <c r="P333" s="856"/>
      <c r="Q333" s="856">
        <f t="shared" si="80"/>
        <v>7.6</v>
      </c>
      <c r="R333" s="894"/>
      <c r="S333" s="855"/>
      <c r="T333" s="896">
        <f t="shared" si="84"/>
        <v>0</v>
      </c>
      <c r="U333" s="862"/>
      <c r="V333" s="857">
        <v>114</v>
      </c>
      <c r="W333" s="857">
        <f t="shared" si="81"/>
        <v>7.6</v>
      </c>
      <c r="X333" s="863"/>
      <c r="Y333" s="891">
        <f t="shared" si="83"/>
        <v>114</v>
      </c>
      <c r="Z333" s="664">
        <f t="shared" si="86"/>
        <v>7.6</v>
      </c>
      <c r="AA333" s="836"/>
      <c r="AB333" s="982"/>
      <c r="AC333" s="867">
        <v>9</v>
      </c>
      <c r="AD333" s="867">
        <v>3</v>
      </c>
      <c r="AE333" s="979">
        <f t="shared" si="85"/>
        <v>12</v>
      </c>
      <c r="AF333" s="878"/>
      <c r="AG333" s="335">
        <v>114</v>
      </c>
      <c r="AH333" s="979">
        <f t="shared" si="82"/>
        <v>7.6</v>
      </c>
      <c r="AI333" s="979"/>
      <c r="AJ333" s="979">
        <f t="shared" si="78"/>
        <v>0</v>
      </c>
      <c r="AK333" s="878"/>
      <c r="AL333" s="618"/>
      <c r="AM333" s="618"/>
    </row>
    <row r="334" spans="1:81" ht="21.6" customHeight="1" x14ac:dyDescent="0.25">
      <c r="A334" s="664">
        <v>64</v>
      </c>
      <c r="B334" s="664" t="s">
        <v>130</v>
      </c>
      <c r="C334" s="664">
        <v>4</v>
      </c>
      <c r="D334" s="1086" t="s">
        <v>176</v>
      </c>
      <c r="E334" s="845"/>
      <c r="F334" s="846" t="s">
        <v>179</v>
      </c>
      <c r="G334" s="836" t="s">
        <v>265</v>
      </c>
      <c r="H334" s="844"/>
      <c r="I334" s="625"/>
      <c r="J334" s="844" t="s">
        <v>265</v>
      </c>
      <c r="K334" s="626" t="s">
        <v>723</v>
      </c>
      <c r="L334" s="893">
        <v>4</v>
      </c>
      <c r="M334" s="893">
        <v>2</v>
      </c>
      <c r="N334" s="893">
        <f t="shared" si="79"/>
        <v>6</v>
      </c>
      <c r="O334" s="856">
        <v>3</v>
      </c>
      <c r="P334" s="856">
        <v>2</v>
      </c>
      <c r="Q334" s="856">
        <f t="shared" si="80"/>
        <v>5</v>
      </c>
      <c r="R334" s="894"/>
      <c r="S334" s="855"/>
      <c r="T334" s="896">
        <f t="shared" si="84"/>
        <v>0</v>
      </c>
      <c r="U334" s="862"/>
      <c r="V334" s="857">
        <v>75</v>
      </c>
      <c r="W334" s="857">
        <f t="shared" si="81"/>
        <v>5</v>
      </c>
      <c r="X334" s="863"/>
      <c r="Y334" s="891">
        <f t="shared" si="83"/>
        <v>75</v>
      </c>
      <c r="Z334" s="664">
        <f t="shared" si="86"/>
        <v>5</v>
      </c>
      <c r="AA334" s="836"/>
      <c r="AB334" s="982"/>
      <c r="AC334" s="867">
        <v>4</v>
      </c>
      <c r="AD334" s="867">
        <v>2</v>
      </c>
      <c r="AE334" s="979">
        <f t="shared" si="85"/>
        <v>6</v>
      </c>
      <c r="AF334" s="878"/>
      <c r="AG334" s="335">
        <v>75</v>
      </c>
      <c r="AH334" s="979">
        <f t="shared" si="82"/>
        <v>5</v>
      </c>
      <c r="AI334" s="979"/>
      <c r="AJ334" s="979">
        <f t="shared" si="78"/>
        <v>0</v>
      </c>
      <c r="AK334" s="878"/>
      <c r="AL334" s="618"/>
      <c r="AM334" s="618"/>
    </row>
    <row r="335" spans="1:81" ht="21.6" customHeight="1" x14ac:dyDescent="0.25">
      <c r="A335" s="664">
        <v>65</v>
      </c>
      <c r="B335" s="664" t="s">
        <v>130</v>
      </c>
      <c r="C335" s="664">
        <v>5</v>
      </c>
      <c r="D335" s="1086" t="s">
        <v>176</v>
      </c>
      <c r="E335" s="845"/>
      <c r="F335" s="846" t="s">
        <v>180</v>
      </c>
      <c r="G335" s="836" t="s">
        <v>265</v>
      </c>
      <c r="H335" s="844"/>
      <c r="I335" s="625"/>
      <c r="J335" s="844" t="s">
        <v>265</v>
      </c>
      <c r="K335" s="626" t="s">
        <v>723</v>
      </c>
      <c r="L335" s="893">
        <v>3</v>
      </c>
      <c r="M335" s="893">
        <v>7</v>
      </c>
      <c r="N335" s="893">
        <f t="shared" si="79"/>
        <v>10</v>
      </c>
      <c r="O335" s="856"/>
      <c r="P335" s="856">
        <v>6</v>
      </c>
      <c r="Q335" s="856">
        <f t="shared" si="80"/>
        <v>6</v>
      </c>
      <c r="R335" s="894"/>
      <c r="S335" s="855"/>
      <c r="T335" s="896">
        <f t="shared" si="84"/>
        <v>0</v>
      </c>
      <c r="U335" s="862"/>
      <c r="V335" s="857">
        <v>63</v>
      </c>
      <c r="W335" s="857">
        <f t="shared" si="81"/>
        <v>4.2</v>
      </c>
      <c r="X335" s="863"/>
      <c r="Y335" s="891">
        <f t="shared" si="83"/>
        <v>63</v>
      </c>
      <c r="Z335" s="664">
        <f t="shared" si="86"/>
        <v>4.2</v>
      </c>
      <c r="AA335" s="836"/>
      <c r="AB335" s="982"/>
      <c r="AC335" s="867">
        <v>3</v>
      </c>
      <c r="AD335" s="867">
        <v>7</v>
      </c>
      <c r="AE335" s="979">
        <f t="shared" si="85"/>
        <v>10</v>
      </c>
      <c r="AF335" s="878"/>
      <c r="AG335" s="335">
        <f>90</f>
        <v>90</v>
      </c>
      <c r="AH335" s="979">
        <f t="shared" si="82"/>
        <v>6</v>
      </c>
      <c r="AI335" s="979"/>
      <c r="AJ335" s="979">
        <f t="shared" si="78"/>
        <v>-1.7999999999999998</v>
      </c>
      <c r="AK335" s="878"/>
      <c r="AL335" s="618"/>
      <c r="AM335" s="618"/>
    </row>
    <row r="336" spans="1:81" ht="21.6" customHeight="1" x14ac:dyDescent="0.25">
      <c r="A336" s="664">
        <v>66</v>
      </c>
      <c r="B336" s="664" t="s">
        <v>130</v>
      </c>
      <c r="C336" s="664">
        <v>6</v>
      </c>
      <c r="D336" s="1086" t="s">
        <v>176</v>
      </c>
      <c r="E336" s="845"/>
      <c r="F336" s="846" t="s">
        <v>181</v>
      </c>
      <c r="G336" s="836" t="s">
        <v>265</v>
      </c>
      <c r="H336" s="844"/>
      <c r="I336" s="625"/>
      <c r="J336" s="844"/>
      <c r="K336" s="626"/>
      <c r="L336" s="893"/>
      <c r="M336" s="893"/>
      <c r="N336" s="893">
        <f t="shared" si="79"/>
        <v>0</v>
      </c>
      <c r="O336" s="856"/>
      <c r="P336" s="856"/>
      <c r="Q336" s="856">
        <f t="shared" si="80"/>
        <v>0</v>
      </c>
      <c r="R336" s="894"/>
      <c r="S336" s="855"/>
      <c r="T336" s="896">
        <f t="shared" si="84"/>
        <v>0</v>
      </c>
      <c r="U336" s="862"/>
      <c r="V336" s="857"/>
      <c r="W336" s="857">
        <f t="shared" si="81"/>
        <v>0</v>
      </c>
      <c r="X336" s="863"/>
      <c r="Y336" s="891">
        <f t="shared" si="83"/>
        <v>0</v>
      </c>
      <c r="Z336" s="664">
        <f t="shared" si="86"/>
        <v>0</v>
      </c>
      <c r="AA336" s="836"/>
      <c r="AB336" s="982"/>
      <c r="AC336" s="867"/>
      <c r="AD336" s="867"/>
      <c r="AE336" s="979">
        <f t="shared" si="85"/>
        <v>0</v>
      </c>
      <c r="AF336" s="878"/>
      <c r="AG336" s="335"/>
      <c r="AH336" s="979">
        <f t="shared" si="82"/>
        <v>0</v>
      </c>
      <c r="AI336" s="979"/>
      <c r="AJ336" s="979">
        <f t="shared" si="78"/>
        <v>0</v>
      </c>
      <c r="AK336" s="878"/>
      <c r="AL336" s="618"/>
      <c r="AM336" s="618"/>
    </row>
    <row r="337" spans="1:81" ht="21.6" customHeight="1" x14ac:dyDescent="0.25">
      <c r="A337" s="664"/>
      <c r="B337" s="664"/>
      <c r="C337" s="664"/>
      <c r="D337" s="1086" t="s">
        <v>176</v>
      </c>
      <c r="E337" s="845"/>
      <c r="F337" s="846" t="s">
        <v>721</v>
      </c>
      <c r="G337" s="836" t="s">
        <v>276</v>
      </c>
      <c r="H337" s="901"/>
      <c r="I337" s="402"/>
      <c r="J337" s="844"/>
      <c r="K337" s="626"/>
      <c r="L337" s="893"/>
      <c r="M337" s="893"/>
      <c r="N337" s="893">
        <f t="shared" si="79"/>
        <v>0</v>
      </c>
      <c r="O337" s="856"/>
      <c r="P337" s="856"/>
      <c r="Q337" s="856">
        <f t="shared" si="80"/>
        <v>0</v>
      </c>
      <c r="R337" s="894"/>
      <c r="S337" s="855"/>
      <c r="T337" s="896">
        <f t="shared" si="84"/>
        <v>0</v>
      </c>
      <c r="U337" s="862"/>
      <c r="V337" s="857"/>
      <c r="W337" s="857">
        <f t="shared" si="81"/>
        <v>0</v>
      </c>
      <c r="X337" s="863"/>
      <c r="Y337" s="891">
        <f t="shared" si="83"/>
        <v>0</v>
      </c>
      <c r="Z337" s="664">
        <f t="shared" si="86"/>
        <v>0</v>
      </c>
      <c r="AA337" s="836"/>
      <c r="AB337" s="982"/>
      <c r="AC337" s="867"/>
      <c r="AD337" s="867"/>
      <c r="AE337" s="979">
        <f t="shared" si="85"/>
        <v>0</v>
      </c>
      <c r="AF337" s="878"/>
      <c r="AG337" s="335"/>
      <c r="AH337" s="979">
        <f t="shared" si="82"/>
        <v>0</v>
      </c>
      <c r="AI337" s="979"/>
      <c r="AJ337" s="979">
        <f t="shared" si="78"/>
        <v>0</v>
      </c>
      <c r="AK337" s="878"/>
      <c r="AL337" s="618"/>
      <c r="AM337" s="618"/>
    </row>
    <row r="338" spans="1:81" ht="22.5" customHeight="1" x14ac:dyDescent="0.25">
      <c r="A338" s="664">
        <v>67</v>
      </c>
      <c r="B338" s="664" t="s">
        <v>130</v>
      </c>
      <c r="C338" s="664">
        <v>7</v>
      </c>
      <c r="D338" s="1086" t="s">
        <v>176</v>
      </c>
      <c r="E338" s="845"/>
      <c r="F338" s="846" t="s">
        <v>182</v>
      </c>
      <c r="G338" s="836" t="s">
        <v>265</v>
      </c>
      <c r="H338" s="844"/>
      <c r="I338" s="625"/>
      <c r="J338" s="844" t="s">
        <v>265</v>
      </c>
      <c r="K338" s="626" t="s">
        <v>723</v>
      </c>
      <c r="L338" s="893">
        <v>8</v>
      </c>
      <c r="M338" s="893">
        <v>6</v>
      </c>
      <c r="N338" s="893">
        <f t="shared" si="79"/>
        <v>14</v>
      </c>
      <c r="O338" s="856">
        <v>15.5</v>
      </c>
      <c r="P338" s="856">
        <v>4.5</v>
      </c>
      <c r="Q338" s="856">
        <f t="shared" si="80"/>
        <v>20</v>
      </c>
      <c r="R338" s="894"/>
      <c r="S338" s="855"/>
      <c r="T338" s="896">
        <f t="shared" si="84"/>
        <v>0</v>
      </c>
      <c r="U338" s="862"/>
      <c r="V338" s="857">
        <v>300</v>
      </c>
      <c r="W338" s="857">
        <f t="shared" si="81"/>
        <v>20</v>
      </c>
      <c r="X338" s="863"/>
      <c r="Y338" s="891">
        <f t="shared" si="83"/>
        <v>300</v>
      </c>
      <c r="Z338" s="664">
        <f t="shared" si="86"/>
        <v>20</v>
      </c>
      <c r="AA338" s="836"/>
      <c r="AB338" s="982"/>
      <c r="AC338" s="867">
        <v>8</v>
      </c>
      <c r="AD338" s="867">
        <v>6</v>
      </c>
      <c r="AE338" s="979">
        <f t="shared" si="85"/>
        <v>14</v>
      </c>
      <c r="AF338" s="878"/>
      <c r="AG338" s="335">
        <v>300</v>
      </c>
      <c r="AH338" s="979">
        <f t="shared" si="82"/>
        <v>20</v>
      </c>
      <c r="AI338" s="979"/>
      <c r="AJ338" s="979">
        <f t="shared" si="78"/>
        <v>0</v>
      </c>
      <c r="AK338" s="878"/>
      <c r="AL338" s="618"/>
      <c r="AM338" s="618"/>
    </row>
    <row r="339" spans="1:81" ht="21.6" customHeight="1" x14ac:dyDescent="0.25">
      <c r="A339" s="664">
        <v>68</v>
      </c>
      <c r="B339" s="664" t="s">
        <v>130</v>
      </c>
      <c r="C339" s="664">
        <v>8</v>
      </c>
      <c r="D339" s="1086" t="s">
        <v>176</v>
      </c>
      <c r="E339" s="845"/>
      <c r="F339" s="846" t="s">
        <v>183</v>
      </c>
      <c r="G339" s="836" t="s">
        <v>265</v>
      </c>
      <c r="H339" s="844"/>
      <c r="I339" s="625"/>
      <c r="J339" s="844"/>
      <c r="K339" s="626"/>
      <c r="L339" s="893"/>
      <c r="M339" s="893"/>
      <c r="N339" s="893">
        <f t="shared" si="79"/>
        <v>0</v>
      </c>
      <c r="O339" s="856"/>
      <c r="P339" s="856"/>
      <c r="Q339" s="856">
        <f t="shared" si="80"/>
        <v>0</v>
      </c>
      <c r="R339" s="894"/>
      <c r="S339" s="855"/>
      <c r="T339" s="896">
        <f t="shared" si="84"/>
        <v>0</v>
      </c>
      <c r="U339" s="862"/>
      <c r="V339" s="857"/>
      <c r="W339" s="857">
        <f t="shared" si="81"/>
        <v>0</v>
      </c>
      <c r="X339" s="863"/>
      <c r="Y339" s="891">
        <f t="shared" si="83"/>
        <v>0</v>
      </c>
      <c r="Z339" s="664">
        <f t="shared" si="86"/>
        <v>0</v>
      </c>
      <c r="AA339" s="836"/>
      <c r="AB339" s="982"/>
      <c r="AC339" s="867"/>
      <c r="AD339" s="867"/>
      <c r="AE339" s="979">
        <f t="shared" si="85"/>
        <v>0</v>
      </c>
      <c r="AF339" s="878"/>
      <c r="AG339" s="335"/>
      <c r="AH339" s="979">
        <f t="shared" si="82"/>
        <v>0</v>
      </c>
      <c r="AI339" s="979"/>
      <c r="AJ339" s="979">
        <f t="shared" si="78"/>
        <v>0</v>
      </c>
      <c r="AK339" s="878"/>
      <c r="AL339" s="618"/>
      <c r="AM339" s="618"/>
    </row>
    <row r="340" spans="1:81" ht="21.6" customHeight="1" x14ac:dyDescent="0.25">
      <c r="A340" s="664"/>
      <c r="B340" s="664"/>
      <c r="C340" s="664"/>
      <c r="D340" s="1086" t="s">
        <v>176</v>
      </c>
      <c r="E340" s="1006"/>
      <c r="F340" s="1015" t="s">
        <v>857</v>
      </c>
      <c r="G340" s="1005" t="s">
        <v>276</v>
      </c>
      <c r="H340" s="1004" t="s">
        <v>276</v>
      </c>
      <c r="I340" s="625"/>
      <c r="J340" s="1004" t="s">
        <v>265</v>
      </c>
      <c r="K340" s="626" t="s">
        <v>863</v>
      </c>
      <c r="L340" s="893">
        <v>10</v>
      </c>
      <c r="M340" s="893">
        <v>5</v>
      </c>
      <c r="N340" s="893"/>
      <c r="O340" s="856"/>
      <c r="P340" s="856">
        <v>30</v>
      </c>
      <c r="Q340" s="856"/>
      <c r="R340" s="894"/>
      <c r="S340" s="855"/>
      <c r="T340" s="896"/>
      <c r="U340" s="862"/>
      <c r="V340" s="857">
        <v>450</v>
      </c>
      <c r="W340" s="857">
        <f t="shared" si="81"/>
        <v>30</v>
      </c>
      <c r="X340" s="863"/>
      <c r="Y340" s="891">
        <f t="shared" si="83"/>
        <v>450</v>
      </c>
      <c r="Z340" s="664">
        <f t="shared" si="86"/>
        <v>30</v>
      </c>
      <c r="AA340" s="1005"/>
      <c r="AB340" s="982"/>
      <c r="AC340" s="867">
        <v>10</v>
      </c>
      <c r="AD340" s="867">
        <v>15</v>
      </c>
      <c r="AE340" s="979"/>
      <c r="AF340" s="878"/>
      <c r="AG340" s="335">
        <v>450</v>
      </c>
      <c r="AH340" s="979"/>
      <c r="AI340" s="979"/>
      <c r="AJ340" s="979"/>
      <c r="AK340" s="878"/>
      <c r="AL340" s="618"/>
      <c r="AM340" s="618"/>
      <c r="AN340" s="1013"/>
      <c r="AO340" s="1013"/>
      <c r="AP340" s="1013"/>
      <c r="AQ340" s="1013"/>
      <c r="AR340" s="1013"/>
      <c r="AS340" s="1013"/>
      <c r="AT340" s="1013"/>
      <c r="AU340" s="1013"/>
      <c r="AV340" s="1013"/>
      <c r="AW340" s="1013"/>
      <c r="AX340" s="1013"/>
      <c r="AY340" s="1013"/>
      <c r="AZ340" s="1013"/>
      <c r="BA340" s="1013"/>
      <c r="BB340" s="1013"/>
      <c r="BC340" s="1013"/>
      <c r="BD340" s="1013"/>
      <c r="BE340" s="1013"/>
      <c r="BF340" s="1013"/>
      <c r="BG340" s="1013"/>
      <c r="BH340" s="1013"/>
      <c r="BI340" s="1013"/>
      <c r="BJ340" s="1013"/>
      <c r="BK340" s="1013"/>
      <c r="BL340" s="1013"/>
      <c r="BM340" s="1013"/>
      <c r="BN340" s="1013"/>
      <c r="BO340" s="1013"/>
      <c r="BP340" s="1013"/>
      <c r="BQ340" s="1013"/>
      <c r="BR340" s="1013"/>
      <c r="BS340" s="1013"/>
      <c r="BT340" s="1013"/>
      <c r="BU340" s="1013"/>
      <c r="BV340" s="1013"/>
      <c r="BW340" s="1013"/>
      <c r="BX340" s="1013"/>
      <c r="BY340" s="1013"/>
      <c r="BZ340" s="1013"/>
      <c r="CA340" s="1013"/>
      <c r="CB340" s="1013"/>
      <c r="CC340" s="1013"/>
    </row>
    <row r="341" spans="1:81" ht="21.6" customHeight="1" x14ac:dyDescent="0.25">
      <c r="A341" s="664">
        <v>70</v>
      </c>
      <c r="B341" s="664" t="s">
        <v>130</v>
      </c>
      <c r="C341" s="664">
        <v>10</v>
      </c>
      <c r="D341" s="1086" t="s">
        <v>176</v>
      </c>
      <c r="E341" s="845"/>
      <c r="F341" s="846" t="s">
        <v>184</v>
      </c>
      <c r="G341" s="836" t="s">
        <v>265</v>
      </c>
      <c r="H341" s="844"/>
      <c r="I341" s="836"/>
      <c r="J341" s="844" t="s">
        <v>265</v>
      </c>
      <c r="K341" s="626" t="s">
        <v>864</v>
      </c>
      <c r="L341" s="893">
        <v>7</v>
      </c>
      <c r="M341" s="893">
        <v>6</v>
      </c>
      <c r="N341" s="893">
        <f t="shared" si="79"/>
        <v>13</v>
      </c>
      <c r="O341" s="856">
        <v>3</v>
      </c>
      <c r="P341" s="856">
        <v>6</v>
      </c>
      <c r="Q341" s="856">
        <f t="shared" si="80"/>
        <v>9</v>
      </c>
      <c r="R341" s="894"/>
      <c r="S341" s="855"/>
      <c r="T341" s="896">
        <f t="shared" si="84"/>
        <v>0</v>
      </c>
      <c r="U341" s="862"/>
      <c r="V341" s="857">
        <v>135</v>
      </c>
      <c r="W341" s="857">
        <f t="shared" si="81"/>
        <v>9</v>
      </c>
      <c r="X341" s="863"/>
      <c r="Y341" s="891">
        <f t="shared" si="83"/>
        <v>135</v>
      </c>
      <c r="Z341" s="664">
        <f t="shared" si="86"/>
        <v>9</v>
      </c>
      <c r="AA341" s="836"/>
      <c r="AB341" s="982"/>
      <c r="AC341" s="867">
        <f>5+2</f>
        <v>7</v>
      </c>
      <c r="AD341" s="867">
        <f>4+2</f>
        <v>6</v>
      </c>
      <c r="AE341" s="979">
        <f t="shared" si="85"/>
        <v>13</v>
      </c>
      <c r="AF341" s="878"/>
      <c r="AG341" s="335">
        <f>75+60</f>
        <v>135</v>
      </c>
      <c r="AH341" s="979">
        <f t="shared" si="82"/>
        <v>9</v>
      </c>
      <c r="AI341" s="979"/>
      <c r="AJ341" s="979">
        <f t="shared" si="78"/>
        <v>0</v>
      </c>
      <c r="AK341" s="878"/>
      <c r="AL341" s="618"/>
      <c r="AM341" s="618"/>
    </row>
    <row r="342" spans="1:81" ht="21.6" customHeight="1" x14ac:dyDescent="0.25">
      <c r="A342" s="664">
        <v>71</v>
      </c>
      <c r="B342" s="664" t="s">
        <v>130</v>
      </c>
      <c r="C342" s="664">
        <v>11</v>
      </c>
      <c r="D342" s="1086" t="s">
        <v>176</v>
      </c>
      <c r="E342" s="845"/>
      <c r="F342" s="846" t="s">
        <v>185</v>
      </c>
      <c r="G342" s="836" t="s">
        <v>265</v>
      </c>
      <c r="H342" s="844"/>
      <c r="I342" s="625"/>
      <c r="J342" s="844" t="s">
        <v>265</v>
      </c>
      <c r="K342" s="626" t="s">
        <v>723</v>
      </c>
      <c r="L342" s="893">
        <v>18</v>
      </c>
      <c r="M342" s="893">
        <v>4</v>
      </c>
      <c r="N342" s="893">
        <f t="shared" si="79"/>
        <v>22</v>
      </c>
      <c r="O342" s="856">
        <v>16.3</v>
      </c>
      <c r="P342" s="856"/>
      <c r="Q342" s="856">
        <f t="shared" si="80"/>
        <v>16.3</v>
      </c>
      <c r="R342" s="894"/>
      <c r="S342" s="855"/>
      <c r="T342" s="896">
        <f t="shared" si="84"/>
        <v>0</v>
      </c>
      <c r="U342" s="862"/>
      <c r="V342" s="857">
        <v>243</v>
      </c>
      <c r="W342" s="857">
        <f t="shared" si="81"/>
        <v>16.2</v>
      </c>
      <c r="X342" s="863"/>
      <c r="Y342" s="891">
        <f t="shared" si="83"/>
        <v>243</v>
      </c>
      <c r="Z342" s="664">
        <f t="shared" si="86"/>
        <v>16.2</v>
      </c>
      <c r="AA342" s="836"/>
      <c r="AB342" s="982"/>
      <c r="AC342" s="867">
        <v>18</v>
      </c>
      <c r="AD342" s="867">
        <v>4</v>
      </c>
      <c r="AE342" s="979">
        <f t="shared" si="85"/>
        <v>22</v>
      </c>
      <c r="AF342" s="878"/>
      <c r="AG342" s="335">
        <v>244.5</v>
      </c>
      <c r="AH342" s="979">
        <f t="shared" si="82"/>
        <v>16.3</v>
      </c>
      <c r="AI342" s="979"/>
      <c r="AJ342" s="979">
        <f t="shared" si="78"/>
        <v>-0.10000000000000142</v>
      </c>
      <c r="AK342" s="878"/>
      <c r="AL342" s="618"/>
      <c r="AM342" s="618"/>
    </row>
    <row r="343" spans="1:81" ht="29.25" customHeight="1" x14ac:dyDescent="0.25">
      <c r="A343" s="664"/>
      <c r="B343" s="664"/>
      <c r="C343" s="664"/>
      <c r="D343" s="1086" t="s">
        <v>176</v>
      </c>
      <c r="E343" s="845"/>
      <c r="F343" s="846" t="s">
        <v>509</v>
      </c>
      <c r="G343" s="836" t="s">
        <v>276</v>
      </c>
      <c r="H343" s="844"/>
      <c r="I343" s="625"/>
      <c r="J343" s="844" t="s">
        <v>265</v>
      </c>
      <c r="K343" s="626" t="s">
        <v>863</v>
      </c>
      <c r="L343" s="893">
        <v>23</v>
      </c>
      <c r="M343" s="893">
        <v>24</v>
      </c>
      <c r="N343" s="893">
        <f t="shared" si="79"/>
        <v>47</v>
      </c>
      <c r="O343" s="856"/>
      <c r="P343" s="856">
        <v>30</v>
      </c>
      <c r="Q343" s="856">
        <f t="shared" si="80"/>
        <v>30</v>
      </c>
      <c r="R343" s="894"/>
      <c r="S343" s="855"/>
      <c r="T343" s="896">
        <f t="shared" si="84"/>
        <v>0</v>
      </c>
      <c r="U343" s="862"/>
      <c r="V343" s="857">
        <v>450</v>
      </c>
      <c r="W343" s="857">
        <f t="shared" si="81"/>
        <v>30</v>
      </c>
      <c r="X343" s="863"/>
      <c r="Y343" s="891">
        <f t="shared" si="83"/>
        <v>450</v>
      </c>
      <c r="Z343" s="664">
        <f t="shared" si="86"/>
        <v>30</v>
      </c>
      <c r="AA343" s="836"/>
      <c r="AB343" s="982"/>
      <c r="AC343" s="867">
        <v>23</v>
      </c>
      <c r="AD343" s="867">
        <v>24</v>
      </c>
      <c r="AE343" s="979">
        <f t="shared" si="85"/>
        <v>47</v>
      </c>
      <c r="AF343" s="878"/>
      <c r="AG343" s="335">
        <v>450</v>
      </c>
      <c r="AH343" s="979">
        <f t="shared" si="82"/>
        <v>30</v>
      </c>
      <c r="AI343" s="979"/>
      <c r="AJ343" s="979">
        <f t="shared" si="78"/>
        <v>0</v>
      </c>
      <c r="AK343" s="878"/>
      <c r="AL343" s="618"/>
      <c r="AM343" s="618"/>
    </row>
    <row r="344" spans="1:81" ht="21.6" customHeight="1" x14ac:dyDescent="0.25">
      <c r="A344" s="664"/>
      <c r="B344" s="664"/>
      <c r="C344" s="664"/>
      <c r="D344" s="1086" t="s">
        <v>176</v>
      </c>
      <c r="E344" s="845"/>
      <c r="F344" s="846" t="s">
        <v>511</v>
      </c>
      <c r="G344" s="836" t="s">
        <v>276</v>
      </c>
      <c r="H344" s="844"/>
      <c r="I344" s="625"/>
      <c r="J344" s="844"/>
      <c r="K344" s="626"/>
      <c r="L344" s="893"/>
      <c r="M344" s="893"/>
      <c r="N344" s="893">
        <f t="shared" si="79"/>
        <v>0</v>
      </c>
      <c r="O344" s="856"/>
      <c r="P344" s="856"/>
      <c r="Q344" s="856">
        <f t="shared" si="80"/>
        <v>0</v>
      </c>
      <c r="R344" s="894"/>
      <c r="S344" s="855"/>
      <c r="T344" s="896">
        <f t="shared" si="84"/>
        <v>0</v>
      </c>
      <c r="U344" s="862"/>
      <c r="V344" s="857"/>
      <c r="W344" s="857">
        <f t="shared" si="81"/>
        <v>0</v>
      </c>
      <c r="X344" s="863"/>
      <c r="Y344" s="891">
        <f t="shared" si="83"/>
        <v>0</v>
      </c>
      <c r="Z344" s="664">
        <f t="shared" si="86"/>
        <v>0</v>
      </c>
      <c r="AA344" s="836"/>
      <c r="AB344" s="982"/>
      <c r="AC344" s="867"/>
      <c r="AD344" s="867"/>
      <c r="AE344" s="979">
        <f t="shared" si="85"/>
        <v>0</v>
      </c>
      <c r="AF344" s="878"/>
      <c r="AG344" s="335"/>
      <c r="AH344" s="979">
        <f t="shared" si="82"/>
        <v>0</v>
      </c>
      <c r="AI344" s="979"/>
      <c r="AJ344" s="979">
        <f t="shared" si="78"/>
        <v>0</v>
      </c>
      <c r="AK344" s="878"/>
      <c r="AL344" s="618"/>
      <c r="AM344" s="618"/>
    </row>
    <row r="345" spans="1:81" ht="21.6" customHeight="1" x14ac:dyDescent="0.25">
      <c r="A345" s="664"/>
      <c r="B345" s="664"/>
      <c r="C345" s="664"/>
      <c r="D345" s="1086" t="s">
        <v>176</v>
      </c>
      <c r="E345" s="845"/>
      <c r="F345" s="846" t="s">
        <v>512</v>
      </c>
      <c r="G345" s="836" t="s">
        <v>276</v>
      </c>
      <c r="H345" s="844"/>
      <c r="I345" s="625"/>
      <c r="J345" s="844"/>
      <c r="K345" s="626"/>
      <c r="L345" s="893"/>
      <c r="M345" s="893"/>
      <c r="N345" s="893">
        <f t="shared" si="79"/>
        <v>0</v>
      </c>
      <c r="O345" s="856"/>
      <c r="P345" s="856"/>
      <c r="Q345" s="856">
        <f t="shared" si="80"/>
        <v>0</v>
      </c>
      <c r="R345" s="894"/>
      <c r="S345" s="855"/>
      <c r="T345" s="896">
        <f t="shared" si="84"/>
        <v>0</v>
      </c>
      <c r="U345" s="862"/>
      <c r="V345" s="857"/>
      <c r="W345" s="857">
        <f t="shared" si="81"/>
        <v>0</v>
      </c>
      <c r="X345" s="863"/>
      <c r="Y345" s="891">
        <f t="shared" si="83"/>
        <v>0</v>
      </c>
      <c r="Z345" s="664">
        <f t="shared" si="86"/>
        <v>0</v>
      </c>
      <c r="AA345" s="836"/>
      <c r="AB345" s="982"/>
      <c r="AC345" s="867"/>
      <c r="AD345" s="867"/>
      <c r="AE345" s="979">
        <f t="shared" si="85"/>
        <v>0</v>
      </c>
      <c r="AF345" s="878"/>
      <c r="AG345" s="335"/>
      <c r="AH345" s="979">
        <f t="shared" si="82"/>
        <v>0</v>
      </c>
      <c r="AI345" s="979"/>
      <c r="AJ345" s="979">
        <f t="shared" si="78"/>
        <v>0</v>
      </c>
      <c r="AK345" s="878"/>
      <c r="AL345" s="618"/>
      <c r="AM345" s="618"/>
    </row>
    <row r="346" spans="1:81" ht="21.6" customHeight="1" x14ac:dyDescent="0.25">
      <c r="A346" s="664"/>
      <c r="B346" s="664"/>
      <c r="C346" s="664"/>
      <c r="D346" s="1086" t="s">
        <v>176</v>
      </c>
      <c r="E346" s="845"/>
      <c r="F346" s="846" t="s">
        <v>513</v>
      </c>
      <c r="G346" s="836" t="s">
        <v>276</v>
      </c>
      <c r="H346" s="844"/>
      <c r="I346" s="625"/>
      <c r="J346" s="844" t="s">
        <v>265</v>
      </c>
      <c r="K346" s="626" t="s">
        <v>863</v>
      </c>
      <c r="L346" s="893">
        <f>88+1</f>
        <v>89</v>
      </c>
      <c r="M346" s="893">
        <v>12</v>
      </c>
      <c r="N346" s="893">
        <f t="shared" si="79"/>
        <v>101</v>
      </c>
      <c r="O346" s="856">
        <f>102.5+1.4</f>
        <v>103.9</v>
      </c>
      <c r="P346" s="856"/>
      <c r="Q346" s="856">
        <f t="shared" si="80"/>
        <v>103.9</v>
      </c>
      <c r="R346" s="894"/>
      <c r="S346" s="855"/>
      <c r="T346" s="896">
        <f t="shared" si="84"/>
        <v>0</v>
      </c>
      <c r="U346" s="862"/>
      <c r="V346" s="857">
        <f>1536+21</f>
        <v>1557</v>
      </c>
      <c r="W346" s="857">
        <f t="shared" si="81"/>
        <v>103.8</v>
      </c>
      <c r="X346" s="863"/>
      <c r="Y346" s="891">
        <f t="shared" si="83"/>
        <v>1557</v>
      </c>
      <c r="Z346" s="664">
        <f t="shared" si="86"/>
        <v>103.8</v>
      </c>
      <c r="AA346" s="836"/>
      <c r="AB346" s="982"/>
      <c r="AC346" s="867">
        <f>88+1</f>
        <v>89</v>
      </c>
      <c r="AD346" s="867">
        <f>12</f>
        <v>12</v>
      </c>
      <c r="AE346" s="979">
        <f t="shared" si="85"/>
        <v>101</v>
      </c>
      <c r="AF346" s="878"/>
      <c r="AG346" s="335">
        <f>1536+21</f>
        <v>1557</v>
      </c>
      <c r="AH346" s="979">
        <f t="shared" si="82"/>
        <v>103.8</v>
      </c>
      <c r="AI346" s="979"/>
      <c r="AJ346" s="979">
        <f t="shared" si="78"/>
        <v>0</v>
      </c>
      <c r="AK346" s="878"/>
      <c r="AL346" s="618"/>
      <c r="AM346" s="618"/>
    </row>
    <row r="347" spans="1:81" ht="21.6" customHeight="1" x14ac:dyDescent="0.25">
      <c r="A347" s="664">
        <v>74</v>
      </c>
      <c r="B347" s="664" t="s">
        <v>130</v>
      </c>
      <c r="C347" s="664">
        <v>14</v>
      </c>
      <c r="D347" s="1086" t="s">
        <v>176</v>
      </c>
      <c r="E347" s="845"/>
      <c r="F347" s="846" t="s">
        <v>186</v>
      </c>
      <c r="G347" s="836"/>
      <c r="H347" s="844"/>
      <c r="I347" s="625"/>
      <c r="J347" s="844"/>
      <c r="K347" s="626"/>
      <c r="L347" s="893"/>
      <c r="M347" s="893"/>
      <c r="N347" s="893">
        <f t="shared" si="79"/>
        <v>0</v>
      </c>
      <c r="O347" s="856"/>
      <c r="P347" s="856"/>
      <c r="Q347" s="856">
        <f t="shared" si="80"/>
        <v>0</v>
      </c>
      <c r="R347" s="894"/>
      <c r="S347" s="855"/>
      <c r="T347" s="896">
        <f t="shared" si="84"/>
        <v>0</v>
      </c>
      <c r="U347" s="862"/>
      <c r="V347" s="857"/>
      <c r="W347" s="857">
        <f t="shared" si="81"/>
        <v>0</v>
      </c>
      <c r="X347" s="863"/>
      <c r="Y347" s="891">
        <f t="shared" si="83"/>
        <v>0</v>
      </c>
      <c r="Z347" s="664">
        <f t="shared" si="86"/>
        <v>0</v>
      </c>
      <c r="AA347" s="836"/>
      <c r="AB347" s="982"/>
      <c r="AC347" s="867"/>
      <c r="AD347" s="867"/>
      <c r="AE347" s="979">
        <f t="shared" si="85"/>
        <v>0</v>
      </c>
      <c r="AF347" s="878"/>
      <c r="AG347" s="335"/>
      <c r="AH347" s="979">
        <f t="shared" si="82"/>
        <v>0</v>
      </c>
      <c r="AI347" s="979"/>
      <c r="AJ347" s="979">
        <f t="shared" si="78"/>
        <v>0</v>
      </c>
      <c r="AK347" s="878"/>
      <c r="AL347" s="618"/>
      <c r="AM347" s="618"/>
    </row>
    <row r="348" spans="1:81" ht="21.6" customHeight="1" x14ac:dyDescent="0.25">
      <c r="A348" s="664">
        <v>75</v>
      </c>
      <c r="B348" s="664" t="s">
        <v>130</v>
      </c>
      <c r="C348" s="664">
        <v>15</v>
      </c>
      <c r="D348" s="1086" t="s">
        <v>176</v>
      </c>
      <c r="E348" s="845"/>
      <c r="F348" s="846" t="s">
        <v>187</v>
      </c>
      <c r="G348" s="836" t="s">
        <v>265</v>
      </c>
      <c r="H348" s="844"/>
      <c r="I348" s="625"/>
      <c r="J348" s="844" t="s">
        <v>265</v>
      </c>
      <c r="K348" s="626" t="s">
        <v>723</v>
      </c>
      <c r="L348" s="893">
        <f>26+1</f>
        <v>27</v>
      </c>
      <c r="M348" s="893">
        <v>14</v>
      </c>
      <c r="N348" s="893">
        <f t="shared" si="79"/>
        <v>41</v>
      </c>
      <c r="O348" s="856"/>
      <c r="P348" s="856">
        <f>45+1</f>
        <v>46</v>
      </c>
      <c r="Q348" s="856">
        <f t="shared" si="80"/>
        <v>46</v>
      </c>
      <c r="R348" s="894"/>
      <c r="S348" s="855"/>
      <c r="T348" s="896">
        <f t="shared" si="84"/>
        <v>0</v>
      </c>
      <c r="U348" s="862"/>
      <c r="V348" s="857">
        <f>675+15</f>
        <v>690</v>
      </c>
      <c r="W348" s="857">
        <f t="shared" si="81"/>
        <v>46</v>
      </c>
      <c r="X348" s="863"/>
      <c r="Y348" s="891">
        <f t="shared" si="83"/>
        <v>690</v>
      </c>
      <c r="Z348" s="664">
        <f t="shared" si="86"/>
        <v>46</v>
      </c>
      <c r="AA348" s="836"/>
      <c r="AB348" s="982"/>
      <c r="AC348" s="867">
        <f>26+1</f>
        <v>27</v>
      </c>
      <c r="AD348" s="867">
        <v>14</v>
      </c>
      <c r="AE348" s="979">
        <f t="shared" si="85"/>
        <v>41</v>
      </c>
      <c r="AF348" s="878"/>
      <c r="AG348" s="335">
        <f>675+15</f>
        <v>690</v>
      </c>
      <c r="AH348" s="979">
        <f t="shared" si="82"/>
        <v>46</v>
      </c>
      <c r="AI348" s="979"/>
      <c r="AJ348" s="979">
        <f t="shared" si="78"/>
        <v>0</v>
      </c>
      <c r="AK348" s="878"/>
      <c r="AL348" s="618"/>
      <c r="AM348" s="618"/>
    </row>
    <row r="349" spans="1:81" ht="30" customHeight="1" x14ac:dyDescent="0.25">
      <c r="A349" s="664"/>
      <c r="B349" s="664"/>
      <c r="C349" s="664"/>
      <c r="D349" s="1086" t="s">
        <v>176</v>
      </c>
      <c r="E349" s="845"/>
      <c r="F349" s="846" t="s">
        <v>318</v>
      </c>
      <c r="G349" s="836" t="s">
        <v>276</v>
      </c>
      <c r="H349" s="844"/>
      <c r="I349" s="625"/>
      <c r="J349" s="844" t="s">
        <v>265</v>
      </c>
      <c r="K349" s="626" t="s">
        <v>723</v>
      </c>
      <c r="L349" s="893">
        <v>7</v>
      </c>
      <c r="M349" s="893">
        <v>1</v>
      </c>
      <c r="N349" s="893">
        <f t="shared" si="79"/>
        <v>8</v>
      </c>
      <c r="O349" s="856">
        <v>2</v>
      </c>
      <c r="P349" s="856">
        <v>4.0999999999999996</v>
      </c>
      <c r="Q349" s="856">
        <f t="shared" si="80"/>
        <v>6.1</v>
      </c>
      <c r="R349" s="894"/>
      <c r="S349" s="855"/>
      <c r="T349" s="896">
        <f t="shared" si="84"/>
        <v>0</v>
      </c>
      <c r="U349" s="862"/>
      <c r="V349" s="857">
        <v>60</v>
      </c>
      <c r="W349" s="857">
        <f t="shared" si="81"/>
        <v>4</v>
      </c>
      <c r="X349" s="863"/>
      <c r="Y349" s="891">
        <f t="shared" si="83"/>
        <v>60</v>
      </c>
      <c r="Z349" s="664">
        <f t="shared" si="86"/>
        <v>4</v>
      </c>
      <c r="AA349" s="836"/>
      <c r="AB349" s="982"/>
      <c r="AC349" s="867">
        <v>7</v>
      </c>
      <c r="AD349" s="867">
        <v>1</v>
      </c>
      <c r="AE349" s="979">
        <f t="shared" si="85"/>
        <v>8</v>
      </c>
      <c r="AF349" s="878"/>
      <c r="AG349" s="335">
        <v>60</v>
      </c>
      <c r="AH349" s="979">
        <f t="shared" si="82"/>
        <v>4</v>
      </c>
      <c r="AI349" s="979"/>
      <c r="AJ349" s="979">
        <f t="shared" si="78"/>
        <v>0</v>
      </c>
      <c r="AK349" s="878"/>
      <c r="AL349" s="618"/>
      <c r="AM349" s="618"/>
    </row>
    <row r="350" spans="1:81" ht="21.6" customHeight="1" x14ac:dyDescent="0.25">
      <c r="A350" s="664">
        <v>76</v>
      </c>
      <c r="B350" s="664" t="s">
        <v>130</v>
      </c>
      <c r="C350" s="664">
        <v>16</v>
      </c>
      <c r="D350" s="1086" t="s">
        <v>176</v>
      </c>
      <c r="E350" s="845"/>
      <c r="F350" s="846" t="s">
        <v>188</v>
      </c>
      <c r="G350" s="836" t="s">
        <v>265</v>
      </c>
      <c r="H350" s="844"/>
      <c r="I350" s="625"/>
      <c r="J350" s="844"/>
      <c r="K350" s="626"/>
      <c r="L350" s="893"/>
      <c r="M350" s="893"/>
      <c r="N350" s="893">
        <f t="shared" si="79"/>
        <v>0</v>
      </c>
      <c r="O350" s="856"/>
      <c r="P350" s="856"/>
      <c r="Q350" s="856">
        <f t="shared" si="80"/>
        <v>0</v>
      </c>
      <c r="R350" s="894"/>
      <c r="S350" s="855"/>
      <c r="T350" s="896">
        <f t="shared" si="84"/>
        <v>0</v>
      </c>
      <c r="U350" s="862"/>
      <c r="V350" s="857"/>
      <c r="W350" s="857">
        <f t="shared" si="81"/>
        <v>0</v>
      </c>
      <c r="X350" s="863"/>
      <c r="Y350" s="891">
        <f t="shared" si="83"/>
        <v>0</v>
      </c>
      <c r="Z350" s="664">
        <f t="shared" si="86"/>
        <v>0</v>
      </c>
      <c r="AA350" s="836"/>
      <c r="AB350" s="982"/>
      <c r="AC350" s="867"/>
      <c r="AD350" s="867"/>
      <c r="AE350" s="979">
        <f t="shared" si="85"/>
        <v>0</v>
      </c>
      <c r="AF350" s="878"/>
      <c r="AG350" s="335"/>
      <c r="AH350" s="979">
        <f t="shared" si="82"/>
        <v>0</v>
      </c>
      <c r="AI350" s="979"/>
      <c r="AJ350" s="979">
        <f t="shared" si="78"/>
        <v>0</v>
      </c>
      <c r="AK350" s="878"/>
      <c r="AL350" s="618"/>
      <c r="AM350" s="618"/>
    </row>
    <row r="351" spans="1:81" ht="32.25" customHeight="1" x14ac:dyDescent="0.25">
      <c r="A351" s="664"/>
      <c r="B351" s="664"/>
      <c r="C351" s="664"/>
      <c r="D351" s="1086" t="s">
        <v>176</v>
      </c>
      <c r="E351" s="845"/>
      <c r="F351" s="846" t="s">
        <v>516</v>
      </c>
      <c r="G351" s="836" t="s">
        <v>276</v>
      </c>
      <c r="H351" s="844"/>
      <c r="I351" s="625"/>
      <c r="J351" s="844"/>
      <c r="K351" s="626"/>
      <c r="L351" s="893"/>
      <c r="M351" s="893"/>
      <c r="N351" s="893">
        <f t="shared" si="79"/>
        <v>0</v>
      </c>
      <c r="O351" s="856"/>
      <c r="P351" s="856"/>
      <c r="Q351" s="856">
        <f t="shared" si="80"/>
        <v>0</v>
      </c>
      <c r="R351" s="894"/>
      <c r="S351" s="855"/>
      <c r="T351" s="896">
        <f t="shared" si="84"/>
        <v>0</v>
      </c>
      <c r="U351" s="862"/>
      <c r="V351" s="857"/>
      <c r="W351" s="857">
        <f t="shared" si="81"/>
        <v>0</v>
      </c>
      <c r="X351" s="863"/>
      <c r="Y351" s="891">
        <f t="shared" si="83"/>
        <v>0</v>
      </c>
      <c r="Z351" s="664">
        <f t="shared" si="86"/>
        <v>0</v>
      </c>
      <c r="AA351" s="836"/>
      <c r="AB351" s="982"/>
      <c r="AC351" s="867"/>
      <c r="AD351" s="867"/>
      <c r="AE351" s="979">
        <f t="shared" si="85"/>
        <v>0</v>
      </c>
      <c r="AF351" s="878"/>
      <c r="AG351" s="335"/>
      <c r="AH351" s="979">
        <f t="shared" si="82"/>
        <v>0</v>
      </c>
      <c r="AI351" s="979"/>
      <c r="AJ351" s="979">
        <f t="shared" si="78"/>
        <v>0</v>
      </c>
      <c r="AK351" s="878"/>
      <c r="AL351" s="618"/>
      <c r="AM351" s="618"/>
    </row>
    <row r="352" spans="1:81" ht="29.25" customHeight="1" x14ac:dyDescent="0.25">
      <c r="A352" s="664"/>
      <c r="B352" s="664"/>
      <c r="C352" s="664"/>
      <c r="D352" s="1086" t="s">
        <v>176</v>
      </c>
      <c r="E352" s="845"/>
      <c r="F352" s="846" t="s">
        <v>517</v>
      </c>
      <c r="G352" s="836" t="s">
        <v>276</v>
      </c>
      <c r="H352" s="844"/>
      <c r="I352" s="625"/>
      <c r="J352" s="844"/>
      <c r="K352" s="626"/>
      <c r="L352" s="893"/>
      <c r="M352" s="893"/>
      <c r="N352" s="893">
        <f t="shared" si="79"/>
        <v>0</v>
      </c>
      <c r="O352" s="856"/>
      <c r="P352" s="856"/>
      <c r="Q352" s="856">
        <f t="shared" si="80"/>
        <v>0</v>
      </c>
      <c r="R352" s="894"/>
      <c r="S352" s="855"/>
      <c r="T352" s="896">
        <f t="shared" si="84"/>
        <v>0</v>
      </c>
      <c r="U352" s="862"/>
      <c r="V352" s="857"/>
      <c r="W352" s="857">
        <f t="shared" si="81"/>
        <v>0</v>
      </c>
      <c r="X352" s="863"/>
      <c r="Y352" s="891">
        <f t="shared" si="83"/>
        <v>0</v>
      </c>
      <c r="Z352" s="664">
        <f t="shared" si="86"/>
        <v>0</v>
      </c>
      <c r="AA352" s="836"/>
      <c r="AB352" s="982"/>
      <c r="AC352" s="867"/>
      <c r="AD352" s="867"/>
      <c r="AE352" s="979">
        <f t="shared" si="85"/>
        <v>0</v>
      </c>
      <c r="AF352" s="878"/>
      <c r="AG352" s="335"/>
      <c r="AH352" s="979">
        <f t="shared" si="82"/>
        <v>0</v>
      </c>
      <c r="AI352" s="979"/>
      <c r="AJ352" s="979">
        <f t="shared" si="78"/>
        <v>0</v>
      </c>
      <c r="AK352" s="878"/>
      <c r="AL352" s="618"/>
      <c r="AM352" s="618"/>
    </row>
    <row r="353" spans="1:81" ht="21.6" customHeight="1" x14ac:dyDescent="0.25">
      <c r="A353" s="664"/>
      <c r="B353" s="664"/>
      <c r="C353" s="664"/>
      <c r="D353" s="1086" t="s">
        <v>176</v>
      </c>
      <c r="E353" s="845"/>
      <c r="F353" s="846" t="s">
        <v>320</v>
      </c>
      <c r="G353" s="836" t="s">
        <v>276</v>
      </c>
      <c r="H353" s="844"/>
      <c r="I353" s="625"/>
      <c r="J353" s="844" t="s">
        <v>265</v>
      </c>
      <c r="K353" s="626" t="s">
        <v>723</v>
      </c>
      <c r="L353" s="893">
        <v>8</v>
      </c>
      <c r="M353" s="893">
        <v>1</v>
      </c>
      <c r="N353" s="893">
        <f t="shared" si="79"/>
        <v>9</v>
      </c>
      <c r="O353" s="856">
        <v>7.5</v>
      </c>
      <c r="P353" s="856"/>
      <c r="Q353" s="856">
        <f t="shared" si="80"/>
        <v>7.5</v>
      </c>
      <c r="R353" s="894"/>
      <c r="S353" s="855"/>
      <c r="T353" s="896">
        <f t="shared" si="84"/>
        <v>0</v>
      </c>
      <c r="U353" s="862"/>
      <c r="V353" s="857">
        <v>108</v>
      </c>
      <c r="W353" s="857">
        <f t="shared" si="81"/>
        <v>7.2</v>
      </c>
      <c r="X353" s="863"/>
      <c r="Y353" s="891">
        <f t="shared" si="83"/>
        <v>108</v>
      </c>
      <c r="Z353" s="664">
        <f t="shared" si="86"/>
        <v>7.2</v>
      </c>
      <c r="AA353" s="836"/>
      <c r="AB353" s="982"/>
      <c r="AC353" s="867">
        <f>9+0</f>
        <v>9</v>
      </c>
      <c r="AD353" s="867">
        <f>2+1</f>
        <v>3</v>
      </c>
      <c r="AE353" s="979">
        <f t="shared" si="85"/>
        <v>12</v>
      </c>
      <c r="AF353" s="878"/>
      <c r="AG353" s="335">
        <f>111+25</f>
        <v>136</v>
      </c>
      <c r="AH353" s="979">
        <f t="shared" si="82"/>
        <v>9.0666666666666664</v>
      </c>
      <c r="AI353" s="979"/>
      <c r="AJ353" s="979">
        <f t="shared" si="78"/>
        <v>-1.8666666666666663</v>
      </c>
      <c r="AK353" s="878"/>
      <c r="AL353" s="618"/>
      <c r="AM353" s="618"/>
    </row>
    <row r="354" spans="1:81" ht="21.6" customHeight="1" x14ac:dyDescent="0.25">
      <c r="A354" s="664"/>
      <c r="B354" s="664"/>
      <c r="C354" s="664"/>
      <c r="D354" s="1086" t="s">
        <v>176</v>
      </c>
      <c r="E354" s="845"/>
      <c r="F354" s="846" t="s">
        <v>519</v>
      </c>
      <c r="G354" s="836" t="s">
        <v>276</v>
      </c>
      <c r="H354" s="844"/>
      <c r="I354" s="625"/>
      <c r="J354" s="844"/>
      <c r="K354" s="626"/>
      <c r="L354" s="893"/>
      <c r="M354" s="893"/>
      <c r="N354" s="893">
        <f t="shared" si="79"/>
        <v>0</v>
      </c>
      <c r="O354" s="856"/>
      <c r="P354" s="856"/>
      <c r="Q354" s="856">
        <f t="shared" si="80"/>
        <v>0</v>
      </c>
      <c r="R354" s="894"/>
      <c r="S354" s="855"/>
      <c r="T354" s="896">
        <f t="shared" si="84"/>
        <v>0</v>
      </c>
      <c r="U354" s="862"/>
      <c r="V354" s="857"/>
      <c r="W354" s="857">
        <f t="shared" si="81"/>
        <v>0</v>
      </c>
      <c r="X354" s="863"/>
      <c r="Y354" s="891">
        <f t="shared" si="83"/>
        <v>0</v>
      </c>
      <c r="Z354" s="664">
        <f t="shared" si="86"/>
        <v>0</v>
      </c>
      <c r="AA354" s="836"/>
      <c r="AB354" s="982"/>
      <c r="AC354" s="867"/>
      <c r="AD354" s="867"/>
      <c r="AE354" s="979">
        <f t="shared" si="85"/>
        <v>0</v>
      </c>
      <c r="AF354" s="878"/>
      <c r="AG354" s="335"/>
      <c r="AH354" s="979">
        <f t="shared" si="82"/>
        <v>0</v>
      </c>
      <c r="AI354" s="979"/>
      <c r="AJ354" s="979">
        <f t="shared" si="78"/>
        <v>0</v>
      </c>
      <c r="AK354" s="878"/>
      <c r="AL354" s="618"/>
      <c r="AM354" s="618"/>
    </row>
    <row r="355" spans="1:81" ht="21.6" customHeight="1" x14ac:dyDescent="0.25">
      <c r="A355" s="664"/>
      <c r="B355" s="664"/>
      <c r="C355" s="664"/>
      <c r="D355" s="1086" t="s">
        <v>176</v>
      </c>
      <c r="E355" s="845"/>
      <c r="F355" s="846" t="s">
        <v>520</v>
      </c>
      <c r="G355" s="836" t="s">
        <v>276</v>
      </c>
      <c r="H355" s="844"/>
      <c r="I355" s="625"/>
      <c r="J355" s="844"/>
      <c r="K355" s="626"/>
      <c r="L355" s="893"/>
      <c r="M355" s="893"/>
      <c r="N355" s="893">
        <f t="shared" si="79"/>
        <v>0</v>
      </c>
      <c r="O355" s="856"/>
      <c r="P355" s="856"/>
      <c r="Q355" s="856">
        <f t="shared" si="80"/>
        <v>0</v>
      </c>
      <c r="R355" s="894"/>
      <c r="S355" s="855"/>
      <c r="T355" s="896">
        <f t="shared" si="84"/>
        <v>0</v>
      </c>
      <c r="U355" s="862"/>
      <c r="V355" s="857"/>
      <c r="W355" s="857">
        <f t="shared" si="81"/>
        <v>0</v>
      </c>
      <c r="X355" s="863"/>
      <c r="Y355" s="891">
        <f t="shared" si="83"/>
        <v>0</v>
      </c>
      <c r="Z355" s="664">
        <f t="shared" si="86"/>
        <v>0</v>
      </c>
      <c r="AA355" s="836"/>
      <c r="AB355" s="982"/>
      <c r="AC355" s="867"/>
      <c r="AD355" s="867"/>
      <c r="AE355" s="979">
        <f t="shared" si="85"/>
        <v>0</v>
      </c>
      <c r="AF355" s="878"/>
      <c r="AG355" s="335"/>
      <c r="AH355" s="979">
        <f t="shared" si="82"/>
        <v>0</v>
      </c>
      <c r="AI355" s="979"/>
      <c r="AJ355" s="979">
        <f t="shared" si="78"/>
        <v>0</v>
      </c>
      <c r="AK355" s="878"/>
      <c r="AL355" s="618"/>
      <c r="AM355" s="618"/>
    </row>
    <row r="356" spans="1:81" ht="21.6" customHeight="1" x14ac:dyDescent="0.25">
      <c r="A356" s="664"/>
      <c r="B356" s="664"/>
      <c r="C356" s="664"/>
      <c r="D356" s="1086"/>
      <c r="E356" s="845"/>
      <c r="F356" s="846"/>
      <c r="G356" s="836"/>
      <c r="H356" s="844"/>
      <c r="I356" s="625"/>
      <c r="J356" s="844"/>
      <c r="K356" s="626"/>
      <c r="L356" s="893"/>
      <c r="M356" s="893"/>
      <c r="N356" s="893">
        <f t="shared" si="79"/>
        <v>0</v>
      </c>
      <c r="O356" s="856"/>
      <c r="P356" s="856"/>
      <c r="Q356" s="856">
        <f t="shared" si="80"/>
        <v>0</v>
      </c>
      <c r="R356" s="894"/>
      <c r="S356" s="855"/>
      <c r="T356" s="896">
        <f t="shared" si="84"/>
        <v>0</v>
      </c>
      <c r="U356" s="862"/>
      <c r="V356" s="857"/>
      <c r="W356" s="857">
        <f t="shared" si="81"/>
        <v>0</v>
      </c>
      <c r="X356" s="863"/>
      <c r="Y356" s="664">
        <f t="shared" si="83"/>
        <v>0</v>
      </c>
      <c r="Z356" s="664">
        <f t="shared" si="86"/>
        <v>0</v>
      </c>
      <c r="AA356" s="836"/>
      <c r="AB356" s="982"/>
      <c r="AC356" s="867"/>
      <c r="AD356" s="867"/>
      <c r="AE356" s="979">
        <f t="shared" si="85"/>
        <v>0</v>
      </c>
      <c r="AF356" s="878"/>
      <c r="AG356" s="335"/>
      <c r="AH356" s="979">
        <f t="shared" si="82"/>
        <v>0</v>
      </c>
      <c r="AI356" s="979"/>
      <c r="AJ356" s="979">
        <f t="shared" si="78"/>
        <v>0</v>
      </c>
      <c r="AK356" s="878"/>
      <c r="AL356" s="618"/>
      <c r="AM356" s="618"/>
    </row>
    <row r="357" spans="1:81" s="641" customFormat="1" ht="33" customHeight="1" x14ac:dyDescent="0.25">
      <c r="A357" s="836"/>
      <c r="B357" s="836"/>
      <c r="C357" s="836"/>
      <c r="D357" s="1086" t="s">
        <v>189</v>
      </c>
      <c r="E357" s="900" t="s">
        <v>437</v>
      </c>
      <c r="F357" s="846" t="s">
        <v>469</v>
      </c>
      <c r="G357" s="836" t="s">
        <v>276</v>
      </c>
      <c r="H357" s="844"/>
      <c r="I357" s="625"/>
      <c r="J357" s="844"/>
      <c r="K357" s="626"/>
      <c r="L357" s="890"/>
      <c r="M357" s="890"/>
      <c r="N357" s="890">
        <f t="shared" si="79"/>
        <v>0</v>
      </c>
      <c r="O357" s="467"/>
      <c r="P357" s="467"/>
      <c r="Q357" s="467">
        <f t="shared" si="80"/>
        <v>0</v>
      </c>
      <c r="R357" s="625"/>
      <c r="S357" s="842"/>
      <c r="T357" s="862">
        <f t="shared" si="84"/>
        <v>0</v>
      </c>
      <c r="U357" s="862">
        <f>SUM(T357:T368)</f>
        <v>0</v>
      </c>
      <c r="V357" s="863"/>
      <c r="W357" s="857">
        <f t="shared" si="81"/>
        <v>0</v>
      </c>
      <c r="X357" s="863">
        <f>SUM(W357:W368)</f>
        <v>0</v>
      </c>
      <c r="Y357" s="836">
        <f t="shared" si="83"/>
        <v>0</v>
      </c>
      <c r="Z357" s="664">
        <f t="shared" si="86"/>
        <v>0</v>
      </c>
      <c r="AA357" s="836">
        <f>SUM(Z357:Z368)</f>
        <v>0</v>
      </c>
      <c r="AB357" s="982">
        <v>0</v>
      </c>
      <c r="AC357" s="867"/>
      <c r="AD357" s="867"/>
      <c r="AE357" s="979">
        <f t="shared" si="85"/>
        <v>0</v>
      </c>
      <c r="AF357" s="878">
        <f>SUM(AE357:AE368)</f>
        <v>0</v>
      </c>
      <c r="AG357" s="335"/>
      <c r="AH357" s="979">
        <f t="shared" si="82"/>
        <v>0</v>
      </c>
      <c r="AI357" s="979">
        <f>SUM(AH357:AH368)</f>
        <v>0</v>
      </c>
      <c r="AJ357" s="979">
        <f t="shared" si="78"/>
        <v>0</v>
      </c>
      <c r="AK357" s="878">
        <f>SUM(AJ357:AJ368)</f>
        <v>0</v>
      </c>
      <c r="AL357" s="648"/>
      <c r="AM357" s="648"/>
      <c r="AN357" s="647"/>
      <c r="AO357" s="647"/>
      <c r="AP357" s="647"/>
      <c r="AQ357" s="647"/>
      <c r="AR357" s="647"/>
      <c r="AS357" s="647"/>
      <c r="AT357" s="647"/>
      <c r="AU357" s="647"/>
      <c r="AV357" s="647"/>
      <c r="AW357" s="647"/>
      <c r="AX357" s="647"/>
      <c r="AY357" s="647"/>
      <c r="AZ357" s="647"/>
      <c r="BA357" s="647"/>
      <c r="BB357" s="647"/>
      <c r="BC357" s="647"/>
      <c r="BD357" s="647"/>
      <c r="BE357" s="647"/>
      <c r="BF357" s="647"/>
      <c r="BG357" s="647"/>
      <c r="BH357" s="647"/>
      <c r="BI357" s="647"/>
      <c r="BJ357" s="647"/>
      <c r="BK357" s="647"/>
      <c r="BL357" s="647"/>
      <c r="BM357" s="647"/>
      <c r="BN357" s="647"/>
      <c r="BO357" s="647"/>
      <c r="BP357" s="647"/>
      <c r="BQ357" s="647"/>
      <c r="BR357" s="647"/>
      <c r="BS357" s="647"/>
      <c r="BT357" s="647"/>
      <c r="BU357" s="647"/>
      <c r="BV357" s="647"/>
      <c r="BW357" s="647"/>
      <c r="BX357" s="647"/>
      <c r="BY357" s="647"/>
      <c r="BZ357" s="647"/>
      <c r="CA357" s="647"/>
      <c r="CB357" s="647"/>
      <c r="CC357" s="647"/>
    </row>
    <row r="358" spans="1:81" ht="28.5" customHeight="1" x14ac:dyDescent="0.25">
      <c r="A358" s="664">
        <v>78</v>
      </c>
      <c r="B358" s="664" t="s">
        <v>130</v>
      </c>
      <c r="C358" s="664">
        <v>2</v>
      </c>
      <c r="D358" s="1086" t="s">
        <v>189</v>
      </c>
      <c r="E358" s="836"/>
      <c r="F358" s="846" t="s">
        <v>190</v>
      </c>
      <c r="G358" s="836" t="s">
        <v>265</v>
      </c>
      <c r="H358" s="844"/>
      <c r="I358" s="625"/>
      <c r="J358" s="844"/>
      <c r="K358" s="626"/>
      <c r="L358" s="893"/>
      <c r="M358" s="893"/>
      <c r="N358" s="893">
        <f t="shared" si="79"/>
        <v>0</v>
      </c>
      <c r="O358" s="856"/>
      <c r="P358" s="856"/>
      <c r="Q358" s="856">
        <f t="shared" si="80"/>
        <v>0</v>
      </c>
      <c r="R358" s="894"/>
      <c r="S358" s="855"/>
      <c r="T358" s="896">
        <f t="shared" si="84"/>
        <v>0</v>
      </c>
      <c r="U358" s="862"/>
      <c r="V358" s="857"/>
      <c r="W358" s="857">
        <f t="shared" si="81"/>
        <v>0</v>
      </c>
      <c r="X358" s="863"/>
      <c r="Y358" s="664">
        <f t="shared" si="83"/>
        <v>0</v>
      </c>
      <c r="Z358" s="664">
        <f t="shared" si="86"/>
        <v>0</v>
      </c>
      <c r="AA358" s="836"/>
      <c r="AB358" s="982"/>
      <c r="AC358" s="867"/>
      <c r="AD358" s="867"/>
      <c r="AE358" s="979">
        <f t="shared" si="85"/>
        <v>0</v>
      </c>
      <c r="AF358" s="878"/>
      <c r="AG358" s="335"/>
      <c r="AH358" s="979">
        <f t="shared" si="82"/>
        <v>0</v>
      </c>
      <c r="AI358" s="979"/>
      <c r="AJ358" s="979">
        <f t="shared" si="78"/>
        <v>0</v>
      </c>
      <c r="AK358" s="878"/>
      <c r="AL358" s="618"/>
      <c r="AM358" s="618"/>
    </row>
    <row r="359" spans="1:81" ht="36" customHeight="1" x14ac:dyDescent="0.25">
      <c r="A359" s="664"/>
      <c r="B359" s="664"/>
      <c r="C359" s="664"/>
      <c r="D359" s="1086" t="s">
        <v>189</v>
      </c>
      <c r="E359" s="836" t="s">
        <v>437</v>
      </c>
      <c r="F359" s="846" t="s">
        <v>471</v>
      </c>
      <c r="G359" s="836" t="s">
        <v>276</v>
      </c>
      <c r="H359" s="844"/>
      <c r="I359" s="625"/>
      <c r="J359" s="844"/>
      <c r="K359" s="626"/>
      <c r="L359" s="893"/>
      <c r="M359" s="893"/>
      <c r="N359" s="893">
        <f t="shared" si="79"/>
        <v>0</v>
      </c>
      <c r="O359" s="856"/>
      <c r="P359" s="856"/>
      <c r="Q359" s="856">
        <f t="shared" si="80"/>
        <v>0</v>
      </c>
      <c r="R359" s="894"/>
      <c r="S359" s="855"/>
      <c r="T359" s="896">
        <f t="shared" si="84"/>
        <v>0</v>
      </c>
      <c r="U359" s="862"/>
      <c r="V359" s="857"/>
      <c r="W359" s="857">
        <f t="shared" si="81"/>
        <v>0</v>
      </c>
      <c r="X359" s="863"/>
      <c r="Y359" s="664">
        <f t="shared" si="83"/>
        <v>0</v>
      </c>
      <c r="Z359" s="664">
        <f t="shared" si="86"/>
        <v>0</v>
      </c>
      <c r="AA359" s="836"/>
      <c r="AB359" s="982"/>
      <c r="AC359" s="867"/>
      <c r="AD359" s="867"/>
      <c r="AE359" s="979">
        <f t="shared" si="85"/>
        <v>0</v>
      </c>
      <c r="AF359" s="878"/>
      <c r="AG359" s="335"/>
      <c r="AH359" s="979">
        <f t="shared" si="82"/>
        <v>0</v>
      </c>
      <c r="AI359" s="979"/>
      <c r="AJ359" s="979">
        <f t="shared" ref="AJ359:AJ422" si="87">Z359-AH359</f>
        <v>0</v>
      </c>
      <c r="AK359" s="878"/>
      <c r="AL359" s="618"/>
      <c r="AM359" s="618"/>
    </row>
    <row r="360" spans="1:81" ht="21.6" customHeight="1" x14ac:dyDescent="0.25">
      <c r="A360" s="664">
        <v>81</v>
      </c>
      <c r="B360" s="664" t="s">
        <v>130</v>
      </c>
      <c r="C360" s="664">
        <v>5</v>
      </c>
      <c r="D360" s="1086" t="s">
        <v>189</v>
      </c>
      <c r="E360" s="836" t="s">
        <v>431</v>
      </c>
      <c r="F360" s="846" t="s">
        <v>191</v>
      </c>
      <c r="G360" s="836" t="s">
        <v>265</v>
      </c>
      <c r="H360" s="844"/>
      <c r="I360" s="625"/>
      <c r="J360" s="844"/>
      <c r="K360" s="626"/>
      <c r="L360" s="893"/>
      <c r="M360" s="893"/>
      <c r="N360" s="893">
        <f t="shared" si="79"/>
        <v>0</v>
      </c>
      <c r="O360" s="856"/>
      <c r="P360" s="856"/>
      <c r="Q360" s="856">
        <f t="shared" si="80"/>
        <v>0</v>
      </c>
      <c r="R360" s="894"/>
      <c r="S360" s="855"/>
      <c r="T360" s="896">
        <f t="shared" si="84"/>
        <v>0</v>
      </c>
      <c r="U360" s="862"/>
      <c r="V360" s="857"/>
      <c r="W360" s="857">
        <f t="shared" si="81"/>
        <v>0</v>
      </c>
      <c r="X360" s="863"/>
      <c r="Y360" s="664">
        <f t="shared" si="83"/>
        <v>0</v>
      </c>
      <c r="Z360" s="664">
        <f t="shared" si="86"/>
        <v>0</v>
      </c>
      <c r="AA360" s="836"/>
      <c r="AB360" s="982"/>
      <c r="AC360" s="867"/>
      <c r="AD360" s="867"/>
      <c r="AE360" s="979">
        <f t="shared" si="85"/>
        <v>0</v>
      </c>
      <c r="AF360" s="878"/>
      <c r="AG360" s="335"/>
      <c r="AH360" s="979">
        <f t="shared" si="82"/>
        <v>0</v>
      </c>
      <c r="AI360" s="979"/>
      <c r="AJ360" s="979">
        <f t="shared" si="87"/>
        <v>0</v>
      </c>
      <c r="AK360" s="878"/>
      <c r="AL360" s="618"/>
      <c r="AM360" s="618"/>
    </row>
    <row r="361" spans="1:81" ht="21.6" customHeight="1" x14ac:dyDescent="0.25">
      <c r="A361" s="664"/>
      <c r="B361" s="664"/>
      <c r="C361" s="664"/>
      <c r="D361" s="1086" t="s">
        <v>189</v>
      </c>
      <c r="E361" s="900" t="s">
        <v>437</v>
      </c>
      <c r="F361" s="846" t="s">
        <v>230</v>
      </c>
      <c r="G361" s="836" t="s">
        <v>276</v>
      </c>
      <c r="H361" s="844"/>
      <c r="I361" s="625"/>
      <c r="J361" s="844"/>
      <c r="K361" s="626"/>
      <c r="L361" s="893"/>
      <c r="M361" s="893"/>
      <c r="N361" s="893">
        <f t="shared" si="79"/>
        <v>0</v>
      </c>
      <c r="O361" s="856"/>
      <c r="P361" s="856"/>
      <c r="Q361" s="856">
        <f t="shared" si="80"/>
        <v>0</v>
      </c>
      <c r="R361" s="894"/>
      <c r="S361" s="855"/>
      <c r="T361" s="896">
        <f t="shared" si="84"/>
        <v>0</v>
      </c>
      <c r="U361" s="862"/>
      <c r="V361" s="857"/>
      <c r="W361" s="857">
        <f t="shared" si="81"/>
        <v>0</v>
      </c>
      <c r="X361" s="863"/>
      <c r="Y361" s="664">
        <f t="shared" si="83"/>
        <v>0</v>
      </c>
      <c r="Z361" s="664">
        <f t="shared" si="86"/>
        <v>0</v>
      </c>
      <c r="AA361" s="836"/>
      <c r="AB361" s="982"/>
      <c r="AC361" s="867"/>
      <c r="AD361" s="867"/>
      <c r="AE361" s="979">
        <f t="shared" si="85"/>
        <v>0</v>
      </c>
      <c r="AF361" s="878"/>
      <c r="AG361" s="335"/>
      <c r="AH361" s="979">
        <f t="shared" si="82"/>
        <v>0</v>
      </c>
      <c r="AI361" s="979"/>
      <c r="AJ361" s="979">
        <f t="shared" si="87"/>
        <v>0</v>
      </c>
      <c r="AK361" s="878"/>
      <c r="AL361" s="618"/>
      <c r="AM361" s="618"/>
    </row>
    <row r="362" spans="1:81" ht="21.6" customHeight="1" x14ac:dyDescent="0.25">
      <c r="A362" s="664"/>
      <c r="B362" s="664"/>
      <c r="C362" s="664"/>
      <c r="D362" s="1086" t="s">
        <v>189</v>
      </c>
      <c r="E362" s="900" t="s">
        <v>431</v>
      </c>
      <c r="F362" s="846" t="s">
        <v>475</v>
      </c>
      <c r="G362" s="836" t="s">
        <v>276</v>
      </c>
      <c r="H362" s="844"/>
      <c r="I362" s="625"/>
      <c r="J362" s="844"/>
      <c r="K362" s="626"/>
      <c r="L362" s="893"/>
      <c r="M362" s="893"/>
      <c r="N362" s="893">
        <f t="shared" si="79"/>
        <v>0</v>
      </c>
      <c r="O362" s="856"/>
      <c r="P362" s="856"/>
      <c r="Q362" s="856">
        <f t="shared" si="80"/>
        <v>0</v>
      </c>
      <c r="R362" s="894"/>
      <c r="S362" s="855"/>
      <c r="T362" s="896">
        <f t="shared" si="84"/>
        <v>0</v>
      </c>
      <c r="U362" s="862"/>
      <c r="V362" s="857"/>
      <c r="W362" s="857">
        <f t="shared" si="81"/>
        <v>0</v>
      </c>
      <c r="X362" s="863"/>
      <c r="Y362" s="664">
        <f t="shared" si="83"/>
        <v>0</v>
      </c>
      <c r="Z362" s="664">
        <f t="shared" si="86"/>
        <v>0</v>
      </c>
      <c r="AA362" s="836"/>
      <c r="AB362" s="982"/>
      <c r="AC362" s="867"/>
      <c r="AD362" s="867"/>
      <c r="AE362" s="979">
        <f t="shared" si="85"/>
        <v>0</v>
      </c>
      <c r="AF362" s="878"/>
      <c r="AG362" s="335"/>
      <c r="AH362" s="979">
        <f t="shared" si="82"/>
        <v>0</v>
      </c>
      <c r="AI362" s="979"/>
      <c r="AJ362" s="979">
        <f t="shared" si="87"/>
        <v>0</v>
      </c>
      <c r="AK362" s="878"/>
      <c r="AL362" s="618"/>
      <c r="AM362" s="618"/>
    </row>
    <row r="363" spans="1:81" ht="21.6" customHeight="1" x14ac:dyDescent="0.25">
      <c r="A363" s="664">
        <v>84</v>
      </c>
      <c r="B363" s="664" t="s">
        <v>130</v>
      </c>
      <c r="C363" s="664">
        <v>8</v>
      </c>
      <c r="D363" s="1086" t="s">
        <v>189</v>
      </c>
      <c r="E363" s="900" t="s">
        <v>431</v>
      </c>
      <c r="F363" s="846" t="s">
        <v>192</v>
      </c>
      <c r="G363" s="836" t="s">
        <v>265</v>
      </c>
      <c r="H363" s="844"/>
      <c r="I363" s="625"/>
      <c r="J363" s="844"/>
      <c r="K363" s="626"/>
      <c r="L363" s="893"/>
      <c r="M363" s="893"/>
      <c r="N363" s="893">
        <f t="shared" si="79"/>
        <v>0</v>
      </c>
      <c r="O363" s="856"/>
      <c r="P363" s="856"/>
      <c r="Q363" s="856">
        <f t="shared" si="80"/>
        <v>0</v>
      </c>
      <c r="R363" s="894"/>
      <c r="S363" s="855"/>
      <c r="T363" s="896">
        <f t="shared" si="84"/>
        <v>0</v>
      </c>
      <c r="U363" s="862"/>
      <c r="V363" s="857"/>
      <c r="W363" s="857">
        <f t="shared" si="81"/>
        <v>0</v>
      </c>
      <c r="X363" s="863"/>
      <c r="Y363" s="664">
        <f t="shared" si="83"/>
        <v>0</v>
      </c>
      <c r="Z363" s="664">
        <f t="shared" si="86"/>
        <v>0</v>
      </c>
      <c r="AA363" s="836"/>
      <c r="AB363" s="982"/>
      <c r="AC363" s="867"/>
      <c r="AD363" s="867"/>
      <c r="AE363" s="979">
        <f t="shared" si="85"/>
        <v>0</v>
      </c>
      <c r="AF363" s="878"/>
      <c r="AG363" s="335"/>
      <c r="AH363" s="979">
        <f t="shared" si="82"/>
        <v>0</v>
      </c>
      <c r="AI363" s="979"/>
      <c r="AJ363" s="979">
        <f t="shared" si="87"/>
        <v>0</v>
      </c>
      <c r="AK363" s="878"/>
      <c r="AL363" s="618"/>
      <c r="AM363" s="618"/>
    </row>
    <row r="364" spans="1:81" ht="21.6" customHeight="1" x14ac:dyDescent="0.25">
      <c r="A364" s="664">
        <v>85</v>
      </c>
      <c r="B364" s="664" t="s">
        <v>130</v>
      </c>
      <c r="C364" s="664">
        <v>9</v>
      </c>
      <c r="D364" s="1086" t="s">
        <v>189</v>
      </c>
      <c r="E364" s="900" t="s">
        <v>437</v>
      </c>
      <c r="F364" s="846" t="s">
        <v>193</v>
      </c>
      <c r="G364" s="836" t="s">
        <v>265</v>
      </c>
      <c r="H364" s="844"/>
      <c r="I364" s="625"/>
      <c r="J364" s="844"/>
      <c r="K364" s="626"/>
      <c r="L364" s="893"/>
      <c r="M364" s="893"/>
      <c r="N364" s="893">
        <f t="shared" ref="N364:N427" si="88">M364+L364</f>
        <v>0</v>
      </c>
      <c r="O364" s="856"/>
      <c r="P364" s="856"/>
      <c r="Q364" s="856">
        <f t="shared" ref="Q364:Q427" si="89">P364+O364</f>
        <v>0</v>
      </c>
      <c r="R364" s="894"/>
      <c r="S364" s="855"/>
      <c r="T364" s="896">
        <f t="shared" si="84"/>
        <v>0</v>
      </c>
      <c r="U364" s="862"/>
      <c r="V364" s="857"/>
      <c r="W364" s="857">
        <f t="shared" si="81"/>
        <v>0</v>
      </c>
      <c r="X364" s="863"/>
      <c r="Y364" s="664">
        <f t="shared" si="83"/>
        <v>0</v>
      </c>
      <c r="Z364" s="664">
        <f t="shared" si="86"/>
        <v>0</v>
      </c>
      <c r="AA364" s="836"/>
      <c r="AB364" s="982"/>
      <c r="AC364" s="867"/>
      <c r="AD364" s="867"/>
      <c r="AE364" s="979">
        <f t="shared" si="85"/>
        <v>0</v>
      </c>
      <c r="AF364" s="878"/>
      <c r="AG364" s="335"/>
      <c r="AH364" s="979">
        <f t="shared" si="82"/>
        <v>0</v>
      </c>
      <c r="AI364" s="979"/>
      <c r="AJ364" s="979">
        <f t="shared" si="87"/>
        <v>0</v>
      </c>
      <c r="AK364" s="878"/>
      <c r="AL364" s="618"/>
      <c r="AM364" s="618"/>
    </row>
    <row r="365" spans="1:81" ht="21.6" customHeight="1" x14ac:dyDescent="0.25">
      <c r="A365" s="664"/>
      <c r="B365" s="664"/>
      <c r="C365" s="664"/>
      <c r="D365" s="1086" t="s">
        <v>189</v>
      </c>
      <c r="E365" s="900" t="s">
        <v>431</v>
      </c>
      <c r="F365" s="846" t="s">
        <v>479</v>
      </c>
      <c r="G365" s="836" t="s">
        <v>276</v>
      </c>
      <c r="H365" s="844"/>
      <c r="I365" s="625"/>
      <c r="J365" s="844"/>
      <c r="K365" s="626"/>
      <c r="L365" s="893"/>
      <c r="M365" s="893"/>
      <c r="N365" s="893">
        <f t="shared" si="88"/>
        <v>0</v>
      </c>
      <c r="O365" s="856"/>
      <c r="P365" s="856"/>
      <c r="Q365" s="856">
        <f t="shared" si="89"/>
        <v>0</v>
      </c>
      <c r="R365" s="894"/>
      <c r="S365" s="855"/>
      <c r="T365" s="896">
        <f t="shared" si="84"/>
        <v>0</v>
      </c>
      <c r="U365" s="862"/>
      <c r="V365" s="857"/>
      <c r="W365" s="857">
        <f t="shared" si="81"/>
        <v>0</v>
      </c>
      <c r="X365" s="863"/>
      <c r="Y365" s="664">
        <f t="shared" si="83"/>
        <v>0</v>
      </c>
      <c r="Z365" s="664">
        <f t="shared" si="86"/>
        <v>0</v>
      </c>
      <c r="AA365" s="836"/>
      <c r="AB365" s="982"/>
      <c r="AC365" s="867"/>
      <c r="AD365" s="867"/>
      <c r="AE365" s="979">
        <f t="shared" si="85"/>
        <v>0</v>
      </c>
      <c r="AF365" s="878"/>
      <c r="AG365" s="335"/>
      <c r="AH365" s="979">
        <f t="shared" si="82"/>
        <v>0</v>
      </c>
      <c r="AI365" s="979"/>
      <c r="AJ365" s="979">
        <f t="shared" si="87"/>
        <v>0</v>
      </c>
      <c r="AK365" s="878"/>
      <c r="AL365" s="618"/>
      <c r="AM365" s="618"/>
    </row>
    <row r="366" spans="1:81" ht="21.6" customHeight="1" x14ac:dyDescent="0.25">
      <c r="A366" s="664"/>
      <c r="B366" s="664"/>
      <c r="C366" s="664"/>
      <c r="D366" s="1086" t="s">
        <v>189</v>
      </c>
      <c r="E366" s="900" t="s">
        <v>431</v>
      </c>
      <c r="F366" s="846" t="s">
        <v>416</v>
      </c>
      <c r="G366" s="836" t="s">
        <v>276</v>
      </c>
      <c r="H366" s="844"/>
      <c r="I366" s="625"/>
      <c r="J366" s="844"/>
      <c r="K366" s="626"/>
      <c r="L366" s="893"/>
      <c r="M366" s="893"/>
      <c r="N366" s="893">
        <f t="shared" si="88"/>
        <v>0</v>
      </c>
      <c r="O366" s="856"/>
      <c r="P366" s="856"/>
      <c r="Q366" s="856">
        <f t="shared" si="89"/>
        <v>0</v>
      </c>
      <c r="R366" s="894"/>
      <c r="S366" s="855"/>
      <c r="T366" s="896">
        <f t="shared" si="84"/>
        <v>0</v>
      </c>
      <c r="U366" s="862"/>
      <c r="V366" s="857"/>
      <c r="W366" s="857">
        <f t="shared" si="81"/>
        <v>0</v>
      </c>
      <c r="X366" s="863"/>
      <c r="Y366" s="664">
        <f t="shared" si="83"/>
        <v>0</v>
      </c>
      <c r="Z366" s="664">
        <f t="shared" si="86"/>
        <v>0</v>
      </c>
      <c r="AA366" s="836"/>
      <c r="AB366" s="982"/>
      <c r="AC366" s="867"/>
      <c r="AD366" s="867"/>
      <c r="AE366" s="979">
        <f t="shared" si="85"/>
        <v>0</v>
      </c>
      <c r="AF366" s="878"/>
      <c r="AG366" s="335"/>
      <c r="AH366" s="979">
        <f t="shared" si="82"/>
        <v>0</v>
      </c>
      <c r="AI366" s="979"/>
      <c r="AJ366" s="979">
        <f t="shared" si="87"/>
        <v>0</v>
      </c>
      <c r="AK366" s="878"/>
      <c r="AL366" s="618"/>
      <c r="AM366" s="618"/>
    </row>
    <row r="367" spans="1:81" ht="21.6" customHeight="1" x14ac:dyDescent="0.25">
      <c r="A367" s="664">
        <v>88</v>
      </c>
      <c r="B367" s="664" t="s">
        <v>130</v>
      </c>
      <c r="C367" s="664">
        <v>12</v>
      </c>
      <c r="D367" s="1086" t="s">
        <v>189</v>
      </c>
      <c r="E367" s="836" t="s">
        <v>431</v>
      </c>
      <c r="F367" s="846" t="s">
        <v>194</v>
      </c>
      <c r="G367" s="836" t="s">
        <v>265</v>
      </c>
      <c r="H367" s="844"/>
      <c r="I367" s="625"/>
      <c r="J367" s="844"/>
      <c r="K367" s="626"/>
      <c r="L367" s="893"/>
      <c r="M367" s="893"/>
      <c r="N367" s="893">
        <f t="shared" si="88"/>
        <v>0</v>
      </c>
      <c r="O367" s="856"/>
      <c r="P367" s="856"/>
      <c r="Q367" s="856">
        <f t="shared" si="89"/>
        <v>0</v>
      </c>
      <c r="R367" s="894"/>
      <c r="S367" s="855"/>
      <c r="T367" s="896">
        <f t="shared" si="84"/>
        <v>0</v>
      </c>
      <c r="U367" s="862"/>
      <c r="V367" s="857"/>
      <c r="W367" s="857">
        <f t="shared" si="81"/>
        <v>0</v>
      </c>
      <c r="X367" s="863"/>
      <c r="Y367" s="664">
        <f t="shared" si="83"/>
        <v>0</v>
      </c>
      <c r="Z367" s="664">
        <f t="shared" si="86"/>
        <v>0</v>
      </c>
      <c r="AA367" s="836"/>
      <c r="AB367" s="982"/>
      <c r="AC367" s="867"/>
      <c r="AD367" s="867"/>
      <c r="AE367" s="979">
        <f t="shared" si="85"/>
        <v>0</v>
      </c>
      <c r="AF367" s="878"/>
      <c r="AG367" s="335"/>
      <c r="AH367" s="979">
        <f t="shared" si="82"/>
        <v>0</v>
      </c>
      <c r="AI367" s="979"/>
      <c r="AJ367" s="979">
        <f t="shared" si="87"/>
        <v>0</v>
      </c>
      <c r="AK367" s="878"/>
      <c r="AL367" s="618"/>
      <c r="AM367" s="618"/>
    </row>
    <row r="368" spans="1:81" ht="21.6" customHeight="1" x14ac:dyDescent="0.25">
      <c r="A368" s="664">
        <v>90</v>
      </c>
      <c r="B368" s="664" t="s">
        <v>130</v>
      </c>
      <c r="C368" s="664">
        <v>14</v>
      </c>
      <c r="D368" s="1086" t="s">
        <v>189</v>
      </c>
      <c r="E368" s="836" t="s">
        <v>437</v>
      </c>
      <c r="F368" s="846" t="s">
        <v>195</v>
      </c>
      <c r="G368" s="836" t="s">
        <v>265</v>
      </c>
      <c r="H368" s="844"/>
      <c r="I368" s="625"/>
      <c r="J368" s="844"/>
      <c r="K368" s="626"/>
      <c r="L368" s="893"/>
      <c r="M368" s="893"/>
      <c r="N368" s="893">
        <f t="shared" si="88"/>
        <v>0</v>
      </c>
      <c r="O368" s="856"/>
      <c r="P368" s="856"/>
      <c r="Q368" s="856">
        <f t="shared" si="89"/>
        <v>0</v>
      </c>
      <c r="R368" s="894"/>
      <c r="S368" s="855"/>
      <c r="T368" s="896">
        <f t="shared" si="84"/>
        <v>0</v>
      </c>
      <c r="U368" s="862"/>
      <c r="V368" s="857"/>
      <c r="W368" s="857">
        <f t="shared" si="81"/>
        <v>0</v>
      </c>
      <c r="X368" s="863"/>
      <c r="Y368" s="664">
        <f t="shared" si="83"/>
        <v>0</v>
      </c>
      <c r="Z368" s="664">
        <f t="shared" si="86"/>
        <v>0</v>
      </c>
      <c r="AA368" s="836"/>
      <c r="AB368" s="982"/>
      <c r="AC368" s="867"/>
      <c r="AD368" s="867"/>
      <c r="AE368" s="979">
        <f t="shared" si="85"/>
        <v>0</v>
      </c>
      <c r="AF368" s="878"/>
      <c r="AG368" s="335"/>
      <c r="AH368" s="979">
        <f t="shared" si="82"/>
        <v>0</v>
      </c>
      <c r="AI368" s="979"/>
      <c r="AJ368" s="979">
        <f t="shared" si="87"/>
        <v>0</v>
      </c>
      <c r="AK368" s="878"/>
      <c r="AL368" s="618"/>
      <c r="AM368" s="618"/>
    </row>
    <row r="369" spans="1:81" ht="21.6" customHeight="1" x14ac:dyDescent="0.25">
      <c r="A369" s="664"/>
      <c r="B369" s="664"/>
      <c r="C369" s="664"/>
      <c r="D369" s="1086"/>
      <c r="E369" s="845"/>
      <c r="F369" s="846"/>
      <c r="G369" s="836"/>
      <c r="H369" s="844"/>
      <c r="I369" s="625"/>
      <c r="J369" s="844"/>
      <c r="K369" s="626"/>
      <c r="L369" s="893"/>
      <c r="M369" s="893"/>
      <c r="N369" s="893">
        <f t="shared" si="88"/>
        <v>0</v>
      </c>
      <c r="O369" s="856"/>
      <c r="P369" s="856"/>
      <c r="Q369" s="856">
        <f t="shared" si="89"/>
        <v>0</v>
      </c>
      <c r="R369" s="894"/>
      <c r="S369" s="855"/>
      <c r="T369" s="896">
        <f t="shared" si="84"/>
        <v>0</v>
      </c>
      <c r="U369" s="862"/>
      <c r="V369" s="857"/>
      <c r="W369" s="857">
        <f t="shared" si="81"/>
        <v>0</v>
      </c>
      <c r="X369" s="863"/>
      <c r="Y369" s="664">
        <f t="shared" si="83"/>
        <v>0</v>
      </c>
      <c r="Z369" s="664">
        <f t="shared" si="86"/>
        <v>0</v>
      </c>
      <c r="AA369" s="836"/>
      <c r="AB369" s="982"/>
      <c r="AC369" s="867"/>
      <c r="AD369" s="867"/>
      <c r="AE369" s="979">
        <f t="shared" si="85"/>
        <v>0</v>
      </c>
      <c r="AF369" s="878"/>
      <c r="AG369" s="335"/>
      <c r="AH369" s="979">
        <f t="shared" si="82"/>
        <v>0</v>
      </c>
      <c r="AI369" s="979"/>
      <c r="AJ369" s="979">
        <f t="shared" si="87"/>
        <v>0</v>
      </c>
      <c r="AK369" s="878"/>
      <c r="AL369" s="618"/>
      <c r="AM369" s="618"/>
    </row>
    <row r="370" spans="1:81" s="641" customFormat="1" ht="27" customHeight="1" x14ac:dyDescent="0.25">
      <c r="A370" s="836"/>
      <c r="B370" s="836"/>
      <c r="C370" s="836"/>
      <c r="D370" s="1086" t="s">
        <v>196</v>
      </c>
      <c r="E370" s="900" t="s">
        <v>431</v>
      </c>
      <c r="F370" s="846" t="s">
        <v>296</v>
      </c>
      <c r="G370" s="836" t="s">
        <v>276</v>
      </c>
      <c r="H370" s="844"/>
      <c r="I370" s="625"/>
      <c r="J370" s="844"/>
      <c r="K370" s="626"/>
      <c r="L370" s="890"/>
      <c r="M370" s="890"/>
      <c r="N370" s="890">
        <f t="shared" si="88"/>
        <v>0</v>
      </c>
      <c r="O370" s="467"/>
      <c r="P370" s="467"/>
      <c r="Q370" s="467">
        <f t="shared" si="89"/>
        <v>0</v>
      </c>
      <c r="R370" s="625"/>
      <c r="S370" s="842"/>
      <c r="T370" s="862">
        <f t="shared" si="84"/>
        <v>0</v>
      </c>
      <c r="U370" s="862">
        <f>SUM(T370:T386)</f>
        <v>0</v>
      </c>
      <c r="V370" s="863"/>
      <c r="W370" s="857">
        <f t="shared" si="81"/>
        <v>0</v>
      </c>
      <c r="X370" s="863">
        <f>SUM(W370:W386)</f>
        <v>0</v>
      </c>
      <c r="Y370" s="836">
        <f t="shared" si="83"/>
        <v>0</v>
      </c>
      <c r="Z370" s="664">
        <f t="shared" si="86"/>
        <v>0</v>
      </c>
      <c r="AA370" s="836">
        <f>SUM(Z370:Z386)</f>
        <v>0</v>
      </c>
      <c r="AB370" s="982">
        <v>0</v>
      </c>
      <c r="AC370" s="867"/>
      <c r="AD370" s="867"/>
      <c r="AE370" s="979">
        <f t="shared" si="85"/>
        <v>0</v>
      </c>
      <c r="AF370" s="878">
        <f>SUM(AE370:AE386)</f>
        <v>0</v>
      </c>
      <c r="AG370" s="335"/>
      <c r="AH370" s="979">
        <f t="shared" si="82"/>
        <v>0</v>
      </c>
      <c r="AI370" s="979">
        <f>SUM(AH370:AH386)</f>
        <v>0</v>
      </c>
      <c r="AJ370" s="979">
        <f t="shared" si="87"/>
        <v>0</v>
      </c>
      <c r="AK370" s="878">
        <f>SUM(AJ370:AJ386)</f>
        <v>0</v>
      </c>
      <c r="AL370" s="648"/>
      <c r="AM370" s="648"/>
      <c r="AN370" s="647"/>
      <c r="AO370" s="647"/>
      <c r="AP370" s="647"/>
      <c r="AQ370" s="647"/>
      <c r="AR370" s="647"/>
      <c r="AS370" s="647"/>
      <c r="AT370" s="647"/>
      <c r="AU370" s="647"/>
      <c r="AV370" s="647"/>
      <c r="AW370" s="647"/>
      <c r="AX370" s="647"/>
      <c r="AY370" s="647"/>
      <c r="AZ370" s="647"/>
      <c r="BA370" s="647"/>
      <c r="BB370" s="647"/>
      <c r="BC370" s="647"/>
      <c r="BD370" s="647"/>
      <c r="BE370" s="647"/>
      <c r="BF370" s="647"/>
      <c r="BG370" s="647"/>
      <c r="BH370" s="647"/>
      <c r="BI370" s="647"/>
      <c r="BJ370" s="647"/>
      <c r="BK370" s="647"/>
      <c r="BL370" s="647"/>
      <c r="BM370" s="647"/>
      <c r="BN370" s="647"/>
      <c r="BO370" s="647"/>
      <c r="BP370" s="647"/>
      <c r="BQ370" s="647"/>
      <c r="BR370" s="647"/>
      <c r="BS370" s="647"/>
      <c r="BT370" s="647"/>
      <c r="BU370" s="647"/>
      <c r="BV370" s="647"/>
      <c r="BW370" s="647"/>
      <c r="BX370" s="647"/>
      <c r="BY370" s="647"/>
      <c r="BZ370" s="647"/>
      <c r="CA370" s="647"/>
      <c r="CB370" s="647"/>
      <c r="CC370" s="647"/>
    </row>
    <row r="371" spans="1:81" ht="21.6" customHeight="1" x14ac:dyDescent="0.25">
      <c r="A371" s="664">
        <v>92</v>
      </c>
      <c r="B371" s="664" t="s">
        <v>130</v>
      </c>
      <c r="C371" s="664">
        <v>2</v>
      </c>
      <c r="D371" s="1086" t="s">
        <v>196</v>
      </c>
      <c r="E371" s="836"/>
      <c r="F371" s="846" t="s">
        <v>197</v>
      </c>
      <c r="G371" s="836" t="s">
        <v>265</v>
      </c>
      <c r="H371" s="844"/>
      <c r="I371" s="625"/>
      <c r="J371" s="844"/>
      <c r="K371" s="626"/>
      <c r="L371" s="893"/>
      <c r="M371" s="893"/>
      <c r="N371" s="893">
        <f t="shared" si="88"/>
        <v>0</v>
      </c>
      <c r="O371" s="856"/>
      <c r="P371" s="856"/>
      <c r="Q371" s="856">
        <f t="shared" si="89"/>
        <v>0</v>
      </c>
      <c r="R371" s="894"/>
      <c r="S371" s="855"/>
      <c r="T371" s="896">
        <f t="shared" si="84"/>
        <v>0</v>
      </c>
      <c r="U371" s="862"/>
      <c r="V371" s="857"/>
      <c r="W371" s="857">
        <f t="shared" si="81"/>
        <v>0</v>
      </c>
      <c r="X371" s="863"/>
      <c r="Y371" s="664">
        <f t="shared" si="83"/>
        <v>0</v>
      </c>
      <c r="Z371" s="664">
        <f t="shared" si="86"/>
        <v>0</v>
      </c>
      <c r="AA371" s="836"/>
      <c r="AB371" s="982"/>
      <c r="AC371" s="867"/>
      <c r="AD371" s="867"/>
      <c r="AE371" s="979">
        <f t="shared" si="85"/>
        <v>0</v>
      </c>
      <c r="AF371" s="878"/>
      <c r="AG371" s="335"/>
      <c r="AH371" s="979">
        <f t="shared" si="82"/>
        <v>0</v>
      </c>
      <c r="AI371" s="979"/>
      <c r="AJ371" s="979">
        <f t="shared" si="87"/>
        <v>0</v>
      </c>
      <c r="AK371" s="878"/>
      <c r="AL371" s="618"/>
      <c r="AM371" s="618"/>
    </row>
    <row r="372" spans="1:81" ht="21.6" customHeight="1" x14ac:dyDescent="0.25">
      <c r="A372" s="664">
        <v>94</v>
      </c>
      <c r="B372" s="664" t="s">
        <v>130</v>
      </c>
      <c r="C372" s="664">
        <v>4</v>
      </c>
      <c r="D372" s="1086" t="s">
        <v>196</v>
      </c>
      <c r="E372" s="836"/>
      <c r="F372" s="846" t="s">
        <v>198</v>
      </c>
      <c r="G372" s="836" t="s">
        <v>265</v>
      </c>
      <c r="H372" s="844"/>
      <c r="I372" s="625"/>
      <c r="J372" s="844"/>
      <c r="K372" s="626"/>
      <c r="L372" s="893"/>
      <c r="M372" s="893"/>
      <c r="N372" s="893">
        <f t="shared" si="88"/>
        <v>0</v>
      </c>
      <c r="O372" s="856"/>
      <c r="P372" s="856"/>
      <c r="Q372" s="856">
        <f t="shared" si="89"/>
        <v>0</v>
      </c>
      <c r="R372" s="894"/>
      <c r="S372" s="855"/>
      <c r="T372" s="896">
        <f t="shared" si="84"/>
        <v>0</v>
      </c>
      <c r="U372" s="862"/>
      <c r="V372" s="857"/>
      <c r="W372" s="857">
        <f t="shared" si="81"/>
        <v>0</v>
      </c>
      <c r="X372" s="863"/>
      <c r="Y372" s="664">
        <f t="shared" si="83"/>
        <v>0</v>
      </c>
      <c r="Z372" s="664">
        <f t="shared" si="86"/>
        <v>0</v>
      </c>
      <c r="AA372" s="836"/>
      <c r="AB372" s="982"/>
      <c r="AC372" s="867"/>
      <c r="AD372" s="867"/>
      <c r="AE372" s="979">
        <f t="shared" si="85"/>
        <v>0</v>
      </c>
      <c r="AF372" s="878"/>
      <c r="AG372" s="335"/>
      <c r="AH372" s="979">
        <f t="shared" si="82"/>
        <v>0</v>
      </c>
      <c r="AI372" s="979"/>
      <c r="AJ372" s="979">
        <f t="shared" si="87"/>
        <v>0</v>
      </c>
      <c r="AK372" s="878"/>
      <c r="AL372" s="618"/>
      <c r="AM372" s="618"/>
    </row>
    <row r="373" spans="1:81" ht="21.6" customHeight="1" x14ac:dyDescent="0.25">
      <c r="A373" s="664">
        <v>95</v>
      </c>
      <c r="B373" s="664" t="s">
        <v>130</v>
      </c>
      <c r="C373" s="664">
        <v>5</v>
      </c>
      <c r="D373" s="1086" t="s">
        <v>196</v>
      </c>
      <c r="E373" s="900" t="s">
        <v>431</v>
      </c>
      <c r="F373" s="846" t="s">
        <v>199</v>
      </c>
      <c r="G373" s="836" t="s">
        <v>265</v>
      </c>
      <c r="H373" s="844"/>
      <c r="I373" s="836"/>
      <c r="J373" s="844"/>
      <c r="K373" s="626"/>
      <c r="L373" s="893"/>
      <c r="M373" s="893"/>
      <c r="N373" s="893">
        <f t="shared" si="88"/>
        <v>0</v>
      </c>
      <c r="O373" s="856"/>
      <c r="P373" s="856"/>
      <c r="Q373" s="856">
        <f t="shared" si="89"/>
        <v>0</v>
      </c>
      <c r="R373" s="894"/>
      <c r="S373" s="855"/>
      <c r="T373" s="896">
        <f t="shared" si="84"/>
        <v>0</v>
      </c>
      <c r="U373" s="862"/>
      <c r="V373" s="857"/>
      <c r="W373" s="857">
        <f t="shared" si="81"/>
        <v>0</v>
      </c>
      <c r="X373" s="863"/>
      <c r="Y373" s="664">
        <f t="shared" si="83"/>
        <v>0</v>
      </c>
      <c r="Z373" s="664">
        <f t="shared" si="86"/>
        <v>0</v>
      </c>
      <c r="AA373" s="836"/>
      <c r="AB373" s="982"/>
      <c r="AC373" s="867"/>
      <c r="AD373" s="867"/>
      <c r="AE373" s="979">
        <f t="shared" si="85"/>
        <v>0</v>
      </c>
      <c r="AF373" s="878"/>
      <c r="AG373" s="335"/>
      <c r="AH373" s="979">
        <f t="shared" si="82"/>
        <v>0</v>
      </c>
      <c r="AI373" s="979"/>
      <c r="AJ373" s="979">
        <f t="shared" si="87"/>
        <v>0</v>
      </c>
      <c r="AK373" s="878"/>
      <c r="AL373" s="618"/>
      <c r="AM373" s="618"/>
    </row>
    <row r="374" spans="1:81" ht="21.6" customHeight="1" x14ac:dyDescent="0.25">
      <c r="A374" s="664">
        <v>96</v>
      </c>
      <c r="B374" s="664" t="s">
        <v>130</v>
      </c>
      <c r="C374" s="664">
        <v>6</v>
      </c>
      <c r="D374" s="1086" t="s">
        <v>196</v>
      </c>
      <c r="E374" s="900" t="s">
        <v>431</v>
      </c>
      <c r="F374" s="846" t="s">
        <v>200</v>
      </c>
      <c r="G374" s="836" t="s">
        <v>265</v>
      </c>
      <c r="H374" s="844"/>
      <c r="I374" s="836"/>
      <c r="J374" s="844"/>
      <c r="K374" s="626"/>
      <c r="L374" s="893"/>
      <c r="M374" s="893"/>
      <c r="N374" s="893">
        <f t="shared" si="88"/>
        <v>0</v>
      </c>
      <c r="O374" s="856"/>
      <c r="P374" s="856"/>
      <c r="Q374" s="856">
        <f t="shared" si="89"/>
        <v>0</v>
      </c>
      <c r="R374" s="894"/>
      <c r="S374" s="855"/>
      <c r="T374" s="896">
        <f t="shared" si="84"/>
        <v>0</v>
      </c>
      <c r="U374" s="862"/>
      <c r="V374" s="857"/>
      <c r="W374" s="857">
        <f t="shared" si="81"/>
        <v>0</v>
      </c>
      <c r="X374" s="863"/>
      <c r="Y374" s="664">
        <f t="shared" si="83"/>
        <v>0</v>
      </c>
      <c r="Z374" s="664">
        <f t="shared" si="86"/>
        <v>0</v>
      </c>
      <c r="AA374" s="836"/>
      <c r="AB374" s="982"/>
      <c r="AC374" s="867"/>
      <c r="AD374" s="867"/>
      <c r="AE374" s="979">
        <f t="shared" si="85"/>
        <v>0</v>
      </c>
      <c r="AF374" s="878"/>
      <c r="AG374" s="335"/>
      <c r="AH374" s="979">
        <f t="shared" si="82"/>
        <v>0</v>
      </c>
      <c r="AI374" s="979"/>
      <c r="AJ374" s="979">
        <f t="shared" si="87"/>
        <v>0</v>
      </c>
      <c r="AK374" s="878"/>
      <c r="AL374" s="618"/>
      <c r="AM374" s="618"/>
    </row>
    <row r="375" spans="1:81" ht="21.6" customHeight="1" x14ac:dyDescent="0.25">
      <c r="A375" s="664">
        <v>98</v>
      </c>
      <c r="B375" s="664" t="s">
        <v>130</v>
      </c>
      <c r="C375" s="664">
        <v>8</v>
      </c>
      <c r="D375" s="1086" t="s">
        <v>196</v>
      </c>
      <c r="E375" s="900"/>
      <c r="F375" s="846" t="s">
        <v>201</v>
      </c>
      <c r="G375" s="836" t="s">
        <v>265</v>
      </c>
      <c r="H375" s="844"/>
      <c r="I375" s="625"/>
      <c r="J375" s="844"/>
      <c r="K375" s="626"/>
      <c r="L375" s="893"/>
      <c r="M375" s="893"/>
      <c r="N375" s="893">
        <f t="shared" si="88"/>
        <v>0</v>
      </c>
      <c r="O375" s="856"/>
      <c r="P375" s="856"/>
      <c r="Q375" s="856">
        <f t="shared" si="89"/>
        <v>0</v>
      </c>
      <c r="R375" s="894"/>
      <c r="S375" s="855"/>
      <c r="T375" s="896">
        <f t="shared" si="84"/>
        <v>0</v>
      </c>
      <c r="U375" s="862"/>
      <c r="V375" s="857"/>
      <c r="W375" s="857">
        <f t="shared" si="81"/>
        <v>0</v>
      </c>
      <c r="X375" s="863"/>
      <c r="Y375" s="664">
        <f t="shared" si="83"/>
        <v>0</v>
      </c>
      <c r="Z375" s="664">
        <f t="shared" si="86"/>
        <v>0</v>
      </c>
      <c r="AA375" s="836"/>
      <c r="AB375" s="982"/>
      <c r="AC375" s="867"/>
      <c r="AD375" s="867"/>
      <c r="AE375" s="979">
        <f t="shared" si="85"/>
        <v>0</v>
      </c>
      <c r="AF375" s="878"/>
      <c r="AG375" s="335"/>
      <c r="AH375" s="979">
        <f t="shared" si="82"/>
        <v>0</v>
      </c>
      <c r="AI375" s="979"/>
      <c r="AJ375" s="979">
        <f t="shared" si="87"/>
        <v>0</v>
      </c>
      <c r="AK375" s="878"/>
      <c r="AL375" s="618"/>
      <c r="AM375" s="618"/>
    </row>
    <row r="376" spans="1:81" ht="21.6" customHeight="1" x14ac:dyDescent="0.25">
      <c r="A376" s="664">
        <v>99</v>
      </c>
      <c r="B376" s="664" t="s">
        <v>130</v>
      </c>
      <c r="C376" s="664">
        <v>9</v>
      </c>
      <c r="D376" s="1086" t="s">
        <v>196</v>
      </c>
      <c r="E376" s="845" t="s">
        <v>431</v>
      </c>
      <c r="F376" s="846" t="s">
        <v>202</v>
      </c>
      <c r="G376" s="836" t="s">
        <v>265</v>
      </c>
      <c r="H376" s="844"/>
      <c r="I376" s="836"/>
      <c r="J376" s="844"/>
      <c r="K376" s="626"/>
      <c r="L376" s="893"/>
      <c r="M376" s="893"/>
      <c r="N376" s="893">
        <f t="shared" si="88"/>
        <v>0</v>
      </c>
      <c r="O376" s="856"/>
      <c r="P376" s="856"/>
      <c r="Q376" s="856">
        <f t="shared" si="89"/>
        <v>0</v>
      </c>
      <c r="R376" s="894"/>
      <c r="S376" s="855"/>
      <c r="T376" s="896">
        <f t="shared" si="84"/>
        <v>0</v>
      </c>
      <c r="U376" s="862"/>
      <c r="V376" s="857"/>
      <c r="W376" s="857">
        <f t="shared" si="81"/>
        <v>0</v>
      </c>
      <c r="X376" s="863"/>
      <c r="Y376" s="664">
        <f t="shared" si="83"/>
        <v>0</v>
      </c>
      <c r="Z376" s="664">
        <f t="shared" si="86"/>
        <v>0</v>
      </c>
      <c r="AA376" s="836"/>
      <c r="AB376" s="982"/>
      <c r="AC376" s="867"/>
      <c r="AD376" s="867"/>
      <c r="AE376" s="979">
        <f t="shared" si="85"/>
        <v>0</v>
      </c>
      <c r="AF376" s="878"/>
      <c r="AG376" s="335"/>
      <c r="AH376" s="979">
        <f t="shared" si="82"/>
        <v>0</v>
      </c>
      <c r="AI376" s="979"/>
      <c r="AJ376" s="979">
        <f t="shared" si="87"/>
        <v>0</v>
      </c>
      <c r="AK376" s="878"/>
      <c r="AL376" s="618"/>
      <c r="AM376" s="618"/>
    </row>
    <row r="377" spans="1:81" ht="21.6" customHeight="1" x14ac:dyDescent="0.25">
      <c r="A377" s="664">
        <v>100</v>
      </c>
      <c r="B377" s="664" t="s">
        <v>130</v>
      </c>
      <c r="C377" s="664">
        <v>10</v>
      </c>
      <c r="D377" s="1086" t="s">
        <v>196</v>
      </c>
      <c r="E377" s="836"/>
      <c r="F377" s="846" t="s">
        <v>203</v>
      </c>
      <c r="G377" s="836" t="s">
        <v>265</v>
      </c>
      <c r="H377" s="844"/>
      <c r="I377" s="625"/>
      <c r="J377" s="844"/>
      <c r="K377" s="626"/>
      <c r="L377" s="893"/>
      <c r="M377" s="893"/>
      <c r="N377" s="893">
        <f t="shared" si="88"/>
        <v>0</v>
      </c>
      <c r="O377" s="856"/>
      <c r="P377" s="856"/>
      <c r="Q377" s="856">
        <f t="shared" si="89"/>
        <v>0</v>
      </c>
      <c r="R377" s="894"/>
      <c r="S377" s="855"/>
      <c r="T377" s="896">
        <f t="shared" si="84"/>
        <v>0</v>
      </c>
      <c r="U377" s="862"/>
      <c r="V377" s="857"/>
      <c r="W377" s="857">
        <f t="shared" si="81"/>
        <v>0</v>
      </c>
      <c r="X377" s="863"/>
      <c r="Y377" s="664">
        <f t="shared" si="83"/>
        <v>0</v>
      </c>
      <c r="Z377" s="664">
        <f t="shared" si="86"/>
        <v>0</v>
      </c>
      <c r="AA377" s="836"/>
      <c r="AB377" s="982"/>
      <c r="AC377" s="867"/>
      <c r="AD377" s="867"/>
      <c r="AE377" s="979">
        <f t="shared" si="85"/>
        <v>0</v>
      </c>
      <c r="AF377" s="878"/>
      <c r="AG377" s="335"/>
      <c r="AH377" s="979">
        <f t="shared" si="82"/>
        <v>0</v>
      </c>
      <c r="AI377" s="979"/>
      <c r="AJ377" s="979">
        <f t="shared" si="87"/>
        <v>0</v>
      </c>
      <c r="AK377" s="878"/>
      <c r="AL377" s="618"/>
      <c r="AM377" s="618"/>
    </row>
    <row r="378" spans="1:81" ht="21.6" customHeight="1" x14ac:dyDescent="0.25">
      <c r="A378" s="664">
        <v>101</v>
      </c>
      <c r="B378" s="664" t="s">
        <v>130</v>
      </c>
      <c r="C378" s="664">
        <v>11</v>
      </c>
      <c r="D378" s="1086" t="s">
        <v>196</v>
      </c>
      <c r="E378" s="845"/>
      <c r="F378" s="846" t="s">
        <v>204</v>
      </c>
      <c r="G378" s="836" t="s">
        <v>265</v>
      </c>
      <c r="H378" s="844"/>
      <c r="I378" s="836"/>
      <c r="J378" s="844"/>
      <c r="K378" s="626"/>
      <c r="L378" s="893"/>
      <c r="M378" s="893"/>
      <c r="N378" s="893">
        <f t="shared" si="88"/>
        <v>0</v>
      </c>
      <c r="O378" s="856"/>
      <c r="P378" s="856"/>
      <c r="Q378" s="856">
        <f t="shared" si="89"/>
        <v>0</v>
      </c>
      <c r="R378" s="894"/>
      <c r="S378" s="855"/>
      <c r="T378" s="896">
        <f t="shared" si="84"/>
        <v>0</v>
      </c>
      <c r="U378" s="862"/>
      <c r="V378" s="857"/>
      <c r="W378" s="857">
        <f t="shared" si="81"/>
        <v>0</v>
      </c>
      <c r="X378" s="863"/>
      <c r="Y378" s="664">
        <f t="shared" si="83"/>
        <v>0</v>
      </c>
      <c r="Z378" s="664">
        <f t="shared" si="86"/>
        <v>0</v>
      </c>
      <c r="AA378" s="836"/>
      <c r="AB378" s="982"/>
      <c r="AC378" s="867"/>
      <c r="AD378" s="867"/>
      <c r="AE378" s="979">
        <f t="shared" si="85"/>
        <v>0</v>
      </c>
      <c r="AF378" s="878"/>
      <c r="AG378" s="335"/>
      <c r="AH378" s="979">
        <f t="shared" si="82"/>
        <v>0</v>
      </c>
      <c r="AI378" s="979"/>
      <c r="AJ378" s="979">
        <f t="shared" si="87"/>
        <v>0</v>
      </c>
      <c r="AK378" s="878"/>
      <c r="AL378" s="618"/>
      <c r="AM378" s="618"/>
    </row>
    <row r="379" spans="1:81" ht="21.6" customHeight="1" x14ac:dyDescent="0.25">
      <c r="A379" s="664">
        <v>102</v>
      </c>
      <c r="B379" s="664" t="s">
        <v>130</v>
      </c>
      <c r="C379" s="664">
        <v>12</v>
      </c>
      <c r="D379" s="1086" t="s">
        <v>196</v>
      </c>
      <c r="E379" s="845" t="s">
        <v>431</v>
      </c>
      <c r="F379" s="846" t="s">
        <v>205</v>
      </c>
      <c r="G379" s="836" t="s">
        <v>265</v>
      </c>
      <c r="H379" s="844"/>
      <c r="I379" s="625"/>
      <c r="J379" s="844"/>
      <c r="K379" s="626"/>
      <c r="L379" s="893"/>
      <c r="M379" s="893"/>
      <c r="N379" s="893">
        <f t="shared" si="88"/>
        <v>0</v>
      </c>
      <c r="O379" s="856"/>
      <c r="P379" s="856"/>
      <c r="Q379" s="856">
        <f t="shared" si="89"/>
        <v>0</v>
      </c>
      <c r="R379" s="894"/>
      <c r="S379" s="855"/>
      <c r="T379" s="896">
        <f t="shared" si="84"/>
        <v>0</v>
      </c>
      <c r="U379" s="862"/>
      <c r="V379" s="857"/>
      <c r="W379" s="857">
        <f t="shared" si="81"/>
        <v>0</v>
      </c>
      <c r="X379" s="863"/>
      <c r="Y379" s="664">
        <f t="shared" si="83"/>
        <v>0</v>
      </c>
      <c r="Z379" s="664">
        <f t="shared" si="86"/>
        <v>0</v>
      </c>
      <c r="AA379" s="836"/>
      <c r="AB379" s="982"/>
      <c r="AC379" s="867"/>
      <c r="AD379" s="867"/>
      <c r="AE379" s="979">
        <f t="shared" si="85"/>
        <v>0</v>
      </c>
      <c r="AF379" s="878"/>
      <c r="AG379" s="335"/>
      <c r="AH379" s="979">
        <f t="shared" si="82"/>
        <v>0</v>
      </c>
      <c r="AI379" s="979"/>
      <c r="AJ379" s="979">
        <f t="shared" si="87"/>
        <v>0</v>
      </c>
      <c r="AK379" s="878"/>
      <c r="AL379" s="618"/>
      <c r="AM379" s="618"/>
    </row>
    <row r="380" spans="1:81" ht="21.6" customHeight="1" x14ac:dyDescent="0.25">
      <c r="A380" s="664">
        <v>103</v>
      </c>
      <c r="B380" s="664" t="s">
        <v>130</v>
      </c>
      <c r="C380" s="664">
        <v>13</v>
      </c>
      <c r="D380" s="1086" t="s">
        <v>196</v>
      </c>
      <c r="E380" s="900" t="s">
        <v>431</v>
      </c>
      <c r="F380" s="846" t="s">
        <v>206</v>
      </c>
      <c r="G380" s="836" t="s">
        <v>265</v>
      </c>
      <c r="H380" s="844"/>
      <c r="I380" s="836"/>
      <c r="J380" s="844"/>
      <c r="K380" s="626"/>
      <c r="L380" s="893"/>
      <c r="M380" s="893"/>
      <c r="N380" s="893">
        <f t="shared" si="88"/>
        <v>0</v>
      </c>
      <c r="O380" s="856"/>
      <c r="P380" s="856"/>
      <c r="Q380" s="856">
        <f t="shared" si="89"/>
        <v>0</v>
      </c>
      <c r="R380" s="894"/>
      <c r="S380" s="855"/>
      <c r="T380" s="896">
        <f t="shared" si="84"/>
        <v>0</v>
      </c>
      <c r="U380" s="862"/>
      <c r="V380" s="857"/>
      <c r="W380" s="857">
        <f t="shared" si="81"/>
        <v>0</v>
      </c>
      <c r="X380" s="863"/>
      <c r="Y380" s="664">
        <f t="shared" si="83"/>
        <v>0</v>
      </c>
      <c r="Z380" s="664">
        <f t="shared" si="86"/>
        <v>0</v>
      </c>
      <c r="AA380" s="836"/>
      <c r="AB380" s="982"/>
      <c r="AC380" s="867"/>
      <c r="AD380" s="867"/>
      <c r="AE380" s="979">
        <f t="shared" si="85"/>
        <v>0</v>
      </c>
      <c r="AF380" s="878"/>
      <c r="AG380" s="335"/>
      <c r="AH380" s="979">
        <f t="shared" si="82"/>
        <v>0</v>
      </c>
      <c r="AI380" s="979"/>
      <c r="AJ380" s="979">
        <f t="shared" si="87"/>
        <v>0</v>
      </c>
      <c r="AK380" s="878"/>
      <c r="AL380" s="618"/>
      <c r="AM380" s="618"/>
    </row>
    <row r="381" spans="1:81" ht="21.6" customHeight="1" x14ac:dyDescent="0.25">
      <c r="A381" s="664"/>
      <c r="B381" s="664"/>
      <c r="C381" s="664"/>
      <c r="D381" s="1086" t="s">
        <v>196</v>
      </c>
      <c r="E381" s="900" t="s">
        <v>437</v>
      </c>
      <c r="F381" s="846" t="s">
        <v>298</v>
      </c>
      <c r="G381" s="836" t="s">
        <v>276</v>
      </c>
      <c r="H381" s="844"/>
      <c r="I381" s="836"/>
      <c r="J381" s="844"/>
      <c r="K381" s="626"/>
      <c r="L381" s="893"/>
      <c r="M381" s="893"/>
      <c r="N381" s="893">
        <f t="shared" si="88"/>
        <v>0</v>
      </c>
      <c r="O381" s="856"/>
      <c r="P381" s="856"/>
      <c r="Q381" s="856">
        <f t="shared" si="89"/>
        <v>0</v>
      </c>
      <c r="R381" s="894"/>
      <c r="S381" s="855"/>
      <c r="T381" s="896">
        <f t="shared" si="84"/>
        <v>0</v>
      </c>
      <c r="U381" s="862"/>
      <c r="V381" s="857"/>
      <c r="W381" s="857">
        <f t="shared" ref="W381:W444" si="90">V381/15</f>
        <v>0</v>
      </c>
      <c r="X381" s="863"/>
      <c r="Y381" s="664">
        <f t="shared" si="83"/>
        <v>0</v>
      </c>
      <c r="Z381" s="664">
        <f t="shared" si="86"/>
        <v>0</v>
      </c>
      <c r="AA381" s="836"/>
      <c r="AB381" s="982"/>
      <c r="AC381" s="867"/>
      <c r="AD381" s="867"/>
      <c r="AE381" s="979">
        <f t="shared" si="85"/>
        <v>0</v>
      </c>
      <c r="AF381" s="878"/>
      <c r="AG381" s="335"/>
      <c r="AH381" s="979">
        <f t="shared" ref="AH381:AH444" si="91">AG381/15</f>
        <v>0</v>
      </c>
      <c r="AI381" s="979"/>
      <c r="AJ381" s="979">
        <f t="shared" si="87"/>
        <v>0</v>
      </c>
      <c r="AK381" s="878"/>
      <c r="AL381" s="618"/>
      <c r="AM381" s="618"/>
    </row>
    <row r="382" spans="1:81" ht="21.6" customHeight="1" x14ac:dyDescent="0.25">
      <c r="A382" s="664">
        <v>104</v>
      </c>
      <c r="B382" s="664" t="s">
        <v>130</v>
      </c>
      <c r="C382" s="664">
        <v>14</v>
      </c>
      <c r="D382" s="1086" t="s">
        <v>196</v>
      </c>
      <c r="E382" s="836" t="s">
        <v>431</v>
      </c>
      <c r="F382" s="846" t="s">
        <v>207</v>
      </c>
      <c r="G382" s="836" t="s">
        <v>265</v>
      </c>
      <c r="H382" s="844"/>
      <c r="I382" s="836"/>
      <c r="J382" s="844"/>
      <c r="K382" s="626"/>
      <c r="L382" s="893"/>
      <c r="M382" s="893"/>
      <c r="N382" s="893">
        <f t="shared" si="88"/>
        <v>0</v>
      </c>
      <c r="O382" s="856"/>
      <c r="P382" s="856"/>
      <c r="Q382" s="856">
        <f t="shared" si="89"/>
        <v>0</v>
      </c>
      <c r="R382" s="894"/>
      <c r="S382" s="855"/>
      <c r="T382" s="896">
        <f t="shared" si="84"/>
        <v>0</v>
      </c>
      <c r="U382" s="862"/>
      <c r="V382" s="857"/>
      <c r="W382" s="857">
        <f t="shared" si="90"/>
        <v>0</v>
      </c>
      <c r="X382" s="863"/>
      <c r="Y382" s="664">
        <f t="shared" ref="Y382:Y445" si="92">V382+S382</f>
        <v>0</v>
      </c>
      <c r="Z382" s="664">
        <f t="shared" si="86"/>
        <v>0</v>
      </c>
      <c r="AA382" s="836"/>
      <c r="AB382" s="982"/>
      <c r="AC382" s="867"/>
      <c r="AD382" s="867"/>
      <c r="AE382" s="979">
        <f t="shared" si="85"/>
        <v>0</v>
      </c>
      <c r="AF382" s="878"/>
      <c r="AG382" s="335"/>
      <c r="AH382" s="979">
        <f t="shared" si="91"/>
        <v>0</v>
      </c>
      <c r="AI382" s="979"/>
      <c r="AJ382" s="979">
        <f t="shared" si="87"/>
        <v>0</v>
      </c>
      <c r="AK382" s="878"/>
      <c r="AL382" s="618"/>
      <c r="AM382" s="618"/>
    </row>
    <row r="383" spans="1:81" ht="21.6" customHeight="1" x14ac:dyDescent="0.25">
      <c r="A383" s="664"/>
      <c r="B383" s="664"/>
      <c r="C383" s="664"/>
      <c r="D383" s="1086" t="s">
        <v>196</v>
      </c>
      <c r="E383" s="900"/>
      <c r="F383" s="846" t="s">
        <v>617</v>
      </c>
      <c r="G383" s="836" t="s">
        <v>276</v>
      </c>
      <c r="H383" s="844"/>
      <c r="I383" s="836"/>
      <c r="J383" s="844"/>
      <c r="K383" s="626"/>
      <c r="L383" s="893"/>
      <c r="M383" s="893"/>
      <c r="N383" s="893">
        <f t="shared" si="88"/>
        <v>0</v>
      </c>
      <c r="O383" s="856"/>
      <c r="P383" s="856"/>
      <c r="Q383" s="856">
        <f t="shared" si="89"/>
        <v>0</v>
      </c>
      <c r="R383" s="894"/>
      <c r="S383" s="855"/>
      <c r="T383" s="896">
        <f t="shared" ref="T383:T447" si="93">S383/15</f>
        <v>0</v>
      </c>
      <c r="U383" s="862"/>
      <c r="V383" s="857"/>
      <c r="W383" s="857">
        <f t="shared" si="90"/>
        <v>0</v>
      </c>
      <c r="X383" s="863"/>
      <c r="Y383" s="664">
        <f t="shared" si="92"/>
        <v>0</v>
      </c>
      <c r="Z383" s="664">
        <f t="shared" si="86"/>
        <v>0</v>
      </c>
      <c r="AA383" s="836"/>
      <c r="AB383" s="982"/>
      <c r="AC383" s="867"/>
      <c r="AD383" s="867"/>
      <c r="AE383" s="979">
        <f t="shared" ref="AE383:AE446" si="94">AC383+AD383</f>
        <v>0</v>
      </c>
      <c r="AF383" s="878"/>
      <c r="AG383" s="335"/>
      <c r="AH383" s="979">
        <f t="shared" si="91"/>
        <v>0</v>
      </c>
      <c r="AI383" s="979"/>
      <c r="AJ383" s="979">
        <f t="shared" si="87"/>
        <v>0</v>
      </c>
      <c r="AK383" s="878"/>
      <c r="AL383" s="618"/>
      <c r="AM383" s="618"/>
    </row>
    <row r="384" spans="1:81" ht="21.6" customHeight="1" x14ac:dyDescent="0.25">
      <c r="A384" s="664"/>
      <c r="B384" s="664"/>
      <c r="C384" s="664"/>
      <c r="D384" s="1086" t="s">
        <v>196</v>
      </c>
      <c r="E384" s="900" t="s">
        <v>431</v>
      </c>
      <c r="F384" s="846" t="s">
        <v>297</v>
      </c>
      <c r="G384" s="836" t="s">
        <v>276</v>
      </c>
      <c r="H384" s="844"/>
      <c r="I384" s="836"/>
      <c r="J384" s="844"/>
      <c r="K384" s="626"/>
      <c r="L384" s="893"/>
      <c r="M384" s="893"/>
      <c r="N384" s="893">
        <f t="shared" si="88"/>
        <v>0</v>
      </c>
      <c r="O384" s="856"/>
      <c r="P384" s="856"/>
      <c r="Q384" s="856">
        <f t="shared" si="89"/>
        <v>0</v>
      </c>
      <c r="R384" s="894"/>
      <c r="S384" s="855"/>
      <c r="T384" s="896">
        <f t="shared" si="93"/>
        <v>0</v>
      </c>
      <c r="U384" s="862"/>
      <c r="V384" s="857"/>
      <c r="W384" s="857">
        <f t="shared" si="90"/>
        <v>0</v>
      </c>
      <c r="X384" s="863"/>
      <c r="Y384" s="664">
        <f t="shared" si="92"/>
        <v>0</v>
      </c>
      <c r="Z384" s="664">
        <f t="shared" ref="Z384:Z447" si="95">W384+T384</f>
        <v>0</v>
      </c>
      <c r="AA384" s="836"/>
      <c r="AB384" s="982"/>
      <c r="AC384" s="867"/>
      <c r="AD384" s="867"/>
      <c r="AE384" s="979">
        <f t="shared" si="94"/>
        <v>0</v>
      </c>
      <c r="AF384" s="878"/>
      <c r="AG384" s="335"/>
      <c r="AH384" s="979">
        <f t="shared" si="91"/>
        <v>0</v>
      </c>
      <c r="AI384" s="979"/>
      <c r="AJ384" s="979">
        <f t="shared" si="87"/>
        <v>0</v>
      </c>
      <c r="AK384" s="878"/>
      <c r="AL384" s="618"/>
      <c r="AM384" s="618"/>
    </row>
    <row r="385" spans="1:81" ht="21.6" customHeight="1" x14ac:dyDescent="0.25">
      <c r="A385" s="664">
        <v>106</v>
      </c>
      <c r="B385" s="664" t="s">
        <v>130</v>
      </c>
      <c r="C385" s="664">
        <v>16</v>
      </c>
      <c r="D385" s="1086" t="s">
        <v>196</v>
      </c>
      <c r="E385" s="845" t="s">
        <v>431</v>
      </c>
      <c r="F385" s="846" t="s">
        <v>208</v>
      </c>
      <c r="G385" s="836" t="s">
        <v>265</v>
      </c>
      <c r="H385" s="844"/>
      <c r="I385" s="836"/>
      <c r="J385" s="844"/>
      <c r="K385" s="626"/>
      <c r="L385" s="893"/>
      <c r="M385" s="893"/>
      <c r="N385" s="893">
        <f t="shared" si="88"/>
        <v>0</v>
      </c>
      <c r="O385" s="856"/>
      <c r="P385" s="856"/>
      <c r="Q385" s="856">
        <f t="shared" si="89"/>
        <v>0</v>
      </c>
      <c r="R385" s="894"/>
      <c r="S385" s="855"/>
      <c r="T385" s="896">
        <f t="shared" si="93"/>
        <v>0</v>
      </c>
      <c r="U385" s="862"/>
      <c r="V385" s="857"/>
      <c r="W385" s="857">
        <f t="shared" si="90"/>
        <v>0</v>
      </c>
      <c r="X385" s="863"/>
      <c r="Y385" s="664">
        <f t="shared" si="92"/>
        <v>0</v>
      </c>
      <c r="Z385" s="664">
        <f t="shared" si="95"/>
        <v>0</v>
      </c>
      <c r="AA385" s="836"/>
      <c r="AB385" s="982"/>
      <c r="AC385" s="867"/>
      <c r="AD385" s="867"/>
      <c r="AE385" s="979">
        <f t="shared" si="94"/>
        <v>0</v>
      </c>
      <c r="AF385" s="878"/>
      <c r="AG385" s="335"/>
      <c r="AH385" s="979">
        <f t="shared" si="91"/>
        <v>0</v>
      </c>
      <c r="AI385" s="979"/>
      <c r="AJ385" s="979">
        <f t="shared" si="87"/>
        <v>0</v>
      </c>
      <c r="AK385" s="878"/>
      <c r="AL385" s="618"/>
      <c r="AM385" s="618"/>
    </row>
    <row r="386" spans="1:81" ht="21.6" customHeight="1" x14ac:dyDescent="0.25">
      <c r="A386" s="664">
        <v>107</v>
      </c>
      <c r="B386" s="664" t="s">
        <v>130</v>
      </c>
      <c r="C386" s="664">
        <v>17</v>
      </c>
      <c r="D386" s="1086" t="s">
        <v>196</v>
      </c>
      <c r="E386" s="900" t="s">
        <v>431</v>
      </c>
      <c r="F386" s="846" t="s">
        <v>209</v>
      </c>
      <c r="G386" s="836" t="s">
        <v>265</v>
      </c>
      <c r="H386" s="844"/>
      <c r="I386" s="836"/>
      <c r="J386" s="844"/>
      <c r="K386" s="626"/>
      <c r="L386" s="893"/>
      <c r="M386" s="893"/>
      <c r="N386" s="893">
        <f t="shared" si="88"/>
        <v>0</v>
      </c>
      <c r="O386" s="856"/>
      <c r="P386" s="856"/>
      <c r="Q386" s="856">
        <f t="shared" si="89"/>
        <v>0</v>
      </c>
      <c r="R386" s="894"/>
      <c r="S386" s="855"/>
      <c r="T386" s="896">
        <f t="shared" si="93"/>
        <v>0</v>
      </c>
      <c r="U386" s="862"/>
      <c r="V386" s="857"/>
      <c r="W386" s="857">
        <f t="shared" si="90"/>
        <v>0</v>
      </c>
      <c r="X386" s="863"/>
      <c r="Y386" s="664">
        <f t="shared" si="92"/>
        <v>0</v>
      </c>
      <c r="Z386" s="664">
        <f t="shared" si="95"/>
        <v>0</v>
      </c>
      <c r="AA386" s="836"/>
      <c r="AB386" s="982"/>
      <c r="AC386" s="867"/>
      <c r="AD386" s="867"/>
      <c r="AE386" s="979">
        <f t="shared" si="94"/>
        <v>0</v>
      </c>
      <c r="AF386" s="878"/>
      <c r="AG386" s="335"/>
      <c r="AH386" s="979">
        <f t="shared" si="91"/>
        <v>0</v>
      </c>
      <c r="AI386" s="979"/>
      <c r="AJ386" s="979">
        <f t="shared" si="87"/>
        <v>0</v>
      </c>
      <c r="AK386" s="878"/>
      <c r="AL386" s="618"/>
      <c r="AM386" s="618"/>
    </row>
    <row r="387" spans="1:81" ht="21.6" customHeight="1" x14ac:dyDescent="0.25">
      <c r="A387" s="664"/>
      <c r="B387" s="664"/>
      <c r="C387" s="664"/>
      <c r="D387" s="1086"/>
      <c r="E387" s="845"/>
      <c r="F387" s="846"/>
      <c r="G387" s="836"/>
      <c r="H387" s="844"/>
      <c r="I387" s="836"/>
      <c r="J387" s="844"/>
      <c r="K387" s="626"/>
      <c r="L387" s="893"/>
      <c r="M387" s="893"/>
      <c r="N387" s="893">
        <f t="shared" si="88"/>
        <v>0</v>
      </c>
      <c r="O387" s="856"/>
      <c r="P387" s="856"/>
      <c r="Q387" s="856">
        <f t="shared" si="89"/>
        <v>0</v>
      </c>
      <c r="R387" s="894"/>
      <c r="S387" s="855"/>
      <c r="T387" s="896">
        <f t="shared" si="93"/>
        <v>0</v>
      </c>
      <c r="U387" s="862"/>
      <c r="V387" s="857"/>
      <c r="W387" s="857">
        <f t="shared" si="90"/>
        <v>0</v>
      </c>
      <c r="X387" s="863"/>
      <c r="Y387" s="664">
        <f t="shared" si="92"/>
        <v>0</v>
      </c>
      <c r="Z387" s="664">
        <f t="shared" si="95"/>
        <v>0</v>
      </c>
      <c r="AA387" s="836"/>
      <c r="AB387" s="982"/>
      <c r="AC387" s="867"/>
      <c r="AD387" s="867"/>
      <c r="AE387" s="979">
        <f t="shared" si="94"/>
        <v>0</v>
      </c>
      <c r="AF387" s="878"/>
      <c r="AG387" s="335"/>
      <c r="AH387" s="979">
        <f t="shared" si="91"/>
        <v>0</v>
      </c>
      <c r="AI387" s="979"/>
      <c r="AJ387" s="979">
        <f t="shared" si="87"/>
        <v>0</v>
      </c>
      <c r="AK387" s="878"/>
      <c r="AL387" s="618"/>
      <c r="AM387" s="618"/>
    </row>
    <row r="388" spans="1:81" s="641" customFormat="1" ht="21.6" customHeight="1" x14ac:dyDescent="0.25">
      <c r="A388" s="836">
        <v>114</v>
      </c>
      <c r="B388" s="836" t="s">
        <v>130</v>
      </c>
      <c r="C388" s="836">
        <v>7</v>
      </c>
      <c r="D388" s="1086" t="s">
        <v>752</v>
      </c>
      <c r="E388" s="845"/>
      <c r="F388" s="846" t="s">
        <v>529</v>
      </c>
      <c r="G388" s="836" t="s">
        <v>361</v>
      </c>
      <c r="H388" s="844"/>
      <c r="I388" s="625"/>
      <c r="J388" s="844"/>
      <c r="K388" s="626"/>
      <c r="L388" s="890"/>
      <c r="M388" s="890"/>
      <c r="N388" s="890">
        <f t="shared" si="88"/>
        <v>0</v>
      </c>
      <c r="O388" s="467"/>
      <c r="P388" s="467"/>
      <c r="Q388" s="467">
        <f t="shared" si="89"/>
        <v>0</v>
      </c>
      <c r="R388" s="625"/>
      <c r="S388" s="842"/>
      <c r="T388" s="862">
        <f t="shared" si="93"/>
        <v>0</v>
      </c>
      <c r="U388" s="862">
        <f>SUM(T388:T391)</f>
        <v>0</v>
      </c>
      <c r="V388" s="863"/>
      <c r="W388" s="857">
        <f t="shared" si="90"/>
        <v>0</v>
      </c>
      <c r="X388" s="863">
        <f>SUM(W388:W391)</f>
        <v>0</v>
      </c>
      <c r="Y388" s="836">
        <f t="shared" si="92"/>
        <v>0</v>
      </c>
      <c r="Z388" s="664">
        <f t="shared" si="95"/>
        <v>0</v>
      </c>
      <c r="AA388" s="836">
        <f>SUM(Z388:Z391)</f>
        <v>0</v>
      </c>
      <c r="AB388" s="982">
        <v>0</v>
      </c>
      <c r="AC388" s="867"/>
      <c r="AD388" s="867"/>
      <c r="AE388" s="979">
        <f t="shared" si="94"/>
        <v>0</v>
      </c>
      <c r="AF388" s="878">
        <f>SUM(AE388:AE391)</f>
        <v>0</v>
      </c>
      <c r="AG388" s="335"/>
      <c r="AH388" s="979">
        <f t="shared" si="91"/>
        <v>0</v>
      </c>
      <c r="AI388" s="979">
        <f>SUM(AH388:AH391)</f>
        <v>0</v>
      </c>
      <c r="AJ388" s="979">
        <f t="shared" si="87"/>
        <v>0</v>
      </c>
      <c r="AK388" s="878">
        <f>SUM(AJ388:AJ391)</f>
        <v>0</v>
      </c>
      <c r="AL388" s="648"/>
      <c r="AM388" s="648"/>
      <c r="AN388" s="647"/>
      <c r="AO388" s="647"/>
      <c r="AP388" s="647"/>
      <c r="AQ388" s="647"/>
      <c r="AR388" s="647"/>
      <c r="AS388" s="647"/>
      <c r="AT388" s="647"/>
      <c r="AU388" s="647"/>
      <c r="AV388" s="647"/>
      <c r="AW388" s="647"/>
      <c r="AX388" s="647"/>
      <c r="AY388" s="647"/>
      <c r="AZ388" s="647"/>
      <c r="BA388" s="647"/>
      <c r="BB388" s="647"/>
      <c r="BC388" s="647"/>
      <c r="BD388" s="647"/>
      <c r="BE388" s="647"/>
      <c r="BF388" s="647"/>
      <c r="BG388" s="647"/>
      <c r="BH388" s="647"/>
      <c r="BI388" s="647"/>
      <c r="BJ388" s="647"/>
      <c r="BK388" s="647"/>
      <c r="BL388" s="647"/>
      <c r="BM388" s="647"/>
      <c r="BN388" s="647"/>
      <c r="BO388" s="647"/>
      <c r="BP388" s="647"/>
      <c r="BQ388" s="647"/>
      <c r="BR388" s="647"/>
      <c r="BS388" s="647"/>
      <c r="BT388" s="647"/>
      <c r="BU388" s="647"/>
      <c r="BV388" s="647"/>
      <c r="BW388" s="647"/>
      <c r="BX388" s="647"/>
      <c r="BY388" s="647"/>
      <c r="BZ388" s="647"/>
      <c r="CA388" s="647"/>
      <c r="CB388" s="647"/>
      <c r="CC388" s="647"/>
    </row>
    <row r="389" spans="1:81" ht="21.6" customHeight="1" x14ac:dyDescent="0.25">
      <c r="A389" s="664"/>
      <c r="B389" s="664"/>
      <c r="C389" s="664"/>
      <c r="D389" s="1086" t="s">
        <v>752</v>
      </c>
      <c r="E389" s="845"/>
      <c r="F389" s="846" t="s">
        <v>530</v>
      </c>
      <c r="G389" s="836" t="s">
        <v>361</v>
      </c>
      <c r="H389" s="844"/>
      <c r="I389" s="625"/>
      <c r="J389" s="844"/>
      <c r="K389" s="626"/>
      <c r="L389" s="893"/>
      <c r="M389" s="893"/>
      <c r="N389" s="893">
        <f t="shared" si="88"/>
        <v>0</v>
      </c>
      <c r="O389" s="856"/>
      <c r="P389" s="856"/>
      <c r="Q389" s="856">
        <f t="shared" si="89"/>
        <v>0</v>
      </c>
      <c r="R389" s="894"/>
      <c r="S389" s="855"/>
      <c r="T389" s="896">
        <f t="shared" si="93"/>
        <v>0</v>
      </c>
      <c r="U389" s="862"/>
      <c r="V389" s="857"/>
      <c r="W389" s="857">
        <f t="shared" si="90"/>
        <v>0</v>
      </c>
      <c r="X389" s="863"/>
      <c r="Y389" s="664">
        <f t="shared" si="92"/>
        <v>0</v>
      </c>
      <c r="Z389" s="664">
        <f t="shared" si="95"/>
        <v>0</v>
      </c>
      <c r="AA389" s="836"/>
      <c r="AB389" s="982"/>
      <c r="AC389" s="867"/>
      <c r="AD389" s="867"/>
      <c r="AE389" s="979">
        <f t="shared" si="94"/>
        <v>0</v>
      </c>
      <c r="AF389" s="878"/>
      <c r="AG389" s="335"/>
      <c r="AH389" s="979">
        <f t="shared" si="91"/>
        <v>0</v>
      </c>
      <c r="AI389" s="979"/>
      <c r="AJ389" s="979">
        <f t="shared" si="87"/>
        <v>0</v>
      </c>
      <c r="AK389" s="878"/>
      <c r="AL389" s="618"/>
      <c r="AM389" s="618"/>
    </row>
    <row r="390" spans="1:81" ht="21.6" customHeight="1" x14ac:dyDescent="0.25">
      <c r="A390" s="664"/>
      <c r="B390" s="664"/>
      <c r="C390" s="664"/>
      <c r="D390" s="1086" t="s">
        <v>752</v>
      </c>
      <c r="E390" s="845"/>
      <c r="F390" s="846" t="s">
        <v>531</v>
      </c>
      <c r="G390" s="836" t="s">
        <v>361</v>
      </c>
      <c r="H390" s="844"/>
      <c r="I390" s="625"/>
      <c r="J390" s="844"/>
      <c r="K390" s="626"/>
      <c r="L390" s="893"/>
      <c r="M390" s="893"/>
      <c r="N390" s="893">
        <f t="shared" si="88"/>
        <v>0</v>
      </c>
      <c r="O390" s="856"/>
      <c r="P390" s="856"/>
      <c r="Q390" s="856">
        <f t="shared" si="89"/>
        <v>0</v>
      </c>
      <c r="R390" s="894"/>
      <c r="S390" s="855"/>
      <c r="T390" s="896">
        <f t="shared" si="93"/>
        <v>0</v>
      </c>
      <c r="U390" s="862"/>
      <c r="V390" s="857"/>
      <c r="W390" s="857">
        <f t="shared" si="90"/>
        <v>0</v>
      </c>
      <c r="X390" s="863"/>
      <c r="Y390" s="664">
        <f t="shared" si="92"/>
        <v>0</v>
      </c>
      <c r="Z390" s="664">
        <f t="shared" si="95"/>
        <v>0</v>
      </c>
      <c r="AA390" s="836"/>
      <c r="AB390" s="982"/>
      <c r="AC390" s="867"/>
      <c r="AD390" s="867"/>
      <c r="AE390" s="979">
        <f t="shared" si="94"/>
        <v>0</v>
      </c>
      <c r="AF390" s="878"/>
      <c r="AG390" s="335"/>
      <c r="AH390" s="979">
        <f t="shared" si="91"/>
        <v>0</v>
      </c>
      <c r="AI390" s="979"/>
      <c r="AJ390" s="979">
        <f t="shared" si="87"/>
        <v>0</v>
      </c>
      <c r="AK390" s="878"/>
      <c r="AL390" s="618"/>
      <c r="AM390" s="618"/>
    </row>
    <row r="391" spans="1:81" ht="26.25" customHeight="1" x14ac:dyDescent="0.25">
      <c r="A391" s="664">
        <v>116</v>
      </c>
      <c r="B391" s="664" t="s">
        <v>130</v>
      </c>
      <c r="C391" s="664">
        <v>9</v>
      </c>
      <c r="D391" s="1086" t="s">
        <v>752</v>
      </c>
      <c r="E391" s="845"/>
      <c r="F391" s="846" t="s">
        <v>211</v>
      </c>
      <c r="G391" s="836" t="s">
        <v>265</v>
      </c>
      <c r="H391" s="844"/>
      <c r="I391" s="625"/>
      <c r="J391" s="844"/>
      <c r="K391" s="626"/>
      <c r="L391" s="893"/>
      <c r="M391" s="893"/>
      <c r="N391" s="893">
        <f t="shared" si="88"/>
        <v>0</v>
      </c>
      <c r="O391" s="856"/>
      <c r="P391" s="856"/>
      <c r="Q391" s="856">
        <f t="shared" si="89"/>
        <v>0</v>
      </c>
      <c r="R391" s="894"/>
      <c r="S391" s="855"/>
      <c r="T391" s="896">
        <f t="shared" si="93"/>
        <v>0</v>
      </c>
      <c r="U391" s="862"/>
      <c r="V391" s="857"/>
      <c r="W391" s="857">
        <f t="shared" si="90"/>
        <v>0</v>
      </c>
      <c r="X391" s="863"/>
      <c r="Y391" s="664">
        <f t="shared" si="92"/>
        <v>0</v>
      </c>
      <c r="Z391" s="664">
        <f t="shared" si="95"/>
        <v>0</v>
      </c>
      <c r="AA391" s="836"/>
      <c r="AB391" s="982"/>
      <c r="AC391" s="867"/>
      <c r="AD391" s="867"/>
      <c r="AE391" s="979">
        <f t="shared" si="94"/>
        <v>0</v>
      </c>
      <c r="AF391" s="878"/>
      <c r="AG391" s="335"/>
      <c r="AH391" s="979">
        <f t="shared" si="91"/>
        <v>0</v>
      </c>
      <c r="AI391" s="979"/>
      <c r="AJ391" s="979">
        <f t="shared" si="87"/>
        <v>0</v>
      </c>
      <c r="AK391" s="878"/>
      <c r="AL391" s="618"/>
      <c r="AM391" s="618"/>
    </row>
    <row r="392" spans="1:81" ht="21.6" customHeight="1" x14ac:dyDescent="0.25">
      <c r="A392" s="664"/>
      <c r="B392" s="664"/>
      <c r="C392" s="664"/>
      <c r="D392" s="1086"/>
      <c r="E392" s="845"/>
      <c r="F392" s="846"/>
      <c r="G392" s="836"/>
      <c r="H392" s="844"/>
      <c r="I392" s="625"/>
      <c r="J392" s="844"/>
      <c r="K392" s="626"/>
      <c r="L392" s="893"/>
      <c r="M392" s="893"/>
      <c r="N392" s="893">
        <f t="shared" si="88"/>
        <v>0</v>
      </c>
      <c r="O392" s="856"/>
      <c r="P392" s="856"/>
      <c r="Q392" s="856">
        <f t="shared" si="89"/>
        <v>0</v>
      </c>
      <c r="R392" s="894"/>
      <c r="S392" s="855"/>
      <c r="T392" s="896">
        <f t="shared" si="93"/>
        <v>0</v>
      </c>
      <c r="U392" s="862"/>
      <c r="V392" s="857"/>
      <c r="W392" s="857">
        <f t="shared" si="90"/>
        <v>0</v>
      </c>
      <c r="X392" s="863"/>
      <c r="Y392" s="664">
        <f t="shared" si="92"/>
        <v>0</v>
      </c>
      <c r="Z392" s="664">
        <f t="shared" si="95"/>
        <v>0</v>
      </c>
      <c r="AA392" s="836"/>
      <c r="AB392" s="982"/>
      <c r="AC392" s="867"/>
      <c r="AD392" s="867"/>
      <c r="AE392" s="979">
        <f t="shared" si="94"/>
        <v>0</v>
      </c>
      <c r="AF392" s="878"/>
      <c r="AG392" s="335"/>
      <c r="AH392" s="979">
        <f t="shared" si="91"/>
        <v>0</v>
      </c>
      <c r="AI392" s="979"/>
      <c r="AJ392" s="979">
        <f t="shared" si="87"/>
        <v>0</v>
      </c>
      <c r="AK392" s="878"/>
      <c r="AL392" s="618"/>
      <c r="AM392" s="618"/>
    </row>
    <row r="393" spans="1:81" s="641" customFormat="1" ht="21.6" customHeight="1" x14ac:dyDescent="0.25">
      <c r="A393" s="836">
        <v>117</v>
      </c>
      <c r="B393" s="836" t="s">
        <v>130</v>
      </c>
      <c r="C393" s="836">
        <v>1</v>
      </c>
      <c r="D393" s="1086" t="s">
        <v>212</v>
      </c>
      <c r="E393" s="845"/>
      <c r="F393" s="846" t="s">
        <v>213</v>
      </c>
      <c r="G393" s="836" t="s">
        <v>265</v>
      </c>
      <c r="H393" s="844"/>
      <c r="I393" s="625"/>
      <c r="J393" s="844"/>
      <c r="K393" s="626"/>
      <c r="L393" s="890"/>
      <c r="M393" s="890"/>
      <c r="N393" s="890">
        <f t="shared" si="88"/>
        <v>0</v>
      </c>
      <c r="O393" s="467"/>
      <c r="P393" s="467"/>
      <c r="Q393" s="467">
        <f t="shared" si="89"/>
        <v>0</v>
      </c>
      <c r="R393" s="625"/>
      <c r="S393" s="842"/>
      <c r="T393" s="862">
        <f t="shared" si="93"/>
        <v>0</v>
      </c>
      <c r="U393" s="862">
        <f>SUM(T393:T401)</f>
        <v>0</v>
      </c>
      <c r="V393" s="863"/>
      <c r="W393" s="857">
        <f t="shared" si="90"/>
        <v>0</v>
      </c>
      <c r="X393" s="863">
        <f>SUM(W393:W401)</f>
        <v>20</v>
      </c>
      <c r="Y393" s="836">
        <f t="shared" si="92"/>
        <v>0</v>
      </c>
      <c r="Z393" s="664">
        <f t="shared" si="95"/>
        <v>0</v>
      </c>
      <c r="AA393" s="836">
        <f>SUM(Z393:Z401)</f>
        <v>20</v>
      </c>
      <c r="AB393" s="982">
        <v>20</v>
      </c>
      <c r="AC393" s="867"/>
      <c r="AD393" s="867"/>
      <c r="AE393" s="979">
        <f t="shared" si="94"/>
        <v>0</v>
      </c>
      <c r="AF393" s="878">
        <f>SUM(AE393:AE401)</f>
        <v>68</v>
      </c>
      <c r="AG393" s="335"/>
      <c r="AH393" s="979">
        <f t="shared" si="91"/>
        <v>0</v>
      </c>
      <c r="AI393" s="979">
        <f>SUM(AH393:AH401)</f>
        <v>20.2</v>
      </c>
      <c r="AJ393" s="979">
        <f t="shared" si="87"/>
        <v>0</v>
      </c>
      <c r="AK393" s="878">
        <f>SUM(AJ393:AJ401)</f>
        <v>-0.19999999999999929</v>
      </c>
      <c r="AL393" s="648"/>
      <c r="AM393" s="648"/>
      <c r="AN393" s="647"/>
      <c r="AO393" s="647"/>
      <c r="AP393" s="647"/>
      <c r="AQ393" s="647"/>
      <c r="AR393" s="647"/>
      <c r="AS393" s="647"/>
      <c r="AT393" s="647"/>
      <c r="AU393" s="647"/>
      <c r="AV393" s="647"/>
      <c r="AW393" s="647"/>
      <c r="AX393" s="647"/>
      <c r="AY393" s="647"/>
      <c r="AZ393" s="647"/>
      <c r="BA393" s="647"/>
      <c r="BB393" s="647"/>
      <c r="BC393" s="647"/>
      <c r="BD393" s="647"/>
      <c r="BE393" s="647"/>
      <c r="BF393" s="647"/>
      <c r="BG393" s="647"/>
      <c r="BH393" s="647"/>
      <c r="BI393" s="647"/>
      <c r="BJ393" s="647"/>
      <c r="BK393" s="647"/>
      <c r="BL393" s="647"/>
      <c r="BM393" s="647"/>
      <c r="BN393" s="647"/>
      <c r="BO393" s="647"/>
      <c r="BP393" s="647"/>
      <c r="BQ393" s="647"/>
      <c r="BR393" s="647"/>
      <c r="BS393" s="647"/>
      <c r="BT393" s="647"/>
      <c r="BU393" s="647"/>
      <c r="BV393" s="647"/>
      <c r="BW393" s="647"/>
      <c r="BX393" s="647"/>
      <c r="BY393" s="647"/>
      <c r="BZ393" s="647"/>
      <c r="CA393" s="647"/>
      <c r="CB393" s="647"/>
      <c r="CC393" s="647"/>
    </row>
    <row r="394" spans="1:81" ht="23.25" customHeight="1" x14ac:dyDescent="0.25">
      <c r="A394" s="664">
        <v>118</v>
      </c>
      <c r="B394" s="664" t="s">
        <v>130</v>
      </c>
      <c r="C394" s="664">
        <v>2</v>
      </c>
      <c r="D394" s="1086" t="s">
        <v>212</v>
      </c>
      <c r="E394" s="845"/>
      <c r="F394" s="846" t="s">
        <v>620</v>
      </c>
      <c r="G394" s="836" t="s">
        <v>265</v>
      </c>
      <c r="H394" s="844"/>
      <c r="I394" s="625"/>
      <c r="J394" s="844"/>
      <c r="K394" s="626"/>
      <c r="L394" s="893"/>
      <c r="M394" s="893"/>
      <c r="N394" s="893">
        <f t="shared" si="88"/>
        <v>0</v>
      </c>
      <c r="O394" s="856"/>
      <c r="P394" s="856"/>
      <c r="Q394" s="856">
        <f t="shared" si="89"/>
        <v>0</v>
      </c>
      <c r="R394" s="894"/>
      <c r="S394" s="855"/>
      <c r="T394" s="896">
        <f t="shared" si="93"/>
        <v>0</v>
      </c>
      <c r="U394" s="862"/>
      <c r="V394" s="857"/>
      <c r="W394" s="857">
        <f t="shared" si="90"/>
        <v>0</v>
      </c>
      <c r="X394" s="863"/>
      <c r="Y394" s="664">
        <f t="shared" si="92"/>
        <v>0</v>
      </c>
      <c r="Z394" s="664">
        <f t="shared" si="95"/>
        <v>0</v>
      </c>
      <c r="AA394" s="836"/>
      <c r="AB394" s="982"/>
      <c r="AC394" s="867"/>
      <c r="AD394" s="867"/>
      <c r="AE394" s="979">
        <f t="shared" si="94"/>
        <v>0</v>
      </c>
      <c r="AF394" s="878"/>
      <c r="AG394" s="335"/>
      <c r="AH394" s="979">
        <f t="shared" si="91"/>
        <v>0</v>
      </c>
      <c r="AI394" s="979"/>
      <c r="AJ394" s="979">
        <f t="shared" si="87"/>
        <v>0</v>
      </c>
      <c r="AK394" s="878"/>
      <c r="AL394" s="618"/>
      <c r="AM394" s="618"/>
    </row>
    <row r="395" spans="1:81" ht="26.25" customHeight="1" x14ac:dyDescent="0.25">
      <c r="A395" s="664">
        <v>119</v>
      </c>
      <c r="B395" s="664" t="s">
        <v>130</v>
      </c>
      <c r="C395" s="664">
        <v>3</v>
      </c>
      <c r="D395" s="1086" t="s">
        <v>212</v>
      </c>
      <c r="E395" s="845"/>
      <c r="F395" s="846" t="s">
        <v>658</v>
      </c>
      <c r="G395" s="836" t="s">
        <v>265</v>
      </c>
      <c r="H395" s="844"/>
      <c r="I395" s="625"/>
      <c r="J395" s="844" t="s">
        <v>265</v>
      </c>
      <c r="K395" s="626" t="s">
        <v>796</v>
      </c>
      <c r="L395" s="893">
        <v>7</v>
      </c>
      <c r="M395" s="893"/>
      <c r="N395" s="893">
        <f t="shared" si="88"/>
        <v>7</v>
      </c>
      <c r="O395" s="856">
        <v>2.4</v>
      </c>
      <c r="P395" s="856"/>
      <c r="Q395" s="856">
        <f t="shared" si="89"/>
        <v>2.4</v>
      </c>
      <c r="R395" s="894"/>
      <c r="S395" s="855"/>
      <c r="T395" s="896">
        <f t="shared" si="93"/>
        <v>0</v>
      </c>
      <c r="U395" s="862"/>
      <c r="V395" s="857">
        <v>36</v>
      </c>
      <c r="W395" s="857">
        <f t="shared" si="90"/>
        <v>2.4</v>
      </c>
      <c r="X395" s="863"/>
      <c r="Y395" s="664">
        <f t="shared" si="92"/>
        <v>36</v>
      </c>
      <c r="Z395" s="664">
        <f t="shared" si="95"/>
        <v>2.4</v>
      </c>
      <c r="AA395" s="836"/>
      <c r="AB395" s="982"/>
      <c r="AC395" s="867">
        <v>7</v>
      </c>
      <c r="AD395" s="867"/>
      <c r="AE395" s="979">
        <f t="shared" si="94"/>
        <v>7</v>
      </c>
      <c r="AF395" s="878"/>
      <c r="AG395" s="335">
        <v>36</v>
      </c>
      <c r="AH395" s="979">
        <f t="shared" si="91"/>
        <v>2.4</v>
      </c>
      <c r="AI395" s="979"/>
      <c r="AJ395" s="979">
        <f t="shared" si="87"/>
        <v>0</v>
      </c>
      <c r="AK395" s="878"/>
      <c r="AL395" s="618"/>
      <c r="AM395" s="618"/>
    </row>
    <row r="396" spans="1:81" ht="25.5" customHeight="1" x14ac:dyDescent="0.25">
      <c r="A396" s="664">
        <v>120</v>
      </c>
      <c r="B396" s="664" t="s">
        <v>130</v>
      </c>
      <c r="C396" s="664">
        <v>4</v>
      </c>
      <c r="D396" s="1086" t="s">
        <v>212</v>
      </c>
      <c r="E396" s="845"/>
      <c r="F396" s="846" t="s">
        <v>710</v>
      </c>
      <c r="G396" s="836" t="s">
        <v>265</v>
      </c>
      <c r="H396" s="844"/>
      <c r="I396" s="625"/>
      <c r="J396" s="844" t="s">
        <v>265</v>
      </c>
      <c r="K396" s="626" t="s">
        <v>796</v>
      </c>
      <c r="L396" s="893">
        <v>24</v>
      </c>
      <c r="M396" s="893">
        <v>2</v>
      </c>
      <c r="N396" s="893">
        <f t="shared" si="88"/>
        <v>26</v>
      </c>
      <c r="O396" s="856">
        <v>7.6</v>
      </c>
      <c r="P396" s="856"/>
      <c r="Q396" s="856">
        <f t="shared" si="89"/>
        <v>7.6</v>
      </c>
      <c r="R396" s="894"/>
      <c r="S396" s="855">
        <v>0</v>
      </c>
      <c r="T396" s="896">
        <f t="shared" si="93"/>
        <v>0</v>
      </c>
      <c r="U396" s="862"/>
      <c r="V396" s="857">
        <v>114</v>
      </c>
      <c r="W396" s="857">
        <f t="shared" si="90"/>
        <v>7.6</v>
      </c>
      <c r="X396" s="863"/>
      <c r="Y396" s="664">
        <f t="shared" si="92"/>
        <v>114</v>
      </c>
      <c r="Z396" s="664">
        <f t="shared" si="95"/>
        <v>7.6</v>
      </c>
      <c r="AA396" s="836"/>
      <c r="AB396" s="982"/>
      <c r="AC396" s="867">
        <v>24</v>
      </c>
      <c r="AD396" s="867">
        <v>2</v>
      </c>
      <c r="AE396" s="979">
        <f t="shared" si="94"/>
        <v>26</v>
      </c>
      <c r="AF396" s="878"/>
      <c r="AG396" s="335">
        <v>114</v>
      </c>
      <c r="AH396" s="979">
        <f t="shared" si="91"/>
        <v>7.6</v>
      </c>
      <c r="AI396" s="979"/>
      <c r="AJ396" s="979">
        <f t="shared" si="87"/>
        <v>0</v>
      </c>
      <c r="AK396" s="878"/>
      <c r="AL396" s="618"/>
      <c r="AM396" s="618"/>
    </row>
    <row r="397" spans="1:81" ht="25.5" customHeight="1" x14ac:dyDescent="0.25">
      <c r="A397" s="664"/>
      <c r="B397" s="664"/>
      <c r="C397" s="664"/>
      <c r="D397" s="1086" t="s">
        <v>212</v>
      </c>
      <c r="E397" s="845"/>
      <c r="F397" s="846" t="s">
        <v>707</v>
      </c>
      <c r="G397" s="836"/>
      <c r="H397" s="844"/>
      <c r="I397" s="625"/>
      <c r="J397" s="844" t="s">
        <v>265</v>
      </c>
      <c r="K397" s="626" t="s">
        <v>796</v>
      </c>
      <c r="L397" s="893">
        <v>30</v>
      </c>
      <c r="M397" s="893">
        <v>5</v>
      </c>
      <c r="N397" s="893">
        <f t="shared" si="88"/>
        <v>35</v>
      </c>
      <c r="O397" s="856">
        <v>10.199999999999999</v>
      </c>
      <c r="P397" s="856"/>
      <c r="Q397" s="856">
        <f t="shared" si="89"/>
        <v>10.199999999999999</v>
      </c>
      <c r="R397" s="894"/>
      <c r="S397" s="855">
        <v>0</v>
      </c>
      <c r="T397" s="896">
        <f t="shared" si="93"/>
        <v>0</v>
      </c>
      <c r="U397" s="862"/>
      <c r="V397" s="857">
        <v>150</v>
      </c>
      <c r="W397" s="857">
        <f t="shared" si="90"/>
        <v>10</v>
      </c>
      <c r="X397" s="863"/>
      <c r="Y397" s="664">
        <f t="shared" si="92"/>
        <v>150</v>
      </c>
      <c r="Z397" s="664">
        <f t="shared" si="95"/>
        <v>10</v>
      </c>
      <c r="AA397" s="836"/>
      <c r="AB397" s="982"/>
      <c r="AC397" s="867">
        <v>30</v>
      </c>
      <c r="AD397" s="867">
        <v>5</v>
      </c>
      <c r="AE397" s="979">
        <f t="shared" si="94"/>
        <v>35</v>
      </c>
      <c r="AF397" s="878"/>
      <c r="AG397" s="335">
        <v>153</v>
      </c>
      <c r="AH397" s="979">
        <f t="shared" si="91"/>
        <v>10.199999999999999</v>
      </c>
      <c r="AI397" s="979"/>
      <c r="AJ397" s="979">
        <f t="shared" si="87"/>
        <v>-0.19999999999999929</v>
      </c>
      <c r="AK397" s="878"/>
      <c r="AL397" s="618"/>
      <c r="AM397" s="618"/>
    </row>
    <row r="398" spans="1:81" ht="21.6" customHeight="1" x14ac:dyDescent="0.25">
      <c r="A398" s="664">
        <v>122</v>
      </c>
      <c r="B398" s="664" t="s">
        <v>130</v>
      </c>
      <c r="C398" s="664">
        <v>6</v>
      </c>
      <c r="D398" s="1086" t="s">
        <v>212</v>
      </c>
      <c r="E398" s="845"/>
      <c r="F398" s="846" t="s">
        <v>215</v>
      </c>
      <c r="G398" s="836" t="s">
        <v>265</v>
      </c>
      <c r="H398" s="844"/>
      <c r="I398" s="625"/>
      <c r="J398" s="844"/>
      <c r="K398" s="626"/>
      <c r="L398" s="893"/>
      <c r="M398" s="893"/>
      <c r="N398" s="893">
        <f t="shared" si="88"/>
        <v>0</v>
      </c>
      <c r="O398" s="856"/>
      <c r="P398" s="856"/>
      <c r="Q398" s="856">
        <f t="shared" si="89"/>
        <v>0</v>
      </c>
      <c r="R398" s="894"/>
      <c r="S398" s="855"/>
      <c r="T398" s="896">
        <f t="shared" si="93"/>
        <v>0</v>
      </c>
      <c r="U398" s="862"/>
      <c r="V398" s="857"/>
      <c r="W398" s="857">
        <f t="shared" si="90"/>
        <v>0</v>
      </c>
      <c r="X398" s="863"/>
      <c r="Y398" s="664">
        <f t="shared" si="92"/>
        <v>0</v>
      </c>
      <c r="Z398" s="664">
        <f t="shared" si="95"/>
        <v>0</v>
      </c>
      <c r="AA398" s="836"/>
      <c r="AB398" s="982"/>
      <c r="AC398" s="867"/>
      <c r="AD398" s="867"/>
      <c r="AE398" s="979">
        <f t="shared" si="94"/>
        <v>0</v>
      </c>
      <c r="AF398" s="878"/>
      <c r="AG398" s="335"/>
      <c r="AH398" s="979">
        <f t="shared" si="91"/>
        <v>0</v>
      </c>
      <c r="AI398" s="979"/>
      <c r="AJ398" s="979">
        <f t="shared" si="87"/>
        <v>0</v>
      </c>
      <c r="AK398" s="878"/>
      <c r="AL398" s="618"/>
      <c r="AM398" s="618"/>
    </row>
    <row r="399" spans="1:81" ht="21.6" customHeight="1" x14ac:dyDescent="0.25">
      <c r="A399" s="664">
        <v>123</v>
      </c>
      <c r="B399" s="664" t="s">
        <v>130</v>
      </c>
      <c r="C399" s="664">
        <v>7</v>
      </c>
      <c r="D399" s="1086" t="s">
        <v>212</v>
      </c>
      <c r="E399" s="845"/>
      <c r="F399" s="846" t="s">
        <v>216</v>
      </c>
      <c r="G399" s="836" t="s">
        <v>265</v>
      </c>
      <c r="H399" s="844"/>
      <c r="I399" s="625"/>
      <c r="J399" s="844"/>
      <c r="K399" s="626"/>
      <c r="L399" s="893"/>
      <c r="M399" s="893"/>
      <c r="N399" s="893">
        <f t="shared" si="88"/>
        <v>0</v>
      </c>
      <c r="O399" s="856"/>
      <c r="P399" s="856"/>
      <c r="Q399" s="856">
        <f t="shared" si="89"/>
        <v>0</v>
      </c>
      <c r="R399" s="894"/>
      <c r="S399" s="855"/>
      <c r="T399" s="896">
        <f t="shared" si="93"/>
        <v>0</v>
      </c>
      <c r="U399" s="862"/>
      <c r="V399" s="857"/>
      <c r="W399" s="857">
        <f t="shared" si="90"/>
        <v>0</v>
      </c>
      <c r="X399" s="863"/>
      <c r="Y399" s="664">
        <f t="shared" si="92"/>
        <v>0</v>
      </c>
      <c r="Z399" s="664">
        <f t="shared" si="95"/>
        <v>0</v>
      </c>
      <c r="AA399" s="836"/>
      <c r="AB399" s="982"/>
      <c r="AC399" s="867"/>
      <c r="AD399" s="867"/>
      <c r="AE399" s="979">
        <f t="shared" si="94"/>
        <v>0</v>
      </c>
      <c r="AF399" s="878"/>
      <c r="AG399" s="335"/>
      <c r="AH399" s="979">
        <f t="shared" si="91"/>
        <v>0</v>
      </c>
      <c r="AI399" s="979"/>
      <c r="AJ399" s="979">
        <f t="shared" si="87"/>
        <v>0</v>
      </c>
      <c r="AK399" s="878"/>
      <c r="AL399" s="618"/>
      <c r="AM399" s="618"/>
    </row>
    <row r="400" spans="1:81" ht="27" customHeight="1" x14ac:dyDescent="0.25">
      <c r="A400" s="664">
        <v>124</v>
      </c>
      <c r="B400" s="664" t="s">
        <v>130</v>
      </c>
      <c r="C400" s="664">
        <v>8</v>
      </c>
      <c r="D400" s="1086" t="s">
        <v>212</v>
      </c>
      <c r="E400" s="845"/>
      <c r="F400" s="846" t="s">
        <v>607</v>
      </c>
      <c r="G400" s="836" t="s">
        <v>265</v>
      </c>
      <c r="H400" s="844"/>
      <c r="I400" s="625"/>
      <c r="J400" s="844"/>
      <c r="K400" s="626"/>
      <c r="L400" s="893"/>
      <c r="M400" s="893"/>
      <c r="N400" s="893">
        <f t="shared" si="88"/>
        <v>0</v>
      </c>
      <c r="O400" s="856"/>
      <c r="P400" s="856"/>
      <c r="Q400" s="856">
        <f t="shared" si="89"/>
        <v>0</v>
      </c>
      <c r="R400" s="894"/>
      <c r="S400" s="855"/>
      <c r="T400" s="896">
        <f t="shared" si="93"/>
        <v>0</v>
      </c>
      <c r="U400" s="862"/>
      <c r="V400" s="857"/>
      <c r="W400" s="857">
        <f t="shared" si="90"/>
        <v>0</v>
      </c>
      <c r="X400" s="863"/>
      <c r="Y400" s="664">
        <f t="shared" si="92"/>
        <v>0</v>
      </c>
      <c r="Z400" s="664">
        <f t="shared" si="95"/>
        <v>0</v>
      </c>
      <c r="AA400" s="836"/>
      <c r="AB400" s="982"/>
      <c r="AC400" s="867"/>
      <c r="AD400" s="867"/>
      <c r="AE400" s="979">
        <f t="shared" si="94"/>
        <v>0</v>
      </c>
      <c r="AF400" s="878"/>
      <c r="AG400" s="335"/>
      <c r="AH400" s="979">
        <f t="shared" si="91"/>
        <v>0</v>
      </c>
      <c r="AI400" s="979"/>
      <c r="AJ400" s="979">
        <f t="shared" si="87"/>
        <v>0</v>
      </c>
      <c r="AK400" s="878"/>
      <c r="AL400" s="618"/>
      <c r="AM400" s="618"/>
    </row>
    <row r="401" spans="1:81" ht="33" customHeight="1" x14ac:dyDescent="0.25">
      <c r="A401" s="664">
        <v>125</v>
      </c>
      <c r="B401" s="664" t="s">
        <v>130</v>
      </c>
      <c r="C401" s="664">
        <v>9</v>
      </c>
      <c r="D401" s="1086" t="s">
        <v>212</v>
      </c>
      <c r="E401" s="845"/>
      <c r="F401" s="846" t="s">
        <v>217</v>
      </c>
      <c r="G401" s="836" t="s">
        <v>265</v>
      </c>
      <c r="H401" s="844"/>
      <c r="I401" s="625"/>
      <c r="J401" s="844"/>
      <c r="K401" s="626"/>
      <c r="L401" s="893"/>
      <c r="M401" s="893"/>
      <c r="N401" s="893">
        <f t="shared" si="88"/>
        <v>0</v>
      </c>
      <c r="O401" s="856"/>
      <c r="P401" s="856"/>
      <c r="Q401" s="856">
        <f t="shared" si="89"/>
        <v>0</v>
      </c>
      <c r="R401" s="894"/>
      <c r="S401" s="855"/>
      <c r="T401" s="896">
        <f t="shared" si="93"/>
        <v>0</v>
      </c>
      <c r="U401" s="862"/>
      <c r="V401" s="857"/>
      <c r="W401" s="857">
        <f t="shared" si="90"/>
        <v>0</v>
      </c>
      <c r="X401" s="863"/>
      <c r="Y401" s="664">
        <f t="shared" si="92"/>
        <v>0</v>
      </c>
      <c r="Z401" s="664">
        <f t="shared" si="95"/>
        <v>0</v>
      </c>
      <c r="AA401" s="836"/>
      <c r="AB401" s="982"/>
      <c r="AC401" s="867"/>
      <c r="AD401" s="867"/>
      <c r="AE401" s="979">
        <f t="shared" si="94"/>
        <v>0</v>
      </c>
      <c r="AF401" s="878"/>
      <c r="AG401" s="335"/>
      <c r="AH401" s="979">
        <f t="shared" si="91"/>
        <v>0</v>
      </c>
      <c r="AI401" s="979"/>
      <c r="AJ401" s="979">
        <f t="shared" si="87"/>
        <v>0</v>
      </c>
      <c r="AK401" s="878"/>
      <c r="AL401" s="618"/>
      <c r="AM401" s="618"/>
    </row>
    <row r="402" spans="1:81" ht="21.6" customHeight="1" x14ac:dyDescent="0.25">
      <c r="A402" s="664"/>
      <c r="B402" s="664"/>
      <c r="C402" s="664"/>
      <c r="D402" s="1086"/>
      <c r="E402" s="845"/>
      <c r="F402" s="846"/>
      <c r="G402" s="836"/>
      <c r="H402" s="844"/>
      <c r="I402" s="625"/>
      <c r="J402" s="844"/>
      <c r="K402" s="626"/>
      <c r="L402" s="893"/>
      <c r="M402" s="893"/>
      <c r="N402" s="893">
        <f t="shared" si="88"/>
        <v>0</v>
      </c>
      <c r="O402" s="856"/>
      <c r="P402" s="856"/>
      <c r="Q402" s="856">
        <f t="shared" si="89"/>
        <v>0</v>
      </c>
      <c r="R402" s="894"/>
      <c r="S402" s="855"/>
      <c r="T402" s="896">
        <f t="shared" si="93"/>
        <v>0</v>
      </c>
      <c r="U402" s="862"/>
      <c r="V402" s="857"/>
      <c r="W402" s="857">
        <f t="shared" si="90"/>
        <v>0</v>
      </c>
      <c r="X402" s="863"/>
      <c r="Y402" s="664">
        <f t="shared" si="92"/>
        <v>0</v>
      </c>
      <c r="Z402" s="664">
        <f t="shared" si="95"/>
        <v>0</v>
      </c>
      <c r="AA402" s="836"/>
      <c r="AB402" s="982"/>
      <c r="AC402" s="867"/>
      <c r="AD402" s="867"/>
      <c r="AE402" s="979">
        <f t="shared" si="94"/>
        <v>0</v>
      </c>
      <c r="AF402" s="878"/>
      <c r="AG402" s="335"/>
      <c r="AH402" s="979">
        <f t="shared" si="91"/>
        <v>0</v>
      </c>
      <c r="AI402" s="979"/>
      <c r="AJ402" s="979">
        <f t="shared" si="87"/>
        <v>0</v>
      </c>
      <c r="AK402" s="878"/>
      <c r="AL402" s="618"/>
      <c r="AM402" s="618"/>
    </row>
    <row r="403" spans="1:81" s="641" customFormat="1" ht="21.6" customHeight="1" x14ac:dyDescent="0.25">
      <c r="A403" s="836">
        <v>126</v>
      </c>
      <c r="B403" s="836" t="s">
        <v>130</v>
      </c>
      <c r="C403" s="836">
        <v>1</v>
      </c>
      <c r="D403" s="1086" t="s">
        <v>218</v>
      </c>
      <c r="E403" s="845"/>
      <c r="F403" s="846" t="s">
        <v>219</v>
      </c>
      <c r="G403" s="836" t="s">
        <v>265</v>
      </c>
      <c r="H403" s="844"/>
      <c r="I403" s="625"/>
      <c r="J403" s="625"/>
      <c r="K403" s="626"/>
      <c r="L403" s="890"/>
      <c r="M403" s="890"/>
      <c r="N403" s="890">
        <f t="shared" si="88"/>
        <v>0</v>
      </c>
      <c r="O403" s="467"/>
      <c r="P403" s="467"/>
      <c r="Q403" s="467">
        <f t="shared" si="89"/>
        <v>0</v>
      </c>
      <c r="R403" s="625"/>
      <c r="S403" s="842">
        <v>3</v>
      </c>
      <c r="T403" s="862">
        <f t="shared" si="93"/>
        <v>0.2</v>
      </c>
      <c r="U403" s="862">
        <f>SUM(T403:T421)</f>
        <v>0.2</v>
      </c>
      <c r="V403" s="863"/>
      <c r="W403" s="857">
        <f t="shared" si="90"/>
        <v>0</v>
      </c>
      <c r="X403" s="863">
        <f>SUM(W403:W421)</f>
        <v>15.8</v>
      </c>
      <c r="Y403" s="836">
        <f t="shared" si="92"/>
        <v>3</v>
      </c>
      <c r="Z403" s="664">
        <f t="shared" si="95"/>
        <v>0.2</v>
      </c>
      <c r="AA403" s="836">
        <f>SUM(Z403:Z421)</f>
        <v>16</v>
      </c>
      <c r="AB403" s="982">
        <v>6</v>
      </c>
      <c r="AC403" s="867"/>
      <c r="AD403" s="867"/>
      <c r="AE403" s="979">
        <f t="shared" si="94"/>
        <v>0</v>
      </c>
      <c r="AF403" s="878">
        <f>SUM(AE403:AE421)</f>
        <v>34</v>
      </c>
      <c r="AG403" s="335"/>
      <c r="AH403" s="979">
        <f t="shared" si="91"/>
        <v>0</v>
      </c>
      <c r="AI403" s="979">
        <f>SUM(AH403:AH421)</f>
        <v>15.8</v>
      </c>
      <c r="AJ403" s="979">
        <f t="shared" si="87"/>
        <v>0.2</v>
      </c>
      <c r="AK403" s="878">
        <f>SUM(AJ403:AJ421)</f>
        <v>0.2</v>
      </c>
      <c r="AL403" s="648"/>
      <c r="AM403" s="648"/>
      <c r="AN403" s="647"/>
      <c r="AO403" s="647"/>
      <c r="AP403" s="647"/>
      <c r="AQ403" s="647"/>
      <c r="AR403" s="647"/>
      <c r="AS403" s="647"/>
      <c r="AT403" s="647"/>
      <c r="AU403" s="647"/>
      <c r="AV403" s="647"/>
      <c r="AW403" s="647"/>
      <c r="AX403" s="647"/>
      <c r="AY403" s="647"/>
      <c r="AZ403" s="647"/>
      <c r="BA403" s="647"/>
      <c r="BB403" s="647"/>
      <c r="BC403" s="647"/>
      <c r="BD403" s="647"/>
      <c r="BE403" s="647"/>
      <c r="BF403" s="647"/>
      <c r="BG403" s="647"/>
      <c r="BH403" s="647"/>
      <c r="BI403" s="647"/>
      <c r="BJ403" s="647"/>
      <c r="BK403" s="647"/>
      <c r="BL403" s="647"/>
      <c r="BM403" s="647"/>
      <c r="BN403" s="647"/>
      <c r="BO403" s="647"/>
      <c r="BP403" s="647"/>
      <c r="BQ403" s="647"/>
      <c r="BR403" s="647"/>
      <c r="BS403" s="647"/>
      <c r="BT403" s="647"/>
      <c r="BU403" s="647"/>
      <c r="BV403" s="647"/>
      <c r="BW403" s="647"/>
      <c r="BX403" s="647"/>
      <c r="BY403" s="647"/>
      <c r="BZ403" s="647"/>
      <c r="CA403" s="647"/>
      <c r="CB403" s="647"/>
      <c r="CC403" s="647"/>
    </row>
    <row r="404" spans="1:81" ht="21.6" customHeight="1" x14ac:dyDescent="0.25">
      <c r="A404" s="664">
        <v>127</v>
      </c>
      <c r="B404" s="664" t="s">
        <v>130</v>
      </c>
      <c r="C404" s="664">
        <v>2</v>
      </c>
      <c r="D404" s="1086" t="s">
        <v>218</v>
      </c>
      <c r="E404" s="845"/>
      <c r="F404" s="846" t="s">
        <v>220</v>
      </c>
      <c r="G404" s="836" t="s">
        <v>265</v>
      </c>
      <c r="H404" s="844"/>
      <c r="I404" s="625"/>
      <c r="J404" s="844"/>
      <c r="K404" s="626"/>
      <c r="L404" s="893"/>
      <c r="M404" s="893"/>
      <c r="N404" s="893">
        <f t="shared" si="88"/>
        <v>0</v>
      </c>
      <c r="O404" s="856"/>
      <c r="P404" s="856"/>
      <c r="Q404" s="856">
        <f t="shared" si="89"/>
        <v>0</v>
      </c>
      <c r="R404" s="894"/>
      <c r="S404" s="855"/>
      <c r="T404" s="896">
        <f t="shared" si="93"/>
        <v>0</v>
      </c>
      <c r="U404" s="862"/>
      <c r="V404" s="857"/>
      <c r="W404" s="857">
        <f t="shared" si="90"/>
        <v>0</v>
      </c>
      <c r="X404" s="863"/>
      <c r="Y404" s="664">
        <f t="shared" si="92"/>
        <v>0</v>
      </c>
      <c r="Z404" s="664">
        <f t="shared" si="95"/>
        <v>0</v>
      </c>
      <c r="AA404" s="836"/>
      <c r="AB404" s="982"/>
      <c r="AC404" s="867"/>
      <c r="AD404" s="867"/>
      <c r="AE404" s="979">
        <f t="shared" si="94"/>
        <v>0</v>
      </c>
      <c r="AF404" s="878"/>
      <c r="AG404" s="335"/>
      <c r="AH404" s="979">
        <f t="shared" si="91"/>
        <v>0</v>
      </c>
      <c r="AI404" s="979"/>
      <c r="AJ404" s="979">
        <f t="shared" si="87"/>
        <v>0</v>
      </c>
      <c r="AK404" s="878"/>
      <c r="AL404" s="618"/>
      <c r="AM404" s="618"/>
    </row>
    <row r="405" spans="1:81" ht="21.6" customHeight="1" x14ac:dyDescent="0.25">
      <c r="A405" s="664">
        <v>130</v>
      </c>
      <c r="B405" s="664" t="s">
        <v>130</v>
      </c>
      <c r="C405" s="664">
        <v>5</v>
      </c>
      <c r="D405" s="1086" t="s">
        <v>218</v>
      </c>
      <c r="E405" s="845"/>
      <c r="F405" s="846" t="s">
        <v>67</v>
      </c>
      <c r="G405" s="836" t="s">
        <v>265</v>
      </c>
      <c r="H405" s="844"/>
      <c r="I405" s="625"/>
      <c r="J405" s="844"/>
      <c r="K405" s="626"/>
      <c r="L405" s="893"/>
      <c r="M405" s="893"/>
      <c r="N405" s="893">
        <f t="shared" si="88"/>
        <v>0</v>
      </c>
      <c r="O405" s="856"/>
      <c r="P405" s="856"/>
      <c r="Q405" s="856">
        <f t="shared" si="89"/>
        <v>0</v>
      </c>
      <c r="R405" s="894"/>
      <c r="S405" s="855"/>
      <c r="T405" s="896">
        <f t="shared" si="93"/>
        <v>0</v>
      </c>
      <c r="U405" s="862"/>
      <c r="V405" s="857"/>
      <c r="W405" s="857">
        <f t="shared" si="90"/>
        <v>0</v>
      </c>
      <c r="X405" s="863"/>
      <c r="Y405" s="664">
        <f t="shared" si="92"/>
        <v>0</v>
      </c>
      <c r="Z405" s="664">
        <f t="shared" si="95"/>
        <v>0</v>
      </c>
      <c r="AA405" s="836"/>
      <c r="AB405" s="982"/>
      <c r="AC405" s="867"/>
      <c r="AD405" s="867"/>
      <c r="AE405" s="979">
        <f t="shared" si="94"/>
        <v>0</v>
      </c>
      <c r="AF405" s="878"/>
      <c r="AG405" s="335"/>
      <c r="AH405" s="979">
        <f t="shared" si="91"/>
        <v>0</v>
      </c>
      <c r="AI405" s="979"/>
      <c r="AJ405" s="979">
        <f t="shared" si="87"/>
        <v>0</v>
      </c>
      <c r="AK405" s="878"/>
      <c r="AL405" s="618"/>
      <c r="AM405" s="618"/>
    </row>
    <row r="406" spans="1:81" ht="21.6" customHeight="1" x14ac:dyDescent="0.25">
      <c r="A406" s="664">
        <v>131</v>
      </c>
      <c r="B406" s="664" t="s">
        <v>130</v>
      </c>
      <c r="C406" s="664">
        <v>6</v>
      </c>
      <c r="D406" s="1086" t="s">
        <v>218</v>
      </c>
      <c r="E406" s="845"/>
      <c r="F406" s="846" t="s">
        <v>337</v>
      </c>
      <c r="G406" s="836" t="s">
        <v>265</v>
      </c>
      <c r="H406" s="844"/>
      <c r="I406" s="625"/>
      <c r="J406" s="844"/>
      <c r="K406" s="626"/>
      <c r="L406" s="893"/>
      <c r="M406" s="893"/>
      <c r="N406" s="893">
        <f t="shared" si="88"/>
        <v>0</v>
      </c>
      <c r="O406" s="856"/>
      <c r="P406" s="856"/>
      <c r="Q406" s="856">
        <f t="shared" si="89"/>
        <v>0</v>
      </c>
      <c r="R406" s="894"/>
      <c r="S406" s="855"/>
      <c r="T406" s="896">
        <f t="shared" si="93"/>
        <v>0</v>
      </c>
      <c r="U406" s="862"/>
      <c r="V406" s="857"/>
      <c r="W406" s="857">
        <f t="shared" si="90"/>
        <v>0</v>
      </c>
      <c r="X406" s="863"/>
      <c r="Y406" s="664">
        <f t="shared" si="92"/>
        <v>0</v>
      </c>
      <c r="Z406" s="664">
        <f t="shared" si="95"/>
        <v>0</v>
      </c>
      <c r="AA406" s="836"/>
      <c r="AB406" s="982"/>
      <c r="AC406" s="867"/>
      <c r="AD406" s="867"/>
      <c r="AE406" s="979">
        <f t="shared" si="94"/>
        <v>0</v>
      </c>
      <c r="AF406" s="878"/>
      <c r="AG406" s="335"/>
      <c r="AH406" s="979">
        <f t="shared" si="91"/>
        <v>0</v>
      </c>
      <c r="AI406" s="979"/>
      <c r="AJ406" s="979">
        <f t="shared" si="87"/>
        <v>0</v>
      </c>
      <c r="AK406" s="878"/>
      <c r="AL406" s="618"/>
      <c r="AM406" s="618"/>
    </row>
    <row r="407" spans="1:81" ht="21.6" customHeight="1" x14ac:dyDescent="0.25">
      <c r="A407" s="664">
        <v>132</v>
      </c>
      <c r="B407" s="664" t="s">
        <v>130</v>
      </c>
      <c r="C407" s="664">
        <v>7</v>
      </c>
      <c r="D407" s="1086" t="s">
        <v>218</v>
      </c>
      <c r="E407" s="845"/>
      <c r="F407" s="846" t="s">
        <v>525</v>
      </c>
      <c r="G407" s="836" t="s">
        <v>265</v>
      </c>
      <c r="H407" s="844"/>
      <c r="I407" s="625"/>
      <c r="J407" s="664" t="s">
        <v>265</v>
      </c>
      <c r="K407" s="891">
        <v>42563</v>
      </c>
      <c r="L407" s="893">
        <v>12</v>
      </c>
      <c r="M407" s="893">
        <v>3</v>
      </c>
      <c r="N407" s="893">
        <f t="shared" si="88"/>
        <v>15</v>
      </c>
      <c r="O407" s="856">
        <v>5.8</v>
      </c>
      <c r="P407" s="856"/>
      <c r="Q407" s="856">
        <f t="shared" si="89"/>
        <v>5.8</v>
      </c>
      <c r="R407" s="894"/>
      <c r="S407" s="855"/>
      <c r="T407" s="896">
        <f t="shared" si="93"/>
        <v>0</v>
      </c>
      <c r="U407" s="862"/>
      <c r="V407" s="857">
        <v>87</v>
      </c>
      <c r="W407" s="857">
        <f t="shared" si="90"/>
        <v>5.8</v>
      </c>
      <c r="X407" s="863"/>
      <c r="Y407" s="664">
        <f t="shared" si="92"/>
        <v>87</v>
      </c>
      <c r="Z407" s="664">
        <f t="shared" si="95"/>
        <v>5.8</v>
      </c>
      <c r="AA407" s="836"/>
      <c r="AB407" s="982"/>
      <c r="AC407" s="867">
        <v>12</v>
      </c>
      <c r="AD407" s="867">
        <v>3</v>
      </c>
      <c r="AE407" s="979">
        <f t="shared" si="94"/>
        <v>15</v>
      </c>
      <c r="AF407" s="878"/>
      <c r="AG407" s="335">
        <v>87</v>
      </c>
      <c r="AH407" s="979">
        <f t="shared" si="91"/>
        <v>5.8</v>
      </c>
      <c r="AI407" s="979"/>
      <c r="AJ407" s="979">
        <f t="shared" si="87"/>
        <v>0</v>
      </c>
      <c r="AK407" s="878"/>
      <c r="AL407" s="618"/>
      <c r="AM407" s="618"/>
    </row>
    <row r="408" spans="1:81" ht="21.6" customHeight="1" x14ac:dyDescent="0.25">
      <c r="A408" s="664"/>
      <c r="B408" s="664"/>
      <c r="C408" s="664"/>
      <c r="D408" s="1086" t="s">
        <v>218</v>
      </c>
      <c r="E408" s="845"/>
      <c r="F408" s="846" t="s">
        <v>338</v>
      </c>
      <c r="G408" s="836" t="s">
        <v>276</v>
      </c>
      <c r="H408" s="901"/>
      <c r="I408" s="625"/>
      <c r="J408" s="664"/>
      <c r="K408" s="922"/>
      <c r="L408" s="893"/>
      <c r="M408" s="893"/>
      <c r="N408" s="893">
        <f t="shared" si="88"/>
        <v>0</v>
      </c>
      <c r="O408" s="856"/>
      <c r="P408" s="856"/>
      <c r="Q408" s="856">
        <f t="shared" si="89"/>
        <v>0</v>
      </c>
      <c r="R408" s="894"/>
      <c r="S408" s="855"/>
      <c r="T408" s="896">
        <f t="shared" si="93"/>
        <v>0</v>
      </c>
      <c r="U408" s="862"/>
      <c r="V408" s="857"/>
      <c r="W408" s="857">
        <f t="shared" si="90"/>
        <v>0</v>
      </c>
      <c r="X408" s="863"/>
      <c r="Y408" s="664">
        <f t="shared" si="92"/>
        <v>0</v>
      </c>
      <c r="Z408" s="664">
        <f t="shared" si="95"/>
        <v>0</v>
      </c>
      <c r="AA408" s="836"/>
      <c r="AB408" s="982"/>
      <c r="AC408" s="867"/>
      <c r="AD408" s="867"/>
      <c r="AE408" s="979">
        <f t="shared" si="94"/>
        <v>0</v>
      </c>
      <c r="AF408" s="878"/>
      <c r="AG408" s="335"/>
      <c r="AH408" s="979">
        <f t="shared" si="91"/>
        <v>0</v>
      </c>
      <c r="AI408" s="979"/>
      <c r="AJ408" s="979">
        <f t="shared" si="87"/>
        <v>0</v>
      </c>
      <c r="AK408" s="878"/>
      <c r="AL408" s="618"/>
      <c r="AM408" s="618"/>
    </row>
    <row r="409" spans="1:81" ht="21.6" customHeight="1" x14ac:dyDescent="0.25">
      <c r="A409" s="664">
        <v>133</v>
      </c>
      <c r="B409" s="664" t="s">
        <v>130</v>
      </c>
      <c r="C409" s="664">
        <v>8</v>
      </c>
      <c r="D409" s="1086" t="s">
        <v>218</v>
      </c>
      <c r="E409" s="845"/>
      <c r="F409" s="846" t="s">
        <v>221</v>
      </c>
      <c r="G409" s="836" t="s">
        <v>265</v>
      </c>
      <c r="H409" s="844"/>
      <c r="I409" s="625"/>
      <c r="J409" s="625"/>
      <c r="K409" s="626"/>
      <c r="L409" s="893"/>
      <c r="M409" s="893"/>
      <c r="N409" s="893">
        <f t="shared" si="88"/>
        <v>0</v>
      </c>
      <c r="O409" s="856"/>
      <c r="P409" s="856"/>
      <c r="Q409" s="856">
        <f t="shared" si="89"/>
        <v>0</v>
      </c>
      <c r="R409" s="894"/>
      <c r="S409" s="855"/>
      <c r="T409" s="896">
        <f t="shared" si="93"/>
        <v>0</v>
      </c>
      <c r="U409" s="862"/>
      <c r="V409" s="857"/>
      <c r="W409" s="857">
        <f t="shared" si="90"/>
        <v>0</v>
      </c>
      <c r="X409" s="863"/>
      <c r="Y409" s="664">
        <f t="shared" si="92"/>
        <v>0</v>
      </c>
      <c r="Z409" s="664">
        <f t="shared" si="95"/>
        <v>0</v>
      </c>
      <c r="AA409" s="836"/>
      <c r="AB409" s="982"/>
      <c r="AC409" s="867"/>
      <c r="AD409" s="867"/>
      <c r="AE409" s="979">
        <f t="shared" si="94"/>
        <v>0</v>
      </c>
      <c r="AF409" s="878"/>
      <c r="AG409" s="335"/>
      <c r="AH409" s="979">
        <f t="shared" si="91"/>
        <v>0</v>
      </c>
      <c r="AI409" s="979"/>
      <c r="AJ409" s="979">
        <f t="shared" si="87"/>
        <v>0</v>
      </c>
      <c r="AK409" s="878"/>
      <c r="AL409" s="618"/>
      <c r="AM409" s="618"/>
    </row>
    <row r="410" spans="1:81" ht="21.6" customHeight="1" x14ac:dyDescent="0.25">
      <c r="A410" s="664">
        <v>136</v>
      </c>
      <c r="B410" s="664" t="s">
        <v>130</v>
      </c>
      <c r="C410" s="664">
        <v>11</v>
      </c>
      <c r="D410" s="1086" t="s">
        <v>218</v>
      </c>
      <c r="E410" s="845"/>
      <c r="F410" s="846" t="s">
        <v>222</v>
      </c>
      <c r="G410" s="836" t="s">
        <v>265</v>
      </c>
      <c r="H410" s="844"/>
      <c r="I410" s="625"/>
      <c r="J410" s="844"/>
      <c r="K410" s="626"/>
      <c r="L410" s="893"/>
      <c r="M410" s="893"/>
      <c r="N410" s="893">
        <f t="shared" si="88"/>
        <v>0</v>
      </c>
      <c r="O410" s="856"/>
      <c r="P410" s="856"/>
      <c r="Q410" s="856">
        <f t="shared" si="89"/>
        <v>0</v>
      </c>
      <c r="R410" s="894"/>
      <c r="S410" s="855">
        <f>150-150</f>
        <v>0</v>
      </c>
      <c r="T410" s="896">
        <f t="shared" si="93"/>
        <v>0</v>
      </c>
      <c r="U410" s="862"/>
      <c r="V410" s="857">
        <v>150</v>
      </c>
      <c r="W410" s="857">
        <f t="shared" si="90"/>
        <v>10</v>
      </c>
      <c r="X410" s="863"/>
      <c r="Y410" s="664">
        <f t="shared" si="92"/>
        <v>150</v>
      </c>
      <c r="Z410" s="664">
        <f t="shared" si="95"/>
        <v>10</v>
      </c>
      <c r="AA410" s="836"/>
      <c r="AB410" s="982"/>
      <c r="AC410" s="867">
        <v>18</v>
      </c>
      <c r="AD410" s="867">
        <v>1</v>
      </c>
      <c r="AE410" s="979">
        <f t="shared" si="94"/>
        <v>19</v>
      </c>
      <c r="AF410" s="878"/>
      <c r="AG410" s="335">
        <v>150</v>
      </c>
      <c r="AH410" s="979">
        <f t="shared" si="91"/>
        <v>10</v>
      </c>
      <c r="AI410" s="979"/>
      <c r="AJ410" s="979">
        <f t="shared" si="87"/>
        <v>0</v>
      </c>
      <c r="AK410" s="878"/>
      <c r="AL410" s="618"/>
      <c r="AM410" s="618"/>
    </row>
    <row r="411" spans="1:81" ht="21.6" customHeight="1" x14ac:dyDescent="0.25">
      <c r="A411" s="664">
        <v>137</v>
      </c>
      <c r="B411" s="664" t="s">
        <v>130</v>
      </c>
      <c r="C411" s="664">
        <v>12</v>
      </c>
      <c r="D411" s="1086" t="s">
        <v>218</v>
      </c>
      <c r="E411" s="845"/>
      <c r="F411" s="846" t="s">
        <v>223</v>
      </c>
      <c r="G411" s="836" t="s">
        <v>265</v>
      </c>
      <c r="H411" s="844"/>
      <c r="I411" s="836"/>
      <c r="J411" s="836"/>
      <c r="K411" s="626"/>
      <c r="L411" s="893"/>
      <c r="M411" s="893"/>
      <c r="N411" s="893">
        <f t="shared" si="88"/>
        <v>0</v>
      </c>
      <c r="O411" s="856"/>
      <c r="P411" s="856"/>
      <c r="Q411" s="856">
        <f t="shared" si="89"/>
        <v>0</v>
      </c>
      <c r="R411" s="894"/>
      <c r="S411" s="855"/>
      <c r="T411" s="896">
        <f t="shared" si="93"/>
        <v>0</v>
      </c>
      <c r="U411" s="862"/>
      <c r="V411" s="857"/>
      <c r="W411" s="857">
        <f t="shared" si="90"/>
        <v>0</v>
      </c>
      <c r="X411" s="863"/>
      <c r="Y411" s="664">
        <f t="shared" si="92"/>
        <v>0</v>
      </c>
      <c r="Z411" s="664">
        <f t="shared" si="95"/>
        <v>0</v>
      </c>
      <c r="AA411" s="836"/>
      <c r="AB411" s="982"/>
      <c r="AC411" s="867"/>
      <c r="AD411" s="867"/>
      <c r="AE411" s="979">
        <f t="shared" si="94"/>
        <v>0</v>
      </c>
      <c r="AF411" s="878"/>
      <c r="AG411" s="335"/>
      <c r="AH411" s="979">
        <f t="shared" si="91"/>
        <v>0</v>
      </c>
      <c r="AI411" s="979"/>
      <c r="AJ411" s="979">
        <f t="shared" si="87"/>
        <v>0</v>
      </c>
      <c r="AK411" s="878"/>
      <c r="AL411" s="618"/>
      <c r="AM411" s="618"/>
    </row>
    <row r="412" spans="1:81" ht="21.6" customHeight="1" x14ac:dyDescent="0.25">
      <c r="A412" s="664">
        <v>138</v>
      </c>
      <c r="B412" s="664" t="s">
        <v>130</v>
      </c>
      <c r="C412" s="664">
        <v>13</v>
      </c>
      <c r="D412" s="1086" t="s">
        <v>218</v>
      </c>
      <c r="E412" s="845"/>
      <c r="F412" s="846" t="s">
        <v>224</v>
      </c>
      <c r="G412" s="836" t="s">
        <v>265</v>
      </c>
      <c r="H412" s="844"/>
      <c r="I412" s="625"/>
      <c r="J412" s="844"/>
      <c r="K412" s="626"/>
      <c r="L412" s="893"/>
      <c r="M412" s="893"/>
      <c r="N412" s="893">
        <f t="shared" si="88"/>
        <v>0</v>
      </c>
      <c r="O412" s="856"/>
      <c r="P412" s="856"/>
      <c r="Q412" s="856">
        <f t="shared" si="89"/>
        <v>0</v>
      </c>
      <c r="R412" s="894"/>
      <c r="S412" s="855"/>
      <c r="T412" s="896">
        <f t="shared" si="93"/>
        <v>0</v>
      </c>
      <c r="U412" s="862"/>
      <c r="V412" s="857"/>
      <c r="W412" s="857">
        <f t="shared" si="90"/>
        <v>0</v>
      </c>
      <c r="X412" s="863"/>
      <c r="Y412" s="664">
        <f t="shared" si="92"/>
        <v>0</v>
      </c>
      <c r="Z412" s="664">
        <f t="shared" si="95"/>
        <v>0</v>
      </c>
      <c r="AA412" s="836"/>
      <c r="AB412" s="982"/>
      <c r="AC412" s="867"/>
      <c r="AD412" s="867"/>
      <c r="AE412" s="979">
        <f t="shared" si="94"/>
        <v>0</v>
      </c>
      <c r="AF412" s="878"/>
      <c r="AG412" s="335"/>
      <c r="AH412" s="979">
        <f t="shared" si="91"/>
        <v>0</v>
      </c>
      <c r="AI412" s="979"/>
      <c r="AJ412" s="979">
        <f t="shared" si="87"/>
        <v>0</v>
      </c>
      <c r="AK412" s="878"/>
      <c r="AL412" s="618"/>
      <c r="AM412" s="618"/>
    </row>
    <row r="413" spans="1:81" ht="21.6" customHeight="1" x14ac:dyDescent="0.25">
      <c r="A413" s="664">
        <v>139</v>
      </c>
      <c r="B413" s="664" t="s">
        <v>130</v>
      </c>
      <c r="C413" s="664">
        <v>14</v>
      </c>
      <c r="D413" s="1086" t="s">
        <v>218</v>
      </c>
      <c r="E413" s="845"/>
      <c r="F413" s="846" t="s">
        <v>225</v>
      </c>
      <c r="G413" s="836" t="s">
        <v>265</v>
      </c>
      <c r="H413" s="844"/>
      <c r="I413" s="625"/>
      <c r="J413" s="844"/>
      <c r="K413" s="626"/>
      <c r="L413" s="893"/>
      <c r="M413" s="893"/>
      <c r="N413" s="893">
        <f t="shared" si="88"/>
        <v>0</v>
      </c>
      <c r="O413" s="856"/>
      <c r="P413" s="856"/>
      <c r="Q413" s="856">
        <f t="shared" si="89"/>
        <v>0</v>
      </c>
      <c r="R413" s="894"/>
      <c r="S413" s="855"/>
      <c r="T413" s="896">
        <f t="shared" si="93"/>
        <v>0</v>
      </c>
      <c r="U413" s="862"/>
      <c r="V413" s="857"/>
      <c r="W413" s="857">
        <f t="shared" si="90"/>
        <v>0</v>
      </c>
      <c r="X413" s="863"/>
      <c r="Y413" s="664">
        <f t="shared" si="92"/>
        <v>0</v>
      </c>
      <c r="Z413" s="664">
        <f t="shared" si="95"/>
        <v>0</v>
      </c>
      <c r="AA413" s="836"/>
      <c r="AB413" s="982"/>
      <c r="AC413" s="867"/>
      <c r="AD413" s="867"/>
      <c r="AE413" s="979">
        <f t="shared" si="94"/>
        <v>0</v>
      </c>
      <c r="AF413" s="878"/>
      <c r="AG413" s="335"/>
      <c r="AH413" s="979">
        <f t="shared" si="91"/>
        <v>0</v>
      </c>
      <c r="AI413" s="979"/>
      <c r="AJ413" s="979">
        <f t="shared" si="87"/>
        <v>0</v>
      </c>
      <c r="AK413" s="878"/>
      <c r="AL413" s="618"/>
      <c r="AM413" s="618"/>
    </row>
    <row r="414" spans="1:81" ht="21.6" customHeight="1" x14ac:dyDescent="0.25">
      <c r="A414" s="664">
        <v>140</v>
      </c>
      <c r="B414" s="664" t="s">
        <v>130</v>
      </c>
      <c r="C414" s="664">
        <v>15</v>
      </c>
      <c r="D414" s="1086" t="s">
        <v>218</v>
      </c>
      <c r="E414" s="845"/>
      <c r="F414" s="846" t="s">
        <v>340</v>
      </c>
      <c r="G414" s="836" t="s">
        <v>265</v>
      </c>
      <c r="H414" s="844"/>
      <c r="I414" s="625"/>
      <c r="J414" s="625"/>
      <c r="K414" s="626"/>
      <c r="L414" s="893"/>
      <c r="M414" s="893"/>
      <c r="N414" s="893">
        <f t="shared" si="88"/>
        <v>0</v>
      </c>
      <c r="O414" s="856"/>
      <c r="P414" s="856"/>
      <c r="Q414" s="856">
        <f t="shared" si="89"/>
        <v>0</v>
      </c>
      <c r="R414" s="894"/>
      <c r="S414" s="855"/>
      <c r="T414" s="896">
        <f t="shared" si="93"/>
        <v>0</v>
      </c>
      <c r="U414" s="862"/>
      <c r="V414" s="857"/>
      <c r="W414" s="857">
        <f t="shared" si="90"/>
        <v>0</v>
      </c>
      <c r="X414" s="863"/>
      <c r="Y414" s="664">
        <f t="shared" si="92"/>
        <v>0</v>
      </c>
      <c r="Z414" s="664">
        <f t="shared" si="95"/>
        <v>0</v>
      </c>
      <c r="AA414" s="836"/>
      <c r="AB414" s="982"/>
      <c r="AC414" s="867"/>
      <c r="AD414" s="867"/>
      <c r="AE414" s="979">
        <f t="shared" si="94"/>
        <v>0</v>
      </c>
      <c r="AF414" s="878"/>
      <c r="AG414" s="335"/>
      <c r="AH414" s="979">
        <f t="shared" si="91"/>
        <v>0</v>
      </c>
      <c r="AI414" s="979"/>
      <c r="AJ414" s="979">
        <f t="shared" si="87"/>
        <v>0</v>
      </c>
      <c r="AK414" s="878"/>
      <c r="AL414" s="618"/>
      <c r="AM414" s="618"/>
    </row>
    <row r="415" spans="1:81" ht="21.6" customHeight="1" x14ac:dyDescent="0.25">
      <c r="A415" s="664"/>
      <c r="B415" s="664"/>
      <c r="C415" s="664"/>
      <c r="D415" s="1086" t="s">
        <v>218</v>
      </c>
      <c r="E415" s="845"/>
      <c r="F415" s="846" t="s">
        <v>340</v>
      </c>
      <c r="G415" s="836"/>
      <c r="H415" s="844"/>
      <c r="I415" s="625"/>
      <c r="J415" s="625"/>
      <c r="K415" s="626"/>
      <c r="L415" s="893"/>
      <c r="M415" s="893"/>
      <c r="N415" s="893">
        <f t="shared" si="88"/>
        <v>0</v>
      </c>
      <c r="O415" s="856"/>
      <c r="P415" s="856"/>
      <c r="Q415" s="856">
        <f t="shared" si="89"/>
        <v>0</v>
      </c>
      <c r="R415" s="894"/>
      <c r="S415" s="855"/>
      <c r="T415" s="896">
        <f t="shared" si="93"/>
        <v>0</v>
      </c>
      <c r="U415" s="862"/>
      <c r="V415" s="857"/>
      <c r="W415" s="857">
        <f t="shared" si="90"/>
        <v>0</v>
      </c>
      <c r="X415" s="863"/>
      <c r="Y415" s="664">
        <f t="shared" si="92"/>
        <v>0</v>
      </c>
      <c r="Z415" s="664">
        <f t="shared" si="95"/>
        <v>0</v>
      </c>
      <c r="AA415" s="836"/>
      <c r="AB415" s="982"/>
      <c r="AC415" s="867"/>
      <c r="AD415" s="867"/>
      <c r="AE415" s="979">
        <f t="shared" si="94"/>
        <v>0</v>
      </c>
      <c r="AF415" s="878"/>
      <c r="AG415" s="335"/>
      <c r="AH415" s="979">
        <f t="shared" si="91"/>
        <v>0</v>
      </c>
      <c r="AI415" s="979"/>
      <c r="AJ415" s="979">
        <f t="shared" si="87"/>
        <v>0</v>
      </c>
      <c r="AK415" s="878"/>
      <c r="AL415" s="618"/>
      <c r="AM415" s="618"/>
    </row>
    <row r="416" spans="1:81" ht="21.6" customHeight="1" x14ac:dyDescent="0.25">
      <c r="A416" s="664">
        <v>141</v>
      </c>
      <c r="B416" s="664" t="s">
        <v>130</v>
      </c>
      <c r="C416" s="664">
        <v>16</v>
      </c>
      <c r="D416" s="1086" t="s">
        <v>218</v>
      </c>
      <c r="E416" s="845"/>
      <c r="F416" s="846" t="s">
        <v>226</v>
      </c>
      <c r="G416" s="836" t="s">
        <v>265</v>
      </c>
      <c r="H416" s="844"/>
      <c r="I416" s="625"/>
      <c r="J416" s="844"/>
      <c r="K416" s="626"/>
      <c r="L416" s="893"/>
      <c r="M416" s="893"/>
      <c r="N416" s="893">
        <f t="shared" si="88"/>
        <v>0</v>
      </c>
      <c r="O416" s="856"/>
      <c r="P416" s="856"/>
      <c r="Q416" s="856">
        <f t="shared" si="89"/>
        <v>0</v>
      </c>
      <c r="R416" s="894"/>
      <c r="S416" s="855"/>
      <c r="T416" s="896">
        <f t="shared" si="93"/>
        <v>0</v>
      </c>
      <c r="U416" s="862"/>
      <c r="V416" s="857"/>
      <c r="W416" s="857">
        <f t="shared" si="90"/>
        <v>0</v>
      </c>
      <c r="X416" s="863"/>
      <c r="Y416" s="664">
        <f t="shared" si="92"/>
        <v>0</v>
      </c>
      <c r="Z416" s="664">
        <f t="shared" si="95"/>
        <v>0</v>
      </c>
      <c r="AA416" s="836"/>
      <c r="AB416" s="982"/>
      <c r="AC416" s="867"/>
      <c r="AD416" s="867"/>
      <c r="AE416" s="979">
        <f t="shared" si="94"/>
        <v>0</v>
      </c>
      <c r="AF416" s="878"/>
      <c r="AG416" s="335"/>
      <c r="AH416" s="979">
        <f t="shared" si="91"/>
        <v>0</v>
      </c>
      <c r="AI416" s="979"/>
      <c r="AJ416" s="979">
        <f t="shared" si="87"/>
        <v>0</v>
      </c>
      <c r="AK416" s="878"/>
      <c r="AL416" s="618"/>
      <c r="AM416" s="618"/>
    </row>
    <row r="417" spans="1:81" ht="21.6" customHeight="1" x14ac:dyDescent="0.25">
      <c r="A417" s="664">
        <v>142</v>
      </c>
      <c r="B417" s="664" t="s">
        <v>130</v>
      </c>
      <c r="C417" s="664">
        <v>17</v>
      </c>
      <c r="D417" s="1086" t="s">
        <v>218</v>
      </c>
      <c r="E417" s="845"/>
      <c r="F417" s="846" t="s">
        <v>227</v>
      </c>
      <c r="G417" s="836" t="s">
        <v>265</v>
      </c>
      <c r="H417" s="844"/>
      <c r="I417" s="625"/>
      <c r="J417" s="844"/>
      <c r="K417" s="626"/>
      <c r="L417" s="893"/>
      <c r="M417" s="893"/>
      <c r="N417" s="893">
        <f t="shared" si="88"/>
        <v>0</v>
      </c>
      <c r="O417" s="856"/>
      <c r="P417" s="856"/>
      <c r="Q417" s="856">
        <f t="shared" si="89"/>
        <v>0</v>
      </c>
      <c r="R417" s="894"/>
      <c r="S417" s="855"/>
      <c r="T417" s="896">
        <f t="shared" si="93"/>
        <v>0</v>
      </c>
      <c r="U417" s="862"/>
      <c r="V417" s="857"/>
      <c r="W417" s="857">
        <f t="shared" si="90"/>
        <v>0</v>
      </c>
      <c r="X417" s="863"/>
      <c r="Y417" s="664">
        <f t="shared" si="92"/>
        <v>0</v>
      </c>
      <c r="Z417" s="664">
        <f t="shared" si="95"/>
        <v>0</v>
      </c>
      <c r="AA417" s="836"/>
      <c r="AB417" s="982"/>
      <c r="AC417" s="867"/>
      <c r="AD417" s="867"/>
      <c r="AE417" s="979">
        <f t="shared" si="94"/>
        <v>0</v>
      </c>
      <c r="AF417" s="878"/>
      <c r="AG417" s="335"/>
      <c r="AH417" s="979">
        <f t="shared" si="91"/>
        <v>0</v>
      </c>
      <c r="AI417" s="979"/>
      <c r="AJ417" s="979">
        <f t="shared" si="87"/>
        <v>0</v>
      </c>
      <c r="AK417" s="878"/>
      <c r="AL417" s="618"/>
      <c r="AM417" s="618"/>
    </row>
    <row r="418" spans="1:81" ht="21.6" customHeight="1" x14ac:dyDescent="0.25">
      <c r="A418" s="664"/>
      <c r="B418" s="664"/>
      <c r="C418" s="664"/>
      <c r="D418" s="1086" t="s">
        <v>218</v>
      </c>
      <c r="E418" s="845"/>
      <c r="F418" s="846" t="s">
        <v>339</v>
      </c>
      <c r="G418" s="836" t="s">
        <v>276</v>
      </c>
      <c r="H418" s="901"/>
      <c r="I418" s="625"/>
      <c r="J418" s="844"/>
      <c r="K418" s="626"/>
      <c r="L418" s="893"/>
      <c r="M418" s="893"/>
      <c r="N418" s="893">
        <f t="shared" si="88"/>
        <v>0</v>
      </c>
      <c r="O418" s="856"/>
      <c r="P418" s="856"/>
      <c r="Q418" s="856">
        <f t="shared" si="89"/>
        <v>0</v>
      </c>
      <c r="R418" s="894"/>
      <c r="S418" s="855"/>
      <c r="T418" s="896">
        <f t="shared" si="93"/>
        <v>0</v>
      </c>
      <c r="U418" s="862"/>
      <c r="V418" s="857"/>
      <c r="W418" s="857">
        <f t="shared" si="90"/>
        <v>0</v>
      </c>
      <c r="X418" s="863"/>
      <c r="Y418" s="664">
        <f t="shared" si="92"/>
        <v>0</v>
      </c>
      <c r="Z418" s="664">
        <f t="shared" si="95"/>
        <v>0</v>
      </c>
      <c r="AA418" s="836"/>
      <c r="AB418" s="982"/>
      <c r="AC418" s="867"/>
      <c r="AD418" s="867"/>
      <c r="AE418" s="979">
        <f t="shared" si="94"/>
        <v>0</v>
      </c>
      <c r="AF418" s="878"/>
      <c r="AG418" s="335"/>
      <c r="AH418" s="979">
        <f t="shared" si="91"/>
        <v>0</v>
      </c>
      <c r="AI418" s="979"/>
      <c r="AJ418" s="979">
        <f t="shared" si="87"/>
        <v>0</v>
      </c>
      <c r="AK418" s="878"/>
      <c r="AL418" s="618"/>
      <c r="AM418" s="618"/>
    </row>
    <row r="419" spans="1:81" ht="21.6" customHeight="1" x14ac:dyDescent="0.25">
      <c r="A419" s="664"/>
      <c r="B419" s="664"/>
      <c r="C419" s="664"/>
      <c r="D419" s="1086" t="s">
        <v>218</v>
      </c>
      <c r="E419" s="845"/>
      <c r="F419" s="846" t="s">
        <v>526</v>
      </c>
      <c r="G419" s="836" t="s">
        <v>276</v>
      </c>
      <c r="H419" s="901"/>
      <c r="I419" s="625"/>
      <c r="J419" s="844"/>
      <c r="K419" s="626"/>
      <c r="L419" s="893"/>
      <c r="M419" s="893"/>
      <c r="N419" s="893">
        <f t="shared" si="88"/>
        <v>0</v>
      </c>
      <c r="O419" s="856"/>
      <c r="P419" s="856"/>
      <c r="Q419" s="856">
        <f t="shared" si="89"/>
        <v>0</v>
      </c>
      <c r="R419" s="894"/>
      <c r="S419" s="855"/>
      <c r="T419" s="896">
        <f t="shared" si="93"/>
        <v>0</v>
      </c>
      <c r="U419" s="862"/>
      <c r="V419" s="857"/>
      <c r="W419" s="857">
        <f t="shared" si="90"/>
        <v>0</v>
      </c>
      <c r="X419" s="863"/>
      <c r="Y419" s="664">
        <f t="shared" si="92"/>
        <v>0</v>
      </c>
      <c r="Z419" s="664">
        <f t="shared" si="95"/>
        <v>0</v>
      </c>
      <c r="AA419" s="836"/>
      <c r="AB419" s="982"/>
      <c r="AC419" s="867"/>
      <c r="AD419" s="867"/>
      <c r="AE419" s="979">
        <f t="shared" si="94"/>
        <v>0</v>
      </c>
      <c r="AF419" s="878"/>
      <c r="AG419" s="335"/>
      <c r="AH419" s="979">
        <f t="shared" si="91"/>
        <v>0</v>
      </c>
      <c r="AI419" s="979"/>
      <c r="AJ419" s="979">
        <f t="shared" si="87"/>
        <v>0</v>
      </c>
      <c r="AK419" s="878"/>
      <c r="AL419" s="618"/>
      <c r="AM419" s="618"/>
    </row>
    <row r="420" spans="1:81" ht="21.6" customHeight="1" x14ac:dyDescent="0.25">
      <c r="A420" s="664"/>
      <c r="B420" s="664"/>
      <c r="C420" s="664"/>
      <c r="D420" s="1086" t="s">
        <v>218</v>
      </c>
      <c r="E420" s="845"/>
      <c r="F420" s="846" t="s">
        <v>527</v>
      </c>
      <c r="G420" s="836" t="s">
        <v>276</v>
      </c>
      <c r="H420" s="901"/>
      <c r="I420" s="625"/>
      <c r="J420" s="844"/>
      <c r="K420" s="626"/>
      <c r="L420" s="893"/>
      <c r="M420" s="893"/>
      <c r="N420" s="893">
        <f t="shared" si="88"/>
        <v>0</v>
      </c>
      <c r="O420" s="856"/>
      <c r="P420" s="856"/>
      <c r="Q420" s="856">
        <f t="shared" si="89"/>
        <v>0</v>
      </c>
      <c r="R420" s="894"/>
      <c r="S420" s="855"/>
      <c r="T420" s="896">
        <f t="shared" si="93"/>
        <v>0</v>
      </c>
      <c r="U420" s="862"/>
      <c r="V420" s="857"/>
      <c r="W420" s="857">
        <f t="shared" si="90"/>
        <v>0</v>
      </c>
      <c r="X420" s="863"/>
      <c r="Y420" s="664">
        <f t="shared" si="92"/>
        <v>0</v>
      </c>
      <c r="Z420" s="664">
        <f t="shared" si="95"/>
        <v>0</v>
      </c>
      <c r="AA420" s="836"/>
      <c r="AB420" s="982"/>
      <c r="AC420" s="867"/>
      <c r="AD420" s="867"/>
      <c r="AE420" s="979">
        <f t="shared" si="94"/>
        <v>0</v>
      </c>
      <c r="AF420" s="878"/>
      <c r="AG420" s="335"/>
      <c r="AH420" s="979">
        <f t="shared" si="91"/>
        <v>0</v>
      </c>
      <c r="AI420" s="979"/>
      <c r="AJ420" s="979">
        <f t="shared" si="87"/>
        <v>0</v>
      </c>
      <c r="AK420" s="878"/>
      <c r="AL420" s="618"/>
      <c r="AM420" s="618"/>
    </row>
    <row r="421" spans="1:81" ht="21.6" customHeight="1" x14ac:dyDescent="0.25">
      <c r="A421" s="664"/>
      <c r="B421" s="664"/>
      <c r="C421" s="664"/>
      <c r="D421" s="1086" t="s">
        <v>218</v>
      </c>
      <c r="E421" s="845"/>
      <c r="F421" s="846" t="s">
        <v>527</v>
      </c>
      <c r="G421" s="836" t="s">
        <v>276</v>
      </c>
      <c r="H421" s="901"/>
      <c r="I421" s="625"/>
      <c r="J421" s="844"/>
      <c r="K421" s="626"/>
      <c r="L421" s="893"/>
      <c r="M421" s="893"/>
      <c r="N421" s="893">
        <f t="shared" si="88"/>
        <v>0</v>
      </c>
      <c r="O421" s="856"/>
      <c r="P421" s="856"/>
      <c r="Q421" s="856">
        <f t="shared" si="89"/>
        <v>0</v>
      </c>
      <c r="R421" s="894"/>
      <c r="S421" s="855"/>
      <c r="T421" s="896">
        <f t="shared" si="93"/>
        <v>0</v>
      </c>
      <c r="U421" s="862"/>
      <c r="V421" s="857"/>
      <c r="W421" s="857">
        <f t="shared" si="90"/>
        <v>0</v>
      </c>
      <c r="X421" s="863"/>
      <c r="Y421" s="664">
        <f t="shared" si="92"/>
        <v>0</v>
      </c>
      <c r="Z421" s="664">
        <f t="shared" si="95"/>
        <v>0</v>
      </c>
      <c r="AA421" s="836"/>
      <c r="AB421" s="982"/>
      <c r="AC421" s="867"/>
      <c r="AD421" s="867"/>
      <c r="AE421" s="979">
        <f t="shared" si="94"/>
        <v>0</v>
      </c>
      <c r="AF421" s="878"/>
      <c r="AG421" s="335"/>
      <c r="AH421" s="979">
        <f t="shared" si="91"/>
        <v>0</v>
      </c>
      <c r="AI421" s="979"/>
      <c r="AJ421" s="979">
        <f t="shared" si="87"/>
        <v>0</v>
      </c>
      <c r="AK421" s="878"/>
      <c r="AL421" s="618"/>
      <c r="AM421" s="618"/>
    </row>
    <row r="422" spans="1:81" ht="21.6" customHeight="1" x14ac:dyDescent="0.25">
      <c r="A422" s="664"/>
      <c r="B422" s="664"/>
      <c r="C422" s="664"/>
      <c r="D422" s="1086"/>
      <c r="E422" s="845"/>
      <c r="F422" s="846"/>
      <c r="G422" s="836"/>
      <c r="H422" s="901"/>
      <c r="I422" s="625"/>
      <c r="J422" s="844"/>
      <c r="K422" s="626"/>
      <c r="L422" s="893"/>
      <c r="M422" s="893"/>
      <c r="N422" s="893">
        <f t="shared" si="88"/>
        <v>0</v>
      </c>
      <c r="O422" s="856"/>
      <c r="P422" s="856"/>
      <c r="Q422" s="856">
        <f t="shared" si="89"/>
        <v>0</v>
      </c>
      <c r="R422" s="894"/>
      <c r="S422" s="855"/>
      <c r="T422" s="896">
        <f t="shared" si="93"/>
        <v>0</v>
      </c>
      <c r="U422" s="862"/>
      <c r="V422" s="857"/>
      <c r="W422" s="857">
        <f t="shared" si="90"/>
        <v>0</v>
      </c>
      <c r="X422" s="863"/>
      <c r="Y422" s="664">
        <f t="shared" si="92"/>
        <v>0</v>
      </c>
      <c r="Z422" s="664">
        <f t="shared" si="95"/>
        <v>0</v>
      </c>
      <c r="AA422" s="836"/>
      <c r="AB422" s="982"/>
      <c r="AC422" s="867"/>
      <c r="AD422" s="867"/>
      <c r="AE422" s="979">
        <f t="shared" si="94"/>
        <v>0</v>
      </c>
      <c r="AF422" s="878"/>
      <c r="AG422" s="335"/>
      <c r="AH422" s="979">
        <f t="shared" si="91"/>
        <v>0</v>
      </c>
      <c r="AI422" s="979"/>
      <c r="AJ422" s="979">
        <f t="shared" si="87"/>
        <v>0</v>
      </c>
      <c r="AK422" s="878"/>
      <c r="AL422" s="618"/>
      <c r="AM422" s="618"/>
    </row>
    <row r="423" spans="1:81" s="641" customFormat="1" ht="20.45" customHeight="1" x14ac:dyDescent="0.25">
      <c r="A423" s="836" t="s">
        <v>426</v>
      </c>
      <c r="B423" s="836"/>
      <c r="C423" s="836"/>
      <c r="D423" s="1086" t="s">
        <v>228</v>
      </c>
      <c r="E423" s="845"/>
      <c r="F423" s="846" t="s">
        <v>322</v>
      </c>
      <c r="G423" s="845" t="s">
        <v>276</v>
      </c>
      <c r="H423" s="836"/>
      <c r="I423" s="836"/>
      <c r="J423" s="836"/>
      <c r="K423" s="910"/>
      <c r="L423" s="863"/>
      <c r="M423" s="917"/>
      <c r="N423" s="863">
        <f t="shared" si="88"/>
        <v>0</v>
      </c>
      <c r="O423" s="863"/>
      <c r="P423" s="917"/>
      <c r="Q423" s="863">
        <f t="shared" si="89"/>
        <v>0</v>
      </c>
      <c r="R423" s="836"/>
      <c r="S423" s="842"/>
      <c r="T423" s="862">
        <f t="shared" si="93"/>
        <v>0</v>
      </c>
      <c r="U423" s="862">
        <f>SUM(T423:T432)</f>
        <v>0</v>
      </c>
      <c r="V423" s="863"/>
      <c r="W423" s="857">
        <f t="shared" si="90"/>
        <v>0</v>
      </c>
      <c r="X423" s="863">
        <f>SUM(W423:W432)</f>
        <v>0</v>
      </c>
      <c r="Y423" s="836">
        <f t="shared" si="92"/>
        <v>0</v>
      </c>
      <c r="Z423" s="664">
        <f t="shared" si="95"/>
        <v>0</v>
      </c>
      <c r="AA423" s="836">
        <f>SUM(Z423:Z432)</f>
        <v>0</v>
      </c>
      <c r="AB423" s="982">
        <v>0</v>
      </c>
      <c r="AC423" s="867"/>
      <c r="AD423" s="867"/>
      <c r="AE423" s="979">
        <f t="shared" si="94"/>
        <v>0</v>
      </c>
      <c r="AF423" s="878">
        <f>SUM(AE423:AE432)</f>
        <v>0</v>
      </c>
      <c r="AG423" s="335"/>
      <c r="AH423" s="979">
        <f t="shared" si="91"/>
        <v>0</v>
      </c>
      <c r="AI423" s="979">
        <f>SUM(AH423:AH432)</f>
        <v>0</v>
      </c>
      <c r="AJ423" s="979">
        <f t="shared" ref="AJ423:AJ488" si="96">Z423-AH423</f>
        <v>0</v>
      </c>
      <c r="AK423" s="878">
        <f>SUM(AJ423:AJ432)</f>
        <v>0</v>
      </c>
      <c r="AL423" s="648"/>
      <c r="AM423" s="648"/>
      <c r="AN423" s="647"/>
      <c r="AO423" s="647"/>
      <c r="AP423" s="647"/>
      <c r="AQ423" s="647"/>
      <c r="AR423" s="647"/>
      <c r="AS423" s="647"/>
      <c r="AT423" s="647"/>
      <c r="AU423" s="647"/>
      <c r="AV423" s="647"/>
      <c r="AW423" s="647"/>
      <c r="AX423" s="647"/>
      <c r="AY423" s="647"/>
      <c r="AZ423" s="647"/>
      <c r="BA423" s="647"/>
      <c r="BB423" s="647"/>
      <c r="BC423" s="647"/>
      <c r="BD423" s="647"/>
      <c r="BE423" s="647"/>
      <c r="BF423" s="647"/>
      <c r="BG423" s="647"/>
      <c r="BH423" s="647"/>
      <c r="BI423" s="647"/>
      <c r="BJ423" s="647"/>
      <c r="BK423" s="647"/>
      <c r="BL423" s="647"/>
      <c r="BM423" s="647"/>
      <c r="BN423" s="647"/>
      <c r="BO423" s="647"/>
      <c r="BP423" s="647"/>
      <c r="BQ423" s="647"/>
      <c r="BR423" s="647"/>
      <c r="BS423" s="647"/>
      <c r="BT423" s="647"/>
      <c r="BU423" s="647"/>
      <c r="BV423" s="647"/>
      <c r="BW423" s="647"/>
      <c r="BX423" s="647"/>
      <c r="BY423" s="647"/>
      <c r="BZ423" s="647"/>
      <c r="CA423" s="647"/>
      <c r="CB423" s="647"/>
      <c r="CC423" s="647"/>
    </row>
    <row r="424" spans="1:81" ht="34.5" customHeight="1" x14ac:dyDescent="0.25">
      <c r="A424" s="664"/>
      <c r="B424" s="664"/>
      <c r="C424" s="664"/>
      <c r="D424" s="1086" t="s">
        <v>228</v>
      </c>
      <c r="E424" s="845"/>
      <c r="F424" s="846" t="s">
        <v>322</v>
      </c>
      <c r="G424" s="836"/>
      <c r="H424" s="844"/>
      <c r="I424" s="625"/>
      <c r="J424" s="664"/>
      <c r="K424" s="626"/>
      <c r="L424" s="893"/>
      <c r="M424" s="893"/>
      <c r="N424" s="893">
        <f t="shared" si="88"/>
        <v>0</v>
      </c>
      <c r="O424" s="856"/>
      <c r="P424" s="856"/>
      <c r="Q424" s="856">
        <f t="shared" si="89"/>
        <v>0</v>
      </c>
      <c r="R424" s="894"/>
      <c r="S424" s="855"/>
      <c r="T424" s="896">
        <f t="shared" si="93"/>
        <v>0</v>
      </c>
      <c r="U424" s="862"/>
      <c r="V424" s="857"/>
      <c r="W424" s="857">
        <f t="shared" si="90"/>
        <v>0</v>
      </c>
      <c r="X424" s="863"/>
      <c r="Y424" s="664">
        <f t="shared" si="92"/>
        <v>0</v>
      </c>
      <c r="Z424" s="664">
        <f t="shared" si="95"/>
        <v>0</v>
      </c>
      <c r="AA424" s="836"/>
      <c r="AB424" s="982"/>
      <c r="AC424" s="867"/>
      <c r="AD424" s="867"/>
      <c r="AE424" s="979">
        <f t="shared" si="94"/>
        <v>0</v>
      </c>
      <c r="AF424" s="878"/>
      <c r="AG424" s="335"/>
      <c r="AH424" s="979">
        <f t="shared" si="91"/>
        <v>0</v>
      </c>
      <c r="AI424" s="979"/>
      <c r="AJ424" s="979">
        <f t="shared" si="96"/>
        <v>0</v>
      </c>
      <c r="AK424" s="878"/>
      <c r="AL424" s="618"/>
      <c r="AM424" s="618"/>
    </row>
    <row r="425" spans="1:81" ht="21.6" customHeight="1" x14ac:dyDescent="0.25">
      <c r="A425" s="664"/>
      <c r="B425" s="664"/>
      <c r="C425" s="664"/>
      <c r="D425" s="1086" t="s">
        <v>228</v>
      </c>
      <c r="E425" s="845"/>
      <c r="F425" s="846" t="s">
        <v>612</v>
      </c>
      <c r="G425" s="836"/>
      <c r="H425" s="844"/>
      <c r="I425" s="625"/>
      <c r="J425" s="844"/>
      <c r="K425" s="626"/>
      <c r="L425" s="893"/>
      <c r="M425" s="893"/>
      <c r="N425" s="893">
        <f t="shared" si="88"/>
        <v>0</v>
      </c>
      <c r="O425" s="856"/>
      <c r="P425" s="856"/>
      <c r="Q425" s="856">
        <f t="shared" si="89"/>
        <v>0</v>
      </c>
      <c r="R425" s="894"/>
      <c r="S425" s="855"/>
      <c r="T425" s="896">
        <f t="shared" si="93"/>
        <v>0</v>
      </c>
      <c r="U425" s="862"/>
      <c r="V425" s="857"/>
      <c r="W425" s="857">
        <f t="shared" si="90"/>
        <v>0</v>
      </c>
      <c r="X425" s="863"/>
      <c r="Y425" s="664">
        <f t="shared" si="92"/>
        <v>0</v>
      </c>
      <c r="Z425" s="664">
        <f t="shared" si="95"/>
        <v>0</v>
      </c>
      <c r="AA425" s="836"/>
      <c r="AB425" s="982"/>
      <c r="AC425" s="867"/>
      <c r="AD425" s="867"/>
      <c r="AE425" s="979">
        <f t="shared" si="94"/>
        <v>0</v>
      </c>
      <c r="AF425" s="878"/>
      <c r="AG425" s="335"/>
      <c r="AH425" s="979">
        <f t="shared" si="91"/>
        <v>0</v>
      </c>
      <c r="AI425" s="979"/>
      <c r="AJ425" s="979">
        <f t="shared" si="96"/>
        <v>0</v>
      </c>
      <c r="AK425" s="878"/>
      <c r="AL425" s="618"/>
      <c r="AM425" s="618"/>
    </row>
    <row r="426" spans="1:81" ht="21.6" customHeight="1" x14ac:dyDescent="0.25">
      <c r="A426" s="664"/>
      <c r="B426" s="664"/>
      <c r="C426" s="664"/>
      <c r="D426" s="1086" t="s">
        <v>228</v>
      </c>
      <c r="E426" s="845"/>
      <c r="F426" s="846" t="s">
        <v>230</v>
      </c>
      <c r="G426" s="836" t="s">
        <v>265</v>
      </c>
      <c r="H426" s="844"/>
      <c r="I426" s="625"/>
      <c r="J426" s="844"/>
      <c r="K426" s="626"/>
      <c r="L426" s="893"/>
      <c r="M426" s="893"/>
      <c r="N426" s="893">
        <f t="shared" si="88"/>
        <v>0</v>
      </c>
      <c r="O426" s="856"/>
      <c r="P426" s="856"/>
      <c r="Q426" s="856">
        <f t="shared" si="89"/>
        <v>0</v>
      </c>
      <c r="R426" s="894"/>
      <c r="S426" s="855"/>
      <c r="T426" s="896">
        <f t="shared" si="93"/>
        <v>0</v>
      </c>
      <c r="U426" s="862"/>
      <c r="V426" s="857"/>
      <c r="W426" s="857">
        <f t="shared" si="90"/>
        <v>0</v>
      </c>
      <c r="X426" s="863"/>
      <c r="Y426" s="664">
        <f t="shared" si="92"/>
        <v>0</v>
      </c>
      <c r="Z426" s="664">
        <f t="shared" si="95"/>
        <v>0</v>
      </c>
      <c r="AA426" s="836"/>
      <c r="AB426" s="982"/>
      <c r="AC426" s="867"/>
      <c r="AD426" s="867"/>
      <c r="AE426" s="979">
        <f t="shared" si="94"/>
        <v>0</v>
      </c>
      <c r="AF426" s="878"/>
      <c r="AG426" s="335"/>
      <c r="AH426" s="979">
        <f t="shared" si="91"/>
        <v>0</v>
      </c>
      <c r="AI426" s="979"/>
      <c r="AJ426" s="979">
        <f t="shared" si="96"/>
        <v>0</v>
      </c>
      <c r="AK426" s="878"/>
      <c r="AL426" s="618"/>
      <c r="AM426" s="618"/>
    </row>
    <row r="427" spans="1:81" ht="21.6" customHeight="1" x14ac:dyDescent="0.25">
      <c r="A427" s="664"/>
      <c r="B427" s="664"/>
      <c r="C427" s="664"/>
      <c r="D427" s="1086" t="s">
        <v>228</v>
      </c>
      <c r="E427" s="845"/>
      <c r="F427" s="846" t="s">
        <v>614</v>
      </c>
      <c r="G427" s="836"/>
      <c r="H427" s="844"/>
      <c r="I427" s="625"/>
      <c r="J427" s="844"/>
      <c r="K427" s="626"/>
      <c r="L427" s="893"/>
      <c r="M427" s="893"/>
      <c r="N427" s="893">
        <f t="shared" si="88"/>
        <v>0</v>
      </c>
      <c r="O427" s="856"/>
      <c r="P427" s="856"/>
      <c r="Q427" s="856">
        <f t="shared" si="89"/>
        <v>0</v>
      </c>
      <c r="R427" s="894"/>
      <c r="S427" s="855"/>
      <c r="T427" s="896">
        <f t="shared" si="93"/>
        <v>0</v>
      </c>
      <c r="U427" s="862"/>
      <c r="V427" s="857"/>
      <c r="W427" s="857">
        <f t="shared" si="90"/>
        <v>0</v>
      </c>
      <c r="X427" s="863"/>
      <c r="Y427" s="664">
        <f t="shared" si="92"/>
        <v>0</v>
      </c>
      <c r="Z427" s="664">
        <f t="shared" si="95"/>
        <v>0</v>
      </c>
      <c r="AA427" s="836"/>
      <c r="AB427" s="982"/>
      <c r="AC427" s="867"/>
      <c r="AD427" s="867"/>
      <c r="AE427" s="979">
        <f t="shared" si="94"/>
        <v>0</v>
      </c>
      <c r="AF427" s="878"/>
      <c r="AG427" s="335"/>
      <c r="AH427" s="979">
        <f t="shared" si="91"/>
        <v>0</v>
      </c>
      <c r="AI427" s="979"/>
      <c r="AJ427" s="979">
        <f t="shared" si="96"/>
        <v>0</v>
      </c>
      <c r="AK427" s="878"/>
      <c r="AL427" s="618"/>
      <c r="AM427" s="618"/>
    </row>
    <row r="428" spans="1:81" ht="21.6" customHeight="1" x14ac:dyDescent="0.25">
      <c r="A428" s="664"/>
      <c r="B428" s="664"/>
      <c r="C428" s="664"/>
      <c r="D428" s="1086" t="s">
        <v>228</v>
      </c>
      <c r="E428" s="845"/>
      <c r="F428" s="846" t="s">
        <v>229</v>
      </c>
      <c r="G428" s="836" t="s">
        <v>265</v>
      </c>
      <c r="H428" s="844"/>
      <c r="I428" s="625"/>
      <c r="J428" s="844"/>
      <c r="K428" s="626"/>
      <c r="L428" s="893"/>
      <c r="M428" s="893"/>
      <c r="N428" s="893">
        <f t="shared" ref="N428:N494" si="97">M428+L428</f>
        <v>0</v>
      </c>
      <c r="O428" s="856"/>
      <c r="P428" s="856"/>
      <c r="Q428" s="856">
        <f t="shared" ref="Q428:Q494" si="98">P428+O428</f>
        <v>0</v>
      </c>
      <c r="R428" s="894"/>
      <c r="S428" s="855"/>
      <c r="T428" s="896">
        <f t="shared" si="93"/>
        <v>0</v>
      </c>
      <c r="U428" s="862"/>
      <c r="V428" s="857"/>
      <c r="W428" s="857">
        <f t="shared" si="90"/>
        <v>0</v>
      </c>
      <c r="X428" s="863"/>
      <c r="Y428" s="664">
        <f t="shared" si="92"/>
        <v>0</v>
      </c>
      <c r="Z428" s="664">
        <f t="shared" si="95"/>
        <v>0</v>
      </c>
      <c r="AA428" s="836"/>
      <c r="AB428" s="982"/>
      <c r="AC428" s="867"/>
      <c r="AD428" s="867"/>
      <c r="AE428" s="979">
        <f t="shared" si="94"/>
        <v>0</v>
      </c>
      <c r="AF428" s="878"/>
      <c r="AG428" s="335"/>
      <c r="AH428" s="979">
        <f t="shared" si="91"/>
        <v>0</v>
      </c>
      <c r="AI428" s="979"/>
      <c r="AJ428" s="979">
        <f t="shared" si="96"/>
        <v>0</v>
      </c>
      <c r="AK428" s="878"/>
      <c r="AL428" s="618"/>
      <c r="AM428" s="618"/>
    </row>
    <row r="429" spans="1:81" ht="21.6" customHeight="1" x14ac:dyDescent="0.25">
      <c r="A429" s="664"/>
      <c r="B429" s="664"/>
      <c r="C429" s="664"/>
      <c r="D429" s="1086" t="s">
        <v>228</v>
      </c>
      <c r="E429" s="845"/>
      <c r="F429" s="846" t="s">
        <v>667</v>
      </c>
      <c r="G429" s="836"/>
      <c r="H429" s="844"/>
      <c r="I429" s="625"/>
      <c r="J429" s="844"/>
      <c r="K429" s="626"/>
      <c r="L429" s="893"/>
      <c r="M429" s="893"/>
      <c r="N429" s="893">
        <f t="shared" si="97"/>
        <v>0</v>
      </c>
      <c r="O429" s="856"/>
      <c r="P429" s="856"/>
      <c r="Q429" s="856">
        <f t="shared" si="98"/>
        <v>0</v>
      </c>
      <c r="R429" s="894"/>
      <c r="S429" s="855"/>
      <c r="T429" s="896">
        <f t="shared" si="93"/>
        <v>0</v>
      </c>
      <c r="U429" s="862"/>
      <c r="V429" s="857"/>
      <c r="W429" s="857">
        <f t="shared" si="90"/>
        <v>0</v>
      </c>
      <c r="X429" s="863"/>
      <c r="Y429" s="664">
        <f t="shared" si="92"/>
        <v>0</v>
      </c>
      <c r="Z429" s="664">
        <f t="shared" si="95"/>
        <v>0</v>
      </c>
      <c r="AA429" s="836"/>
      <c r="AB429" s="982"/>
      <c r="AC429" s="867"/>
      <c r="AD429" s="867"/>
      <c r="AE429" s="979">
        <f t="shared" si="94"/>
        <v>0</v>
      </c>
      <c r="AF429" s="878"/>
      <c r="AG429" s="335"/>
      <c r="AH429" s="979">
        <f t="shared" si="91"/>
        <v>0</v>
      </c>
      <c r="AI429" s="979"/>
      <c r="AJ429" s="979">
        <f t="shared" si="96"/>
        <v>0</v>
      </c>
      <c r="AK429" s="878"/>
      <c r="AL429" s="618"/>
      <c r="AM429" s="618"/>
    </row>
    <row r="430" spans="1:81" ht="21.6" customHeight="1" x14ac:dyDescent="0.25">
      <c r="A430" s="664"/>
      <c r="B430" s="664"/>
      <c r="C430" s="664"/>
      <c r="D430" s="1086" t="s">
        <v>228</v>
      </c>
      <c r="E430" s="845"/>
      <c r="F430" s="846" t="s">
        <v>613</v>
      </c>
      <c r="G430" s="836"/>
      <c r="H430" s="844"/>
      <c r="I430" s="625"/>
      <c r="J430" s="844"/>
      <c r="K430" s="626"/>
      <c r="L430" s="893"/>
      <c r="M430" s="893"/>
      <c r="N430" s="893">
        <f t="shared" si="97"/>
        <v>0</v>
      </c>
      <c r="O430" s="856"/>
      <c r="P430" s="856"/>
      <c r="Q430" s="856">
        <f t="shared" si="98"/>
        <v>0</v>
      </c>
      <c r="R430" s="894"/>
      <c r="S430" s="855"/>
      <c r="T430" s="896">
        <f t="shared" si="93"/>
        <v>0</v>
      </c>
      <c r="U430" s="862"/>
      <c r="V430" s="857"/>
      <c r="W430" s="857">
        <f t="shared" si="90"/>
        <v>0</v>
      </c>
      <c r="X430" s="863"/>
      <c r="Y430" s="664">
        <f t="shared" si="92"/>
        <v>0</v>
      </c>
      <c r="Z430" s="664">
        <f t="shared" si="95"/>
        <v>0</v>
      </c>
      <c r="AA430" s="836"/>
      <c r="AB430" s="982"/>
      <c r="AC430" s="867"/>
      <c r="AD430" s="867"/>
      <c r="AE430" s="979">
        <f t="shared" si="94"/>
        <v>0</v>
      </c>
      <c r="AF430" s="878"/>
      <c r="AG430" s="335"/>
      <c r="AH430" s="979">
        <f t="shared" si="91"/>
        <v>0</v>
      </c>
      <c r="AI430" s="979"/>
      <c r="AJ430" s="979">
        <f t="shared" si="96"/>
        <v>0</v>
      </c>
      <c r="AK430" s="878"/>
      <c r="AL430" s="618"/>
      <c r="AM430" s="618"/>
    </row>
    <row r="431" spans="1:81" ht="21.6" customHeight="1" x14ac:dyDescent="0.25">
      <c r="A431" s="664"/>
      <c r="B431" s="664"/>
      <c r="C431" s="664"/>
      <c r="D431" s="1086"/>
      <c r="E431" s="845"/>
      <c r="F431" s="846"/>
      <c r="G431" s="836"/>
      <c r="H431" s="844"/>
      <c r="I431" s="625"/>
      <c r="J431" s="844"/>
      <c r="K431" s="626"/>
      <c r="L431" s="893"/>
      <c r="M431" s="893"/>
      <c r="N431" s="893">
        <f t="shared" si="97"/>
        <v>0</v>
      </c>
      <c r="O431" s="856"/>
      <c r="P431" s="856"/>
      <c r="Q431" s="856">
        <f t="shared" si="98"/>
        <v>0</v>
      </c>
      <c r="R431" s="894"/>
      <c r="S431" s="855"/>
      <c r="T431" s="896">
        <f t="shared" si="93"/>
        <v>0</v>
      </c>
      <c r="U431" s="862"/>
      <c r="V431" s="857"/>
      <c r="W431" s="857">
        <f t="shared" si="90"/>
        <v>0</v>
      </c>
      <c r="X431" s="863"/>
      <c r="Y431" s="664">
        <f t="shared" si="92"/>
        <v>0</v>
      </c>
      <c r="Z431" s="664">
        <f t="shared" si="95"/>
        <v>0</v>
      </c>
      <c r="AA431" s="836"/>
      <c r="AB431" s="982"/>
      <c r="AC431" s="867"/>
      <c r="AD431" s="867"/>
      <c r="AE431" s="979">
        <f t="shared" si="94"/>
        <v>0</v>
      </c>
      <c r="AF431" s="878"/>
      <c r="AG431" s="335"/>
      <c r="AH431" s="979">
        <f t="shared" si="91"/>
        <v>0</v>
      </c>
      <c r="AI431" s="979"/>
      <c r="AJ431" s="979">
        <f t="shared" si="96"/>
        <v>0</v>
      </c>
      <c r="AK431" s="878"/>
      <c r="AL431" s="618"/>
      <c r="AM431" s="618"/>
    </row>
    <row r="432" spans="1:81" s="641" customFormat="1" ht="21.6" customHeight="1" x14ac:dyDescent="0.25">
      <c r="A432" s="836">
        <v>145</v>
      </c>
      <c r="B432" s="836" t="s">
        <v>130</v>
      </c>
      <c r="C432" s="836">
        <v>3</v>
      </c>
      <c r="D432" s="1086" t="s">
        <v>231</v>
      </c>
      <c r="E432" s="845"/>
      <c r="F432" s="846" t="s">
        <v>232</v>
      </c>
      <c r="G432" s="836" t="s">
        <v>265</v>
      </c>
      <c r="H432" s="844"/>
      <c r="I432" s="625"/>
      <c r="J432" s="844"/>
      <c r="K432" s="626"/>
      <c r="L432" s="890"/>
      <c r="M432" s="890"/>
      <c r="N432" s="890">
        <f t="shared" si="97"/>
        <v>0</v>
      </c>
      <c r="O432" s="467"/>
      <c r="P432" s="467"/>
      <c r="Q432" s="467">
        <f t="shared" si="98"/>
        <v>0</v>
      </c>
      <c r="R432" s="625"/>
      <c r="S432" s="842"/>
      <c r="T432" s="862">
        <f t="shared" si="93"/>
        <v>0</v>
      </c>
      <c r="U432" s="862"/>
      <c r="V432" s="863"/>
      <c r="W432" s="857">
        <f t="shared" si="90"/>
        <v>0</v>
      </c>
      <c r="X432" s="863"/>
      <c r="Y432" s="836">
        <f t="shared" si="92"/>
        <v>0</v>
      </c>
      <c r="Z432" s="664">
        <f t="shared" si="95"/>
        <v>0</v>
      </c>
      <c r="AA432" s="836">
        <f>Z432</f>
        <v>0</v>
      </c>
      <c r="AB432" s="982">
        <v>0</v>
      </c>
      <c r="AC432" s="867"/>
      <c r="AD432" s="867"/>
      <c r="AE432" s="979">
        <f t="shared" si="94"/>
        <v>0</v>
      </c>
      <c r="AF432" s="878"/>
      <c r="AG432" s="335"/>
      <c r="AH432" s="979">
        <f t="shared" si="91"/>
        <v>0</v>
      </c>
      <c r="AI432" s="979"/>
      <c r="AJ432" s="979">
        <f t="shared" si="96"/>
        <v>0</v>
      </c>
      <c r="AK432" s="878"/>
      <c r="AL432" s="648"/>
      <c r="AM432" s="648"/>
      <c r="AN432" s="647"/>
      <c r="AO432" s="647"/>
      <c r="AP432" s="647"/>
      <c r="AQ432" s="647"/>
      <c r="AR432" s="647"/>
      <c r="AS432" s="647"/>
      <c r="AT432" s="647"/>
      <c r="AU432" s="647"/>
      <c r="AV432" s="647"/>
      <c r="AW432" s="647"/>
      <c r="AX432" s="647"/>
      <c r="AY432" s="647"/>
      <c r="AZ432" s="647"/>
      <c r="BA432" s="647"/>
      <c r="BB432" s="647"/>
      <c r="BC432" s="647"/>
      <c r="BD432" s="647"/>
      <c r="BE432" s="647"/>
      <c r="BF432" s="647"/>
      <c r="BG432" s="647"/>
      <c r="BH432" s="647"/>
      <c r="BI432" s="647"/>
      <c r="BJ432" s="647"/>
      <c r="BK432" s="647"/>
      <c r="BL432" s="647"/>
      <c r="BM432" s="647"/>
      <c r="BN432" s="647"/>
      <c r="BO432" s="647"/>
      <c r="BP432" s="647"/>
      <c r="BQ432" s="647"/>
      <c r="BR432" s="647"/>
      <c r="BS432" s="647"/>
      <c r="BT432" s="647"/>
      <c r="BU432" s="647"/>
      <c r="BV432" s="647"/>
      <c r="BW432" s="647"/>
      <c r="BX432" s="647"/>
      <c r="BY432" s="647"/>
      <c r="BZ432" s="647"/>
      <c r="CA432" s="647"/>
      <c r="CB432" s="647"/>
      <c r="CC432" s="647"/>
    </row>
    <row r="433" spans="1:81" ht="21.6" customHeight="1" x14ac:dyDescent="0.25">
      <c r="A433" s="664"/>
      <c r="B433" s="664"/>
      <c r="C433" s="664"/>
      <c r="D433" s="1086"/>
      <c r="E433" s="845"/>
      <c r="F433" s="846"/>
      <c r="G433" s="836"/>
      <c r="H433" s="844"/>
      <c r="I433" s="625"/>
      <c r="J433" s="844"/>
      <c r="K433" s="626"/>
      <c r="L433" s="893"/>
      <c r="M433" s="893"/>
      <c r="N433" s="893">
        <f t="shared" si="97"/>
        <v>0</v>
      </c>
      <c r="O433" s="856"/>
      <c r="P433" s="856"/>
      <c r="Q433" s="856">
        <f t="shared" si="98"/>
        <v>0</v>
      </c>
      <c r="R433" s="894"/>
      <c r="S433" s="855"/>
      <c r="T433" s="896">
        <f t="shared" si="93"/>
        <v>0</v>
      </c>
      <c r="U433" s="862"/>
      <c r="V433" s="857"/>
      <c r="W433" s="857">
        <f t="shared" si="90"/>
        <v>0</v>
      </c>
      <c r="X433" s="863"/>
      <c r="Y433" s="664">
        <f t="shared" si="92"/>
        <v>0</v>
      </c>
      <c r="Z433" s="664">
        <f t="shared" si="95"/>
        <v>0</v>
      </c>
      <c r="AA433" s="836"/>
      <c r="AB433" s="982"/>
      <c r="AC433" s="867"/>
      <c r="AD433" s="867"/>
      <c r="AE433" s="979">
        <f t="shared" si="94"/>
        <v>0</v>
      </c>
      <c r="AF433" s="878"/>
      <c r="AG433" s="335"/>
      <c r="AH433" s="979">
        <f t="shared" si="91"/>
        <v>0</v>
      </c>
      <c r="AI433" s="979"/>
      <c r="AJ433" s="979">
        <f t="shared" si="96"/>
        <v>0</v>
      </c>
      <c r="AK433" s="878"/>
      <c r="AL433" s="618"/>
      <c r="AM433" s="618"/>
    </row>
    <row r="434" spans="1:81" s="641" customFormat="1" ht="21.6" customHeight="1" x14ac:dyDescent="0.25">
      <c r="A434" s="836">
        <v>147</v>
      </c>
      <c r="B434" s="836" t="s">
        <v>130</v>
      </c>
      <c r="C434" s="836">
        <v>2</v>
      </c>
      <c r="D434" s="1086" t="s">
        <v>233</v>
      </c>
      <c r="E434" s="845"/>
      <c r="F434" s="846" t="s">
        <v>234</v>
      </c>
      <c r="G434" s="836" t="s">
        <v>265</v>
      </c>
      <c r="H434" s="844"/>
      <c r="I434" s="625"/>
      <c r="J434" s="844"/>
      <c r="K434" s="626"/>
      <c r="L434" s="890"/>
      <c r="M434" s="890"/>
      <c r="N434" s="890">
        <f t="shared" si="97"/>
        <v>0</v>
      </c>
      <c r="O434" s="467"/>
      <c r="P434" s="467"/>
      <c r="Q434" s="467">
        <f t="shared" si="98"/>
        <v>0</v>
      </c>
      <c r="R434" s="625"/>
      <c r="S434" s="842"/>
      <c r="T434" s="862">
        <f t="shared" si="93"/>
        <v>0</v>
      </c>
      <c r="U434" s="862">
        <f>SUM(T434:T437)</f>
        <v>0</v>
      </c>
      <c r="V434" s="863"/>
      <c r="W434" s="857">
        <f t="shared" si="90"/>
        <v>0</v>
      </c>
      <c r="X434" s="863">
        <f>SUM(W434:W437)</f>
        <v>0</v>
      </c>
      <c r="Y434" s="836">
        <f t="shared" si="92"/>
        <v>0</v>
      </c>
      <c r="Z434" s="664">
        <f t="shared" si="95"/>
        <v>0</v>
      </c>
      <c r="AA434" s="836">
        <f>SUM(Z434:Z437)</f>
        <v>0</v>
      </c>
      <c r="AB434" s="982">
        <v>0</v>
      </c>
      <c r="AC434" s="867"/>
      <c r="AD434" s="867"/>
      <c r="AE434" s="979">
        <f t="shared" si="94"/>
        <v>0</v>
      </c>
      <c r="AF434" s="878">
        <f>SUM(AE434:AE437)</f>
        <v>0</v>
      </c>
      <c r="AG434" s="335"/>
      <c r="AH434" s="979">
        <f t="shared" si="91"/>
        <v>0</v>
      </c>
      <c r="AI434" s="979">
        <f>SUM(AH434:AH437)</f>
        <v>0</v>
      </c>
      <c r="AJ434" s="979">
        <f t="shared" si="96"/>
        <v>0</v>
      </c>
      <c r="AK434" s="878">
        <f>SUM(AJ434:AJ437)</f>
        <v>0</v>
      </c>
      <c r="AL434" s="648"/>
      <c r="AM434" s="648"/>
      <c r="AN434" s="647"/>
      <c r="AO434" s="647"/>
      <c r="AP434" s="647"/>
      <c r="AQ434" s="647"/>
      <c r="AR434" s="647"/>
      <c r="AS434" s="647"/>
      <c r="AT434" s="647"/>
      <c r="AU434" s="647"/>
      <c r="AV434" s="647"/>
      <c r="AW434" s="647"/>
      <c r="AX434" s="647"/>
      <c r="AY434" s="647"/>
      <c r="AZ434" s="647"/>
      <c r="BA434" s="647"/>
      <c r="BB434" s="647"/>
      <c r="BC434" s="647"/>
      <c r="BD434" s="647"/>
      <c r="BE434" s="647"/>
      <c r="BF434" s="647"/>
      <c r="BG434" s="647"/>
      <c r="BH434" s="647"/>
      <c r="BI434" s="647"/>
      <c r="BJ434" s="647"/>
      <c r="BK434" s="647"/>
      <c r="BL434" s="647"/>
      <c r="BM434" s="647"/>
      <c r="BN434" s="647"/>
      <c r="BO434" s="647"/>
      <c r="BP434" s="647"/>
      <c r="BQ434" s="647"/>
      <c r="BR434" s="647"/>
      <c r="BS434" s="647"/>
      <c r="BT434" s="647"/>
      <c r="BU434" s="647"/>
      <c r="BV434" s="647"/>
      <c r="BW434" s="647"/>
      <c r="BX434" s="647"/>
      <c r="BY434" s="647"/>
      <c r="BZ434" s="647"/>
      <c r="CA434" s="647"/>
      <c r="CB434" s="647"/>
      <c r="CC434" s="647"/>
    </row>
    <row r="435" spans="1:81" ht="21.6" customHeight="1" x14ac:dyDescent="0.25">
      <c r="A435" s="664"/>
      <c r="B435" s="664"/>
      <c r="C435" s="664"/>
      <c r="D435" s="1086" t="s">
        <v>233</v>
      </c>
      <c r="E435" s="845"/>
      <c r="F435" s="846" t="s">
        <v>415</v>
      </c>
      <c r="G435" s="836" t="s">
        <v>276</v>
      </c>
      <c r="H435" s="844"/>
      <c r="I435" s="625"/>
      <c r="J435" s="844"/>
      <c r="K435" s="626"/>
      <c r="L435" s="893"/>
      <c r="M435" s="893"/>
      <c r="N435" s="893">
        <f t="shared" si="97"/>
        <v>0</v>
      </c>
      <c r="O435" s="856"/>
      <c r="P435" s="856"/>
      <c r="Q435" s="856">
        <f t="shared" si="98"/>
        <v>0</v>
      </c>
      <c r="R435" s="894"/>
      <c r="S435" s="855"/>
      <c r="T435" s="896">
        <f t="shared" si="93"/>
        <v>0</v>
      </c>
      <c r="U435" s="862"/>
      <c r="V435" s="857"/>
      <c r="W435" s="857">
        <f t="shared" si="90"/>
        <v>0</v>
      </c>
      <c r="X435" s="863"/>
      <c r="Y435" s="664">
        <f t="shared" si="92"/>
        <v>0</v>
      </c>
      <c r="Z435" s="664">
        <f t="shared" si="95"/>
        <v>0</v>
      </c>
      <c r="AA435" s="836"/>
      <c r="AB435" s="982"/>
      <c r="AC435" s="867"/>
      <c r="AD435" s="867"/>
      <c r="AE435" s="979">
        <f t="shared" si="94"/>
        <v>0</v>
      </c>
      <c r="AF435" s="878"/>
      <c r="AG435" s="335"/>
      <c r="AH435" s="979">
        <f t="shared" si="91"/>
        <v>0</v>
      </c>
      <c r="AI435" s="979"/>
      <c r="AJ435" s="979">
        <f t="shared" si="96"/>
        <v>0</v>
      </c>
      <c r="AK435" s="878"/>
      <c r="AL435" s="618"/>
      <c r="AM435" s="618"/>
    </row>
    <row r="436" spans="1:81" ht="21.6" customHeight="1" x14ac:dyDescent="0.25">
      <c r="A436" s="664">
        <v>149</v>
      </c>
      <c r="B436" s="664" t="s">
        <v>130</v>
      </c>
      <c r="C436" s="664">
        <v>4</v>
      </c>
      <c r="D436" s="1086" t="s">
        <v>233</v>
      </c>
      <c r="E436" s="845"/>
      <c r="F436" s="846" t="s">
        <v>235</v>
      </c>
      <c r="G436" s="836" t="s">
        <v>265</v>
      </c>
      <c r="H436" s="844"/>
      <c r="I436" s="625"/>
      <c r="J436" s="844"/>
      <c r="K436" s="626"/>
      <c r="L436" s="893"/>
      <c r="M436" s="893"/>
      <c r="N436" s="893">
        <f t="shared" si="97"/>
        <v>0</v>
      </c>
      <c r="O436" s="856"/>
      <c r="P436" s="856"/>
      <c r="Q436" s="856">
        <f t="shared" si="98"/>
        <v>0</v>
      </c>
      <c r="R436" s="894"/>
      <c r="S436" s="855"/>
      <c r="T436" s="896">
        <f t="shared" si="93"/>
        <v>0</v>
      </c>
      <c r="U436" s="862"/>
      <c r="V436" s="857"/>
      <c r="W436" s="857">
        <f t="shared" si="90"/>
        <v>0</v>
      </c>
      <c r="X436" s="863"/>
      <c r="Y436" s="664">
        <f t="shared" si="92"/>
        <v>0</v>
      </c>
      <c r="Z436" s="664">
        <f t="shared" si="95"/>
        <v>0</v>
      </c>
      <c r="AA436" s="836"/>
      <c r="AB436" s="982"/>
      <c r="AC436" s="867"/>
      <c r="AD436" s="867"/>
      <c r="AE436" s="979">
        <f t="shared" si="94"/>
        <v>0</v>
      </c>
      <c r="AF436" s="878"/>
      <c r="AG436" s="335"/>
      <c r="AH436" s="979">
        <f t="shared" si="91"/>
        <v>0</v>
      </c>
      <c r="AI436" s="979"/>
      <c r="AJ436" s="979">
        <f t="shared" si="96"/>
        <v>0</v>
      </c>
      <c r="AK436" s="878"/>
      <c r="AL436" s="618"/>
      <c r="AM436" s="618"/>
    </row>
    <row r="437" spans="1:81" ht="21.6" customHeight="1" x14ac:dyDescent="0.25">
      <c r="A437" s="664">
        <v>150</v>
      </c>
      <c r="B437" s="664" t="s">
        <v>130</v>
      </c>
      <c r="C437" s="664">
        <v>5</v>
      </c>
      <c r="D437" s="1086" t="s">
        <v>233</v>
      </c>
      <c r="E437" s="845"/>
      <c r="F437" s="846" t="s">
        <v>236</v>
      </c>
      <c r="G437" s="836" t="s">
        <v>265</v>
      </c>
      <c r="H437" s="844"/>
      <c r="I437" s="625"/>
      <c r="J437" s="844"/>
      <c r="K437" s="626"/>
      <c r="L437" s="893"/>
      <c r="M437" s="893"/>
      <c r="N437" s="893">
        <f t="shared" si="97"/>
        <v>0</v>
      </c>
      <c r="O437" s="856"/>
      <c r="P437" s="856"/>
      <c r="Q437" s="856">
        <f t="shared" si="98"/>
        <v>0</v>
      </c>
      <c r="R437" s="894"/>
      <c r="S437" s="855"/>
      <c r="T437" s="896">
        <f t="shared" si="93"/>
        <v>0</v>
      </c>
      <c r="U437" s="862"/>
      <c r="V437" s="857"/>
      <c r="W437" s="857">
        <f t="shared" si="90"/>
        <v>0</v>
      </c>
      <c r="X437" s="863"/>
      <c r="Y437" s="664">
        <f t="shared" si="92"/>
        <v>0</v>
      </c>
      <c r="Z437" s="664">
        <f t="shared" si="95"/>
        <v>0</v>
      </c>
      <c r="AA437" s="836"/>
      <c r="AB437" s="982"/>
      <c r="AC437" s="867"/>
      <c r="AD437" s="867"/>
      <c r="AE437" s="979">
        <f t="shared" si="94"/>
        <v>0</v>
      </c>
      <c r="AF437" s="878"/>
      <c r="AG437" s="335"/>
      <c r="AH437" s="979">
        <f t="shared" si="91"/>
        <v>0</v>
      </c>
      <c r="AI437" s="979"/>
      <c r="AJ437" s="979">
        <f t="shared" si="96"/>
        <v>0</v>
      </c>
      <c r="AK437" s="878"/>
      <c r="AL437" s="618"/>
      <c r="AM437" s="618"/>
    </row>
    <row r="438" spans="1:81" ht="21.6" customHeight="1" x14ac:dyDescent="0.25">
      <c r="A438" s="664"/>
      <c r="B438" s="664"/>
      <c r="C438" s="664"/>
      <c r="D438" s="1086"/>
      <c r="E438" s="845"/>
      <c r="F438" s="846"/>
      <c r="G438" s="836"/>
      <c r="H438" s="844"/>
      <c r="I438" s="625"/>
      <c r="J438" s="844"/>
      <c r="K438" s="626"/>
      <c r="L438" s="893"/>
      <c r="M438" s="893"/>
      <c r="N438" s="893">
        <f t="shared" si="97"/>
        <v>0</v>
      </c>
      <c r="O438" s="856"/>
      <c r="P438" s="856"/>
      <c r="Q438" s="856">
        <f t="shared" si="98"/>
        <v>0</v>
      </c>
      <c r="R438" s="894"/>
      <c r="S438" s="855"/>
      <c r="T438" s="896">
        <f t="shared" si="93"/>
        <v>0</v>
      </c>
      <c r="U438" s="862"/>
      <c r="V438" s="857"/>
      <c r="W438" s="857">
        <f t="shared" si="90"/>
        <v>0</v>
      </c>
      <c r="X438" s="863"/>
      <c r="Y438" s="664">
        <f t="shared" si="92"/>
        <v>0</v>
      </c>
      <c r="Z438" s="664">
        <f t="shared" si="95"/>
        <v>0</v>
      </c>
      <c r="AA438" s="836"/>
      <c r="AB438" s="982"/>
      <c r="AC438" s="867"/>
      <c r="AD438" s="867"/>
      <c r="AE438" s="979">
        <f t="shared" si="94"/>
        <v>0</v>
      </c>
      <c r="AF438" s="878"/>
      <c r="AG438" s="335"/>
      <c r="AH438" s="979">
        <f t="shared" si="91"/>
        <v>0</v>
      </c>
      <c r="AI438" s="979"/>
      <c r="AJ438" s="979">
        <f t="shared" si="96"/>
        <v>0</v>
      </c>
      <c r="AK438" s="878"/>
      <c r="AL438" s="618"/>
      <c r="AM438" s="618"/>
    </row>
    <row r="439" spans="1:81" s="641" customFormat="1" ht="21.6" customHeight="1" x14ac:dyDescent="0.25">
      <c r="A439" s="836">
        <v>151</v>
      </c>
      <c r="B439" s="836" t="s">
        <v>130</v>
      </c>
      <c r="C439" s="836">
        <v>1</v>
      </c>
      <c r="D439" s="1086" t="s">
        <v>237</v>
      </c>
      <c r="E439" s="845"/>
      <c r="F439" s="846" t="s">
        <v>12</v>
      </c>
      <c r="G439" s="836" t="s">
        <v>265</v>
      </c>
      <c r="H439" s="844"/>
      <c r="I439" s="625"/>
      <c r="J439" s="844"/>
      <c r="K439" s="626"/>
      <c r="L439" s="890"/>
      <c r="M439" s="890"/>
      <c r="N439" s="890">
        <f t="shared" si="97"/>
        <v>0</v>
      </c>
      <c r="O439" s="467"/>
      <c r="P439" s="467"/>
      <c r="Q439" s="467">
        <f t="shared" si="98"/>
        <v>0</v>
      </c>
      <c r="R439" s="625"/>
      <c r="S439" s="842"/>
      <c r="T439" s="862">
        <f t="shared" si="93"/>
        <v>0</v>
      </c>
      <c r="U439" s="862">
        <f>SUM(T439:T460)</f>
        <v>0</v>
      </c>
      <c r="V439" s="863"/>
      <c r="W439" s="857">
        <f t="shared" si="90"/>
        <v>0</v>
      </c>
      <c r="X439" s="863">
        <f>SUM(W439:W460)</f>
        <v>0</v>
      </c>
      <c r="Y439" s="836">
        <f t="shared" si="92"/>
        <v>0</v>
      </c>
      <c r="Z439" s="664">
        <f t="shared" si="95"/>
        <v>0</v>
      </c>
      <c r="AA439" s="836">
        <f>SUM(Z439:Z460)</f>
        <v>0</v>
      </c>
      <c r="AB439" s="982">
        <v>0</v>
      </c>
      <c r="AC439" s="867"/>
      <c r="AD439" s="867"/>
      <c r="AE439" s="979">
        <f t="shared" si="94"/>
        <v>0</v>
      </c>
      <c r="AF439" s="878">
        <f>SUM(AE439:AE460)</f>
        <v>0</v>
      </c>
      <c r="AG439" s="335"/>
      <c r="AH439" s="979">
        <f t="shared" si="91"/>
        <v>0</v>
      </c>
      <c r="AI439" s="979">
        <f>SUM(AH439:AH460)</f>
        <v>0</v>
      </c>
      <c r="AJ439" s="979">
        <f t="shared" si="96"/>
        <v>0</v>
      </c>
      <c r="AK439" s="878">
        <f>SUM(AJ439:AJ460)</f>
        <v>0</v>
      </c>
      <c r="AL439" s="648"/>
      <c r="AM439" s="648"/>
      <c r="AN439" s="647"/>
      <c r="AO439" s="647"/>
      <c r="AP439" s="647"/>
      <c r="AQ439" s="647"/>
      <c r="AR439" s="647"/>
      <c r="AS439" s="647"/>
      <c r="AT439" s="647"/>
      <c r="AU439" s="647"/>
      <c r="AV439" s="647"/>
      <c r="AW439" s="647"/>
      <c r="AX439" s="647"/>
      <c r="AY439" s="647"/>
      <c r="AZ439" s="647"/>
      <c r="BA439" s="647"/>
      <c r="BB439" s="647"/>
      <c r="BC439" s="647"/>
      <c r="BD439" s="647"/>
      <c r="BE439" s="647"/>
      <c r="BF439" s="647"/>
      <c r="BG439" s="647"/>
      <c r="BH439" s="647"/>
      <c r="BI439" s="647"/>
      <c r="BJ439" s="647"/>
      <c r="BK439" s="647"/>
      <c r="BL439" s="647"/>
      <c r="BM439" s="647"/>
      <c r="BN439" s="647"/>
      <c r="BO439" s="647"/>
      <c r="BP439" s="647"/>
      <c r="BQ439" s="647"/>
      <c r="BR439" s="647"/>
      <c r="BS439" s="647"/>
      <c r="BT439" s="647"/>
      <c r="BU439" s="647"/>
      <c r="BV439" s="647"/>
      <c r="BW439" s="647"/>
      <c r="BX439" s="647"/>
      <c r="BY439" s="647"/>
      <c r="BZ439" s="647"/>
      <c r="CA439" s="647"/>
      <c r="CB439" s="647"/>
      <c r="CC439" s="647"/>
    </row>
    <row r="440" spans="1:81" ht="21.6" customHeight="1" x14ac:dyDescent="0.25">
      <c r="A440" s="664"/>
      <c r="B440" s="664"/>
      <c r="C440" s="664"/>
      <c r="D440" s="1086" t="s">
        <v>237</v>
      </c>
      <c r="E440" s="845" t="s">
        <v>431</v>
      </c>
      <c r="F440" s="846" t="s">
        <v>328</v>
      </c>
      <c r="G440" s="836" t="s">
        <v>276</v>
      </c>
      <c r="H440" s="901"/>
      <c r="I440" s="625"/>
      <c r="J440" s="844"/>
      <c r="K440" s="626"/>
      <c r="L440" s="893"/>
      <c r="M440" s="893"/>
      <c r="N440" s="893">
        <f t="shared" si="97"/>
        <v>0</v>
      </c>
      <c r="O440" s="856"/>
      <c r="P440" s="856"/>
      <c r="Q440" s="856">
        <f t="shared" si="98"/>
        <v>0</v>
      </c>
      <c r="R440" s="894"/>
      <c r="S440" s="855"/>
      <c r="T440" s="896">
        <f t="shared" si="93"/>
        <v>0</v>
      </c>
      <c r="U440" s="862"/>
      <c r="V440" s="857"/>
      <c r="W440" s="857">
        <f t="shared" si="90"/>
        <v>0</v>
      </c>
      <c r="X440" s="863"/>
      <c r="Y440" s="664">
        <f t="shared" si="92"/>
        <v>0</v>
      </c>
      <c r="Z440" s="664">
        <f t="shared" si="95"/>
        <v>0</v>
      </c>
      <c r="AA440" s="836"/>
      <c r="AB440" s="982"/>
      <c r="AC440" s="867"/>
      <c r="AD440" s="867"/>
      <c r="AE440" s="979">
        <f t="shared" si="94"/>
        <v>0</v>
      </c>
      <c r="AF440" s="878"/>
      <c r="AG440" s="335"/>
      <c r="AH440" s="979">
        <f t="shared" si="91"/>
        <v>0</v>
      </c>
      <c r="AI440" s="979"/>
      <c r="AJ440" s="979">
        <f t="shared" si="96"/>
        <v>0</v>
      </c>
      <c r="AK440" s="878"/>
      <c r="AL440" s="618"/>
      <c r="AM440" s="618"/>
    </row>
    <row r="441" spans="1:81" ht="21.6" customHeight="1" x14ac:dyDescent="0.25">
      <c r="A441" s="664"/>
      <c r="B441" s="664"/>
      <c r="C441" s="664"/>
      <c r="D441" s="1086" t="s">
        <v>237</v>
      </c>
      <c r="E441" s="845" t="s">
        <v>431</v>
      </c>
      <c r="F441" s="846" t="s">
        <v>433</v>
      </c>
      <c r="G441" s="836" t="s">
        <v>276</v>
      </c>
      <c r="H441" s="901"/>
      <c r="I441" s="625"/>
      <c r="J441" s="844"/>
      <c r="K441" s="626"/>
      <c r="L441" s="893"/>
      <c r="M441" s="893"/>
      <c r="N441" s="893">
        <f t="shared" si="97"/>
        <v>0</v>
      </c>
      <c r="O441" s="856"/>
      <c r="P441" s="856"/>
      <c r="Q441" s="856">
        <f t="shared" si="98"/>
        <v>0</v>
      </c>
      <c r="R441" s="894"/>
      <c r="S441" s="855"/>
      <c r="T441" s="896">
        <f t="shared" si="93"/>
        <v>0</v>
      </c>
      <c r="U441" s="862"/>
      <c r="V441" s="857"/>
      <c r="W441" s="857">
        <f t="shared" si="90"/>
        <v>0</v>
      </c>
      <c r="X441" s="863"/>
      <c r="Y441" s="664">
        <f t="shared" si="92"/>
        <v>0</v>
      </c>
      <c r="Z441" s="664">
        <f t="shared" si="95"/>
        <v>0</v>
      </c>
      <c r="AA441" s="836"/>
      <c r="AB441" s="982"/>
      <c r="AC441" s="867"/>
      <c r="AD441" s="867"/>
      <c r="AE441" s="979">
        <f t="shared" si="94"/>
        <v>0</v>
      </c>
      <c r="AF441" s="878"/>
      <c r="AG441" s="335"/>
      <c r="AH441" s="979">
        <f t="shared" si="91"/>
        <v>0</v>
      </c>
      <c r="AI441" s="979"/>
      <c r="AJ441" s="979">
        <f t="shared" si="96"/>
        <v>0</v>
      </c>
      <c r="AK441" s="878"/>
      <c r="AL441" s="618"/>
      <c r="AM441" s="618"/>
    </row>
    <row r="442" spans="1:81" ht="21.6" customHeight="1" x14ac:dyDescent="0.25">
      <c r="A442" s="664"/>
      <c r="B442" s="664"/>
      <c r="C442" s="664"/>
      <c r="D442" s="1086" t="s">
        <v>237</v>
      </c>
      <c r="E442" s="845" t="s">
        <v>431</v>
      </c>
      <c r="F442" s="846" t="s">
        <v>327</v>
      </c>
      <c r="G442" s="836" t="s">
        <v>276</v>
      </c>
      <c r="H442" s="901"/>
      <c r="I442" s="625"/>
      <c r="J442" s="844"/>
      <c r="K442" s="626"/>
      <c r="L442" s="893"/>
      <c r="M442" s="893"/>
      <c r="N442" s="893">
        <f t="shared" si="97"/>
        <v>0</v>
      </c>
      <c r="O442" s="856"/>
      <c r="P442" s="856"/>
      <c r="Q442" s="856">
        <f t="shared" si="98"/>
        <v>0</v>
      </c>
      <c r="R442" s="894"/>
      <c r="S442" s="855"/>
      <c r="T442" s="896">
        <f t="shared" si="93"/>
        <v>0</v>
      </c>
      <c r="U442" s="862"/>
      <c r="V442" s="857"/>
      <c r="W442" s="857">
        <f t="shared" si="90"/>
        <v>0</v>
      </c>
      <c r="X442" s="863"/>
      <c r="Y442" s="664">
        <f t="shared" si="92"/>
        <v>0</v>
      </c>
      <c r="Z442" s="664">
        <f t="shared" si="95"/>
        <v>0</v>
      </c>
      <c r="AA442" s="836"/>
      <c r="AB442" s="982"/>
      <c r="AC442" s="867"/>
      <c r="AD442" s="867"/>
      <c r="AE442" s="979">
        <f t="shared" si="94"/>
        <v>0</v>
      </c>
      <c r="AF442" s="878"/>
      <c r="AG442" s="335"/>
      <c r="AH442" s="979">
        <f t="shared" si="91"/>
        <v>0</v>
      </c>
      <c r="AI442" s="979"/>
      <c r="AJ442" s="979">
        <f t="shared" si="96"/>
        <v>0</v>
      </c>
      <c r="AK442" s="878"/>
      <c r="AL442" s="618"/>
      <c r="AM442" s="618"/>
    </row>
    <row r="443" spans="1:81" ht="21.6" customHeight="1" x14ac:dyDescent="0.25">
      <c r="A443" s="664"/>
      <c r="B443" s="664"/>
      <c r="C443" s="664"/>
      <c r="D443" s="1086" t="s">
        <v>237</v>
      </c>
      <c r="E443" s="845" t="s">
        <v>431</v>
      </c>
      <c r="F443" s="846" t="s">
        <v>334</v>
      </c>
      <c r="G443" s="836" t="s">
        <v>276</v>
      </c>
      <c r="H443" s="901"/>
      <c r="I443" s="625"/>
      <c r="J443" s="844"/>
      <c r="K443" s="626"/>
      <c r="L443" s="893"/>
      <c r="M443" s="893"/>
      <c r="N443" s="893">
        <f t="shared" si="97"/>
        <v>0</v>
      </c>
      <c r="O443" s="856"/>
      <c r="P443" s="856"/>
      <c r="Q443" s="856">
        <f t="shared" si="98"/>
        <v>0</v>
      </c>
      <c r="R443" s="894"/>
      <c r="S443" s="855"/>
      <c r="T443" s="896">
        <f t="shared" si="93"/>
        <v>0</v>
      </c>
      <c r="U443" s="862"/>
      <c r="V443" s="857"/>
      <c r="W443" s="857">
        <f t="shared" si="90"/>
        <v>0</v>
      </c>
      <c r="X443" s="863"/>
      <c r="Y443" s="664">
        <f t="shared" si="92"/>
        <v>0</v>
      </c>
      <c r="Z443" s="664">
        <f t="shared" si="95"/>
        <v>0</v>
      </c>
      <c r="AA443" s="836"/>
      <c r="AB443" s="982"/>
      <c r="AC443" s="867"/>
      <c r="AD443" s="867"/>
      <c r="AE443" s="979">
        <f t="shared" si="94"/>
        <v>0</v>
      </c>
      <c r="AF443" s="878"/>
      <c r="AG443" s="335"/>
      <c r="AH443" s="979">
        <f t="shared" si="91"/>
        <v>0</v>
      </c>
      <c r="AI443" s="979"/>
      <c r="AJ443" s="979">
        <f t="shared" si="96"/>
        <v>0</v>
      </c>
      <c r="AK443" s="878"/>
      <c r="AL443" s="618"/>
      <c r="AM443" s="618"/>
    </row>
    <row r="444" spans="1:81" ht="21.6" customHeight="1" x14ac:dyDescent="0.25">
      <c r="A444" s="664"/>
      <c r="B444" s="664"/>
      <c r="C444" s="664"/>
      <c r="D444" s="1086" t="s">
        <v>237</v>
      </c>
      <c r="E444" s="845" t="s">
        <v>431</v>
      </c>
      <c r="F444" s="846" t="s">
        <v>326</v>
      </c>
      <c r="G444" s="836" t="s">
        <v>276</v>
      </c>
      <c r="H444" s="901"/>
      <c r="I444" s="836"/>
      <c r="J444" s="844"/>
      <c r="K444" s="626"/>
      <c r="L444" s="893"/>
      <c r="M444" s="893"/>
      <c r="N444" s="893">
        <f t="shared" si="97"/>
        <v>0</v>
      </c>
      <c r="O444" s="856"/>
      <c r="P444" s="856"/>
      <c r="Q444" s="856">
        <f t="shared" si="98"/>
        <v>0</v>
      </c>
      <c r="R444" s="894"/>
      <c r="S444" s="855"/>
      <c r="T444" s="896">
        <f t="shared" si="93"/>
        <v>0</v>
      </c>
      <c r="U444" s="862"/>
      <c r="V444" s="857"/>
      <c r="W444" s="857">
        <f t="shared" si="90"/>
        <v>0</v>
      </c>
      <c r="X444" s="863"/>
      <c r="Y444" s="664">
        <f t="shared" si="92"/>
        <v>0</v>
      </c>
      <c r="Z444" s="664">
        <f t="shared" si="95"/>
        <v>0</v>
      </c>
      <c r="AA444" s="836"/>
      <c r="AB444" s="982"/>
      <c r="AC444" s="867"/>
      <c r="AD444" s="867"/>
      <c r="AE444" s="979">
        <f t="shared" si="94"/>
        <v>0</v>
      </c>
      <c r="AF444" s="878"/>
      <c r="AG444" s="335"/>
      <c r="AH444" s="979">
        <f t="shared" si="91"/>
        <v>0</v>
      </c>
      <c r="AI444" s="979"/>
      <c r="AJ444" s="979">
        <f t="shared" si="96"/>
        <v>0</v>
      </c>
      <c r="AK444" s="878"/>
      <c r="AL444" s="618"/>
      <c r="AM444" s="618"/>
    </row>
    <row r="445" spans="1:81" ht="21.6" customHeight="1" x14ac:dyDescent="0.25">
      <c r="A445" s="664"/>
      <c r="B445" s="664"/>
      <c r="C445" s="664"/>
      <c r="D445" s="1086" t="s">
        <v>237</v>
      </c>
      <c r="E445" s="845" t="s">
        <v>431</v>
      </c>
      <c r="F445" s="846" t="s">
        <v>329</v>
      </c>
      <c r="G445" s="836" t="s">
        <v>276</v>
      </c>
      <c r="H445" s="901"/>
      <c r="I445" s="625"/>
      <c r="J445" s="844"/>
      <c r="K445" s="626"/>
      <c r="L445" s="893"/>
      <c r="M445" s="893"/>
      <c r="N445" s="893">
        <f t="shared" si="97"/>
        <v>0</v>
      </c>
      <c r="O445" s="856"/>
      <c r="P445" s="856"/>
      <c r="Q445" s="856">
        <f t="shared" si="98"/>
        <v>0</v>
      </c>
      <c r="R445" s="894"/>
      <c r="S445" s="855"/>
      <c r="T445" s="896">
        <f t="shared" si="93"/>
        <v>0</v>
      </c>
      <c r="U445" s="862"/>
      <c r="V445" s="857"/>
      <c r="W445" s="857">
        <f t="shared" ref="W445:W511" si="99">V445/15</f>
        <v>0</v>
      </c>
      <c r="X445" s="863"/>
      <c r="Y445" s="664">
        <f t="shared" si="92"/>
        <v>0</v>
      </c>
      <c r="Z445" s="664">
        <f t="shared" si="95"/>
        <v>0</v>
      </c>
      <c r="AA445" s="836"/>
      <c r="AB445" s="982"/>
      <c r="AC445" s="867"/>
      <c r="AD445" s="867"/>
      <c r="AE445" s="979">
        <f t="shared" si="94"/>
        <v>0</v>
      </c>
      <c r="AF445" s="878"/>
      <c r="AG445" s="335"/>
      <c r="AH445" s="979">
        <f t="shared" ref="AH445:AH508" si="100">AG445/15</f>
        <v>0</v>
      </c>
      <c r="AI445" s="979"/>
      <c r="AJ445" s="979">
        <f t="shared" si="96"/>
        <v>0</v>
      </c>
      <c r="AK445" s="878"/>
      <c r="AL445" s="618"/>
      <c r="AM445" s="618"/>
    </row>
    <row r="446" spans="1:81" ht="21.6" customHeight="1" x14ac:dyDescent="0.25">
      <c r="A446" s="664"/>
      <c r="B446" s="664"/>
      <c r="C446" s="664"/>
      <c r="D446" s="1086" t="s">
        <v>237</v>
      </c>
      <c r="E446" s="845" t="s">
        <v>431</v>
      </c>
      <c r="F446" s="846" t="s">
        <v>445</v>
      </c>
      <c r="G446" s="836" t="s">
        <v>276</v>
      </c>
      <c r="H446" s="901"/>
      <c r="I446" s="836"/>
      <c r="J446" s="844"/>
      <c r="K446" s="626"/>
      <c r="L446" s="893"/>
      <c r="M446" s="893"/>
      <c r="N446" s="893">
        <f t="shared" si="97"/>
        <v>0</v>
      </c>
      <c r="O446" s="856"/>
      <c r="P446" s="856"/>
      <c r="Q446" s="856">
        <f t="shared" si="98"/>
        <v>0</v>
      </c>
      <c r="R446" s="894"/>
      <c r="S446" s="855"/>
      <c r="T446" s="896">
        <f t="shared" si="93"/>
        <v>0</v>
      </c>
      <c r="U446" s="862"/>
      <c r="V446" s="857"/>
      <c r="W446" s="857">
        <f t="shared" si="99"/>
        <v>0</v>
      </c>
      <c r="X446" s="863"/>
      <c r="Y446" s="664">
        <f t="shared" ref="Y446:Y510" si="101">V446+S446</f>
        <v>0</v>
      </c>
      <c r="Z446" s="664">
        <f t="shared" si="95"/>
        <v>0</v>
      </c>
      <c r="AA446" s="836"/>
      <c r="AB446" s="982"/>
      <c r="AC446" s="867"/>
      <c r="AD446" s="867"/>
      <c r="AE446" s="979">
        <f t="shared" si="94"/>
        <v>0</v>
      </c>
      <c r="AF446" s="878"/>
      <c r="AG446" s="335"/>
      <c r="AH446" s="979">
        <f t="shared" si="100"/>
        <v>0</v>
      </c>
      <c r="AI446" s="979"/>
      <c r="AJ446" s="979">
        <f t="shared" si="96"/>
        <v>0</v>
      </c>
      <c r="AK446" s="878"/>
      <c r="AL446" s="618"/>
      <c r="AM446" s="618"/>
    </row>
    <row r="447" spans="1:81" ht="21.6" customHeight="1" x14ac:dyDescent="0.25">
      <c r="A447" s="664"/>
      <c r="B447" s="664"/>
      <c r="C447" s="664"/>
      <c r="D447" s="1086" t="s">
        <v>237</v>
      </c>
      <c r="E447" s="845" t="s">
        <v>431</v>
      </c>
      <c r="F447" s="846" t="s">
        <v>435</v>
      </c>
      <c r="G447" s="836" t="s">
        <v>276</v>
      </c>
      <c r="H447" s="901"/>
      <c r="I447" s="836"/>
      <c r="J447" s="844"/>
      <c r="K447" s="626"/>
      <c r="L447" s="893"/>
      <c r="M447" s="893"/>
      <c r="N447" s="893">
        <f t="shared" si="97"/>
        <v>0</v>
      </c>
      <c r="O447" s="856"/>
      <c r="P447" s="856"/>
      <c r="Q447" s="856">
        <f t="shared" si="98"/>
        <v>0</v>
      </c>
      <c r="R447" s="894"/>
      <c r="S447" s="855"/>
      <c r="T447" s="896">
        <f t="shared" si="93"/>
        <v>0</v>
      </c>
      <c r="U447" s="862"/>
      <c r="V447" s="857"/>
      <c r="W447" s="857">
        <f t="shared" si="99"/>
        <v>0</v>
      </c>
      <c r="X447" s="863"/>
      <c r="Y447" s="664">
        <f t="shared" si="101"/>
        <v>0</v>
      </c>
      <c r="Z447" s="664">
        <f t="shared" si="95"/>
        <v>0</v>
      </c>
      <c r="AA447" s="836"/>
      <c r="AB447" s="982"/>
      <c r="AC447" s="867"/>
      <c r="AD447" s="867"/>
      <c r="AE447" s="979">
        <f t="shared" ref="AE447:AE513" si="102">AC447+AD447</f>
        <v>0</v>
      </c>
      <c r="AF447" s="878"/>
      <c r="AG447" s="335"/>
      <c r="AH447" s="979">
        <f t="shared" si="100"/>
        <v>0</v>
      </c>
      <c r="AI447" s="979"/>
      <c r="AJ447" s="979">
        <f t="shared" si="96"/>
        <v>0</v>
      </c>
      <c r="AK447" s="878"/>
      <c r="AL447" s="618"/>
      <c r="AM447" s="618"/>
    </row>
    <row r="448" spans="1:81" ht="21.6" customHeight="1" x14ac:dyDescent="0.25">
      <c r="A448" s="664"/>
      <c r="B448" s="664"/>
      <c r="C448" s="664"/>
      <c r="D448" s="1086" t="s">
        <v>237</v>
      </c>
      <c r="E448" s="845" t="s">
        <v>431</v>
      </c>
      <c r="F448" s="846" t="s">
        <v>432</v>
      </c>
      <c r="G448" s="836" t="s">
        <v>276</v>
      </c>
      <c r="H448" s="901"/>
      <c r="I448" s="836"/>
      <c r="J448" s="844"/>
      <c r="K448" s="626"/>
      <c r="L448" s="893"/>
      <c r="M448" s="893"/>
      <c r="N448" s="893">
        <f t="shared" si="97"/>
        <v>0</v>
      </c>
      <c r="O448" s="856"/>
      <c r="P448" s="856"/>
      <c r="Q448" s="856">
        <f t="shared" si="98"/>
        <v>0</v>
      </c>
      <c r="R448" s="894"/>
      <c r="S448" s="855"/>
      <c r="T448" s="896">
        <f t="shared" ref="T448:T518" si="103">S448/15</f>
        <v>0</v>
      </c>
      <c r="U448" s="862"/>
      <c r="V448" s="857"/>
      <c r="W448" s="857">
        <f t="shared" si="99"/>
        <v>0</v>
      </c>
      <c r="X448" s="863"/>
      <c r="Y448" s="664">
        <f t="shared" si="101"/>
        <v>0</v>
      </c>
      <c r="Z448" s="664">
        <f t="shared" ref="Z448:Z514" si="104">W448+T448</f>
        <v>0</v>
      </c>
      <c r="AA448" s="836"/>
      <c r="AB448" s="982"/>
      <c r="AC448" s="867"/>
      <c r="AD448" s="867"/>
      <c r="AE448" s="979">
        <f t="shared" si="102"/>
        <v>0</v>
      </c>
      <c r="AF448" s="878"/>
      <c r="AG448" s="335"/>
      <c r="AH448" s="979">
        <f t="shared" si="100"/>
        <v>0</v>
      </c>
      <c r="AI448" s="979"/>
      <c r="AJ448" s="979">
        <f t="shared" si="96"/>
        <v>0</v>
      </c>
      <c r="AK448" s="878"/>
      <c r="AL448" s="618"/>
      <c r="AM448" s="618"/>
    </row>
    <row r="449" spans="1:81" ht="21.6" customHeight="1" x14ac:dyDescent="0.25">
      <c r="A449" s="664"/>
      <c r="B449" s="664"/>
      <c r="C449" s="664"/>
      <c r="D449" s="1086" t="s">
        <v>237</v>
      </c>
      <c r="E449" s="845" t="s">
        <v>437</v>
      </c>
      <c r="F449" s="846" t="s">
        <v>436</v>
      </c>
      <c r="G449" s="836" t="s">
        <v>276</v>
      </c>
      <c r="H449" s="901"/>
      <c r="I449" s="836"/>
      <c r="J449" s="844"/>
      <c r="K449" s="626"/>
      <c r="L449" s="893"/>
      <c r="M449" s="893"/>
      <c r="N449" s="893">
        <f t="shared" si="97"/>
        <v>0</v>
      </c>
      <c r="O449" s="856"/>
      <c r="P449" s="856"/>
      <c r="Q449" s="856">
        <f t="shared" si="98"/>
        <v>0</v>
      </c>
      <c r="R449" s="894"/>
      <c r="S449" s="855"/>
      <c r="T449" s="896">
        <f t="shared" si="103"/>
        <v>0</v>
      </c>
      <c r="U449" s="862"/>
      <c r="V449" s="857"/>
      <c r="W449" s="857">
        <f t="shared" si="99"/>
        <v>0</v>
      </c>
      <c r="X449" s="863"/>
      <c r="Y449" s="664">
        <f t="shared" si="101"/>
        <v>0</v>
      </c>
      <c r="Z449" s="664">
        <f t="shared" si="104"/>
        <v>0</v>
      </c>
      <c r="AA449" s="836"/>
      <c r="AB449" s="982"/>
      <c r="AC449" s="867"/>
      <c r="AD449" s="867"/>
      <c r="AE449" s="979">
        <f t="shared" si="102"/>
        <v>0</v>
      </c>
      <c r="AF449" s="878"/>
      <c r="AG449" s="335"/>
      <c r="AH449" s="979">
        <f t="shared" si="100"/>
        <v>0</v>
      </c>
      <c r="AI449" s="979"/>
      <c r="AJ449" s="979">
        <f t="shared" si="96"/>
        <v>0</v>
      </c>
      <c r="AK449" s="878"/>
      <c r="AL449" s="618"/>
      <c r="AM449" s="618"/>
    </row>
    <row r="450" spans="1:81" ht="21.6" customHeight="1" x14ac:dyDescent="0.25">
      <c r="A450" s="664"/>
      <c r="B450" s="664"/>
      <c r="C450" s="664"/>
      <c r="D450" s="1086" t="s">
        <v>237</v>
      </c>
      <c r="E450" s="845" t="s">
        <v>437</v>
      </c>
      <c r="F450" s="846" t="s">
        <v>463</v>
      </c>
      <c r="G450" s="836" t="s">
        <v>276</v>
      </c>
      <c r="H450" s="901"/>
      <c r="I450" s="836"/>
      <c r="J450" s="844"/>
      <c r="K450" s="626"/>
      <c r="L450" s="893"/>
      <c r="M450" s="893"/>
      <c r="N450" s="893">
        <f t="shared" si="97"/>
        <v>0</v>
      </c>
      <c r="O450" s="856"/>
      <c r="P450" s="856"/>
      <c r="Q450" s="856">
        <f t="shared" si="98"/>
        <v>0</v>
      </c>
      <c r="R450" s="894"/>
      <c r="S450" s="855"/>
      <c r="T450" s="896">
        <f t="shared" si="103"/>
        <v>0</v>
      </c>
      <c r="U450" s="862"/>
      <c r="V450" s="857"/>
      <c r="W450" s="857">
        <f t="shared" si="99"/>
        <v>0</v>
      </c>
      <c r="X450" s="863"/>
      <c r="Y450" s="664">
        <f t="shared" si="101"/>
        <v>0</v>
      </c>
      <c r="Z450" s="664">
        <f t="shared" si="104"/>
        <v>0</v>
      </c>
      <c r="AA450" s="836"/>
      <c r="AB450" s="982"/>
      <c r="AC450" s="867"/>
      <c r="AD450" s="867"/>
      <c r="AE450" s="979">
        <f t="shared" si="102"/>
        <v>0</v>
      </c>
      <c r="AF450" s="878"/>
      <c r="AG450" s="335"/>
      <c r="AH450" s="979">
        <f t="shared" si="100"/>
        <v>0</v>
      </c>
      <c r="AI450" s="979"/>
      <c r="AJ450" s="979">
        <f t="shared" si="96"/>
        <v>0</v>
      </c>
      <c r="AK450" s="878"/>
      <c r="AL450" s="618"/>
      <c r="AM450" s="618"/>
    </row>
    <row r="451" spans="1:81" ht="21.6" customHeight="1" x14ac:dyDescent="0.25">
      <c r="A451" s="664"/>
      <c r="B451" s="664"/>
      <c r="C451" s="664"/>
      <c r="D451" s="1086" t="s">
        <v>237</v>
      </c>
      <c r="E451" s="845" t="s">
        <v>431</v>
      </c>
      <c r="F451" s="846" t="s">
        <v>323</v>
      </c>
      <c r="G451" s="836" t="s">
        <v>276</v>
      </c>
      <c r="H451" s="901"/>
      <c r="I451" s="836"/>
      <c r="J451" s="844"/>
      <c r="K451" s="626"/>
      <c r="L451" s="893"/>
      <c r="M451" s="893"/>
      <c r="N451" s="893">
        <f t="shared" si="97"/>
        <v>0</v>
      </c>
      <c r="O451" s="856"/>
      <c r="P451" s="856"/>
      <c r="Q451" s="856">
        <f t="shared" si="98"/>
        <v>0</v>
      </c>
      <c r="R451" s="894"/>
      <c r="S451" s="855"/>
      <c r="T451" s="896">
        <f t="shared" si="103"/>
        <v>0</v>
      </c>
      <c r="U451" s="862"/>
      <c r="V451" s="857"/>
      <c r="W451" s="857">
        <f t="shared" si="99"/>
        <v>0</v>
      </c>
      <c r="X451" s="863"/>
      <c r="Y451" s="664">
        <f t="shared" si="101"/>
        <v>0</v>
      </c>
      <c r="Z451" s="664">
        <f t="shared" si="104"/>
        <v>0</v>
      </c>
      <c r="AA451" s="836"/>
      <c r="AB451" s="982"/>
      <c r="AC451" s="867"/>
      <c r="AD451" s="867"/>
      <c r="AE451" s="979">
        <f t="shared" si="102"/>
        <v>0</v>
      </c>
      <c r="AF451" s="878"/>
      <c r="AG451" s="335"/>
      <c r="AH451" s="979">
        <f t="shared" si="100"/>
        <v>0</v>
      </c>
      <c r="AI451" s="979"/>
      <c r="AJ451" s="979">
        <f t="shared" si="96"/>
        <v>0</v>
      </c>
      <c r="AK451" s="878"/>
      <c r="AL451" s="618"/>
      <c r="AM451" s="618"/>
    </row>
    <row r="452" spans="1:81" ht="21.6" customHeight="1" x14ac:dyDescent="0.25">
      <c r="A452" s="664"/>
      <c r="B452" s="664"/>
      <c r="C452" s="664"/>
      <c r="D452" s="1086" t="s">
        <v>237</v>
      </c>
      <c r="E452" s="845" t="s">
        <v>431</v>
      </c>
      <c r="F452" s="846" t="s">
        <v>325</v>
      </c>
      <c r="G452" s="836" t="s">
        <v>276</v>
      </c>
      <c r="H452" s="901"/>
      <c r="I452" s="836"/>
      <c r="J452" s="844"/>
      <c r="K452" s="626"/>
      <c r="L452" s="893"/>
      <c r="M452" s="893"/>
      <c r="N452" s="893">
        <f t="shared" si="97"/>
        <v>0</v>
      </c>
      <c r="O452" s="856"/>
      <c r="P452" s="856"/>
      <c r="Q452" s="856">
        <f t="shared" si="98"/>
        <v>0</v>
      </c>
      <c r="R452" s="894"/>
      <c r="S452" s="855"/>
      <c r="T452" s="896">
        <f t="shared" si="103"/>
        <v>0</v>
      </c>
      <c r="U452" s="862"/>
      <c r="V452" s="857"/>
      <c r="W452" s="857">
        <f t="shared" si="99"/>
        <v>0</v>
      </c>
      <c r="X452" s="863"/>
      <c r="Y452" s="664">
        <f t="shared" si="101"/>
        <v>0</v>
      </c>
      <c r="Z452" s="664">
        <f t="shared" si="104"/>
        <v>0</v>
      </c>
      <c r="AA452" s="836"/>
      <c r="AB452" s="982"/>
      <c r="AC452" s="867"/>
      <c r="AD452" s="867"/>
      <c r="AE452" s="979">
        <f t="shared" si="102"/>
        <v>0</v>
      </c>
      <c r="AF452" s="878"/>
      <c r="AG452" s="335"/>
      <c r="AH452" s="979">
        <f t="shared" si="100"/>
        <v>0</v>
      </c>
      <c r="AI452" s="979"/>
      <c r="AJ452" s="979">
        <f t="shared" si="96"/>
        <v>0</v>
      </c>
      <c r="AK452" s="878"/>
      <c r="AL452" s="618"/>
      <c r="AM452" s="618"/>
    </row>
    <row r="453" spans="1:81" ht="21.6" customHeight="1" x14ac:dyDescent="0.25">
      <c r="A453" s="664"/>
      <c r="B453" s="664"/>
      <c r="C453" s="664"/>
      <c r="D453" s="1086" t="s">
        <v>237</v>
      </c>
      <c r="E453" s="845" t="s">
        <v>431</v>
      </c>
      <c r="F453" s="846" t="s">
        <v>324</v>
      </c>
      <c r="G453" s="836" t="s">
        <v>276</v>
      </c>
      <c r="H453" s="901"/>
      <c r="I453" s="836"/>
      <c r="J453" s="844"/>
      <c r="K453" s="626"/>
      <c r="L453" s="893"/>
      <c r="M453" s="893"/>
      <c r="N453" s="893">
        <f t="shared" si="97"/>
        <v>0</v>
      </c>
      <c r="O453" s="856"/>
      <c r="P453" s="856"/>
      <c r="Q453" s="856">
        <f t="shared" si="98"/>
        <v>0</v>
      </c>
      <c r="R453" s="894"/>
      <c r="S453" s="855"/>
      <c r="T453" s="896">
        <f t="shared" si="103"/>
        <v>0</v>
      </c>
      <c r="U453" s="862"/>
      <c r="V453" s="857"/>
      <c r="W453" s="857">
        <f t="shared" si="99"/>
        <v>0</v>
      </c>
      <c r="X453" s="863"/>
      <c r="Y453" s="664">
        <f t="shared" si="101"/>
        <v>0</v>
      </c>
      <c r="Z453" s="664">
        <f t="shared" si="104"/>
        <v>0</v>
      </c>
      <c r="AA453" s="836"/>
      <c r="AB453" s="982"/>
      <c r="AC453" s="867"/>
      <c r="AD453" s="867"/>
      <c r="AE453" s="979">
        <f t="shared" si="102"/>
        <v>0</v>
      </c>
      <c r="AF453" s="878"/>
      <c r="AG453" s="335"/>
      <c r="AH453" s="979">
        <f t="shared" si="100"/>
        <v>0</v>
      </c>
      <c r="AI453" s="979"/>
      <c r="AJ453" s="979">
        <f t="shared" si="96"/>
        <v>0</v>
      </c>
      <c r="AK453" s="878"/>
      <c r="AL453" s="618"/>
      <c r="AM453" s="618"/>
    </row>
    <row r="454" spans="1:81" ht="21.6" customHeight="1" x14ac:dyDescent="0.25">
      <c r="A454" s="664"/>
      <c r="B454" s="664"/>
      <c r="C454" s="664"/>
      <c r="D454" s="1086" t="s">
        <v>237</v>
      </c>
      <c r="E454" s="845" t="s">
        <v>431</v>
      </c>
      <c r="F454" s="846" t="s">
        <v>438</v>
      </c>
      <c r="G454" s="836" t="s">
        <v>276</v>
      </c>
      <c r="H454" s="844"/>
      <c r="I454" s="625"/>
      <c r="J454" s="844"/>
      <c r="K454" s="626"/>
      <c r="L454" s="893"/>
      <c r="M454" s="893"/>
      <c r="N454" s="893">
        <f t="shared" si="97"/>
        <v>0</v>
      </c>
      <c r="O454" s="856"/>
      <c r="P454" s="856"/>
      <c r="Q454" s="856">
        <f t="shared" si="98"/>
        <v>0</v>
      </c>
      <c r="R454" s="894"/>
      <c r="S454" s="855"/>
      <c r="T454" s="896">
        <f t="shared" si="103"/>
        <v>0</v>
      </c>
      <c r="U454" s="862"/>
      <c r="V454" s="857"/>
      <c r="W454" s="857">
        <f t="shared" si="99"/>
        <v>0</v>
      </c>
      <c r="X454" s="863"/>
      <c r="Y454" s="664">
        <f t="shared" si="101"/>
        <v>0</v>
      </c>
      <c r="Z454" s="664">
        <f t="shared" si="104"/>
        <v>0</v>
      </c>
      <c r="AA454" s="836"/>
      <c r="AB454" s="982"/>
      <c r="AC454" s="867"/>
      <c r="AD454" s="867"/>
      <c r="AE454" s="979">
        <f t="shared" si="102"/>
        <v>0</v>
      </c>
      <c r="AF454" s="878"/>
      <c r="AG454" s="335"/>
      <c r="AH454" s="979">
        <f t="shared" si="100"/>
        <v>0</v>
      </c>
      <c r="AI454" s="979"/>
      <c r="AJ454" s="979">
        <f t="shared" si="96"/>
        <v>0</v>
      </c>
      <c r="AK454" s="878"/>
      <c r="AL454" s="618"/>
      <c r="AM454" s="618"/>
    </row>
    <row r="455" spans="1:81" ht="21.6" customHeight="1" x14ac:dyDescent="0.25">
      <c r="A455" s="664"/>
      <c r="B455" s="664"/>
      <c r="C455" s="664"/>
      <c r="D455" s="1086" t="s">
        <v>237</v>
      </c>
      <c r="E455" s="845" t="s">
        <v>431</v>
      </c>
      <c r="F455" s="846" t="s">
        <v>441</v>
      </c>
      <c r="G455" s="836" t="s">
        <v>276</v>
      </c>
      <c r="H455" s="844"/>
      <c r="I455" s="625"/>
      <c r="J455" s="844"/>
      <c r="K455" s="626"/>
      <c r="L455" s="893"/>
      <c r="M455" s="893"/>
      <c r="N455" s="893">
        <f t="shared" si="97"/>
        <v>0</v>
      </c>
      <c r="O455" s="856"/>
      <c r="P455" s="856"/>
      <c r="Q455" s="856">
        <f t="shared" si="98"/>
        <v>0</v>
      </c>
      <c r="R455" s="894"/>
      <c r="S455" s="855"/>
      <c r="T455" s="896">
        <f t="shared" si="103"/>
        <v>0</v>
      </c>
      <c r="U455" s="862"/>
      <c r="V455" s="857"/>
      <c r="W455" s="857">
        <f t="shared" si="99"/>
        <v>0</v>
      </c>
      <c r="X455" s="863"/>
      <c r="Y455" s="664">
        <f t="shared" si="101"/>
        <v>0</v>
      </c>
      <c r="Z455" s="664">
        <f t="shared" si="104"/>
        <v>0</v>
      </c>
      <c r="AA455" s="836"/>
      <c r="AB455" s="982"/>
      <c r="AC455" s="867"/>
      <c r="AD455" s="867"/>
      <c r="AE455" s="979">
        <f t="shared" si="102"/>
        <v>0</v>
      </c>
      <c r="AF455" s="878"/>
      <c r="AG455" s="335"/>
      <c r="AH455" s="979">
        <f t="shared" si="100"/>
        <v>0</v>
      </c>
      <c r="AI455" s="979"/>
      <c r="AJ455" s="979">
        <f t="shared" si="96"/>
        <v>0</v>
      </c>
      <c r="AK455" s="878"/>
      <c r="AL455" s="618"/>
      <c r="AM455" s="618"/>
    </row>
    <row r="456" spans="1:81" ht="21.6" customHeight="1" x14ac:dyDescent="0.25">
      <c r="A456" s="664"/>
      <c r="B456" s="664"/>
      <c r="C456" s="664"/>
      <c r="D456" s="1086" t="s">
        <v>237</v>
      </c>
      <c r="E456" s="845" t="s">
        <v>431</v>
      </c>
      <c r="F456" s="846" t="s">
        <v>439</v>
      </c>
      <c r="G456" s="836" t="s">
        <v>276</v>
      </c>
      <c r="H456" s="844"/>
      <c r="I456" s="625"/>
      <c r="J456" s="844"/>
      <c r="K456" s="626"/>
      <c r="L456" s="893"/>
      <c r="M456" s="893"/>
      <c r="N456" s="893">
        <f t="shared" si="97"/>
        <v>0</v>
      </c>
      <c r="O456" s="856"/>
      <c r="P456" s="856"/>
      <c r="Q456" s="856">
        <f t="shared" si="98"/>
        <v>0</v>
      </c>
      <c r="R456" s="894"/>
      <c r="S456" s="855"/>
      <c r="T456" s="896">
        <f t="shared" si="103"/>
        <v>0</v>
      </c>
      <c r="U456" s="862"/>
      <c r="V456" s="857"/>
      <c r="W456" s="857">
        <f t="shared" si="99"/>
        <v>0</v>
      </c>
      <c r="X456" s="863"/>
      <c r="Y456" s="664">
        <f t="shared" si="101"/>
        <v>0</v>
      </c>
      <c r="Z456" s="664">
        <f t="shared" si="104"/>
        <v>0</v>
      </c>
      <c r="AA456" s="836"/>
      <c r="AB456" s="982"/>
      <c r="AC456" s="867"/>
      <c r="AD456" s="867"/>
      <c r="AE456" s="979">
        <f t="shared" si="102"/>
        <v>0</v>
      </c>
      <c r="AF456" s="878"/>
      <c r="AG456" s="335"/>
      <c r="AH456" s="979">
        <f t="shared" si="100"/>
        <v>0</v>
      </c>
      <c r="AI456" s="979"/>
      <c r="AJ456" s="979">
        <f t="shared" si="96"/>
        <v>0</v>
      </c>
      <c r="AK456" s="878"/>
      <c r="AL456" s="618"/>
      <c r="AM456" s="618"/>
    </row>
    <row r="457" spans="1:81" ht="21.6" customHeight="1" x14ac:dyDescent="0.25">
      <c r="A457" s="664"/>
      <c r="B457" s="664"/>
      <c r="C457" s="664"/>
      <c r="D457" s="1086" t="s">
        <v>237</v>
      </c>
      <c r="E457" s="845" t="s">
        <v>431</v>
      </c>
      <c r="F457" s="846" t="s">
        <v>440</v>
      </c>
      <c r="G457" s="836" t="s">
        <v>276</v>
      </c>
      <c r="H457" s="844"/>
      <c r="I457" s="625"/>
      <c r="J457" s="844"/>
      <c r="K457" s="626"/>
      <c r="L457" s="893"/>
      <c r="M457" s="893"/>
      <c r="N457" s="893">
        <f t="shared" si="97"/>
        <v>0</v>
      </c>
      <c r="O457" s="856"/>
      <c r="P457" s="856"/>
      <c r="Q457" s="856">
        <f t="shared" si="98"/>
        <v>0</v>
      </c>
      <c r="R457" s="894"/>
      <c r="S457" s="855"/>
      <c r="T457" s="896">
        <f t="shared" si="103"/>
        <v>0</v>
      </c>
      <c r="U457" s="862"/>
      <c r="V457" s="857"/>
      <c r="W457" s="857">
        <f t="shared" si="99"/>
        <v>0</v>
      </c>
      <c r="X457" s="863"/>
      <c r="Y457" s="664">
        <f t="shared" si="101"/>
        <v>0</v>
      </c>
      <c r="Z457" s="664">
        <f t="shared" si="104"/>
        <v>0</v>
      </c>
      <c r="AA457" s="836"/>
      <c r="AB457" s="982"/>
      <c r="AC457" s="867"/>
      <c r="AD457" s="867"/>
      <c r="AE457" s="979">
        <f t="shared" si="102"/>
        <v>0</v>
      </c>
      <c r="AF457" s="878"/>
      <c r="AG457" s="335"/>
      <c r="AH457" s="979">
        <f t="shared" si="100"/>
        <v>0</v>
      </c>
      <c r="AI457" s="979"/>
      <c r="AJ457" s="979">
        <f t="shared" si="96"/>
        <v>0</v>
      </c>
      <c r="AK457" s="878"/>
      <c r="AL457" s="618"/>
      <c r="AM457" s="618"/>
    </row>
    <row r="458" spans="1:81" ht="21.6" customHeight="1" x14ac:dyDescent="0.25">
      <c r="A458" s="664"/>
      <c r="B458" s="664"/>
      <c r="C458" s="664"/>
      <c r="D458" s="1086" t="s">
        <v>237</v>
      </c>
      <c r="E458" s="845" t="s">
        <v>431</v>
      </c>
      <c r="F458" s="846" t="s">
        <v>442</v>
      </c>
      <c r="G458" s="836" t="s">
        <v>276</v>
      </c>
      <c r="H458" s="844"/>
      <c r="I458" s="625"/>
      <c r="J458" s="844"/>
      <c r="K458" s="626"/>
      <c r="L458" s="893"/>
      <c r="M458" s="893"/>
      <c r="N458" s="893">
        <f t="shared" si="97"/>
        <v>0</v>
      </c>
      <c r="O458" s="856"/>
      <c r="P458" s="856"/>
      <c r="Q458" s="856">
        <f t="shared" si="98"/>
        <v>0</v>
      </c>
      <c r="R458" s="894"/>
      <c r="S458" s="855"/>
      <c r="T458" s="896">
        <f t="shared" si="103"/>
        <v>0</v>
      </c>
      <c r="U458" s="862"/>
      <c r="V458" s="857"/>
      <c r="W458" s="857">
        <f t="shared" si="99"/>
        <v>0</v>
      </c>
      <c r="X458" s="863"/>
      <c r="Y458" s="664">
        <f t="shared" si="101"/>
        <v>0</v>
      </c>
      <c r="Z458" s="664">
        <f t="shared" si="104"/>
        <v>0</v>
      </c>
      <c r="AA458" s="836"/>
      <c r="AB458" s="982"/>
      <c r="AC458" s="867"/>
      <c r="AD458" s="867"/>
      <c r="AE458" s="979">
        <f t="shared" si="102"/>
        <v>0</v>
      </c>
      <c r="AF458" s="878"/>
      <c r="AG458" s="335"/>
      <c r="AH458" s="979">
        <f t="shared" si="100"/>
        <v>0</v>
      </c>
      <c r="AI458" s="979"/>
      <c r="AJ458" s="979">
        <f t="shared" si="96"/>
        <v>0</v>
      </c>
      <c r="AK458" s="878"/>
      <c r="AL458" s="618"/>
      <c r="AM458" s="618"/>
    </row>
    <row r="459" spans="1:81" ht="21.6" customHeight="1" x14ac:dyDescent="0.25">
      <c r="A459" s="664"/>
      <c r="B459" s="664"/>
      <c r="C459" s="664"/>
      <c r="D459" s="1086" t="s">
        <v>237</v>
      </c>
      <c r="E459" s="845" t="s">
        <v>431</v>
      </c>
      <c r="F459" s="846" t="s">
        <v>443</v>
      </c>
      <c r="G459" s="836" t="s">
        <v>276</v>
      </c>
      <c r="H459" s="844"/>
      <c r="I459" s="625"/>
      <c r="J459" s="844"/>
      <c r="K459" s="626"/>
      <c r="L459" s="893"/>
      <c r="M459" s="893"/>
      <c r="N459" s="893">
        <f t="shared" si="97"/>
        <v>0</v>
      </c>
      <c r="O459" s="856"/>
      <c r="P459" s="856"/>
      <c r="Q459" s="856">
        <f t="shared" si="98"/>
        <v>0</v>
      </c>
      <c r="R459" s="894"/>
      <c r="S459" s="855"/>
      <c r="T459" s="896">
        <f t="shared" si="103"/>
        <v>0</v>
      </c>
      <c r="U459" s="862"/>
      <c r="V459" s="857"/>
      <c r="W459" s="857">
        <f t="shared" si="99"/>
        <v>0</v>
      </c>
      <c r="X459" s="863"/>
      <c r="Y459" s="664">
        <f t="shared" si="101"/>
        <v>0</v>
      </c>
      <c r="Z459" s="664">
        <f t="shared" si="104"/>
        <v>0</v>
      </c>
      <c r="AA459" s="836"/>
      <c r="AB459" s="982"/>
      <c r="AC459" s="867"/>
      <c r="AD459" s="867"/>
      <c r="AE459" s="979">
        <f t="shared" si="102"/>
        <v>0</v>
      </c>
      <c r="AF459" s="878"/>
      <c r="AG459" s="335"/>
      <c r="AH459" s="979">
        <f t="shared" si="100"/>
        <v>0</v>
      </c>
      <c r="AI459" s="979"/>
      <c r="AJ459" s="979">
        <f t="shared" si="96"/>
        <v>0</v>
      </c>
      <c r="AK459" s="878"/>
      <c r="AL459" s="618"/>
      <c r="AM459" s="618"/>
    </row>
    <row r="460" spans="1:81" ht="21.6" customHeight="1" x14ac:dyDescent="0.25">
      <c r="A460" s="664"/>
      <c r="B460" s="664"/>
      <c r="C460" s="664"/>
      <c r="D460" s="1086" t="s">
        <v>237</v>
      </c>
      <c r="E460" s="845"/>
      <c r="F460" s="846"/>
      <c r="G460" s="836"/>
      <c r="H460" s="844"/>
      <c r="I460" s="625"/>
      <c r="J460" s="844"/>
      <c r="K460" s="626"/>
      <c r="L460" s="893"/>
      <c r="M460" s="893"/>
      <c r="N460" s="893">
        <f t="shared" si="97"/>
        <v>0</v>
      </c>
      <c r="O460" s="856"/>
      <c r="P460" s="856"/>
      <c r="Q460" s="856">
        <f t="shared" si="98"/>
        <v>0</v>
      </c>
      <c r="R460" s="894"/>
      <c r="S460" s="855"/>
      <c r="T460" s="896">
        <f t="shared" si="103"/>
        <v>0</v>
      </c>
      <c r="U460" s="862"/>
      <c r="V460" s="857"/>
      <c r="W460" s="857">
        <f t="shared" si="99"/>
        <v>0</v>
      </c>
      <c r="X460" s="863"/>
      <c r="Y460" s="664">
        <f t="shared" si="101"/>
        <v>0</v>
      </c>
      <c r="Z460" s="664">
        <f t="shared" si="104"/>
        <v>0</v>
      </c>
      <c r="AA460" s="836"/>
      <c r="AB460" s="982"/>
      <c r="AC460" s="867"/>
      <c r="AD460" s="867"/>
      <c r="AE460" s="979">
        <f t="shared" si="102"/>
        <v>0</v>
      </c>
      <c r="AF460" s="878"/>
      <c r="AG460" s="335"/>
      <c r="AH460" s="979">
        <f t="shared" si="100"/>
        <v>0</v>
      </c>
      <c r="AI460" s="979"/>
      <c r="AJ460" s="979">
        <f t="shared" si="96"/>
        <v>0</v>
      </c>
      <c r="AK460" s="878"/>
      <c r="AL460" s="618"/>
      <c r="AM460" s="618"/>
    </row>
    <row r="461" spans="1:81" ht="21.6" customHeight="1" x14ac:dyDescent="0.25">
      <c r="A461" s="664"/>
      <c r="B461" s="664"/>
      <c r="C461" s="664"/>
      <c r="D461" s="1086"/>
      <c r="E461" s="845"/>
      <c r="F461" s="846"/>
      <c r="G461" s="836"/>
      <c r="H461" s="844"/>
      <c r="I461" s="625"/>
      <c r="J461" s="844"/>
      <c r="K461" s="626"/>
      <c r="L461" s="893"/>
      <c r="M461" s="893"/>
      <c r="N461" s="893">
        <f t="shared" si="97"/>
        <v>0</v>
      </c>
      <c r="O461" s="856"/>
      <c r="P461" s="856"/>
      <c r="Q461" s="856">
        <f t="shared" si="98"/>
        <v>0</v>
      </c>
      <c r="R461" s="894"/>
      <c r="S461" s="855"/>
      <c r="T461" s="896">
        <f t="shared" si="103"/>
        <v>0</v>
      </c>
      <c r="U461" s="862"/>
      <c r="V461" s="857"/>
      <c r="W461" s="857">
        <f t="shared" si="99"/>
        <v>0</v>
      </c>
      <c r="X461" s="863"/>
      <c r="Y461" s="664">
        <f t="shared" si="101"/>
        <v>0</v>
      </c>
      <c r="Z461" s="664">
        <f t="shared" si="104"/>
        <v>0</v>
      </c>
      <c r="AA461" s="836"/>
      <c r="AB461" s="982"/>
      <c r="AC461" s="867"/>
      <c r="AD461" s="867"/>
      <c r="AE461" s="979">
        <f t="shared" si="102"/>
        <v>0</v>
      </c>
      <c r="AF461" s="878"/>
      <c r="AG461" s="335"/>
      <c r="AH461" s="979">
        <f t="shared" si="100"/>
        <v>0</v>
      </c>
      <c r="AI461" s="979"/>
      <c r="AJ461" s="979">
        <f t="shared" si="96"/>
        <v>0</v>
      </c>
      <c r="AK461" s="878"/>
      <c r="AL461" s="618"/>
      <c r="AM461" s="618"/>
    </row>
    <row r="462" spans="1:81" s="641" customFormat="1" ht="21.6" customHeight="1" x14ac:dyDescent="0.25">
      <c r="A462" s="836">
        <v>160</v>
      </c>
      <c r="B462" s="836" t="s">
        <v>130</v>
      </c>
      <c r="C462" s="836">
        <v>9</v>
      </c>
      <c r="D462" s="1086" t="s">
        <v>238</v>
      </c>
      <c r="E462" s="845"/>
      <c r="F462" s="911" t="s">
        <v>245</v>
      </c>
      <c r="G462" s="836" t="s">
        <v>265</v>
      </c>
      <c r="H462" s="844"/>
      <c r="I462" s="625"/>
      <c r="J462" s="844"/>
      <c r="K462" s="626"/>
      <c r="L462" s="890"/>
      <c r="M462" s="890"/>
      <c r="N462" s="890">
        <f t="shared" si="97"/>
        <v>0</v>
      </c>
      <c r="O462" s="467"/>
      <c r="P462" s="467"/>
      <c r="Q462" s="467">
        <f t="shared" si="98"/>
        <v>0</v>
      </c>
      <c r="R462" s="625"/>
      <c r="S462" s="842"/>
      <c r="T462" s="896">
        <f t="shared" si="103"/>
        <v>0</v>
      </c>
      <c r="U462" s="862">
        <f>SUM(T462:T490)</f>
        <v>0</v>
      </c>
      <c r="V462" s="863"/>
      <c r="W462" s="857">
        <f t="shared" si="99"/>
        <v>0</v>
      </c>
      <c r="X462" s="863">
        <f>SUM(W462:W490)</f>
        <v>440</v>
      </c>
      <c r="Y462" s="836">
        <f t="shared" si="101"/>
        <v>0</v>
      </c>
      <c r="Z462" s="664">
        <f t="shared" si="104"/>
        <v>0</v>
      </c>
      <c r="AA462" s="836">
        <f>SUM(Z462:Z490)</f>
        <v>440</v>
      </c>
      <c r="AB462" s="982">
        <v>440</v>
      </c>
      <c r="AC462" s="867"/>
      <c r="AD462" s="867"/>
      <c r="AE462" s="979">
        <f t="shared" si="102"/>
        <v>0</v>
      </c>
      <c r="AF462" s="878">
        <f>SUM(AE462:AE490)</f>
        <v>203</v>
      </c>
      <c r="AG462" s="335"/>
      <c r="AH462" s="979">
        <f t="shared" si="100"/>
        <v>0</v>
      </c>
      <c r="AI462" s="979">
        <f>SUM(AH462:AH490)</f>
        <v>440</v>
      </c>
      <c r="AJ462" s="979">
        <f t="shared" si="96"/>
        <v>0</v>
      </c>
      <c r="AK462" s="878">
        <f>SUM(AJ462:AJ490)</f>
        <v>0</v>
      </c>
      <c r="AL462" s="648"/>
      <c r="AM462" s="648"/>
      <c r="AN462" s="647"/>
      <c r="AO462" s="647"/>
      <c r="AP462" s="647"/>
      <c r="AQ462" s="647"/>
      <c r="AR462" s="647"/>
      <c r="AS462" s="647"/>
      <c r="AT462" s="647"/>
      <c r="AU462" s="647"/>
      <c r="AV462" s="647"/>
      <c r="AW462" s="647"/>
      <c r="AX462" s="647"/>
      <c r="AY462" s="647"/>
      <c r="AZ462" s="647"/>
      <c r="BA462" s="647"/>
      <c r="BB462" s="647"/>
      <c r="BC462" s="647"/>
      <c r="BD462" s="647"/>
      <c r="BE462" s="647"/>
      <c r="BF462" s="647"/>
      <c r="BG462" s="647"/>
      <c r="BH462" s="647"/>
      <c r="BI462" s="647"/>
      <c r="BJ462" s="647"/>
      <c r="BK462" s="647"/>
      <c r="BL462" s="647"/>
      <c r="BM462" s="647"/>
      <c r="BN462" s="647"/>
      <c r="BO462" s="647"/>
      <c r="BP462" s="647"/>
      <c r="BQ462" s="647"/>
      <c r="BR462" s="647"/>
      <c r="BS462" s="647"/>
      <c r="BT462" s="647"/>
      <c r="BU462" s="647"/>
      <c r="BV462" s="647"/>
      <c r="BW462" s="647"/>
      <c r="BX462" s="647"/>
      <c r="BY462" s="647"/>
      <c r="BZ462" s="647"/>
      <c r="CA462" s="647"/>
      <c r="CB462" s="647"/>
      <c r="CC462" s="647"/>
    </row>
    <row r="463" spans="1:81" ht="21.6" customHeight="1" x14ac:dyDescent="0.25">
      <c r="A463" s="664">
        <v>162</v>
      </c>
      <c r="B463" s="664" t="s">
        <v>130</v>
      </c>
      <c r="C463" s="664">
        <v>11</v>
      </c>
      <c r="D463" s="1086" t="s">
        <v>238</v>
      </c>
      <c r="E463" s="845"/>
      <c r="F463" s="846" t="s">
        <v>247</v>
      </c>
      <c r="G463" s="836" t="s">
        <v>265</v>
      </c>
      <c r="H463" s="844"/>
      <c r="I463" s="625"/>
      <c r="J463" s="844" t="s">
        <v>265</v>
      </c>
      <c r="K463" s="626" t="s">
        <v>796</v>
      </c>
      <c r="L463" s="893">
        <v>9</v>
      </c>
      <c r="M463" s="893">
        <v>3</v>
      </c>
      <c r="N463" s="893">
        <f t="shared" si="97"/>
        <v>12</v>
      </c>
      <c r="O463" s="856">
        <v>18</v>
      </c>
      <c r="P463" s="856"/>
      <c r="Q463" s="856">
        <f t="shared" si="98"/>
        <v>18</v>
      </c>
      <c r="R463" s="894"/>
      <c r="S463" s="855"/>
      <c r="T463" s="896">
        <f t="shared" si="103"/>
        <v>0</v>
      </c>
      <c r="U463" s="862"/>
      <c r="V463" s="857">
        <v>270</v>
      </c>
      <c r="W463" s="857">
        <f t="shared" si="99"/>
        <v>18</v>
      </c>
      <c r="X463" s="863"/>
      <c r="Y463" s="664">
        <f t="shared" si="101"/>
        <v>270</v>
      </c>
      <c r="Z463" s="664">
        <f t="shared" si="104"/>
        <v>18</v>
      </c>
      <c r="AA463" s="836"/>
      <c r="AB463" s="982"/>
      <c r="AC463" s="867">
        <v>9</v>
      </c>
      <c r="AD463" s="867">
        <v>3</v>
      </c>
      <c r="AE463" s="979">
        <f t="shared" si="102"/>
        <v>12</v>
      </c>
      <c r="AF463" s="878"/>
      <c r="AG463" s="335">
        <v>270</v>
      </c>
      <c r="AH463" s="979">
        <f t="shared" si="100"/>
        <v>18</v>
      </c>
      <c r="AI463" s="979"/>
      <c r="AJ463" s="979">
        <f t="shared" si="96"/>
        <v>0</v>
      </c>
      <c r="AK463" s="878"/>
      <c r="AL463" s="618"/>
      <c r="AM463" s="618"/>
    </row>
    <row r="464" spans="1:81" ht="21.6" customHeight="1" x14ac:dyDescent="0.25">
      <c r="A464" s="664">
        <v>164</v>
      </c>
      <c r="B464" s="664" t="s">
        <v>130</v>
      </c>
      <c r="C464" s="664">
        <v>13</v>
      </c>
      <c r="D464" s="1086" t="s">
        <v>238</v>
      </c>
      <c r="E464" s="845"/>
      <c r="F464" s="846" t="s">
        <v>249</v>
      </c>
      <c r="G464" s="836" t="s">
        <v>265</v>
      </c>
      <c r="H464" s="844"/>
      <c r="I464" s="625"/>
      <c r="J464" s="844"/>
      <c r="K464" s="626"/>
      <c r="L464" s="893"/>
      <c r="M464" s="893"/>
      <c r="N464" s="893">
        <f t="shared" si="97"/>
        <v>0</v>
      </c>
      <c r="O464" s="856"/>
      <c r="P464" s="856"/>
      <c r="Q464" s="856">
        <f t="shared" si="98"/>
        <v>0</v>
      </c>
      <c r="R464" s="894"/>
      <c r="S464" s="855"/>
      <c r="T464" s="896">
        <f t="shared" si="103"/>
        <v>0</v>
      </c>
      <c r="U464" s="862"/>
      <c r="V464" s="857"/>
      <c r="W464" s="857">
        <f t="shared" si="99"/>
        <v>0</v>
      </c>
      <c r="X464" s="863"/>
      <c r="Y464" s="664">
        <f t="shared" si="101"/>
        <v>0</v>
      </c>
      <c r="Z464" s="664">
        <f t="shared" si="104"/>
        <v>0</v>
      </c>
      <c r="AA464" s="836"/>
      <c r="AB464" s="982"/>
      <c r="AC464" s="867"/>
      <c r="AD464" s="867"/>
      <c r="AE464" s="979">
        <f t="shared" si="102"/>
        <v>0</v>
      </c>
      <c r="AF464" s="878"/>
      <c r="AG464" s="335"/>
      <c r="AH464" s="979">
        <f t="shared" si="100"/>
        <v>0</v>
      </c>
      <c r="AI464" s="979"/>
      <c r="AJ464" s="979">
        <f t="shared" si="96"/>
        <v>0</v>
      </c>
      <c r="AK464" s="878"/>
      <c r="AL464" s="618"/>
      <c r="AM464" s="618"/>
    </row>
    <row r="465" spans="1:39" ht="21.6" customHeight="1" x14ac:dyDescent="0.25">
      <c r="A465" s="664"/>
      <c r="B465" s="664"/>
      <c r="C465" s="664"/>
      <c r="D465" s="1086" t="s">
        <v>238</v>
      </c>
      <c r="E465" s="845"/>
      <c r="F465" s="846" t="s">
        <v>316</v>
      </c>
      <c r="G465" s="836" t="s">
        <v>276</v>
      </c>
      <c r="H465" s="844"/>
      <c r="I465" s="625"/>
      <c r="J465" s="844"/>
      <c r="K465" s="626"/>
      <c r="L465" s="893"/>
      <c r="M465" s="893"/>
      <c r="N465" s="893">
        <f t="shared" si="97"/>
        <v>0</v>
      </c>
      <c r="O465" s="856"/>
      <c r="P465" s="856"/>
      <c r="Q465" s="856">
        <f t="shared" si="98"/>
        <v>0</v>
      </c>
      <c r="R465" s="894"/>
      <c r="S465" s="855"/>
      <c r="T465" s="896">
        <f t="shared" si="103"/>
        <v>0</v>
      </c>
      <c r="U465" s="862"/>
      <c r="V465" s="857"/>
      <c r="W465" s="857">
        <f t="shared" si="99"/>
        <v>0</v>
      </c>
      <c r="X465" s="863"/>
      <c r="Y465" s="664">
        <f t="shared" si="101"/>
        <v>0</v>
      </c>
      <c r="Z465" s="664">
        <f t="shared" si="104"/>
        <v>0</v>
      </c>
      <c r="AA465" s="836"/>
      <c r="AB465" s="982"/>
      <c r="AC465" s="867"/>
      <c r="AD465" s="867"/>
      <c r="AE465" s="979">
        <f t="shared" si="102"/>
        <v>0</v>
      </c>
      <c r="AF465" s="878"/>
      <c r="AG465" s="335"/>
      <c r="AH465" s="979">
        <f t="shared" si="100"/>
        <v>0</v>
      </c>
      <c r="AI465" s="979"/>
      <c r="AJ465" s="979">
        <f t="shared" si="96"/>
        <v>0</v>
      </c>
      <c r="AK465" s="878"/>
      <c r="AL465" s="618"/>
      <c r="AM465" s="618"/>
    </row>
    <row r="466" spans="1:39" ht="21.6" customHeight="1" x14ac:dyDescent="0.25">
      <c r="A466" s="664"/>
      <c r="B466" s="664"/>
      <c r="C466" s="664"/>
      <c r="D466" s="1086" t="s">
        <v>238</v>
      </c>
      <c r="E466" s="845" t="s">
        <v>429</v>
      </c>
      <c r="F466" s="846" t="s">
        <v>427</v>
      </c>
      <c r="G466" s="836" t="s">
        <v>265</v>
      </c>
      <c r="H466" s="844"/>
      <c r="I466" s="625"/>
      <c r="J466" s="844"/>
      <c r="K466" s="626"/>
      <c r="L466" s="893"/>
      <c r="M466" s="893"/>
      <c r="N466" s="893">
        <f t="shared" si="97"/>
        <v>0</v>
      </c>
      <c r="O466" s="856"/>
      <c r="P466" s="856"/>
      <c r="Q466" s="856">
        <f t="shared" si="98"/>
        <v>0</v>
      </c>
      <c r="R466" s="894"/>
      <c r="S466" s="855"/>
      <c r="T466" s="896">
        <f t="shared" si="103"/>
        <v>0</v>
      </c>
      <c r="U466" s="862"/>
      <c r="V466" s="857"/>
      <c r="W466" s="857">
        <f t="shared" si="99"/>
        <v>0</v>
      </c>
      <c r="X466" s="863"/>
      <c r="Y466" s="664">
        <f t="shared" si="101"/>
        <v>0</v>
      </c>
      <c r="Z466" s="664">
        <f t="shared" si="104"/>
        <v>0</v>
      </c>
      <c r="AA466" s="836"/>
      <c r="AB466" s="982"/>
      <c r="AC466" s="867"/>
      <c r="AD466" s="867"/>
      <c r="AE466" s="979">
        <f t="shared" si="102"/>
        <v>0</v>
      </c>
      <c r="AF466" s="878"/>
      <c r="AG466" s="335"/>
      <c r="AH466" s="979">
        <f t="shared" si="100"/>
        <v>0</v>
      </c>
      <c r="AI466" s="979"/>
      <c r="AJ466" s="979">
        <f t="shared" si="96"/>
        <v>0</v>
      </c>
      <c r="AK466" s="878"/>
      <c r="AL466" s="618"/>
      <c r="AM466" s="618"/>
    </row>
    <row r="467" spans="1:39" ht="21.6" customHeight="1" x14ac:dyDescent="0.25">
      <c r="A467" s="664">
        <v>170</v>
      </c>
      <c r="B467" s="664" t="s">
        <v>130</v>
      </c>
      <c r="C467" s="664">
        <v>19</v>
      </c>
      <c r="D467" s="1086" t="s">
        <v>238</v>
      </c>
      <c r="E467" s="845"/>
      <c r="F467" s="846" t="s">
        <v>255</v>
      </c>
      <c r="G467" s="836" t="s">
        <v>265</v>
      </c>
      <c r="H467" s="844"/>
      <c r="I467" s="625"/>
      <c r="J467" s="844"/>
      <c r="K467" s="626"/>
      <c r="L467" s="893"/>
      <c r="M467" s="893"/>
      <c r="N467" s="893">
        <f t="shared" si="97"/>
        <v>0</v>
      </c>
      <c r="O467" s="856"/>
      <c r="P467" s="856"/>
      <c r="Q467" s="856">
        <f t="shared" si="98"/>
        <v>0</v>
      </c>
      <c r="R467" s="894"/>
      <c r="S467" s="855"/>
      <c r="T467" s="896">
        <f t="shared" si="103"/>
        <v>0</v>
      </c>
      <c r="U467" s="862"/>
      <c r="V467" s="857"/>
      <c r="W467" s="857">
        <f t="shared" si="99"/>
        <v>0</v>
      </c>
      <c r="X467" s="863"/>
      <c r="Y467" s="664">
        <f t="shared" si="101"/>
        <v>0</v>
      </c>
      <c r="Z467" s="664">
        <f t="shared" si="104"/>
        <v>0</v>
      </c>
      <c r="AA467" s="836"/>
      <c r="AB467" s="982"/>
      <c r="AC467" s="867"/>
      <c r="AD467" s="867"/>
      <c r="AE467" s="979">
        <f t="shared" si="102"/>
        <v>0</v>
      </c>
      <c r="AF467" s="878"/>
      <c r="AG467" s="335"/>
      <c r="AH467" s="979">
        <f t="shared" si="100"/>
        <v>0</v>
      </c>
      <c r="AI467" s="979"/>
      <c r="AJ467" s="979">
        <f t="shared" si="96"/>
        <v>0</v>
      </c>
      <c r="AK467" s="878"/>
      <c r="AL467" s="618"/>
      <c r="AM467" s="618"/>
    </row>
    <row r="468" spans="1:39" ht="21.6" customHeight="1" x14ac:dyDescent="0.25">
      <c r="A468" s="664">
        <v>152</v>
      </c>
      <c r="B468" s="664" t="s">
        <v>130</v>
      </c>
      <c r="C468" s="664">
        <v>1</v>
      </c>
      <c r="D468" s="1086" t="s">
        <v>238</v>
      </c>
      <c r="E468" s="845"/>
      <c r="F468" s="846" t="s">
        <v>239</v>
      </c>
      <c r="G468" s="836" t="s">
        <v>265</v>
      </c>
      <c r="H468" s="844"/>
      <c r="I468" s="625"/>
      <c r="J468" s="844" t="s">
        <v>265</v>
      </c>
      <c r="K468" s="626" t="s">
        <v>796</v>
      </c>
      <c r="L468" s="893">
        <v>50</v>
      </c>
      <c r="M468" s="893">
        <v>17</v>
      </c>
      <c r="N468" s="893">
        <f t="shared" si="97"/>
        <v>67</v>
      </c>
      <c r="O468" s="856">
        <v>178</v>
      </c>
      <c r="P468" s="856"/>
      <c r="Q468" s="856">
        <f t="shared" si="98"/>
        <v>178</v>
      </c>
      <c r="R468" s="894"/>
      <c r="S468" s="855"/>
      <c r="T468" s="896">
        <f t="shared" si="103"/>
        <v>0</v>
      </c>
      <c r="U468" s="862"/>
      <c r="V468" s="857">
        <v>2520</v>
      </c>
      <c r="W468" s="857">
        <f t="shared" si="99"/>
        <v>168</v>
      </c>
      <c r="X468" s="863"/>
      <c r="Y468" s="664">
        <f t="shared" si="101"/>
        <v>2520</v>
      </c>
      <c r="Z468" s="664">
        <f t="shared" si="104"/>
        <v>168</v>
      </c>
      <c r="AA468" s="836"/>
      <c r="AB468" s="982"/>
      <c r="AC468" s="867">
        <v>50</v>
      </c>
      <c r="AD468" s="867">
        <v>17</v>
      </c>
      <c r="AE468" s="979">
        <f t="shared" si="102"/>
        <v>67</v>
      </c>
      <c r="AF468" s="878"/>
      <c r="AG468" s="335">
        <v>2520</v>
      </c>
      <c r="AH468" s="979">
        <f t="shared" si="100"/>
        <v>168</v>
      </c>
      <c r="AI468" s="979"/>
      <c r="AJ468" s="979">
        <f t="shared" si="96"/>
        <v>0</v>
      </c>
      <c r="AK468" s="878"/>
      <c r="AL468" s="618"/>
      <c r="AM468" s="618"/>
    </row>
    <row r="469" spans="1:39" ht="21.6" customHeight="1" x14ac:dyDescent="0.25">
      <c r="A469" s="664"/>
      <c r="B469" s="664"/>
      <c r="C469" s="664"/>
      <c r="D469" s="1086" t="s">
        <v>238</v>
      </c>
      <c r="E469" s="845"/>
      <c r="F469" s="846" t="s">
        <v>802</v>
      </c>
      <c r="G469" s="836" t="s">
        <v>361</v>
      </c>
      <c r="H469" s="844"/>
      <c r="I469" s="625" t="s">
        <v>265</v>
      </c>
      <c r="J469" s="844" t="s">
        <v>265</v>
      </c>
      <c r="K469" s="626" t="s">
        <v>799</v>
      </c>
      <c r="L469" s="893">
        <v>30</v>
      </c>
      <c r="M469" s="893">
        <v>8</v>
      </c>
      <c r="N469" s="893">
        <f t="shared" si="97"/>
        <v>38</v>
      </c>
      <c r="O469" s="856">
        <v>104</v>
      </c>
      <c r="P469" s="856"/>
      <c r="Q469" s="856">
        <f t="shared" si="98"/>
        <v>104</v>
      </c>
      <c r="R469" s="894"/>
      <c r="S469" s="855"/>
      <c r="T469" s="896">
        <f t="shared" si="103"/>
        <v>0</v>
      </c>
      <c r="U469" s="862"/>
      <c r="V469" s="857">
        <v>1560</v>
      </c>
      <c r="W469" s="857">
        <f t="shared" si="99"/>
        <v>104</v>
      </c>
      <c r="X469" s="863"/>
      <c r="Y469" s="664">
        <f t="shared" si="101"/>
        <v>1560</v>
      </c>
      <c r="Z469" s="664">
        <f t="shared" si="104"/>
        <v>104</v>
      </c>
      <c r="AA469" s="836"/>
      <c r="AB469" s="982"/>
      <c r="AC469" s="867">
        <v>30</v>
      </c>
      <c r="AD469" s="867">
        <v>8</v>
      </c>
      <c r="AE469" s="979">
        <f t="shared" si="102"/>
        <v>38</v>
      </c>
      <c r="AF469" s="878"/>
      <c r="AG469" s="335">
        <v>1560</v>
      </c>
      <c r="AH469" s="979">
        <f t="shared" si="100"/>
        <v>104</v>
      </c>
      <c r="AI469" s="979"/>
      <c r="AJ469" s="979">
        <f t="shared" si="96"/>
        <v>0</v>
      </c>
      <c r="AK469" s="878"/>
      <c r="AL469" s="618"/>
      <c r="AM469" s="618"/>
    </row>
    <row r="470" spans="1:39" ht="21.6" customHeight="1" x14ac:dyDescent="0.25">
      <c r="A470" s="664">
        <v>157</v>
      </c>
      <c r="B470" s="664" t="s">
        <v>130</v>
      </c>
      <c r="C470" s="664">
        <v>6</v>
      </c>
      <c r="D470" s="1086" t="s">
        <v>238</v>
      </c>
      <c r="E470" s="845"/>
      <c r="F470" s="846" t="s">
        <v>242</v>
      </c>
      <c r="G470" s="836" t="s">
        <v>265</v>
      </c>
      <c r="H470" s="844"/>
      <c r="I470" s="625"/>
      <c r="J470" s="844"/>
      <c r="K470" s="626"/>
      <c r="L470" s="893"/>
      <c r="M470" s="893"/>
      <c r="N470" s="893">
        <f t="shared" si="97"/>
        <v>0</v>
      </c>
      <c r="O470" s="856"/>
      <c r="P470" s="856"/>
      <c r="Q470" s="856">
        <f t="shared" si="98"/>
        <v>0</v>
      </c>
      <c r="R470" s="894"/>
      <c r="S470" s="855"/>
      <c r="T470" s="896">
        <f t="shared" si="103"/>
        <v>0</v>
      </c>
      <c r="U470" s="862"/>
      <c r="V470" s="857"/>
      <c r="W470" s="857">
        <f t="shared" si="99"/>
        <v>0</v>
      </c>
      <c r="X470" s="863"/>
      <c r="Y470" s="664">
        <f t="shared" si="101"/>
        <v>0</v>
      </c>
      <c r="Z470" s="664">
        <f t="shared" si="104"/>
        <v>0</v>
      </c>
      <c r="AA470" s="836"/>
      <c r="AB470" s="982"/>
      <c r="AC470" s="867"/>
      <c r="AD470" s="867"/>
      <c r="AE470" s="979">
        <f t="shared" si="102"/>
        <v>0</v>
      </c>
      <c r="AF470" s="878"/>
      <c r="AG470" s="335"/>
      <c r="AH470" s="979">
        <f t="shared" si="100"/>
        <v>0</v>
      </c>
      <c r="AI470" s="979"/>
      <c r="AJ470" s="979">
        <f t="shared" si="96"/>
        <v>0</v>
      </c>
      <c r="AK470" s="878"/>
      <c r="AL470" s="618"/>
      <c r="AM470" s="618"/>
    </row>
    <row r="471" spans="1:39" ht="21.6" customHeight="1" x14ac:dyDescent="0.25">
      <c r="A471" s="664">
        <v>171</v>
      </c>
      <c r="B471" s="664" t="s">
        <v>130</v>
      </c>
      <c r="C471" s="664">
        <v>20</v>
      </c>
      <c r="D471" s="1086" t="s">
        <v>238</v>
      </c>
      <c r="E471" s="845"/>
      <c r="F471" s="846" t="s">
        <v>315</v>
      </c>
      <c r="G471" s="836" t="s">
        <v>265</v>
      </c>
      <c r="H471" s="844"/>
      <c r="I471" s="625"/>
      <c r="J471" s="844"/>
      <c r="K471" s="626"/>
      <c r="L471" s="893"/>
      <c r="M471" s="893"/>
      <c r="N471" s="893">
        <f t="shared" si="97"/>
        <v>0</v>
      </c>
      <c r="O471" s="856"/>
      <c r="P471" s="856"/>
      <c r="Q471" s="856">
        <f t="shared" si="98"/>
        <v>0</v>
      </c>
      <c r="R471" s="894"/>
      <c r="S471" s="855"/>
      <c r="T471" s="896">
        <f t="shared" si="103"/>
        <v>0</v>
      </c>
      <c r="U471" s="862"/>
      <c r="V471" s="857"/>
      <c r="W471" s="857">
        <f t="shared" si="99"/>
        <v>0</v>
      </c>
      <c r="X471" s="863"/>
      <c r="Y471" s="664">
        <f t="shared" si="101"/>
        <v>0</v>
      </c>
      <c r="Z471" s="664">
        <f t="shared" si="104"/>
        <v>0</v>
      </c>
      <c r="AA471" s="836"/>
      <c r="AB471" s="982"/>
      <c r="AC471" s="867"/>
      <c r="AD471" s="867"/>
      <c r="AE471" s="979">
        <f t="shared" si="102"/>
        <v>0</v>
      </c>
      <c r="AF471" s="878"/>
      <c r="AG471" s="335"/>
      <c r="AH471" s="979">
        <f t="shared" si="100"/>
        <v>0</v>
      </c>
      <c r="AI471" s="979"/>
      <c r="AJ471" s="979">
        <f t="shared" si="96"/>
        <v>0</v>
      </c>
      <c r="AK471" s="878"/>
      <c r="AL471" s="618"/>
      <c r="AM471" s="618"/>
    </row>
    <row r="472" spans="1:39" ht="21.6" customHeight="1" x14ac:dyDescent="0.25">
      <c r="A472" s="664"/>
      <c r="B472" s="664"/>
      <c r="C472" s="664"/>
      <c r="D472" s="1086" t="s">
        <v>238</v>
      </c>
      <c r="E472" s="845"/>
      <c r="F472" s="846" t="s">
        <v>803</v>
      </c>
      <c r="G472" s="836" t="s">
        <v>361</v>
      </c>
      <c r="H472" s="844"/>
      <c r="I472" s="625"/>
      <c r="J472" s="844" t="s">
        <v>265</v>
      </c>
      <c r="K472" s="626" t="s">
        <v>799</v>
      </c>
      <c r="L472" s="893">
        <v>30</v>
      </c>
      <c r="M472" s="893">
        <v>4</v>
      </c>
      <c r="N472" s="893">
        <f t="shared" si="97"/>
        <v>34</v>
      </c>
      <c r="O472" s="856">
        <v>50</v>
      </c>
      <c r="P472" s="856"/>
      <c r="Q472" s="856">
        <f t="shared" si="98"/>
        <v>50</v>
      </c>
      <c r="R472" s="894"/>
      <c r="S472" s="855"/>
      <c r="T472" s="896">
        <f t="shared" si="103"/>
        <v>0</v>
      </c>
      <c r="U472" s="862"/>
      <c r="V472" s="857">
        <v>750</v>
      </c>
      <c r="W472" s="857">
        <f t="shared" si="99"/>
        <v>50</v>
      </c>
      <c r="X472" s="863"/>
      <c r="Y472" s="664">
        <f t="shared" si="101"/>
        <v>750</v>
      </c>
      <c r="Z472" s="664">
        <f t="shared" si="104"/>
        <v>50</v>
      </c>
      <c r="AA472" s="836"/>
      <c r="AB472" s="982"/>
      <c r="AC472" s="867">
        <v>30</v>
      </c>
      <c r="AD472" s="867">
        <v>4</v>
      </c>
      <c r="AE472" s="979">
        <f t="shared" si="102"/>
        <v>34</v>
      </c>
      <c r="AF472" s="878"/>
      <c r="AG472" s="335">
        <v>750</v>
      </c>
      <c r="AH472" s="979">
        <f t="shared" si="100"/>
        <v>50</v>
      </c>
      <c r="AI472" s="979"/>
      <c r="AJ472" s="979">
        <f t="shared" si="96"/>
        <v>0</v>
      </c>
      <c r="AK472" s="878"/>
      <c r="AL472" s="618"/>
      <c r="AM472" s="618"/>
    </row>
    <row r="473" spans="1:39" ht="21.6" customHeight="1" x14ac:dyDescent="0.25">
      <c r="A473" s="664">
        <v>165</v>
      </c>
      <c r="B473" s="664" t="s">
        <v>130</v>
      </c>
      <c r="C473" s="664">
        <v>14</v>
      </c>
      <c r="D473" s="1086" t="s">
        <v>238</v>
      </c>
      <c r="E473" s="845"/>
      <c r="F473" s="846" t="s">
        <v>250</v>
      </c>
      <c r="G473" s="836" t="s">
        <v>265</v>
      </c>
      <c r="H473" s="844"/>
      <c r="I473" s="625"/>
      <c r="J473" s="844"/>
      <c r="K473" s="626"/>
      <c r="L473" s="893"/>
      <c r="M473" s="893"/>
      <c r="N473" s="893">
        <f t="shared" si="97"/>
        <v>0</v>
      </c>
      <c r="O473" s="856"/>
      <c r="P473" s="856"/>
      <c r="Q473" s="856">
        <f t="shared" si="98"/>
        <v>0</v>
      </c>
      <c r="R473" s="894"/>
      <c r="S473" s="855"/>
      <c r="T473" s="896">
        <f t="shared" si="103"/>
        <v>0</v>
      </c>
      <c r="U473" s="862"/>
      <c r="V473" s="857"/>
      <c r="W473" s="857">
        <f t="shared" si="99"/>
        <v>0</v>
      </c>
      <c r="X473" s="863"/>
      <c r="Y473" s="664">
        <f t="shared" si="101"/>
        <v>0</v>
      </c>
      <c r="Z473" s="664">
        <f t="shared" si="104"/>
        <v>0</v>
      </c>
      <c r="AA473" s="836"/>
      <c r="AB473" s="982"/>
      <c r="AC473" s="867"/>
      <c r="AD473" s="867"/>
      <c r="AE473" s="979">
        <f t="shared" si="102"/>
        <v>0</v>
      </c>
      <c r="AF473" s="878"/>
      <c r="AG473" s="335"/>
      <c r="AH473" s="979">
        <f t="shared" si="100"/>
        <v>0</v>
      </c>
      <c r="AI473" s="979"/>
      <c r="AJ473" s="979">
        <f t="shared" si="96"/>
        <v>0</v>
      </c>
      <c r="AK473" s="878"/>
      <c r="AL473" s="618"/>
      <c r="AM473" s="618"/>
    </row>
    <row r="474" spans="1:39" ht="21.6" customHeight="1" x14ac:dyDescent="0.25">
      <c r="A474" s="664">
        <v>169</v>
      </c>
      <c r="B474" s="664" t="s">
        <v>130</v>
      </c>
      <c r="C474" s="664">
        <v>18</v>
      </c>
      <c r="D474" s="1086" t="s">
        <v>238</v>
      </c>
      <c r="E474" s="845"/>
      <c r="F474" s="911" t="s">
        <v>254</v>
      </c>
      <c r="G474" s="836" t="s">
        <v>265</v>
      </c>
      <c r="H474" s="844"/>
      <c r="I474" s="625"/>
      <c r="J474" s="844"/>
      <c r="K474" s="626"/>
      <c r="L474" s="893"/>
      <c r="M474" s="893"/>
      <c r="N474" s="893">
        <f t="shared" si="97"/>
        <v>0</v>
      </c>
      <c r="O474" s="856"/>
      <c r="P474" s="856"/>
      <c r="Q474" s="856">
        <f t="shared" si="98"/>
        <v>0</v>
      </c>
      <c r="R474" s="894"/>
      <c r="S474" s="855"/>
      <c r="T474" s="896">
        <f t="shared" si="103"/>
        <v>0</v>
      </c>
      <c r="U474" s="862"/>
      <c r="V474" s="857"/>
      <c r="W474" s="857">
        <f t="shared" si="99"/>
        <v>0</v>
      </c>
      <c r="X474" s="863"/>
      <c r="Y474" s="664">
        <f t="shared" si="101"/>
        <v>0</v>
      </c>
      <c r="Z474" s="664">
        <f t="shared" si="104"/>
        <v>0</v>
      </c>
      <c r="AA474" s="836"/>
      <c r="AB474" s="982"/>
      <c r="AC474" s="867"/>
      <c r="AD474" s="867"/>
      <c r="AE474" s="979">
        <f t="shared" si="102"/>
        <v>0</v>
      </c>
      <c r="AF474" s="878"/>
      <c r="AG474" s="335"/>
      <c r="AH474" s="979">
        <f t="shared" si="100"/>
        <v>0</v>
      </c>
      <c r="AI474" s="979"/>
      <c r="AJ474" s="979">
        <f t="shared" si="96"/>
        <v>0</v>
      </c>
      <c r="AK474" s="878"/>
      <c r="AL474" s="618"/>
      <c r="AM474" s="618"/>
    </row>
    <row r="475" spans="1:39" ht="21.6" customHeight="1" x14ac:dyDescent="0.25">
      <c r="A475" s="664">
        <v>155</v>
      </c>
      <c r="B475" s="664" t="s">
        <v>130</v>
      </c>
      <c r="C475" s="664">
        <v>4</v>
      </c>
      <c r="D475" s="1086" t="s">
        <v>238</v>
      </c>
      <c r="E475" s="845"/>
      <c r="F475" s="846" t="s">
        <v>241</v>
      </c>
      <c r="G475" s="836" t="s">
        <v>265</v>
      </c>
      <c r="H475" s="844"/>
      <c r="I475" s="625"/>
      <c r="J475" s="844"/>
      <c r="K475" s="626"/>
      <c r="L475" s="893"/>
      <c r="M475" s="893"/>
      <c r="N475" s="893">
        <f t="shared" si="97"/>
        <v>0</v>
      </c>
      <c r="O475" s="856"/>
      <c r="P475" s="856"/>
      <c r="Q475" s="856">
        <f t="shared" si="98"/>
        <v>0</v>
      </c>
      <c r="R475" s="894"/>
      <c r="S475" s="855"/>
      <c r="T475" s="896">
        <f t="shared" si="103"/>
        <v>0</v>
      </c>
      <c r="U475" s="862"/>
      <c r="V475" s="857"/>
      <c r="W475" s="857">
        <f t="shared" si="99"/>
        <v>0</v>
      </c>
      <c r="X475" s="863"/>
      <c r="Y475" s="664">
        <f t="shared" si="101"/>
        <v>0</v>
      </c>
      <c r="Z475" s="664">
        <f t="shared" si="104"/>
        <v>0</v>
      </c>
      <c r="AA475" s="836"/>
      <c r="AB475" s="982"/>
      <c r="AC475" s="867"/>
      <c r="AD475" s="867"/>
      <c r="AE475" s="979">
        <f t="shared" si="102"/>
        <v>0</v>
      </c>
      <c r="AF475" s="878"/>
      <c r="AG475" s="335"/>
      <c r="AH475" s="979">
        <f t="shared" si="100"/>
        <v>0</v>
      </c>
      <c r="AI475" s="979"/>
      <c r="AJ475" s="979">
        <f t="shared" si="96"/>
        <v>0</v>
      </c>
      <c r="AK475" s="878"/>
      <c r="AL475" s="618"/>
      <c r="AM475" s="618"/>
    </row>
    <row r="476" spans="1:39" ht="21.6" customHeight="1" x14ac:dyDescent="0.25">
      <c r="A476" s="664">
        <v>161</v>
      </c>
      <c r="B476" s="664" t="s">
        <v>130</v>
      </c>
      <c r="C476" s="664">
        <v>10</v>
      </c>
      <c r="D476" s="1086" t="s">
        <v>238</v>
      </c>
      <c r="E476" s="845"/>
      <c r="F476" s="846" t="s">
        <v>246</v>
      </c>
      <c r="G476" s="836" t="s">
        <v>265</v>
      </c>
      <c r="H476" s="844"/>
      <c r="I476" s="625"/>
      <c r="J476" s="844"/>
      <c r="K476" s="626"/>
      <c r="L476" s="893"/>
      <c r="M476" s="893"/>
      <c r="N476" s="893">
        <f t="shared" si="97"/>
        <v>0</v>
      </c>
      <c r="O476" s="856"/>
      <c r="P476" s="856"/>
      <c r="Q476" s="856">
        <f t="shared" si="98"/>
        <v>0</v>
      </c>
      <c r="R476" s="894"/>
      <c r="S476" s="855"/>
      <c r="T476" s="896">
        <f t="shared" si="103"/>
        <v>0</v>
      </c>
      <c r="U476" s="862"/>
      <c r="V476" s="857"/>
      <c r="W476" s="857">
        <f t="shared" si="99"/>
        <v>0</v>
      </c>
      <c r="X476" s="863"/>
      <c r="Y476" s="664">
        <f t="shared" si="101"/>
        <v>0</v>
      </c>
      <c r="Z476" s="664">
        <f t="shared" si="104"/>
        <v>0</v>
      </c>
      <c r="AA476" s="836"/>
      <c r="AB476" s="982"/>
      <c r="AC476" s="867"/>
      <c r="AD476" s="867"/>
      <c r="AE476" s="979">
        <f t="shared" si="102"/>
        <v>0</v>
      </c>
      <c r="AF476" s="878"/>
      <c r="AG476" s="335"/>
      <c r="AH476" s="979">
        <f t="shared" si="100"/>
        <v>0</v>
      </c>
      <c r="AI476" s="979"/>
      <c r="AJ476" s="979">
        <f t="shared" si="96"/>
        <v>0</v>
      </c>
      <c r="AK476" s="878"/>
      <c r="AL476" s="618"/>
      <c r="AM476" s="618"/>
    </row>
    <row r="477" spans="1:39" ht="21.6" customHeight="1" x14ac:dyDescent="0.25">
      <c r="A477" s="664">
        <v>167</v>
      </c>
      <c r="B477" s="664" t="s">
        <v>130</v>
      </c>
      <c r="C477" s="664">
        <v>16</v>
      </c>
      <c r="D477" s="1086" t="s">
        <v>238</v>
      </c>
      <c r="E477" s="845"/>
      <c r="F477" s="846" t="s">
        <v>252</v>
      </c>
      <c r="G477" s="836" t="s">
        <v>265</v>
      </c>
      <c r="H477" s="844"/>
      <c r="I477" s="625"/>
      <c r="J477" s="844"/>
      <c r="K477" s="626"/>
      <c r="L477" s="893"/>
      <c r="M477" s="893"/>
      <c r="N477" s="893">
        <f t="shared" si="97"/>
        <v>0</v>
      </c>
      <c r="O477" s="856"/>
      <c r="P477" s="856"/>
      <c r="Q477" s="856">
        <f t="shared" si="98"/>
        <v>0</v>
      </c>
      <c r="R477" s="894"/>
      <c r="S477" s="855"/>
      <c r="T477" s="896">
        <f t="shared" si="103"/>
        <v>0</v>
      </c>
      <c r="U477" s="862"/>
      <c r="V477" s="857"/>
      <c r="W477" s="857">
        <f t="shared" si="99"/>
        <v>0</v>
      </c>
      <c r="X477" s="863"/>
      <c r="Y477" s="664">
        <f t="shared" si="101"/>
        <v>0</v>
      </c>
      <c r="Z477" s="664">
        <f t="shared" si="104"/>
        <v>0</v>
      </c>
      <c r="AA477" s="836"/>
      <c r="AB477" s="982"/>
      <c r="AC477" s="867"/>
      <c r="AD477" s="867"/>
      <c r="AE477" s="979">
        <f t="shared" si="102"/>
        <v>0</v>
      </c>
      <c r="AF477" s="878"/>
      <c r="AG477" s="335"/>
      <c r="AH477" s="979">
        <f t="shared" si="100"/>
        <v>0</v>
      </c>
      <c r="AI477" s="979"/>
      <c r="AJ477" s="979">
        <f t="shared" si="96"/>
        <v>0</v>
      </c>
      <c r="AK477" s="878"/>
      <c r="AL477" s="618"/>
      <c r="AM477" s="618"/>
    </row>
    <row r="478" spans="1:39" ht="21.6" customHeight="1" x14ac:dyDescent="0.25">
      <c r="A478" s="664">
        <v>153</v>
      </c>
      <c r="B478" s="664" t="s">
        <v>130</v>
      </c>
      <c r="C478" s="664">
        <v>2</v>
      </c>
      <c r="D478" s="1086" t="s">
        <v>238</v>
      </c>
      <c r="E478" s="845"/>
      <c r="F478" s="846" t="s">
        <v>240</v>
      </c>
      <c r="G478" s="836" t="s">
        <v>265</v>
      </c>
      <c r="H478" s="844"/>
      <c r="I478" s="625"/>
      <c r="J478" s="844"/>
      <c r="K478" s="626"/>
      <c r="L478" s="893"/>
      <c r="M478" s="893"/>
      <c r="N478" s="893">
        <f t="shared" si="97"/>
        <v>0</v>
      </c>
      <c r="O478" s="856"/>
      <c r="P478" s="856"/>
      <c r="Q478" s="856">
        <f t="shared" si="98"/>
        <v>0</v>
      </c>
      <c r="R478" s="894"/>
      <c r="S478" s="855"/>
      <c r="T478" s="896">
        <f t="shared" si="103"/>
        <v>0</v>
      </c>
      <c r="U478" s="862"/>
      <c r="V478" s="857"/>
      <c r="W478" s="857">
        <f t="shared" si="99"/>
        <v>0</v>
      </c>
      <c r="X478" s="863"/>
      <c r="Y478" s="664">
        <f t="shared" si="101"/>
        <v>0</v>
      </c>
      <c r="Z478" s="664">
        <f t="shared" si="104"/>
        <v>0</v>
      </c>
      <c r="AA478" s="836"/>
      <c r="AB478" s="982"/>
      <c r="AC478" s="867"/>
      <c r="AD478" s="867"/>
      <c r="AE478" s="979">
        <f t="shared" si="102"/>
        <v>0</v>
      </c>
      <c r="AF478" s="878"/>
      <c r="AG478" s="335"/>
      <c r="AH478" s="979">
        <f t="shared" si="100"/>
        <v>0</v>
      </c>
      <c r="AI478" s="979"/>
      <c r="AJ478" s="979">
        <f t="shared" si="96"/>
        <v>0</v>
      </c>
      <c r="AK478" s="878"/>
      <c r="AL478" s="618"/>
      <c r="AM478" s="618"/>
    </row>
    <row r="479" spans="1:39" ht="21.6" customHeight="1" x14ac:dyDescent="0.25">
      <c r="A479" s="664">
        <v>158</v>
      </c>
      <c r="B479" s="664" t="s">
        <v>130</v>
      </c>
      <c r="C479" s="664">
        <v>7</v>
      </c>
      <c r="D479" s="1086" t="s">
        <v>238</v>
      </c>
      <c r="E479" s="845"/>
      <c r="F479" s="846" t="s">
        <v>243</v>
      </c>
      <c r="G479" s="836" t="s">
        <v>265</v>
      </c>
      <c r="H479" s="844"/>
      <c r="I479" s="625"/>
      <c r="J479" s="844"/>
      <c r="K479" s="626"/>
      <c r="L479" s="893"/>
      <c r="M479" s="893"/>
      <c r="N479" s="893">
        <f t="shared" si="97"/>
        <v>0</v>
      </c>
      <c r="O479" s="856"/>
      <c r="P479" s="856"/>
      <c r="Q479" s="856">
        <f t="shared" si="98"/>
        <v>0</v>
      </c>
      <c r="R479" s="894"/>
      <c r="S479" s="855"/>
      <c r="T479" s="896">
        <f t="shared" si="103"/>
        <v>0</v>
      </c>
      <c r="U479" s="862"/>
      <c r="V479" s="857"/>
      <c r="W479" s="857">
        <f t="shared" si="99"/>
        <v>0</v>
      </c>
      <c r="X479" s="863"/>
      <c r="Y479" s="664">
        <f t="shared" si="101"/>
        <v>0</v>
      </c>
      <c r="Z479" s="664">
        <f t="shared" si="104"/>
        <v>0</v>
      </c>
      <c r="AA479" s="836"/>
      <c r="AB479" s="982"/>
      <c r="AC479" s="867"/>
      <c r="AD479" s="867"/>
      <c r="AE479" s="979">
        <f t="shared" si="102"/>
        <v>0</v>
      </c>
      <c r="AF479" s="878"/>
      <c r="AG479" s="335"/>
      <c r="AH479" s="979">
        <f t="shared" si="100"/>
        <v>0</v>
      </c>
      <c r="AI479" s="979"/>
      <c r="AJ479" s="979">
        <f t="shared" si="96"/>
        <v>0</v>
      </c>
      <c r="AK479" s="878"/>
      <c r="AL479" s="618"/>
      <c r="AM479" s="618"/>
    </row>
    <row r="480" spans="1:39" ht="21.6" customHeight="1" x14ac:dyDescent="0.25">
      <c r="A480" s="664"/>
      <c r="B480" s="664" t="s">
        <v>130</v>
      </c>
      <c r="C480" s="664">
        <v>8</v>
      </c>
      <c r="D480" s="1086" t="s">
        <v>238</v>
      </c>
      <c r="E480" s="845" t="s">
        <v>429</v>
      </c>
      <c r="F480" s="846" t="s">
        <v>609</v>
      </c>
      <c r="G480" s="836"/>
      <c r="H480" s="844"/>
      <c r="I480" s="625"/>
      <c r="J480" s="844"/>
      <c r="K480" s="626"/>
      <c r="L480" s="893"/>
      <c r="M480" s="893"/>
      <c r="N480" s="893">
        <f t="shared" si="97"/>
        <v>0</v>
      </c>
      <c r="O480" s="856"/>
      <c r="P480" s="856"/>
      <c r="Q480" s="856">
        <f t="shared" si="98"/>
        <v>0</v>
      </c>
      <c r="R480" s="894"/>
      <c r="S480" s="855"/>
      <c r="T480" s="896">
        <f t="shared" si="103"/>
        <v>0</v>
      </c>
      <c r="U480" s="862"/>
      <c r="V480" s="857"/>
      <c r="W480" s="857">
        <f t="shared" si="99"/>
        <v>0</v>
      </c>
      <c r="X480" s="863"/>
      <c r="Y480" s="664">
        <f t="shared" si="101"/>
        <v>0</v>
      </c>
      <c r="Z480" s="664">
        <f t="shared" si="104"/>
        <v>0</v>
      </c>
      <c r="AA480" s="836"/>
      <c r="AB480" s="982"/>
      <c r="AC480" s="867"/>
      <c r="AD480" s="867"/>
      <c r="AE480" s="979">
        <f t="shared" si="102"/>
        <v>0</v>
      </c>
      <c r="AF480" s="878"/>
      <c r="AG480" s="335"/>
      <c r="AH480" s="979">
        <f t="shared" si="100"/>
        <v>0</v>
      </c>
      <c r="AI480" s="979"/>
      <c r="AJ480" s="979">
        <f t="shared" si="96"/>
        <v>0</v>
      </c>
      <c r="AK480" s="878"/>
      <c r="AL480" s="618"/>
      <c r="AM480" s="618"/>
    </row>
    <row r="481" spans="1:81" ht="21.6" customHeight="1" x14ac:dyDescent="0.25">
      <c r="A481" s="664"/>
      <c r="B481" s="664"/>
      <c r="C481" s="664"/>
      <c r="D481" s="1086" t="s">
        <v>238</v>
      </c>
      <c r="E481" s="845" t="s">
        <v>429</v>
      </c>
      <c r="F481" s="846" t="s">
        <v>364</v>
      </c>
      <c r="G481" s="836"/>
      <c r="H481" s="844"/>
      <c r="I481" s="625"/>
      <c r="J481" s="844"/>
      <c r="K481" s="626"/>
      <c r="L481" s="893"/>
      <c r="M481" s="893"/>
      <c r="N481" s="893">
        <f t="shared" si="97"/>
        <v>0</v>
      </c>
      <c r="O481" s="856"/>
      <c r="P481" s="856"/>
      <c r="Q481" s="856">
        <f t="shared" si="98"/>
        <v>0</v>
      </c>
      <c r="R481" s="894"/>
      <c r="S481" s="855"/>
      <c r="T481" s="896">
        <f t="shared" si="103"/>
        <v>0</v>
      </c>
      <c r="U481" s="862"/>
      <c r="V481" s="857"/>
      <c r="W481" s="857">
        <f t="shared" si="99"/>
        <v>0</v>
      </c>
      <c r="X481" s="863"/>
      <c r="Y481" s="664">
        <f t="shared" si="101"/>
        <v>0</v>
      </c>
      <c r="Z481" s="664">
        <f t="shared" si="104"/>
        <v>0</v>
      </c>
      <c r="AA481" s="836"/>
      <c r="AB481" s="982"/>
      <c r="AC481" s="867"/>
      <c r="AD481" s="867"/>
      <c r="AE481" s="979">
        <f t="shared" si="102"/>
        <v>0</v>
      </c>
      <c r="AF481" s="878"/>
      <c r="AG481" s="335"/>
      <c r="AH481" s="979">
        <f t="shared" si="100"/>
        <v>0</v>
      </c>
      <c r="AI481" s="979"/>
      <c r="AJ481" s="979">
        <f t="shared" si="96"/>
        <v>0</v>
      </c>
      <c r="AK481" s="878"/>
      <c r="AL481" s="618"/>
      <c r="AM481" s="618"/>
    </row>
    <row r="482" spans="1:81" ht="28.5" customHeight="1" x14ac:dyDescent="0.25">
      <c r="A482" s="664">
        <v>159</v>
      </c>
      <c r="B482" s="664" t="s">
        <v>130</v>
      </c>
      <c r="C482" s="664">
        <v>8</v>
      </c>
      <c r="D482" s="1086" t="s">
        <v>238</v>
      </c>
      <c r="E482" s="845"/>
      <c r="F482" s="846" t="s">
        <v>244</v>
      </c>
      <c r="G482" s="836" t="s">
        <v>265</v>
      </c>
      <c r="H482" s="844"/>
      <c r="I482" s="625"/>
      <c r="J482" s="844"/>
      <c r="K482" s="626"/>
      <c r="L482" s="893"/>
      <c r="M482" s="893"/>
      <c r="N482" s="893">
        <f t="shared" si="97"/>
        <v>0</v>
      </c>
      <c r="O482" s="856"/>
      <c r="P482" s="856"/>
      <c r="Q482" s="856">
        <f t="shared" si="98"/>
        <v>0</v>
      </c>
      <c r="R482" s="894"/>
      <c r="S482" s="855"/>
      <c r="T482" s="896">
        <f t="shared" si="103"/>
        <v>0</v>
      </c>
      <c r="U482" s="862"/>
      <c r="V482" s="857"/>
      <c r="W482" s="857">
        <f t="shared" si="99"/>
        <v>0</v>
      </c>
      <c r="X482" s="863"/>
      <c r="Y482" s="664">
        <f t="shared" si="101"/>
        <v>0</v>
      </c>
      <c r="Z482" s="664">
        <f t="shared" si="104"/>
        <v>0</v>
      </c>
      <c r="AA482" s="836"/>
      <c r="AB482" s="982"/>
      <c r="AC482" s="867"/>
      <c r="AD482" s="867"/>
      <c r="AE482" s="979">
        <f t="shared" si="102"/>
        <v>0</v>
      </c>
      <c r="AF482" s="878"/>
      <c r="AG482" s="335"/>
      <c r="AH482" s="979">
        <f t="shared" si="100"/>
        <v>0</v>
      </c>
      <c r="AI482" s="979"/>
      <c r="AJ482" s="979">
        <f t="shared" si="96"/>
        <v>0</v>
      </c>
      <c r="AK482" s="878"/>
      <c r="AL482" s="618"/>
      <c r="AM482" s="618"/>
    </row>
    <row r="483" spans="1:81" ht="21.6" customHeight="1" x14ac:dyDescent="0.25">
      <c r="A483" s="664">
        <v>156</v>
      </c>
      <c r="B483" s="664" t="s">
        <v>130</v>
      </c>
      <c r="C483" s="664">
        <v>5</v>
      </c>
      <c r="D483" s="1086" t="s">
        <v>238</v>
      </c>
      <c r="E483" s="845"/>
      <c r="F483" s="846" t="s">
        <v>171</v>
      </c>
      <c r="G483" s="836" t="s">
        <v>265</v>
      </c>
      <c r="H483" s="844"/>
      <c r="I483" s="625"/>
      <c r="J483" s="844"/>
      <c r="K483" s="626"/>
      <c r="L483" s="893"/>
      <c r="M483" s="893"/>
      <c r="N483" s="893">
        <f t="shared" si="97"/>
        <v>0</v>
      </c>
      <c r="O483" s="856"/>
      <c r="P483" s="856"/>
      <c r="Q483" s="856">
        <f t="shared" si="98"/>
        <v>0</v>
      </c>
      <c r="R483" s="894"/>
      <c r="S483" s="855"/>
      <c r="T483" s="896">
        <f t="shared" si="103"/>
        <v>0</v>
      </c>
      <c r="U483" s="862"/>
      <c r="V483" s="857"/>
      <c r="W483" s="857">
        <f t="shared" si="99"/>
        <v>0</v>
      </c>
      <c r="X483" s="863"/>
      <c r="Y483" s="664">
        <f t="shared" si="101"/>
        <v>0</v>
      </c>
      <c r="Z483" s="664">
        <f t="shared" si="104"/>
        <v>0</v>
      </c>
      <c r="AA483" s="836"/>
      <c r="AB483" s="982"/>
      <c r="AC483" s="867"/>
      <c r="AD483" s="867"/>
      <c r="AE483" s="979">
        <f t="shared" si="102"/>
        <v>0</v>
      </c>
      <c r="AF483" s="878"/>
      <c r="AG483" s="335"/>
      <c r="AH483" s="979">
        <f t="shared" si="100"/>
        <v>0</v>
      </c>
      <c r="AI483" s="979"/>
      <c r="AJ483" s="979">
        <f t="shared" si="96"/>
        <v>0</v>
      </c>
      <c r="AK483" s="878"/>
      <c r="AL483" s="618"/>
      <c r="AM483" s="618"/>
    </row>
    <row r="484" spans="1:81" ht="21.6" customHeight="1" x14ac:dyDescent="0.25">
      <c r="A484" s="664"/>
      <c r="B484" s="664"/>
      <c r="C484" s="664"/>
      <c r="D484" s="1086" t="s">
        <v>238</v>
      </c>
      <c r="E484" s="845"/>
      <c r="F484" s="846" t="s">
        <v>317</v>
      </c>
      <c r="G484" s="836" t="s">
        <v>276</v>
      </c>
      <c r="H484" s="844"/>
      <c r="I484" s="625"/>
      <c r="J484" s="844" t="s">
        <v>265</v>
      </c>
      <c r="K484" s="626" t="s">
        <v>796</v>
      </c>
      <c r="L484" s="893">
        <v>26</v>
      </c>
      <c r="M484" s="893">
        <v>26</v>
      </c>
      <c r="N484" s="893">
        <f t="shared" si="97"/>
        <v>52</v>
      </c>
      <c r="O484" s="856">
        <v>100</v>
      </c>
      <c r="P484" s="856"/>
      <c r="Q484" s="856">
        <f t="shared" si="98"/>
        <v>100</v>
      </c>
      <c r="R484" s="894"/>
      <c r="S484" s="855"/>
      <c r="T484" s="896">
        <f t="shared" si="103"/>
        <v>0</v>
      </c>
      <c r="U484" s="862"/>
      <c r="V484" s="857">
        <v>1500</v>
      </c>
      <c r="W484" s="857">
        <f t="shared" si="99"/>
        <v>100</v>
      </c>
      <c r="X484" s="863"/>
      <c r="Y484" s="664">
        <f t="shared" si="101"/>
        <v>1500</v>
      </c>
      <c r="Z484" s="664">
        <f t="shared" si="104"/>
        <v>100</v>
      </c>
      <c r="AA484" s="836"/>
      <c r="AB484" s="982"/>
      <c r="AC484" s="867">
        <v>26</v>
      </c>
      <c r="AD484" s="867">
        <v>26</v>
      </c>
      <c r="AE484" s="979">
        <f t="shared" si="102"/>
        <v>52</v>
      </c>
      <c r="AF484" s="878"/>
      <c r="AG484" s="335">
        <v>1500</v>
      </c>
      <c r="AH484" s="979">
        <f t="shared" si="100"/>
        <v>100</v>
      </c>
      <c r="AI484" s="979"/>
      <c r="AJ484" s="979">
        <f t="shared" si="96"/>
        <v>0</v>
      </c>
      <c r="AK484" s="878"/>
      <c r="AL484" s="618"/>
      <c r="AM484" s="618"/>
    </row>
    <row r="485" spans="1:81" ht="21.6" customHeight="1" x14ac:dyDescent="0.25">
      <c r="A485" s="664"/>
      <c r="B485" s="664"/>
      <c r="C485" s="664"/>
      <c r="D485" s="1086" t="s">
        <v>238</v>
      </c>
      <c r="E485" s="845"/>
      <c r="F485" s="846" t="s">
        <v>534</v>
      </c>
      <c r="G485" s="836"/>
      <c r="H485" s="844"/>
      <c r="I485" s="625"/>
      <c r="J485" s="844"/>
      <c r="K485" s="626"/>
      <c r="L485" s="893"/>
      <c r="M485" s="893"/>
      <c r="N485" s="893">
        <f t="shared" si="97"/>
        <v>0</v>
      </c>
      <c r="O485" s="856"/>
      <c r="P485" s="856"/>
      <c r="Q485" s="856">
        <f t="shared" si="98"/>
        <v>0</v>
      </c>
      <c r="R485" s="894"/>
      <c r="S485" s="855"/>
      <c r="T485" s="896">
        <f t="shared" si="103"/>
        <v>0</v>
      </c>
      <c r="U485" s="862"/>
      <c r="V485" s="857"/>
      <c r="W485" s="857">
        <f t="shared" si="99"/>
        <v>0</v>
      </c>
      <c r="X485" s="863"/>
      <c r="Y485" s="664">
        <f t="shared" si="101"/>
        <v>0</v>
      </c>
      <c r="Z485" s="664">
        <f t="shared" si="104"/>
        <v>0</v>
      </c>
      <c r="AA485" s="836"/>
      <c r="AB485" s="982"/>
      <c r="AC485" s="867"/>
      <c r="AD485" s="867"/>
      <c r="AE485" s="979">
        <f t="shared" si="102"/>
        <v>0</v>
      </c>
      <c r="AF485" s="878"/>
      <c r="AG485" s="335"/>
      <c r="AH485" s="979">
        <f t="shared" si="100"/>
        <v>0</v>
      </c>
      <c r="AI485" s="979"/>
      <c r="AJ485" s="979">
        <f t="shared" si="96"/>
        <v>0</v>
      </c>
      <c r="AK485" s="878"/>
      <c r="AL485" s="618"/>
      <c r="AM485" s="618"/>
    </row>
    <row r="486" spans="1:81" ht="21.6" customHeight="1" x14ac:dyDescent="0.25">
      <c r="A486" s="664"/>
      <c r="B486" s="664"/>
      <c r="C486" s="664"/>
      <c r="D486" s="1086" t="s">
        <v>238</v>
      </c>
      <c r="E486" s="845" t="s">
        <v>429</v>
      </c>
      <c r="F486" s="846" t="s">
        <v>535</v>
      </c>
      <c r="G486" s="836"/>
      <c r="H486" s="844"/>
      <c r="I486" s="625"/>
      <c r="J486" s="844"/>
      <c r="K486" s="626"/>
      <c r="L486" s="893"/>
      <c r="M486" s="893"/>
      <c r="N486" s="893">
        <f t="shared" si="97"/>
        <v>0</v>
      </c>
      <c r="O486" s="856"/>
      <c r="P486" s="856"/>
      <c r="Q486" s="856">
        <f t="shared" si="98"/>
        <v>0</v>
      </c>
      <c r="R486" s="894"/>
      <c r="S486" s="855"/>
      <c r="T486" s="896">
        <f t="shared" si="103"/>
        <v>0</v>
      </c>
      <c r="U486" s="862"/>
      <c r="V486" s="857"/>
      <c r="W486" s="857">
        <f t="shared" si="99"/>
        <v>0</v>
      </c>
      <c r="X486" s="863"/>
      <c r="Y486" s="664">
        <f t="shared" si="101"/>
        <v>0</v>
      </c>
      <c r="Z486" s="664">
        <f t="shared" si="104"/>
        <v>0</v>
      </c>
      <c r="AA486" s="836"/>
      <c r="AB486" s="982"/>
      <c r="AC486" s="867"/>
      <c r="AD486" s="867"/>
      <c r="AE486" s="979">
        <f t="shared" si="102"/>
        <v>0</v>
      </c>
      <c r="AF486" s="878"/>
      <c r="AG486" s="335"/>
      <c r="AH486" s="979">
        <f t="shared" si="100"/>
        <v>0</v>
      </c>
      <c r="AI486" s="979"/>
      <c r="AJ486" s="979">
        <f t="shared" si="96"/>
        <v>0</v>
      </c>
      <c r="AK486" s="878"/>
      <c r="AL486" s="618"/>
      <c r="AM486" s="618"/>
    </row>
    <row r="487" spans="1:81" ht="21.6" customHeight="1" x14ac:dyDescent="0.25">
      <c r="A487" s="664">
        <v>168</v>
      </c>
      <c r="B487" s="664" t="s">
        <v>130</v>
      </c>
      <c r="C487" s="664">
        <v>17</v>
      </c>
      <c r="D487" s="1086" t="s">
        <v>238</v>
      </c>
      <c r="E487" s="845"/>
      <c r="F487" s="846" t="s">
        <v>253</v>
      </c>
      <c r="G487" s="836" t="s">
        <v>265</v>
      </c>
      <c r="H487" s="844"/>
      <c r="I487" s="625"/>
      <c r="J487" s="844"/>
      <c r="K487" s="626"/>
      <c r="L487" s="893"/>
      <c r="M487" s="893"/>
      <c r="N487" s="893">
        <f t="shared" si="97"/>
        <v>0</v>
      </c>
      <c r="O487" s="856"/>
      <c r="P487" s="856"/>
      <c r="Q487" s="856">
        <f t="shared" si="98"/>
        <v>0</v>
      </c>
      <c r="R487" s="894"/>
      <c r="S487" s="855"/>
      <c r="T487" s="896">
        <f t="shared" si="103"/>
        <v>0</v>
      </c>
      <c r="U487" s="862"/>
      <c r="V487" s="857"/>
      <c r="W487" s="857">
        <f t="shared" si="99"/>
        <v>0</v>
      </c>
      <c r="X487" s="863"/>
      <c r="Y487" s="664">
        <f t="shared" si="101"/>
        <v>0</v>
      </c>
      <c r="Z487" s="664">
        <f t="shared" si="104"/>
        <v>0</v>
      </c>
      <c r="AA487" s="836"/>
      <c r="AB487" s="982"/>
      <c r="AC487" s="867"/>
      <c r="AD487" s="867"/>
      <c r="AE487" s="979">
        <f t="shared" si="102"/>
        <v>0</v>
      </c>
      <c r="AF487" s="878"/>
      <c r="AG487" s="335"/>
      <c r="AH487" s="979">
        <f t="shared" si="100"/>
        <v>0</v>
      </c>
      <c r="AI487" s="979"/>
      <c r="AJ487" s="979">
        <f t="shared" si="96"/>
        <v>0</v>
      </c>
      <c r="AK487" s="878"/>
      <c r="AL487" s="618"/>
      <c r="AM487" s="618"/>
    </row>
    <row r="488" spans="1:81" ht="21.6" customHeight="1" x14ac:dyDescent="0.25">
      <c r="A488" s="664">
        <v>166</v>
      </c>
      <c r="B488" s="664" t="s">
        <v>130</v>
      </c>
      <c r="C488" s="664">
        <v>15</v>
      </c>
      <c r="D488" s="1086" t="s">
        <v>238</v>
      </c>
      <c r="E488" s="845"/>
      <c r="F488" s="846" t="s">
        <v>251</v>
      </c>
      <c r="G488" s="836" t="s">
        <v>265</v>
      </c>
      <c r="H488" s="844"/>
      <c r="I488" s="625"/>
      <c r="J488" s="844"/>
      <c r="K488" s="626"/>
      <c r="L488" s="893"/>
      <c r="M488" s="893"/>
      <c r="N488" s="893">
        <f t="shared" si="97"/>
        <v>0</v>
      </c>
      <c r="O488" s="856"/>
      <c r="P488" s="856"/>
      <c r="Q488" s="856">
        <f t="shared" si="98"/>
        <v>0</v>
      </c>
      <c r="R488" s="894"/>
      <c r="S488" s="855"/>
      <c r="T488" s="896">
        <f t="shared" si="103"/>
        <v>0</v>
      </c>
      <c r="U488" s="862"/>
      <c r="V488" s="857"/>
      <c r="W488" s="857">
        <f t="shared" si="99"/>
        <v>0</v>
      </c>
      <c r="X488" s="863"/>
      <c r="Y488" s="664">
        <f t="shared" si="101"/>
        <v>0</v>
      </c>
      <c r="Z488" s="664">
        <f t="shared" si="104"/>
        <v>0</v>
      </c>
      <c r="AA488" s="836"/>
      <c r="AB488" s="982"/>
      <c r="AC488" s="867"/>
      <c r="AD488" s="867"/>
      <c r="AE488" s="979">
        <f t="shared" si="102"/>
        <v>0</v>
      </c>
      <c r="AF488" s="878"/>
      <c r="AG488" s="335"/>
      <c r="AH488" s="979">
        <f t="shared" si="100"/>
        <v>0</v>
      </c>
      <c r="AI488" s="979"/>
      <c r="AJ488" s="979">
        <f t="shared" si="96"/>
        <v>0</v>
      </c>
      <c r="AK488" s="878"/>
      <c r="AL488" s="618"/>
      <c r="AM488" s="618"/>
    </row>
    <row r="489" spans="1:81" ht="21.6" customHeight="1" x14ac:dyDescent="0.25">
      <c r="A489" s="664">
        <v>154</v>
      </c>
      <c r="B489" s="664" t="s">
        <v>130</v>
      </c>
      <c r="C489" s="664">
        <v>3</v>
      </c>
      <c r="D489" s="1086" t="s">
        <v>238</v>
      </c>
      <c r="E489" s="845"/>
      <c r="F489" s="846" t="s">
        <v>172</v>
      </c>
      <c r="G489" s="836" t="s">
        <v>265</v>
      </c>
      <c r="H489" s="844"/>
      <c r="I489" s="625"/>
      <c r="J489" s="844"/>
      <c r="K489" s="626"/>
      <c r="L489" s="893"/>
      <c r="M489" s="893"/>
      <c r="N489" s="893">
        <f t="shared" si="97"/>
        <v>0</v>
      </c>
      <c r="O489" s="856"/>
      <c r="P489" s="856"/>
      <c r="Q489" s="856">
        <f t="shared" si="98"/>
        <v>0</v>
      </c>
      <c r="R489" s="894"/>
      <c r="S489" s="855"/>
      <c r="T489" s="896">
        <f t="shared" si="103"/>
        <v>0</v>
      </c>
      <c r="U489" s="862"/>
      <c r="V489" s="857"/>
      <c r="W489" s="857">
        <f t="shared" si="99"/>
        <v>0</v>
      </c>
      <c r="X489" s="863"/>
      <c r="Y489" s="664">
        <f t="shared" si="101"/>
        <v>0</v>
      </c>
      <c r="Z489" s="664">
        <f t="shared" si="104"/>
        <v>0</v>
      </c>
      <c r="AA489" s="836"/>
      <c r="AB489" s="982"/>
      <c r="AC489" s="867"/>
      <c r="AD489" s="867"/>
      <c r="AE489" s="979">
        <f t="shared" si="102"/>
        <v>0</v>
      </c>
      <c r="AF489" s="878"/>
      <c r="AG489" s="335"/>
      <c r="AH489" s="979">
        <f t="shared" si="100"/>
        <v>0</v>
      </c>
      <c r="AI489" s="979"/>
      <c r="AJ489" s="979">
        <f t="shared" ref="AJ489:AJ542" si="105">Z489-AH489</f>
        <v>0</v>
      </c>
      <c r="AK489" s="878"/>
      <c r="AL489" s="618"/>
      <c r="AM489" s="618"/>
    </row>
    <row r="490" spans="1:81" s="641" customFormat="1" ht="21.6" customHeight="1" x14ac:dyDescent="0.25">
      <c r="A490" s="836">
        <v>163</v>
      </c>
      <c r="B490" s="836" t="s">
        <v>130</v>
      </c>
      <c r="C490" s="836">
        <v>12</v>
      </c>
      <c r="D490" s="1086" t="s">
        <v>238</v>
      </c>
      <c r="E490" s="845"/>
      <c r="F490" s="846" t="s">
        <v>248</v>
      </c>
      <c r="G490" s="836" t="s">
        <v>265</v>
      </c>
      <c r="H490" s="844"/>
      <c r="I490" s="625"/>
      <c r="J490" s="844"/>
      <c r="K490" s="626"/>
      <c r="L490" s="890"/>
      <c r="M490" s="890"/>
      <c r="N490" s="890">
        <f t="shared" si="97"/>
        <v>0</v>
      </c>
      <c r="O490" s="467"/>
      <c r="P490" s="467"/>
      <c r="Q490" s="467">
        <f t="shared" si="98"/>
        <v>0</v>
      </c>
      <c r="R490" s="625"/>
      <c r="S490" s="842"/>
      <c r="T490" s="862">
        <f t="shared" si="103"/>
        <v>0</v>
      </c>
      <c r="U490" s="862"/>
      <c r="V490" s="863"/>
      <c r="W490" s="857">
        <f t="shared" si="99"/>
        <v>0</v>
      </c>
      <c r="X490" s="863"/>
      <c r="Y490" s="836">
        <f t="shared" si="101"/>
        <v>0</v>
      </c>
      <c r="Z490" s="664">
        <f t="shared" si="104"/>
        <v>0</v>
      </c>
      <c r="AA490" s="836"/>
      <c r="AB490" s="982"/>
      <c r="AC490" s="867"/>
      <c r="AD490" s="867"/>
      <c r="AE490" s="979">
        <f t="shared" si="102"/>
        <v>0</v>
      </c>
      <c r="AF490" s="878"/>
      <c r="AG490" s="335"/>
      <c r="AH490" s="979">
        <f t="shared" si="100"/>
        <v>0</v>
      </c>
      <c r="AI490" s="979"/>
      <c r="AJ490" s="979">
        <f t="shared" si="105"/>
        <v>0</v>
      </c>
      <c r="AK490" s="878"/>
      <c r="AL490" s="648"/>
      <c r="AM490" s="648"/>
      <c r="AN490" s="647"/>
      <c r="AO490" s="647"/>
      <c r="AP490" s="647"/>
      <c r="AQ490" s="647"/>
      <c r="AR490" s="647"/>
      <c r="AS490" s="647"/>
      <c r="AT490" s="647"/>
      <c r="AU490" s="647"/>
      <c r="AV490" s="647"/>
      <c r="AW490" s="647"/>
      <c r="AX490" s="647"/>
      <c r="AY490" s="647"/>
      <c r="AZ490" s="647"/>
      <c r="BA490" s="647"/>
      <c r="BB490" s="647"/>
      <c r="BC490" s="647"/>
      <c r="BD490" s="647"/>
      <c r="BE490" s="647"/>
      <c r="BF490" s="647"/>
      <c r="BG490" s="647"/>
      <c r="BH490" s="647"/>
      <c r="BI490" s="647"/>
      <c r="BJ490" s="647"/>
      <c r="BK490" s="647"/>
      <c r="BL490" s="647"/>
      <c r="BM490" s="647"/>
      <c r="BN490" s="647"/>
      <c r="BO490" s="647"/>
      <c r="BP490" s="647"/>
      <c r="BQ490" s="647"/>
      <c r="BR490" s="647"/>
      <c r="BS490" s="647"/>
      <c r="BT490" s="647"/>
      <c r="BU490" s="647"/>
      <c r="BV490" s="647"/>
      <c r="BW490" s="647"/>
      <c r="BX490" s="647"/>
      <c r="BY490" s="647"/>
      <c r="BZ490" s="647"/>
      <c r="CA490" s="647"/>
      <c r="CB490" s="647"/>
      <c r="CC490" s="647"/>
    </row>
    <row r="491" spans="1:81" ht="21.6" customHeight="1" x14ac:dyDescent="0.25">
      <c r="A491" s="664"/>
      <c r="B491" s="664"/>
      <c r="C491" s="664"/>
      <c r="D491" s="1086"/>
      <c r="E491" s="845"/>
      <c r="F491" s="846"/>
      <c r="G491" s="836"/>
      <c r="H491" s="844"/>
      <c r="I491" s="625"/>
      <c r="J491" s="844"/>
      <c r="K491" s="626"/>
      <c r="L491" s="893"/>
      <c r="M491" s="893"/>
      <c r="N491" s="893">
        <f t="shared" si="97"/>
        <v>0</v>
      </c>
      <c r="O491" s="856"/>
      <c r="P491" s="856"/>
      <c r="Q491" s="856">
        <f t="shared" si="98"/>
        <v>0</v>
      </c>
      <c r="R491" s="894"/>
      <c r="S491" s="855"/>
      <c r="T491" s="896">
        <f t="shared" si="103"/>
        <v>0</v>
      </c>
      <c r="U491" s="862"/>
      <c r="V491" s="857"/>
      <c r="W491" s="857">
        <f t="shared" si="99"/>
        <v>0</v>
      </c>
      <c r="X491" s="863"/>
      <c r="Y491" s="664">
        <f t="shared" si="101"/>
        <v>0</v>
      </c>
      <c r="Z491" s="664">
        <f t="shared" si="104"/>
        <v>0</v>
      </c>
      <c r="AA491" s="836"/>
      <c r="AB491" s="982"/>
      <c r="AC491" s="867"/>
      <c r="AD491" s="867"/>
      <c r="AE491" s="979">
        <f t="shared" si="102"/>
        <v>0</v>
      </c>
      <c r="AF491" s="878"/>
      <c r="AG491" s="335"/>
      <c r="AH491" s="979">
        <f t="shared" si="100"/>
        <v>0</v>
      </c>
      <c r="AI491" s="979"/>
      <c r="AJ491" s="979">
        <f t="shared" si="105"/>
        <v>0</v>
      </c>
      <c r="AK491" s="878"/>
      <c r="AL491" s="618"/>
      <c r="AM491" s="618"/>
    </row>
    <row r="492" spans="1:81" ht="21.6" customHeight="1" x14ac:dyDescent="0.25">
      <c r="A492" s="664"/>
      <c r="B492" s="664"/>
      <c r="C492" s="664"/>
      <c r="D492" s="1086" t="s">
        <v>342</v>
      </c>
      <c r="E492" s="845"/>
      <c r="F492" s="846" t="s">
        <v>344</v>
      </c>
      <c r="G492" s="836" t="s">
        <v>276</v>
      </c>
      <c r="H492" s="844"/>
      <c r="I492" s="625"/>
      <c r="J492" s="844"/>
      <c r="K492" s="626"/>
      <c r="L492" s="893"/>
      <c r="M492" s="893"/>
      <c r="N492" s="893">
        <f t="shared" si="97"/>
        <v>0</v>
      </c>
      <c r="O492" s="856"/>
      <c r="P492" s="856"/>
      <c r="Q492" s="856">
        <f t="shared" si="98"/>
        <v>0</v>
      </c>
      <c r="R492" s="894"/>
      <c r="S492" s="855">
        <v>30</v>
      </c>
      <c r="T492" s="896">
        <f t="shared" si="103"/>
        <v>2</v>
      </c>
      <c r="U492" s="862">
        <f>SUM(T492:T495)</f>
        <v>2</v>
      </c>
      <c r="V492" s="857"/>
      <c r="W492" s="857">
        <f t="shared" si="99"/>
        <v>0</v>
      </c>
      <c r="X492" s="863">
        <f>SUM(W492:W495)</f>
        <v>4.9999999999999991</v>
      </c>
      <c r="Y492" s="664">
        <f t="shared" si="101"/>
        <v>30</v>
      </c>
      <c r="Z492" s="664">
        <f t="shared" si="104"/>
        <v>2</v>
      </c>
      <c r="AA492" s="836">
        <f>SUM(Z492:Z495)</f>
        <v>6.9999999999999991</v>
      </c>
      <c r="AB492" s="982">
        <v>7</v>
      </c>
      <c r="AC492" s="867"/>
      <c r="AD492" s="867"/>
      <c r="AE492" s="979">
        <f t="shared" si="102"/>
        <v>0</v>
      </c>
      <c r="AF492" s="878">
        <f>SUM(AE492:AE495)</f>
        <v>19</v>
      </c>
      <c r="AG492" s="335"/>
      <c r="AH492" s="979">
        <f t="shared" si="100"/>
        <v>0</v>
      </c>
      <c r="AI492" s="979">
        <f>SUM(AH492:AH495)</f>
        <v>4.9999999999999991</v>
      </c>
      <c r="AJ492" s="979">
        <f t="shared" si="105"/>
        <v>2</v>
      </c>
      <c r="AK492" s="878">
        <f>SUM(AJ492:AJ495)</f>
        <v>2</v>
      </c>
      <c r="AL492" s="618"/>
      <c r="AM492" s="618"/>
    </row>
    <row r="493" spans="1:81" s="819" customFormat="1" ht="21.6" customHeight="1" x14ac:dyDescent="0.25">
      <c r="A493" s="923"/>
      <c r="B493" s="923"/>
      <c r="C493" s="923"/>
      <c r="D493" s="924" t="s">
        <v>342</v>
      </c>
      <c r="E493" s="924"/>
      <c r="F493" s="925" t="s">
        <v>814</v>
      </c>
      <c r="G493" s="926"/>
      <c r="H493" s="927"/>
      <c r="I493" s="928"/>
      <c r="J493" s="927" t="s">
        <v>265</v>
      </c>
      <c r="K493" s="929" t="s">
        <v>813</v>
      </c>
      <c r="L493" s="930">
        <v>9</v>
      </c>
      <c r="M493" s="930">
        <v>5</v>
      </c>
      <c r="N493" s="893">
        <f t="shared" si="97"/>
        <v>14</v>
      </c>
      <c r="O493" s="931"/>
      <c r="P493" s="931">
        <v>2.8</v>
      </c>
      <c r="Q493" s="856">
        <f t="shared" si="98"/>
        <v>2.8</v>
      </c>
      <c r="R493" s="931"/>
      <c r="S493" s="931"/>
      <c r="T493" s="896">
        <f t="shared" si="103"/>
        <v>0</v>
      </c>
      <c r="U493" s="926"/>
      <c r="V493" s="923">
        <v>42</v>
      </c>
      <c r="W493" s="857">
        <f t="shared" si="99"/>
        <v>2.8</v>
      </c>
      <c r="X493" s="926"/>
      <c r="Y493" s="923"/>
      <c r="Z493" s="664">
        <f t="shared" si="104"/>
        <v>2.8</v>
      </c>
      <c r="AA493" s="926"/>
      <c r="AB493" s="982"/>
      <c r="AC493" s="867">
        <v>9</v>
      </c>
      <c r="AD493" s="867">
        <v>5</v>
      </c>
      <c r="AE493" s="979">
        <f t="shared" si="102"/>
        <v>14</v>
      </c>
      <c r="AF493" s="878"/>
      <c r="AG493" s="335">
        <v>42</v>
      </c>
      <c r="AH493" s="979">
        <f t="shared" si="100"/>
        <v>2.8</v>
      </c>
      <c r="AI493" s="979"/>
      <c r="AJ493" s="979">
        <f t="shared" si="105"/>
        <v>0</v>
      </c>
      <c r="AK493" s="878"/>
      <c r="AL493" s="820"/>
      <c r="AM493" s="820"/>
    </row>
    <row r="494" spans="1:81" ht="21.6" customHeight="1" x14ac:dyDescent="0.25">
      <c r="A494" s="664"/>
      <c r="B494" s="664"/>
      <c r="C494" s="664"/>
      <c r="D494" s="1086" t="s">
        <v>342</v>
      </c>
      <c r="E494" s="845"/>
      <c r="F494" s="846" t="s">
        <v>345</v>
      </c>
      <c r="G494" s="836" t="s">
        <v>276</v>
      </c>
      <c r="H494" s="844"/>
      <c r="I494" s="625"/>
      <c r="J494" s="844" t="s">
        <v>265</v>
      </c>
      <c r="K494" s="626" t="s">
        <v>813</v>
      </c>
      <c r="L494" s="893">
        <v>2</v>
      </c>
      <c r="M494" s="893">
        <v>1</v>
      </c>
      <c r="N494" s="893">
        <f t="shared" si="97"/>
        <v>3</v>
      </c>
      <c r="O494" s="856"/>
      <c r="P494" s="856">
        <v>1.75</v>
      </c>
      <c r="Q494" s="856">
        <f t="shared" si="98"/>
        <v>1.75</v>
      </c>
      <c r="R494" s="894"/>
      <c r="S494" s="855"/>
      <c r="T494" s="896">
        <f t="shared" si="103"/>
        <v>0</v>
      </c>
      <c r="U494" s="862"/>
      <c r="V494" s="857">
        <v>21</v>
      </c>
      <c r="W494" s="857">
        <f t="shared" si="99"/>
        <v>1.4</v>
      </c>
      <c r="X494" s="863"/>
      <c r="Y494" s="664">
        <f t="shared" si="101"/>
        <v>21</v>
      </c>
      <c r="Z494" s="664">
        <f t="shared" si="104"/>
        <v>1.4</v>
      </c>
      <c r="AA494" s="836"/>
      <c r="AB494" s="982"/>
      <c r="AC494" s="867">
        <v>2</v>
      </c>
      <c r="AD494" s="867">
        <v>1</v>
      </c>
      <c r="AE494" s="979">
        <f t="shared" si="102"/>
        <v>3</v>
      </c>
      <c r="AF494" s="878"/>
      <c r="AG494" s="335">
        <v>21</v>
      </c>
      <c r="AH494" s="979">
        <f t="shared" si="100"/>
        <v>1.4</v>
      </c>
      <c r="AI494" s="979"/>
      <c r="AJ494" s="979">
        <f t="shared" si="105"/>
        <v>0</v>
      </c>
      <c r="AK494" s="878"/>
      <c r="AL494" s="618"/>
      <c r="AM494" s="618"/>
    </row>
    <row r="495" spans="1:81" s="641" customFormat="1" ht="28.5" customHeight="1" x14ac:dyDescent="0.25">
      <c r="A495" s="836"/>
      <c r="B495" s="836"/>
      <c r="C495" s="836"/>
      <c r="D495" s="1086" t="s">
        <v>342</v>
      </c>
      <c r="E495" s="845"/>
      <c r="F495" s="846" t="s">
        <v>343</v>
      </c>
      <c r="G495" s="836" t="s">
        <v>276</v>
      </c>
      <c r="H495" s="844"/>
      <c r="I495" s="625"/>
      <c r="J495" s="844" t="s">
        <v>265</v>
      </c>
      <c r="K495" s="626" t="s">
        <v>813</v>
      </c>
      <c r="L495" s="843"/>
      <c r="M495" s="843">
        <v>2</v>
      </c>
      <c r="N495" s="843">
        <f t="shared" ref="N495:N541" si="106">M495+L495</f>
        <v>2</v>
      </c>
      <c r="O495" s="467"/>
      <c r="P495" s="840">
        <v>0.8</v>
      </c>
      <c r="Q495" s="840">
        <f t="shared" ref="Q495:Q541" si="107">P495+O495</f>
        <v>0.8</v>
      </c>
      <c r="R495" s="625"/>
      <c r="S495" s="842"/>
      <c r="T495" s="896">
        <f t="shared" si="103"/>
        <v>0</v>
      </c>
      <c r="U495" s="842"/>
      <c r="V495" s="863">
        <v>12</v>
      </c>
      <c r="W495" s="857">
        <f t="shared" si="99"/>
        <v>0.8</v>
      </c>
      <c r="X495" s="467"/>
      <c r="Y495" s="836">
        <f t="shared" si="101"/>
        <v>12</v>
      </c>
      <c r="Z495" s="664">
        <f t="shared" si="104"/>
        <v>0.8</v>
      </c>
      <c r="AA495" s="625"/>
      <c r="AB495" s="983"/>
      <c r="AC495" s="50">
        <v>0</v>
      </c>
      <c r="AD495" s="50">
        <v>2</v>
      </c>
      <c r="AE495" s="906">
        <f t="shared" si="102"/>
        <v>2</v>
      </c>
      <c r="AF495" s="903"/>
      <c r="AG495" s="51">
        <v>12</v>
      </c>
      <c r="AH495" s="906">
        <f t="shared" si="100"/>
        <v>0.8</v>
      </c>
      <c r="AI495" s="906"/>
      <c r="AJ495" s="906">
        <f t="shared" si="105"/>
        <v>0</v>
      </c>
      <c r="AK495" s="903"/>
      <c r="AL495" s="635"/>
      <c r="AM495" s="648"/>
      <c r="AN495" s="647"/>
      <c r="AO495" s="647"/>
      <c r="AP495" s="647"/>
      <c r="AQ495" s="647"/>
      <c r="AR495" s="647"/>
      <c r="AS495" s="647"/>
      <c r="AT495" s="647"/>
      <c r="AU495" s="647"/>
      <c r="AV495" s="647"/>
      <c r="AW495" s="647"/>
      <c r="AX495" s="647"/>
      <c r="AY495" s="647"/>
      <c r="AZ495" s="647"/>
      <c r="BA495" s="647"/>
      <c r="BB495" s="647"/>
      <c r="BC495" s="647"/>
      <c r="BD495" s="647"/>
      <c r="BE495" s="647"/>
      <c r="BF495" s="647"/>
      <c r="BG495" s="647"/>
      <c r="BH495" s="647"/>
      <c r="BI495" s="647"/>
      <c r="BJ495" s="647"/>
      <c r="BK495" s="647"/>
      <c r="BL495" s="647"/>
      <c r="BM495" s="647"/>
      <c r="BN495" s="647"/>
      <c r="BO495" s="647"/>
      <c r="BP495" s="647"/>
      <c r="BQ495" s="647"/>
      <c r="BR495" s="647"/>
      <c r="BS495" s="647"/>
      <c r="BT495" s="647"/>
      <c r="BU495" s="647"/>
      <c r="BV495" s="647"/>
      <c r="BW495" s="647"/>
      <c r="BX495" s="647"/>
      <c r="BY495" s="647"/>
      <c r="BZ495" s="647"/>
      <c r="CA495" s="647"/>
      <c r="CB495" s="647"/>
      <c r="CC495" s="647"/>
    </row>
    <row r="496" spans="1:81" s="641" customFormat="1" ht="39.75" customHeight="1" x14ac:dyDescent="0.25">
      <c r="A496" s="836"/>
      <c r="B496" s="836"/>
      <c r="C496" s="836"/>
      <c r="D496" s="1086"/>
      <c r="E496" s="845"/>
      <c r="F496" s="846"/>
      <c r="G496" s="836"/>
      <c r="H496" s="844"/>
      <c r="I496" s="625"/>
      <c r="J496" s="844"/>
      <c r="K496" s="626"/>
      <c r="L496" s="843"/>
      <c r="M496" s="843"/>
      <c r="N496" s="843">
        <f t="shared" si="106"/>
        <v>0</v>
      </c>
      <c r="O496" s="467"/>
      <c r="P496" s="840"/>
      <c r="Q496" s="840">
        <f t="shared" si="107"/>
        <v>0</v>
      </c>
      <c r="R496" s="625"/>
      <c r="S496" s="842"/>
      <c r="T496" s="896">
        <f t="shared" si="103"/>
        <v>0</v>
      </c>
      <c r="U496" s="896"/>
      <c r="V496" s="897"/>
      <c r="W496" s="857">
        <f t="shared" si="99"/>
        <v>0</v>
      </c>
      <c r="X496" s="897"/>
      <c r="Y496" s="836">
        <f t="shared" si="101"/>
        <v>0</v>
      </c>
      <c r="Z496" s="664">
        <f t="shared" si="104"/>
        <v>0</v>
      </c>
      <c r="AA496" s="836"/>
      <c r="AB496" s="982"/>
      <c r="AC496" s="867"/>
      <c r="AD496" s="867"/>
      <c r="AE496" s="979">
        <f t="shared" si="102"/>
        <v>0</v>
      </c>
      <c r="AF496" s="878"/>
      <c r="AG496" s="335"/>
      <c r="AH496" s="979">
        <f t="shared" si="100"/>
        <v>0</v>
      </c>
      <c r="AI496" s="979"/>
      <c r="AJ496" s="979">
        <f t="shared" si="105"/>
        <v>0</v>
      </c>
      <c r="AK496" s="878"/>
      <c r="AL496" s="648"/>
      <c r="AM496" s="648"/>
      <c r="AN496" s="647"/>
      <c r="AO496" s="647"/>
      <c r="AP496" s="647"/>
      <c r="AQ496" s="647"/>
      <c r="AR496" s="647"/>
      <c r="AS496" s="647"/>
      <c r="AT496" s="647"/>
      <c r="AU496" s="647"/>
      <c r="AV496" s="647"/>
      <c r="AW496" s="647"/>
      <c r="AX496" s="647"/>
      <c r="AY496" s="647"/>
      <c r="AZ496" s="647"/>
      <c r="BA496" s="647"/>
      <c r="BB496" s="647"/>
      <c r="BC496" s="647"/>
      <c r="BD496" s="647"/>
      <c r="BE496" s="647"/>
      <c r="BF496" s="647"/>
      <c r="BG496" s="647"/>
      <c r="BH496" s="647"/>
      <c r="BI496" s="647"/>
      <c r="BJ496" s="647"/>
      <c r="BK496" s="647"/>
      <c r="BL496" s="647"/>
      <c r="BM496" s="647"/>
      <c r="BN496" s="647"/>
      <c r="BO496" s="647"/>
      <c r="BP496" s="647"/>
      <c r="BQ496" s="647"/>
      <c r="BR496" s="647"/>
      <c r="BS496" s="647"/>
      <c r="BT496" s="647"/>
      <c r="BU496" s="647"/>
      <c r="BV496" s="647"/>
      <c r="BW496" s="647"/>
      <c r="BX496" s="647"/>
      <c r="BY496" s="647"/>
      <c r="BZ496" s="647"/>
      <c r="CA496" s="647"/>
      <c r="CB496" s="647"/>
      <c r="CC496" s="647"/>
    </row>
    <row r="497" spans="1:81" ht="34.5" customHeight="1" x14ac:dyDescent="0.25">
      <c r="A497" s="664"/>
      <c r="B497" s="664"/>
      <c r="C497" s="664"/>
      <c r="D497" s="1086" t="s">
        <v>368</v>
      </c>
      <c r="E497" s="845" t="s">
        <v>489</v>
      </c>
      <c r="F497" s="846" t="s">
        <v>552</v>
      </c>
      <c r="G497" s="836" t="s">
        <v>276</v>
      </c>
      <c r="H497" s="844"/>
      <c r="I497" s="625"/>
      <c r="J497" s="844"/>
      <c r="K497" s="626"/>
      <c r="L497" s="893"/>
      <c r="M497" s="893"/>
      <c r="N497" s="893">
        <f t="shared" si="106"/>
        <v>0</v>
      </c>
      <c r="O497" s="856"/>
      <c r="P497" s="856"/>
      <c r="Q497" s="856">
        <f t="shared" si="107"/>
        <v>0</v>
      </c>
      <c r="R497" s="894"/>
      <c r="S497" s="855">
        <f>411-222</f>
        <v>189</v>
      </c>
      <c r="T497" s="896">
        <f t="shared" si="103"/>
        <v>12.6</v>
      </c>
      <c r="U497" s="862">
        <f>SUM(T497:T532)</f>
        <v>12.6</v>
      </c>
      <c r="V497" s="857"/>
      <c r="W497" s="857">
        <f t="shared" si="99"/>
        <v>0</v>
      </c>
      <c r="X497" s="863">
        <f>SUM(W497:W532)</f>
        <v>331</v>
      </c>
      <c r="Y497" s="664">
        <f t="shared" si="101"/>
        <v>189</v>
      </c>
      <c r="Z497" s="664">
        <f t="shared" si="104"/>
        <v>12.6</v>
      </c>
      <c r="AA497" s="836">
        <f>SUM(Z497:Z532)</f>
        <v>343.59999999999997</v>
      </c>
      <c r="AB497" s="982">
        <v>343.6</v>
      </c>
      <c r="AC497" s="867"/>
      <c r="AD497" s="867"/>
      <c r="AE497" s="979">
        <f t="shared" si="102"/>
        <v>0</v>
      </c>
      <c r="AF497" s="878">
        <f>SUM(AE497:AE532)</f>
        <v>475</v>
      </c>
      <c r="AG497" s="335"/>
      <c r="AH497" s="979">
        <f t="shared" si="100"/>
        <v>0</v>
      </c>
      <c r="AI497" s="979">
        <f>SUM(AH497:AH532)</f>
        <v>385.90000000000003</v>
      </c>
      <c r="AJ497" s="979">
        <f t="shared" si="105"/>
        <v>12.6</v>
      </c>
      <c r="AK497" s="878">
        <f>SUM(AJ497:AJ532)</f>
        <v>-42.3</v>
      </c>
      <c r="AL497" s="618"/>
      <c r="AM497" s="618"/>
    </row>
    <row r="498" spans="1:81" ht="52.5" customHeight="1" x14ac:dyDescent="0.25">
      <c r="A498" s="664"/>
      <c r="B498" s="664"/>
      <c r="C498" s="664"/>
      <c r="D498" s="1086" t="s">
        <v>368</v>
      </c>
      <c r="E498" s="891" t="s">
        <v>489</v>
      </c>
      <c r="F498" s="846" t="s">
        <v>734</v>
      </c>
      <c r="G498" s="836" t="s">
        <v>276</v>
      </c>
      <c r="H498" s="844" t="s">
        <v>276</v>
      </c>
      <c r="I498" s="625" t="s">
        <v>276</v>
      </c>
      <c r="J498" s="844" t="s">
        <v>265</v>
      </c>
      <c r="K498" s="626" t="s">
        <v>728</v>
      </c>
      <c r="L498" s="893">
        <v>28</v>
      </c>
      <c r="M498" s="893">
        <v>7</v>
      </c>
      <c r="N498" s="893">
        <f t="shared" si="106"/>
        <v>35</v>
      </c>
      <c r="O498" s="856"/>
      <c r="P498" s="856">
        <v>19</v>
      </c>
      <c r="Q498" s="856">
        <f t="shared" si="107"/>
        <v>19</v>
      </c>
      <c r="R498" s="894"/>
      <c r="S498" s="855"/>
      <c r="T498" s="896">
        <f t="shared" si="103"/>
        <v>0</v>
      </c>
      <c r="U498" s="862"/>
      <c r="V498" s="857">
        <v>285</v>
      </c>
      <c r="W498" s="857">
        <f t="shared" si="99"/>
        <v>19</v>
      </c>
      <c r="X498" s="863"/>
      <c r="Y498" s="664">
        <f t="shared" si="101"/>
        <v>285</v>
      </c>
      <c r="Z498" s="664">
        <f>W498+T498</f>
        <v>19</v>
      </c>
      <c r="AA498" s="836"/>
      <c r="AB498" s="982"/>
      <c r="AC498" s="867">
        <v>28</v>
      </c>
      <c r="AD498" s="867">
        <v>7</v>
      </c>
      <c r="AE498" s="979">
        <f t="shared" si="102"/>
        <v>35</v>
      </c>
      <c r="AF498" s="878"/>
      <c r="AG498" s="335">
        <v>285</v>
      </c>
      <c r="AH498" s="979">
        <f t="shared" si="100"/>
        <v>19</v>
      </c>
      <c r="AI498" s="979"/>
      <c r="AJ498" s="979">
        <f t="shared" si="105"/>
        <v>0</v>
      </c>
      <c r="AK498" s="878"/>
      <c r="AL498" s="618"/>
      <c r="AM498" s="618"/>
    </row>
    <row r="499" spans="1:81" ht="21.6" customHeight="1" x14ac:dyDescent="0.25">
      <c r="A499" s="910"/>
      <c r="B499" s="910"/>
      <c r="C499" s="910"/>
      <c r="D499" s="1086" t="s">
        <v>368</v>
      </c>
      <c r="E499" s="845"/>
      <c r="F499" s="911" t="s">
        <v>567</v>
      </c>
      <c r="G499" s="845" t="s">
        <v>276</v>
      </c>
      <c r="H499" s="901"/>
      <c r="I499" s="402"/>
      <c r="J499" s="901"/>
      <c r="K499" s="918"/>
      <c r="L499" s="912"/>
      <c r="M499" s="912"/>
      <c r="N499" s="912">
        <f t="shared" si="106"/>
        <v>0</v>
      </c>
      <c r="O499" s="913"/>
      <c r="P499" s="913"/>
      <c r="Q499" s="913">
        <f t="shared" si="107"/>
        <v>0</v>
      </c>
      <c r="R499" s="346"/>
      <c r="S499" s="855"/>
      <c r="T499" s="896">
        <f t="shared" si="103"/>
        <v>0</v>
      </c>
      <c r="U499" s="862"/>
      <c r="V499" s="857"/>
      <c r="W499" s="857">
        <f t="shared" si="99"/>
        <v>0</v>
      </c>
      <c r="X499" s="863"/>
      <c r="Y499" s="664">
        <f t="shared" si="101"/>
        <v>0</v>
      </c>
      <c r="Z499" s="664">
        <f t="shared" si="104"/>
        <v>0</v>
      </c>
      <c r="AA499" s="836"/>
      <c r="AB499" s="982"/>
      <c r="AC499" s="867"/>
      <c r="AD499" s="867"/>
      <c r="AE499" s="979">
        <f t="shared" si="102"/>
        <v>0</v>
      </c>
      <c r="AF499" s="878"/>
      <c r="AG499" s="335"/>
      <c r="AH499" s="979">
        <f t="shared" si="100"/>
        <v>0</v>
      </c>
      <c r="AI499" s="979"/>
      <c r="AJ499" s="979">
        <f t="shared" si="105"/>
        <v>0</v>
      </c>
      <c r="AK499" s="878"/>
      <c r="AL499" s="618"/>
      <c r="AM499" s="618"/>
    </row>
    <row r="500" spans="1:81" ht="29.25" customHeight="1" x14ac:dyDescent="0.25">
      <c r="A500" s="664"/>
      <c r="B500" s="664"/>
      <c r="C500" s="664"/>
      <c r="D500" s="1086" t="s">
        <v>368</v>
      </c>
      <c r="E500" s="845" t="s">
        <v>431</v>
      </c>
      <c r="F500" s="846" t="s">
        <v>580</v>
      </c>
      <c r="G500" s="836" t="s">
        <v>276</v>
      </c>
      <c r="H500" s="844"/>
      <c r="I500" s="625"/>
      <c r="J500" s="844"/>
      <c r="K500" s="626"/>
      <c r="L500" s="893"/>
      <c r="M500" s="893"/>
      <c r="N500" s="893">
        <f t="shared" si="106"/>
        <v>0</v>
      </c>
      <c r="O500" s="856"/>
      <c r="P500" s="856"/>
      <c r="Q500" s="856">
        <f t="shared" si="107"/>
        <v>0</v>
      </c>
      <c r="R500" s="894"/>
      <c r="S500" s="855"/>
      <c r="T500" s="896">
        <f t="shared" si="103"/>
        <v>0</v>
      </c>
      <c r="U500" s="862"/>
      <c r="V500" s="857"/>
      <c r="W500" s="857">
        <f t="shared" si="99"/>
        <v>0</v>
      </c>
      <c r="X500" s="863"/>
      <c r="Y500" s="664">
        <f t="shared" si="101"/>
        <v>0</v>
      </c>
      <c r="Z500" s="664">
        <f t="shared" si="104"/>
        <v>0</v>
      </c>
      <c r="AA500" s="836"/>
      <c r="AB500" s="982"/>
      <c r="AC500" s="867"/>
      <c r="AD500" s="867"/>
      <c r="AE500" s="979">
        <f t="shared" si="102"/>
        <v>0</v>
      </c>
      <c r="AF500" s="878"/>
      <c r="AG500" s="335"/>
      <c r="AH500" s="979">
        <f t="shared" si="100"/>
        <v>0</v>
      </c>
      <c r="AI500" s="979"/>
      <c r="AJ500" s="979">
        <f t="shared" si="105"/>
        <v>0</v>
      </c>
      <c r="AK500" s="878"/>
      <c r="AL500" s="618"/>
      <c r="AM500" s="618"/>
    </row>
    <row r="501" spans="1:81" s="639" customFormat="1" ht="21.6" customHeight="1" x14ac:dyDescent="0.25">
      <c r="A501" s="664"/>
      <c r="B501" s="664"/>
      <c r="C501" s="664"/>
      <c r="D501" s="1086" t="s">
        <v>368</v>
      </c>
      <c r="E501" s="845" t="s">
        <v>431</v>
      </c>
      <c r="F501" s="846" t="s">
        <v>554</v>
      </c>
      <c r="G501" s="836" t="s">
        <v>276</v>
      </c>
      <c r="H501" s="844"/>
      <c r="I501" s="625"/>
      <c r="J501" s="844"/>
      <c r="K501" s="626"/>
      <c r="L501" s="893"/>
      <c r="M501" s="893"/>
      <c r="N501" s="893">
        <f t="shared" si="106"/>
        <v>0</v>
      </c>
      <c r="O501" s="856"/>
      <c r="P501" s="856"/>
      <c r="Q501" s="856">
        <f t="shared" si="107"/>
        <v>0</v>
      </c>
      <c r="R501" s="894"/>
      <c r="S501" s="914"/>
      <c r="T501" s="896">
        <f t="shared" si="103"/>
        <v>0</v>
      </c>
      <c r="U501" s="915"/>
      <c r="V501" s="916"/>
      <c r="W501" s="857">
        <f t="shared" si="99"/>
        <v>0</v>
      </c>
      <c r="X501" s="917"/>
      <c r="Y501" s="910">
        <f t="shared" si="101"/>
        <v>0</v>
      </c>
      <c r="Z501" s="664">
        <f t="shared" si="104"/>
        <v>0</v>
      </c>
      <c r="AA501" s="845"/>
      <c r="AB501" s="984"/>
      <c r="AC501" s="981"/>
      <c r="AD501" s="981"/>
      <c r="AE501" s="980">
        <f t="shared" si="102"/>
        <v>0</v>
      </c>
      <c r="AF501" s="879"/>
      <c r="AG501" s="966"/>
      <c r="AH501" s="980">
        <f t="shared" si="100"/>
        <v>0</v>
      </c>
      <c r="AI501" s="980"/>
      <c r="AJ501" s="980">
        <f t="shared" si="105"/>
        <v>0</v>
      </c>
      <c r="AK501" s="879"/>
      <c r="AL501" s="638"/>
      <c r="AM501" s="638"/>
      <c r="AN501" s="222"/>
      <c r="AO501" s="222"/>
      <c r="AP501" s="222"/>
      <c r="AQ501" s="222"/>
      <c r="AR501" s="222"/>
      <c r="AS501" s="222"/>
      <c r="AT501" s="222"/>
      <c r="AU501" s="222"/>
      <c r="AV501" s="222"/>
      <c r="AW501" s="222"/>
      <c r="AX501" s="222"/>
      <c r="AY501" s="222"/>
      <c r="AZ501" s="222"/>
      <c r="BA501" s="222"/>
      <c r="BB501" s="222"/>
      <c r="BC501" s="222"/>
      <c r="BD501" s="222"/>
      <c r="BE501" s="222"/>
      <c r="BF501" s="222"/>
      <c r="BG501" s="222"/>
      <c r="BH501" s="222"/>
      <c r="BI501" s="222"/>
      <c r="BJ501" s="222"/>
      <c r="BK501" s="222"/>
      <c r="BL501" s="222"/>
      <c r="BM501" s="222"/>
      <c r="BN501" s="222"/>
      <c r="BO501" s="222"/>
      <c r="BP501" s="222"/>
      <c r="BQ501" s="222"/>
      <c r="BR501" s="222"/>
      <c r="BS501" s="222"/>
      <c r="BT501" s="222"/>
      <c r="BU501" s="222"/>
      <c r="BV501" s="222"/>
      <c r="BW501" s="222"/>
      <c r="BX501" s="222"/>
      <c r="BY501" s="222"/>
      <c r="BZ501" s="222"/>
      <c r="CA501" s="222"/>
      <c r="CB501" s="222"/>
      <c r="CC501" s="222"/>
    </row>
    <row r="502" spans="1:81" ht="30.75" customHeight="1" x14ac:dyDescent="0.25">
      <c r="A502" s="664"/>
      <c r="B502" s="664"/>
      <c r="C502" s="664"/>
      <c r="D502" s="1086" t="s">
        <v>368</v>
      </c>
      <c r="E502" s="845" t="s">
        <v>489</v>
      </c>
      <c r="F502" s="846" t="s">
        <v>553</v>
      </c>
      <c r="G502" s="836" t="s">
        <v>276</v>
      </c>
      <c r="H502" s="844"/>
      <c r="I502" s="625"/>
      <c r="J502" s="844"/>
      <c r="K502" s="626"/>
      <c r="L502" s="893"/>
      <c r="M502" s="893"/>
      <c r="N502" s="893">
        <f t="shared" si="106"/>
        <v>0</v>
      </c>
      <c r="O502" s="856"/>
      <c r="P502" s="856"/>
      <c r="Q502" s="856">
        <f t="shared" si="107"/>
        <v>0</v>
      </c>
      <c r="R502" s="894"/>
      <c r="S502" s="855"/>
      <c r="T502" s="896">
        <f t="shared" si="103"/>
        <v>0</v>
      </c>
      <c r="U502" s="862"/>
      <c r="V502" s="857"/>
      <c r="W502" s="857">
        <f t="shared" si="99"/>
        <v>0</v>
      </c>
      <c r="X502" s="863"/>
      <c r="Y502" s="664">
        <f t="shared" si="101"/>
        <v>0</v>
      </c>
      <c r="Z502" s="664">
        <f t="shared" si="104"/>
        <v>0</v>
      </c>
      <c r="AA502" s="836"/>
      <c r="AB502" s="982"/>
      <c r="AC502" s="867"/>
      <c r="AD502" s="867"/>
      <c r="AE502" s="979">
        <f t="shared" si="102"/>
        <v>0</v>
      </c>
      <c r="AF502" s="878"/>
      <c r="AG502" s="335"/>
      <c r="AH502" s="979">
        <f t="shared" si="100"/>
        <v>0</v>
      </c>
      <c r="AI502" s="979"/>
      <c r="AJ502" s="979">
        <f t="shared" si="105"/>
        <v>0</v>
      </c>
      <c r="AK502" s="878"/>
      <c r="AL502" s="618"/>
      <c r="AM502" s="618"/>
    </row>
    <row r="503" spans="1:81" ht="21.6" customHeight="1" x14ac:dyDescent="0.25">
      <c r="A503" s="664"/>
      <c r="B503" s="664"/>
      <c r="C503" s="664"/>
      <c r="D503" s="1086" t="s">
        <v>368</v>
      </c>
      <c r="E503" s="845" t="s">
        <v>489</v>
      </c>
      <c r="F503" s="846" t="s">
        <v>676</v>
      </c>
      <c r="G503" s="836" t="s">
        <v>276</v>
      </c>
      <c r="H503" s="844"/>
      <c r="I503" s="625"/>
      <c r="J503" s="844"/>
      <c r="K503" s="626"/>
      <c r="L503" s="893"/>
      <c r="M503" s="893"/>
      <c r="N503" s="893">
        <f t="shared" si="106"/>
        <v>0</v>
      </c>
      <c r="O503" s="856"/>
      <c r="P503" s="856"/>
      <c r="Q503" s="856">
        <f t="shared" si="107"/>
        <v>0</v>
      </c>
      <c r="R503" s="894"/>
      <c r="S503" s="855"/>
      <c r="T503" s="896">
        <f t="shared" si="103"/>
        <v>0</v>
      </c>
      <c r="U503" s="862"/>
      <c r="V503" s="857"/>
      <c r="W503" s="857">
        <f t="shared" si="99"/>
        <v>0</v>
      </c>
      <c r="X503" s="863"/>
      <c r="Y503" s="664">
        <f t="shared" si="101"/>
        <v>0</v>
      </c>
      <c r="Z503" s="664">
        <f t="shared" si="104"/>
        <v>0</v>
      </c>
      <c r="AA503" s="836"/>
      <c r="AB503" s="982"/>
      <c r="AC503" s="867"/>
      <c r="AD503" s="867"/>
      <c r="AE503" s="979">
        <f t="shared" si="102"/>
        <v>0</v>
      </c>
      <c r="AF503" s="878"/>
      <c r="AG503" s="335"/>
      <c r="AH503" s="979">
        <f t="shared" si="100"/>
        <v>0</v>
      </c>
      <c r="AI503" s="979"/>
      <c r="AJ503" s="979">
        <f t="shared" si="105"/>
        <v>0</v>
      </c>
      <c r="AK503" s="878"/>
      <c r="AL503" s="618"/>
      <c r="AM503" s="618"/>
    </row>
    <row r="504" spans="1:81" ht="30.75" customHeight="1" x14ac:dyDescent="0.25">
      <c r="A504" s="664"/>
      <c r="B504" s="664"/>
      <c r="C504" s="664"/>
      <c r="D504" s="1086" t="s">
        <v>368</v>
      </c>
      <c r="E504" s="845" t="s">
        <v>431</v>
      </c>
      <c r="F504" s="846" t="s">
        <v>555</v>
      </c>
      <c r="G504" s="836" t="s">
        <v>276</v>
      </c>
      <c r="H504" s="844"/>
      <c r="I504" s="625"/>
      <c r="J504" s="844"/>
      <c r="K504" s="626"/>
      <c r="L504" s="893"/>
      <c r="M504" s="893"/>
      <c r="N504" s="893">
        <f t="shared" si="106"/>
        <v>0</v>
      </c>
      <c r="O504" s="856"/>
      <c r="P504" s="856"/>
      <c r="Q504" s="856">
        <f t="shared" si="107"/>
        <v>0</v>
      </c>
      <c r="R504" s="894"/>
      <c r="S504" s="855"/>
      <c r="T504" s="896">
        <f t="shared" si="103"/>
        <v>0</v>
      </c>
      <c r="U504" s="862"/>
      <c r="V504" s="857"/>
      <c r="W504" s="857">
        <f t="shared" si="99"/>
        <v>0</v>
      </c>
      <c r="X504" s="863"/>
      <c r="Y504" s="664">
        <f t="shared" si="101"/>
        <v>0</v>
      </c>
      <c r="Z504" s="664">
        <f t="shared" si="104"/>
        <v>0</v>
      </c>
      <c r="AA504" s="836"/>
      <c r="AB504" s="982"/>
      <c r="AC504" s="867"/>
      <c r="AD504" s="867"/>
      <c r="AE504" s="979">
        <f t="shared" si="102"/>
        <v>0</v>
      </c>
      <c r="AF504" s="878"/>
      <c r="AG504" s="335"/>
      <c r="AH504" s="979">
        <f t="shared" si="100"/>
        <v>0</v>
      </c>
      <c r="AI504" s="979"/>
      <c r="AJ504" s="979">
        <f t="shared" si="105"/>
        <v>0</v>
      </c>
      <c r="AK504" s="878"/>
      <c r="AL504" s="618"/>
      <c r="AM504" s="618"/>
    </row>
    <row r="505" spans="1:81" ht="30.75" customHeight="1" x14ac:dyDescent="0.25">
      <c r="A505" s="664"/>
      <c r="B505" s="664"/>
      <c r="C505" s="664"/>
      <c r="D505" s="1086" t="s">
        <v>368</v>
      </c>
      <c r="E505" s="845" t="s">
        <v>431</v>
      </c>
      <c r="F505" s="846" t="s">
        <v>556</v>
      </c>
      <c r="G505" s="836" t="s">
        <v>276</v>
      </c>
      <c r="H505" s="844"/>
      <c r="I505" s="625"/>
      <c r="J505" s="844"/>
      <c r="K505" s="626"/>
      <c r="L505" s="893"/>
      <c r="M505" s="893"/>
      <c r="N505" s="893">
        <f t="shared" si="106"/>
        <v>0</v>
      </c>
      <c r="O505" s="856"/>
      <c r="P505" s="856"/>
      <c r="Q505" s="856">
        <f t="shared" si="107"/>
        <v>0</v>
      </c>
      <c r="R505" s="894"/>
      <c r="S505" s="855"/>
      <c r="T505" s="896">
        <f t="shared" si="103"/>
        <v>0</v>
      </c>
      <c r="U505" s="862"/>
      <c r="V505" s="857"/>
      <c r="W505" s="857">
        <f t="shared" si="99"/>
        <v>0</v>
      </c>
      <c r="X505" s="863"/>
      <c r="Y505" s="664">
        <f t="shared" si="101"/>
        <v>0</v>
      </c>
      <c r="Z505" s="664">
        <f t="shared" si="104"/>
        <v>0</v>
      </c>
      <c r="AA505" s="836"/>
      <c r="AB505" s="982"/>
      <c r="AC505" s="867"/>
      <c r="AD505" s="867"/>
      <c r="AE505" s="979">
        <f t="shared" si="102"/>
        <v>0</v>
      </c>
      <c r="AF505" s="878"/>
      <c r="AG505" s="335"/>
      <c r="AH505" s="979">
        <f t="shared" si="100"/>
        <v>0</v>
      </c>
      <c r="AI505" s="979"/>
      <c r="AJ505" s="979">
        <f t="shared" si="105"/>
        <v>0</v>
      </c>
      <c r="AK505" s="878"/>
      <c r="AL505" s="618"/>
      <c r="AM505" s="618"/>
    </row>
    <row r="506" spans="1:81" ht="30.75" customHeight="1" x14ac:dyDescent="0.25">
      <c r="A506" s="664"/>
      <c r="B506" s="664"/>
      <c r="C506" s="664"/>
      <c r="D506" s="1086" t="s">
        <v>368</v>
      </c>
      <c r="E506" s="845" t="s">
        <v>431</v>
      </c>
      <c r="F506" s="846" t="s">
        <v>557</v>
      </c>
      <c r="G506" s="836" t="s">
        <v>276</v>
      </c>
      <c r="H506" s="844"/>
      <c r="I506" s="625"/>
      <c r="J506" s="844"/>
      <c r="K506" s="626"/>
      <c r="L506" s="893"/>
      <c r="M506" s="893"/>
      <c r="N506" s="893">
        <f t="shared" si="106"/>
        <v>0</v>
      </c>
      <c r="O506" s="856"/>
      <c r="P506" s="856"/>
      <c r="Q506" s="856">
        <f t="shared" si="107"/>
        <v>0</v>
      </c>
      <c r="R506" s="894"/>
      <c r="S506" s="855"/>
      <c r="T506" s="896">
        <f t="shared" si="103"/>
        <v>0</v>
      </c>
      <c r="U506" s="862"/>
      <c r="V506" s="857"/>
      <c r="W506" s="857">
        <f t="shared" si="99"/>
        <v>0</v>
      </c>
      <c r="X506" s="863"/>
      <c r="Y506" s="664">
        <f t="shared" si="101"/>
        <v>0</v>
      </c>
      <c r="Z506" s="664">
        <f t="shared" si="104"/>
        <v>0</v>
      </c>
      <c r="AA506" s="836"/>
      <c r="AB506" s="982"/>
      <c r="AC506" s="867"/>
      <c r="AD506" s="867"/>
      <c r="AE506" s="979">
        <f t="shared" si="102"/>
        <v>0</v>
      </c>
      <c r="AF506" s="878"/>
      <c r="AG506" s="335"/>
      <c r="AH506" s="979">
        <f t="shared" si="100"/>
        <v>0</v>
      </c>
      <c r="AI506" s="979"/>
      <c r="AJ506" s="979">
        <f t="shared" si="105"/>
        <v>0</v>
      </c>
      <c r="AK506" s="878"/>
      <c r="AL506" s="618"/>
      <c r="AM506" s="618"/>
    </row>
    <row r="507" spans="1:81" ht="33.75" customHeight="1" x14ac:dyDescent="0.25">
      <c r="A507" s="664"/>
      <c r="B507" s="664"/>
      <c r="C507" s="664"/>
      <c r="D507" s="1086" t="s">
        <v>368</v>
      </c>
      <c r="E507" s="845" t="s">
        <v>431</v>
      </c>
      <c r="F507" s="846" t="s">
        <v>733</v>
      </c>
      <c r="G507" s="836" t="s">
        <v>276</v>
      </c>
      <c r="H507" s="844" t="s">
        <v>276</v>
      </c>
      <c r="I507" s="625" t="s">
        <v>276</v>
      </c>
      <c r="J507" s="844" t="s">
        <v>265</v>
      </c>
      <c r="K507" s="626" t="s">
        <v>728</v>
      </c>
      <c r="L507" s="893">
        <v>35</v>
      </c>
      <c r="M507" s="893">
        <v>3</v>
      </c>
      <c r="N507" s="893">
        <f t="shared" si="106"/>
        <v>38</v>
      </c>
      <c r="O507" s="856">
        <v>30</v>
      </c>
      <c r="P507" s="856"/>
      <c r="Q507" s="856">
        <f t="shared" si="107"/>
        <v>30</v>
      </c>
      <c r="R507" s="894"/>
      <c r="S507" s="855"/>
      <c r="T507" s="896"/>
      <c r="U507" s="862"/>
      <c r="V507" s="857">
        <v>450</v>
      </c>
      <c r="W507" s="857">
        <f t="shared" si="99"/>
        <v>30</v>
      </c>
      <c r="X507" s="863"/>
      <c r="Y507" s="664">
        <f t="shared" si="101"/>
        <v>450</v>
      </c>
      <c r="Z507" s="664">
        <f t="shared" si="104"/>
        <v>30</v>
      </c>
      <c r="AA507" s="836"/>
      <c r="AB507" s="982"/>
      <c r="AC507" s="867">
        <v>35</v>
      </c>
      <c r="AD507" s="867">
        <v>3</v>
      </c>
      <c r="AE507" s="979">
        <f t="shared" si="102"/>
        <v>38</v>
      </c>
      <c r="AF507" s="878"/>
      <c r="AG507" s="335">
        <v>450</v>
      </c>
      <c r="AH507" s="979">
        <f t="shared" si="100"/>
        <v>30</v>
      </c>
      <c r="AI507" s="979"/>
      <c r="AJ507" s="979">
        <f t="shared" si="105"/>
        <v>0</v>
      </c>
      <c r="AK507" s="878"/>
      <c r="AL507" s="618"/>
      <c r="AM507" s="618"/>
    </row>
    <row r="508" spans="1:81" ht="30.75" customHeight="1" x14ac:dyDescent="0.25">
      <c r="A508" s="664"/>
      <c r="B508" s="664"/>
      <c r="C508" s="664"/>
      <c r="D508" s="1086" t="s">
        <v>368</v>
      </c>
      <c r="E508" s="845" t="s">
        <v>431</v>
      </c>
      <c r="F508" s="846" t="s">
        <v>731</v>
      </c>
      <c r="G508" s="836" t="s">
        <v>276</v>
      </c>
      <c r="H508" s="844" t="s">
        <v>276</v>
      </c>
      <c r="I508" s="625" t="s">
        <v>276</v>
      </c>
      <c r="J508" s="844" t="s">
        <v>265</v>
      </c>
      <c r="K508" s="626" t="s">
        <v>728</v>
      </c>
      <c r="L508" s="893">
        <v>23</v>
      </c>
      <c r="M508" s="893">
        <v>4</v>
      </c>
      <c r="N508" s="893">
        <f t="shared" si="106"/>
        <v>27</v>
      </c>
      <c r="O508" s="856">
        <v>37</v>
      </c>
      <c r="P508" s="856"/>
      <c r="Q508" s="856">
        <f t="shared" si="107"/>
        <v>37</v>
      </c>
      <c r="R508" s="894"/>
      <c r="S508" s="855"/>
      <c r="T508" s="896">
        <f t="shared" si="103"/>
        <v>0</v>
      </c>
      <c r="U508" s="862"/>
      <c r="V508" s="857">
        <v>555</v>
      </c>
      <c r="W508" s="857">
        <f t="shared" si="99"/>
        <v>37</v>
      </c>
      <c r="X508" s="863"/>
      <c r="Y508" s="664">
        <f t="shared" si="101"/>
        <v>555</v>
      </c>
      <c r="Z508" s="664">
        <f t="shared" si="104"/>
        <v>37</v>
      </c>
      <c r="AA508" s="836"/>
      <c r="AB508" s="982"/>
      <c r="AC508" s="867">
        <v>23</v>
      </c>
      <c r="AD508" s="867">
        <v>4</v>
      </c>
      <c r="AE508" s="979">
        <f t="shared" si="102"/>
        <v>27</v>
      </c>
      <c r="AF508" s="878"/>
      <c r="AG508" s="335">
        <v>555</v>
      </c>
      <c r="AH508" s="979">
        <f t="shared" si="100"/>
        <v>37</v>
      </c>
      <c r="AI508" s="979"/>
      <c r="AJ508" s="979">
        <f t="shared" si="105"/>
        <v>0</v>
      </c>
      <c r="AK508" s="878"/>
      <c r="AL508" s="618"/>
      <c r="AM508" s="618"/>
    </row>
    <row r="509" spans="1:81" ht="28.5" customHeight="1" x14ac:dyDescent="0.25">
      <c r="A509" s="664"/>
      <c r="B509" s="664"/>
      <c r="C509" s="664"/>
      <c r="D509" s="1086" t="s">
        <v>368</v>
      </c>
      <c r="E509" s="845" t="s">
        <v>431</v>
      </c>
      <c r="F509" s="846" t="s">
        <v>732</v>
      </c>
      <c r="G509" s="836" t="s">
        <v>276</v>
      </c>
      <c r="H509" s="844" t="s">
        <v>276</v>
      </c>
      <c r="I509" s="625" t="s">
        <v>276</v>
      </c>
      <c r="J509" s="844" t="s">
        <v>265</v>
      </c>
      <c r="K509" s="626" t="s">
        <v>728</v>
      </c>
      <c r="L509" s="893">
        <v>27</v>
      </c>
      <c r="M509" s="893">
        <v>2</v>
      </c>
      <c r="N509" s="893">
        <f t="shared" si="106"/>
        <v>29</v>
      </c>
      <c r="O509" s="856">
        <v>30</v>
      </c>
      <c r="P509" s="856"/>
      <c r="Q509" s="856">
        <f t="shared" si="107"/>
        <v>30</v>
      </c>
      <c r="R509" s="894"/>
      <c r="S509" s="855"/>
      <c r="T509" s="896">
        <f t="shared" si="103"/>
        <v>0</v>
      </c>
      <c r="U509" s="862"/>
      <c r="V509" s="857">
        <v>540</v>
      </c>
      <c r="W509" s="857">
        <f>V509/15</f>
        <v>36</v>
      </c>
      <c r="X509" s="863"/>
      <c r="Y509" s="664">
        <f t="shared" si="101"/>
        <v>540</v>
      </c>
      <c r="Z509" s="664">
        <f t="shared" si="104"/>
        <v>36</v>
      </c>
      <c r="AA509" s="836"/>
      <c r="AB509" s="982"/>
      <c r="AC509" s="867">
        <v>27</v>
      </c>
      <c r="AD509" s="867">
        <v>2</v>
      </c>
      <c r="AE509" s="979">
        <f t="shared" si="102"/>
        <v>29</v>
      </c>
      <c r="AF509" s="878"/>
      <c r="AG509" s="335">
        <v>540</v>
      </c>
      <c r="AH509" s="979">
        <f>AG509/15</f>
        <v>36</v>
      </c>
      <c r="AI509" s="979"/>
      <c r="AJ509" s="979">
        <f t="shared" si="105"/>
        <v>0</v>
      </c>
      <c r="AK509" s="878"/>
      <c r="AL509" s="618"/>
      <c r="AM509" s="618"/>
    </row>
    <row r="510" spans="1:81" ht="29.25" customHeight="1" x14ac:dyDescent="0.25">
      <c r="A510" s="664"/>
      <c r="B510" s="664"/>
      <c r="C510" s="664"/>
      <c r="D510" s="1086" t="s">
        <v>368</v>
      </c>
      <c r="E510" s="891" t="s">
        <v>431</v>
      </c>
      <c r="F510" s="846" t="s">
        <v>568</v>
      </c>
      <c r="G510" s="836" t="s">
        <v>276</v>
      </c>
      <c r="H510" s="844"/>
      <c r="I510" s="625"/>
      <c r="J510" s="844"/>
      <c r="K510" s="626"/>
      <c r="L510" s="893"/>
      <c r="M510" s="893"/>
      <c r="N510" s="893">
        <f t="shared" si="106"/>
        <v>0</v>
      </c>
      <c r="O510" s="856"/>
      <c r="P510" s="856"/>
      <c r="Q510" s="856">
        <f t="shared" si="107"/>
        <v>0</v>
      </c>
      <c r="R510" s="894"/>
      <c r="S510" s="855"/>
      <c r="T510" s="896">
        <f t="shared" si="103"/>
        <v>0</v>
      </c>
      <c r="U510" s="862"/>
      <c r="V510" s="857"/>
      <c r="W510" s="857">
        <f t="shared" si="99"/>
        <v>0</v>
      </c>
      <c r="X510" s="863"/>
      <c r="Y510" s="664">
        <f t="shared" si="101"/>
        <v>0</v>
      </c>
      <c r="Z510" s="664">
        <f t="shared" si="104"/>
        <v>0</v>
      </c>
      <c r="AA510" s="836"/>
      <c r="AB510" s="982"/>
      <c r="AC510" s="867"/>
      <c r="AD510" s="867"/>
      <c r="AE510" s="979">
        <f t="shared" si="102"/>
        <v>0</v>
      </c>
      <c r="AF510" s="878"/>
      <c r="AG510" s="335"/>
      <c r="AH510" s="979">
        <f t="shared" ref="AH510:AH541" si="108">AG510/15</f>
        <v>0</v>
      </c>
      <c r="AI510" s="979"/>
      <c r="AJ510" s="979">
        <f t="shared" si="105"/>
        <v>0</v>
      </c>
      <c r="AK510" s="878"/>
      <c r="AL510" s="618"/>
      <c r="AM510" s="618"/>
    </row>
    <row r="511" spans="1:81" s="634" customFormat="1" ht="22.5" customHeight="1" x14ac:dyDescent="0.25">
      <c r="A511" s="664"/>
      <c r="B511" s="664"/>
      <c r="C511" s="664"/>
      <c r="D511" s="1086" t="s">
        <v>368</v>
      </c>
      <c r="E511" s="845" t="s">
        <v>431</v>
      </c>
      <c r="F511" s="846" t="s">
        <v>558</v>
      </c>
      <c r="G511" s="836" t="s">
        <v>276</v>
      </c>
      <c r="H511" s="844"/>
      <c r="I511" s="625"/>
      <c r="J511" s="844"/>
      <c r="K511" s="626"/>
      <c r="L511" s="893">
        <v>13</v>
      </c>
      <c r="M511" s="893">
        <v>11</v>
      </c>
      <c r="N511" s="893">
        <f t="shared" si="106"/>
        <v>24</v>
      </c>
      <c r="O511" s="856">
        <v>14.9</v>
      </c>
      <c r="P511" s="856"/>
      <c r="Q511" s="856">
        <f t="shared" si="107"/>
        <v>14.9</v>
      </c>
      <c r="R511" s="894"/>
      <c r="S511" s="895"/>
      <c r="T511" s="896">
        <f t="shared" si="103"/>
        <v>0</v>
      </c>
      <c r="U511" s="862"/>
      <c r="V511" s="897">
        <v>222</v>
      </c>
      <c r="W511" s="857">
        <f t="shared" si="99"/>
        <v>14.8</v>
      </c>
      <c r="X511" s="863"/>
      <c r="Y511" s="891">
        <f t="shared" ref="Y511:Y542" si="109">V511+S511</f>
        <v>222</v>
      </c>
      <c r="Z511" s="664">
        <f t="shared" si="104"/>
        <v>14.8</v>
      </c>
      <c r="AA511" s="836"/>
      <c r="AB511" s="982"/>
      <c r="AC511" s="867">
        <v>13</v>
      </c>
      <c r="AD511" s="867">
        <v>11</v>
      </c>
      <c r="AE511" s="979">
        <f t="shared" si="102"/>
        <v>24</v>
      </c>
      <c r="AF511" s="878"/>
      <c r="AG511" s="335">
        <v>222</v>
      </c>
      <c r="AH511" s="979">
        <f t="shared" si="108"/>
        <v>14.8</v>
      </c>
      <c r="AI511" s="979"/>
      <c r="AJ511" s="979">
        <f t="shared" si="105"/>
        <v>0</v>
      </c>
      <c r="AK511" s="878"/>
      <c r="AL511" s="633"/>
      <c r="AM511" s="633"/>
      <c r="AN511" s="95"/>
      <c r="AO511" s="95"/>
      <c r="AP511" s="95"/>
      <c r="AQ511" s="95"/>
      <c r="AR511" s="95"/>
      <c r="AS511" s="95"/>
      <c r="AT511" s="95"/>
      <c r="AU511" s="95"/>
      <c r="AV511" s="95"/>
      <c r="AW511" s="95"/>
      <c r="AX511" s="95"/>
      <c r="AY511" s="95"/>
      <c r="AZ511" s="95"/>
      <c r="BA511" s="95"/>
      <c r="BB511" s="95"/>
      <c r="BC511" s="95"/>
      <c r="BD511" s="95"/>
      <c r="BE511" s="95"/>
      <c r="BF511" s="95"/>
      <c r="BG511" s="95"/>
      <c r="BH511" s="95"/>
      <c r="BI511" s="95"/>
      <c r="BJ511" s="95"/>
      <c r="BK511" s="95"/>
      <c r="BL511" s="95"/>
      <c r="BM511" s="95"/>
      <c r="BN511" s="95"/>
      <c r="BO511" s="95"/>
      <c r="BP511" s="95"/>
      <c r="BQ511" s="95"/>
      <c r="BR511" s="95"/>
      <c r="BS511" s="95"/>
      <c r="BT511" s="95"/>
      <c r="BU511" s="95"/>
      <c r="BV511" s="95"/>
      <c r="BW511" s="95"/>
      <c r="BX511" s="95"/>
      <c r="BY511" s="95"/>
      <c r="BZ511" s="95"/>
      <c r="CA511" s="95"/>
      <c r="CB511" s="95"/>
      <c r="CC511" s="95"/>
    </row>
    <row r="512" spans="1:81" ht="38.25" customHeight="1" x14ac:dyDescent="0.25">
      <c r="A512" s="664"/>
      <c r="B512" s="664"/>
      <c r="C512" s="664"/>
      <c r="D512" s="1086" t="s">
        <v>368</v>
      </c>
      <c r="E512" s="845" t="s">
        <v>431</v>
      </c>
      <c r="F512" s="846" t="s">
        <v>579</v>
      </c>
      <c r="G512" s="836" t="s">
        <v>276</v>
      </c>
      <c r="H512" s="844"/>
      <c r="I512" s="625"/>
      <c r="J512" s="844"/>
      <c r="K512" s="626"/>
      <c r="L512" s="893"/>
      <c r="M512" s="893"/>
      <c r="N512" s="893">
        <f t="shared" si="106"/>
        <v>0</v>
      </c>
      <c r="O512" s="856"/>
      <c r="P512" s="856"/>
      <c r="Q512" s="856">
        <f t="shared" si="107"/>
        <v>0</v>
      </c>
      <c r="R512" s="894"/>
      <c r="S512" s="855"/>
      <c r="T512" s="896">
        <f t="shared" si="103"/>
        <v>0</v>
      </c>
      <c r="U512" s="862"/>
      <c r="V512" s="857"/>
      <c r="W512" s="857">
        <f t="shared" ref="W512:W541" si="110">V512/15</f>
        <v>0</v>
      </c>
      <c r="X512" s="863"/>
      <c r="Y512" s="664">
        <f t="shared" si="109"/>
        <v>0</v>
      </c>
      <c r="Z512" s="664">
        <f t="shared" si="104"/>
        <v>0</v>
      </c>
      <c r="AA512" s="836"/>
      <c r="AB512" s="982"/>
      <c r="AC512" s="867"/>
      <c r="AD512" s="867"/>
      <c r="AE512" s="979">
        <f t="shared" si="102"/>
        <v>0</v>
      </c>
      <c r="AF512" s="878"/>
      <c r="AG512" s="335"/>
      <c r="AH512" s="979">
        <f t="shared" si="108"/>
        <v>0</v>
      </c>
      <c r="AI512" s="979"/>
      <c r="AJ512" s="979">
        <f t="shared" si="105"/>
        <v>0</v>
      </c>
      <c r="AK512" s="878"/>
      <c r="AL512" s="618"/>
      <c r="AM512" s="618"/>
    </row>
    <row r="513" spans="1:39" ht="21.6" customHeight="1" x14ac:dyDescent="0.25">
      <c r="A513" s="664"/>
      <c r="B513" s="664"/>
      <c r="C513" s="664"/>
      <c r="D513" s="1086" t="s">
        <v>368</v>
      </c>
      <c r="E513" s="845" t="s">
        <v>431</v>
      </c>
      <c r="F513" s="846" t="s">
        <v>559</v>
      </c>
      <c r="G513" s="836" t="s">
        <v>276</v>
      </c>
      <c r="H513" s="844"/>
      <c r="I513" s="625"/>
      <c r="J513" s="844"/>
      <c r="K513" s="626"/>
      <c r="L513" s="893"/>
      <c r="M513" s="893"/>
      <c r="N513" s="893">
        <f t="shared" si="106"/>
        <v>0</v>
      </c>
      <c r="O513" s="856"/>
      <c r="P513" s="856"/>
      <c r="Q513" s="856">
        <f t="shared" si="107"/>
        <v>0</v>
      </c>
      <c r="R513" s="894"/>
      <c r="S513" s="855"/>
      <c r="T513" s="896">
        <f t="shared" si="103"/>
        <v>0</v>
      </c>
      <c r="U513" s="862"/>
      <c r="V513" s="857"/>
      <c r="W513" s="857">
        <f t="shared" si="110"/>
        <v>0</v>
      </c>
      <c r="X513" s="863"/>
      <c r="Y513" s="664">
        <f t="shared" si="109"/>
        <v>0</v>
      </c>
      <c r="Z513" s="664">
        <f t="shared" si="104"/>
        <v>0</v>
      </c>
      <c r="AA513" s="836"/>
      <c r="AB513" s="982"/>
      <c r="AC513" s="867"/>
      <c r="AD513" s="867"/>
      <c r="AE513" s="979">
        <f t="shared" si="102"/>
        <v>0</v>
      </c>
      <c r="AF513" s="878"/>
      <c r="AG513" s="335"/>
      <c r="AH513" s="979">
        <f t="shared" si="108"/>
        <v>0</v>
      </c>
      <c r="AI513" s="979"/>
      <c r="AJ513" s="979">
        <f t="shared" si="105"/>
        <v>0</v>
      </c>
      <c r="AK513" s="878"/>
      <c r="AL513" s="618"/>
      <c r="AM513" s="618"/>
    </row>
    <row r="514" spans="1:39" ht="33.75" customHeight="1" x14ac:dyDescent="0.25">
      <c r="A514" s="891"/>
      <c r="B514" s="891"/>
      <c r="C514" s="891"/>
      <c r="D514" s="1086" t="s">
        <v>368</v>
      </c>
      <c r="E514" s="845" t="s">
        <v>431</v>
      </c>
      <c r="F514" s="846" t="s">
        <v>560</v>
      </c>
      <c r="G514" s="836" t="s">
        <v>276</v>
      </c>
      <c r="H514" s="844"/>
      <c r="I514" s="625"/>
      <c r="J514" s="844"/>
      <c r="K514" s="626"/>
      <c r="L514" s="843"/>
      <c r="M514" s="843"/>
      <c r="N514" s="843">
        <f t="shared" si="106"/>
        <v>0</v>
      </c>
      <c r="O514" s="840"/>
      <c r="P514" s="840"/>
      <c r="Q514" s="840">
        <f t="shared" si="107"/>
        <v>0</v>
      </c>
      <c r="R514" s="932"/>
      <c r="S514" s="855"/>
      <c r="T514" s="896">
        <f t="shared" si="103"/>
        <v>0</v>
      </c>
      <c r="U514" s="862"/>
      <c r="V514" s="857"/>
      <c r="W514" s="857">
        <f t="shared" si="110"/>
        <v>0</v>
      </c>
      <c r="X514" s="863"/>
      <c r="Y514" s="664">
        <f t="shared" si="109"/>
        <v>0</v>
      </c>
      <c r="Z514" s="664">
        <f t="shared" si="104"/>
        <v>0</v>
      </c>
      <c r="AA514" s="836"/>
      <c r="AB514" s="982"/>
      <c r="AC514" s="867"/>
      <c r="AD514" s="867"/>
      <c r="AE514" s="979">
        <f t="shared" ref="AE514:AE542" si="111">AC514+AD514</f>
        <v>0</v>
      </c>
      <c r="AF514" s="878"/>
      <c r="AG514" s="335"/>
      <c r="AH514" s="979">
        <f t="shared" si="108"/>
        <v>0</v>
      </c>
      <c r="AI514" s="979"/>
      <c r="AJ514" s="979">
        <f t="shared" si="105"/>
        <v>0</v>
      </c>
      <c r="AK514" s="878"/>
      <c r="AL514" s="618"/>
      <c r="AM514" s="618"/>
    </row>
    <row r="515" spans="1:39" ht="21.6" customHeight="1" x14ac:dyDescent="0.25">
      <c r="A515" s="664"/>
      <c r="B515" s="664"/>
      <c r="C515" s="664"/>
      <c r="D515" s="1086" t="s">
        <v>368</v>
      </c>
      <c r="E515" s="845" t="s">
        <v>431</v>
      </c>
      <c r="F515" s="846" t="s">
        <v>561</v>
      </c>
      <c r="G515" s="836" t="s">
        <v>276</v>
      </c>
      <c r="H515" s="844"/>
      <c r="I515" s="625"/>
      <c r="J515" s="844"/>
      <c r="K515" s="626"/>
      <c r="L515" s="893"/>
      <c r="M515" s="893"/>
      <c r="N515" s="893">
        <f t="shared" si="106"/>
        <v>0</v>
      </c>
      <c r="O515" s="856"/>
      <c r="P515" s="856"/>
      <c r="Q515" s="856">
        <f t="shared" si="107"/>
        <v>0</v>
      </c>
      <c r="R515" s="894"/>
      <c r="S515" s="855"/>
      <c r="T515" s="896">
        <f t="shared" si="103"/>
        <v>0</v>
      </c>
      <c r="U515" s="862"/>
      <c r="V515" s="857"/>
      <c r="W515" s="857">
        <f t="shared" si="110"/>
        <v>0</v>
      </c>
      <c r="X515" s="863"/>
      <c r="Y515" s="664">
        <f t="shared" si="109"/>
        <v>0</v>
      </c>
      <c r="Z515" s="664">
        <f t="shared" ref="Z515:Z541" si="112">W515+T515</f>
        <v>0</v>
      </c>
      <c r="AA515" s="836"/>
      <c r="AB515" s="982"/>
      <c r="AC515" s="867"/>
      <c r="AD515" s="867"/>
      <c r="AE515" s="979">
        <f t="shared" si="111"/>
        <v>0</v>
      </c>
      <c r="AF515" s="878"/>
      <c r="AG515" s="335"/>
      <c r="AH515" s="979">
        <f t="shared" si="108"/>
        <v>0</v>
      </c>
      <c r="AI515" s="979"/>
      <c r="AJ515" s="979">
        <f t="shared" si="105"/>
        <v>0</v>
      </c>
      <c r="AK515" s="878"/>
      <c r="AL515" s="618"/>
      <c r="AM515" s="618"/>
    </row>
    <row r="516" spans="1:39" ht="39" customHeight="1" x14ac:dyDescent="0.25">
      <c r="A516" s="664"/>
      <c r="B516" s="664"/>
      <c r="C516" s="664"/>
      <c r="D516" s="1086" t="s">
        <v>368</v>
      </c>
      <c r="E516" s="845" t="s">
        <v>431</v>
      </c>
      <c r="F516" s="846" t="s">
        <v>569</v>
      </c>
      <c r="G516" s="836" t="s">
        <v>276</v>
      </c>
      <c r="H516" s="844"/>
      <c r="I516" s="625"/>
      <c r="J516" s="844"/>
      <c r="K516" s="626"/>
      <c r="L516" s="893"/>
      <c r="M516" s="893"/>
      <c r="N516" s="893">
        <f t="shared" si="106"/>
        <v>0</v>
      </c>
      <c r="O516" s="856"/>
      <c r="P516" s="856"/>
      <c r="Q516" s="856">
        <f t="shared" si="107"/>
        <v>0</v>
      </c>
      <c r="R516" s="894"/>
      <c r="S516" s="855"/>
      <c r="T516" s="896">
        <f t="shared" si="103"/>
        <v>0</v>
      </c>
      <c r="U516" s="862"/>
      <c r="V516" s="857"/>
      <c r="W516" s="857">
        <f t="shared" si="110"/>
        <v>0</v>
      </c>
      <c r="X516" s="863"/>
      <c r="Y516" s="664">
        <f t="shared" si="109"/>
        <v>0</v>
      </c>
      <c r="Z516" s="664">
        <f t="shared" si="112"/>
        <v>0</v>
      </c>
      <c r="AA516" s="836"/>
      <c r="AB516" s="982"/>
      <c r="AC516" s="867"/>
      <c r="AD516" s="867"/>
      <c r="AE516" s="979">
        <f t="shared" si="111"/>
        <v>0</v>
      </c>
      <c r="AF516" s="878"/>
      <c r="AG516" s="335"/>
      <c r="AH516" s="979">
        <f t="shared" si="108"/>
        <v>0</v>
      </c>
      <c r="AI516" s="979"/>
      <c r="AJ516" s="979">
        <f t="shared" si="105"/>
        <v>0</v>
      </c>
      <c r="AK516" s="878"/>
      <c r="AL516" s="618"/>
      <c r="AM516" s="618"/>
    </row>
    <row r="517" spans="1:39" ht="21.6" customHeight="1" x14ac:dyDescent="0.25">
      <c r="A517" s="664"/>
      <c r="B517" s="664"/>
      <c r="C517" s="664"/>
      <c r="D517" s="1086" t="s">
        <v>368</v>
      </c>
      <c r="E517" s="845" t="s">
        <v>431</v>
      </c>
      <c r="F517" s="846" t="s">
        <v>562</v>
      </c>
      <c r="G517" s="836" t="s">
        <v>276</v>
      </c>
      <c r="H517" s="844"/>
      <c r="I517" s="625"/>
      <c r="J517" s="844"/>
      <c r="K517" s="626"/>
      <c r="L517" s="893"/>
      <c r="M517" s="893"/>
      <c r="N517" s="893">
        <f t="shared" si="106"/>
        <v>0</v>
      </c>
      <c r="O517" s="856"/>
      <c r="P517" s="856"/>
      <c r="Q517" s="856">
        <f t="shared" si="107"/>
        <v>0</v>
      </c>
      <c r="R517" s="894"/>
      <c r="S517" s="855"/>
      <c r="T517" s="896">
        <f t="shared" si="103"/>
        <v>0</v>
      </c>
      <c r="U517" s="862"/>
      <c r="V517" s="857"/>
      <c r="W517" s="857">
        <f t="shared" si="110"/>
        <v>0</v>
      </c>
      <c r="X517" s="863"/>
      <c r="Y517" s="664">
        <f t="shared" si="109"/>
        <v>0</v>
      </c>
      <c r="Z517" s="664">
        <f t="shared" si="112"/>
        <v>0</v>
      </c>
      <c r="AA517" s="836"/>
      <c r="AB517" s="982"/>
      <c r="AC517" s="867"/>
      <c r="AD517" s="867"/>
      <c r="AE517" s="979">
        <f t="shared" si="111"/>
        <v>0</v>
      </c>
      <c r="AF517" s="878"/>
      <c r="AG517" s="335"/>
      <c r="AH517" s="979">
        <f t="shared" si="108"/>
        <v>0</v>
      </c>
      <c r="AI517" s="979"/>
      <c r="AJ517" s="979">
        <f t="shared" si="105"/>
        <v>0</v>
      </c>
      <c r="AK517" s="878"/>
      <c r="AL517" s="618"/>
      <c r="AM517" s="618"/>
    </row>
    <row r="518" spans="1:39" ht="33" customHeight="1" x14ac:dyDescent="0.25">
      <c r="A518" s="664"/>
      <c r="B518" s="664"/>
      <c r="C518" s="664"/>
      <c r="D518" s="1086" t="s">
        <v>368</v>
      </c>
      <c r="E518" s="845" t="s">
        <v>489</v>
      </c>
      <c r="F518" s="846" t="s">
        <v>675</v>
      </c>
      <c r="G518" s="836" t="s">
        <v>276</v>
      </c>
      <c r="H518" s="844"/>
      <c r="I518" s="625"/>
      <c r="J518" s="844"/>
      <c r="K518" s="626"/>
      <c r="L518" s="893"/>
      <c r="M518" s="893"/>
      <c r="N518" s="893">
        <f t="shared" si="106"/>
        <v>0</v>
      </c>
      <c r="O518" s="856"/>
      <c r="P518" s="856"/>
      <c r="Q518" s="856">
        <f t="shared" si="107"/>
        <v>0</v>
      </c>
      <c r="R518" s="894"/>
      <c r="S518" s="855"/>
      <c r="T518" s="896">
        <f t="shared" si="103"/>
        <v>0</v>
      </c>
      <c r="U518" s="862"/>
      <c r="V518" s="857"/>
      <c r="W518" s="857">
        <f t="shared" si="110"/>
        <v>0</v>
      </c>
      <c r="X518" s="863"/>
      <c r="Y518" s="664">
        <f t="shared" si="109"/>
        <v>0</v>
      </c>
      <c r="Z518" s="664">
        <f t="shared" si="112"/>
        <v>0</v>
      </c>
      <c r="AA518" s="836"/>
      <c r="AB518" s="982"/>
      <c r="AC518" s="867">
        <f>29</f>
        <v>29</v>
      </c>
      <c r="AD518" s="867">
        <f>1</f>
        <v>1</v>
      </c>
      <c r="AE518" s="979">
        <f t="shared" si="111"/>
        <v>30</v>
      </c>
      <c r="AF518" s="878"/>
      <c r="AG518" s="335">
        <f>823.5</f>
        <v>823.5</v>
      </c>
      <c r="AH518" s="979">
        <f t="shared" si="108"/>
        <v>54.9</v>
      </c>
      <c r="AI518" s="979"/>
      <c r="AJ518" s="979">
        <f t="shared" si="105"/>
        <v>-54.9</v>
      </c>
      <c r="AK518" s="878"/>
      <c r="AL518" s="618"/>
      <c r="AM518" s="618"/>
    </row>
    <row r="519" spans="1:39" ht="21.6" customHeight="1" x14ac:dyDescent="0.25">
      <c r="A519" s="664"/>
      <c r="B519" s="664"/>
      <c r="C519" s="664"/>
      <c r="D519" s="1086" t="s">
        <v>368</v>
      </c>
      <c r="E519" s="845" t="s">
        <v>431</v>
      </c>
      <c r="F519" s="846" t="s">
        <v>570</v>
      </c>
      <c r="G519" s="836" t="s">
        <v>276</v>
      </c>
      <c r="H519" s="844"/>
      <c r="I519" s="625"/>
      <c r="J519" s="844"/>
      <c r="K519" s="626"/>
      <c r="L519" s="893"/>
      <c r="M519" s="893"/>
      <c r="N519" s="893">
        <f t="shared" si="106"/>
        <v>0</v>
      </c>
      <c r="O519" s="856"/>
      <c r="P519" s="856"/>
      <c r="Q519" s="856">
        <f t="shared" si="107"/>
        <v>0</v>
      </c>
      <c r="R519" s="894"/>
      <c r="S519" s="855"/>
      <c r="T519" s="896">
        <f t="shared" ref="T519:T541" si="113">S519/15</f>
        <v>0</v>
      </c>
      <c r="U519" s="862"/>
      <c r="V519" s="857"/>
      <c r="W519" s="857">
        <f t="shared" si="110"/>
        <v>0</v>
      </c>
      <c r="X519" s="863"/>
      <c r="Y519" s="664">
        <f t="shared" si="109"/>
        <v>0</v>
      </c>
      <c r="Z519" s="664">
        <f t="shared" si="112"/>
        <v>0</v>
      </c>
      <c r="AA519" s="836"/>
      <c r="AB519" s="982"/>
      <c r="AC519" s="867"/>
      <c r="AD519" s="867"/>
      <c r="AE519" s="979">
        <f t="shared" si="111"/>
        <v>0</v>
      </c>
      <c r="AF519" s="878"/>
      <c r="AG519" s="335"/>
      <c r="AH519" s="979">
        <f t="shared" si="108"/>
        <v>0</v>
      </c>
      <c r="AI519" s="979"/>
      <c r="AJ519" s="979">
        <f t="shared" si="105"/>
        <v>0</v>
      </c>
      <c r="AK519" s="878"/>
      <c r="AL519" s="618"/>
      <c r="AM519" s="618"/>
    </row>
    <row r="520" spans="1:39" ht="48.75" customHeight="1" x14ac:dyDescent="0.25">
      <c r="A520" s="664"/>
      <c r="B520" s="664"/>
      <c r="C520" s="664"/>
      <c r="D520" s="1086" t="s">
        <v>368</v>
      </c>
      <c r="E520" s="845" t="s">
        <v>431</v>
      </c>
      <c r="F520" s="846" t="s">
        <v>729</v>
      </c>
      <c r="G520" s="836" t="s">
        <v>276</v>
      </c>
      <c r="H520" s="844" t="s">
        <v>276</v>
      </c>
      <c r="I520" s="625" t="s">
        <v>276</v>
      </c>
      <c r="J520" s="844" t="s">
        <v>265</v>
      </c>
      <c r="K520" s="626" t="s">
        <v>728</v>
      </c>
      <c r="L520" s="893">
        <v>66</v>
      </c>
      <c r="M520" s="893">
        <v>16</v>
      </c>
      <c r="N520" s="893">
        <f t="shared" si="106"/>
        <v>82</v>
      </c>
      <c r="O520" s="856"/>
      <c r="P520" s="856">
        <v>67.25</v>
      </c>
      <c r="Q520" s="856">
        <f t="shared" si="107"/>
        <v>67.25</v>
      </c>
      <c r="R520" s="894"/>
      <c r="S520" s="855"/>
      <c r="T520" s="896"/>
      <c r="U520" s="862"/>
      <c r="V520" s="857">
        <v>870</v>
      </c>
      <c r="W520" s="857">
        <f t="shared" si="110"/>
        <v>58</v>
      </c>
      <c r="X520" s="863"/>
      <c r="Y520" s="664">
        <f t="shared" si="109"/>
        <v>870</v>
      </c>
      <c r="Z520" s="664">
        <f t="shared" si="112"/>
        <v>58</v>
      </c>
      <c r="AA520" s="836"/>
      <c r="AB520" s="982"/>
      <c r="AC520" s="867">
        <v>66</v>
      </c>
      <c r="AD520" s="867">
        <v>16</v>
      </c>
      <c r="AE520" s="979">
        <f t="shared" si="111"/>
        <v>82</v>
      </c>
      <c r="AF520" s="878"/>
      <c r="AG520" s="335">
        <v>870</v>
      </c>
      <c r="AH520" s="979">
        <f t="shared" si="108"/>
        <v>58</v>
      </c>
      <c r="AI520" s="979"/>
      <c r="AJ520" s="979">
        <f t="shared" si="105"/>
        <v>0</v>
      </c>
      <c r="AK520" s="878"/>
      <c r="AL520" s="618"/>
      <c r="AM520" s="618"/>
    </row>
    <row r="521" spans="1:39" ht="36" customHeight="1" x14ac:dyDescent="0.25">
      <c r="A521" s="664"/>
      <c r="B521" s="664"/>
      <c r="C521" s="664"/>
      <c r="D521" s="1086" t="s">
        <v>368</v>
      </c>
      <c r="E521" s="845" t="s">
        <v>489</v>
      </c>
      <c r="F521" s="846" t="s">
        <v>564</v>
      </c>
      <c r="G521" s="836" t="s">
        <v>276</v>
      </c>
      <c r="H521" s="844"/>
      <c r="I521" s="625"/>
      <c r="J521" s="844" t="s">
        <v>265</v>
      </c>
      <c r="K521" s="626" t="s">
        <v>813</v>
      </c>
      <c r="L521" s="893">
        <v>2</v>
      </c>
      <c r="M521" s="893">
        <v>2</v>
      </c>
      <c r="N521" s="893">
        <f t="shared" si="106"/>
        <v>4</v>
      </c>
      <c r="O521" s="856"/>
      <c r="P521" s="856">
        <v>4</v>
      </c>
      <c r="Q521" s="856">
        <f t="shared" si="107"/>
        <v>4</v>
      </c>
      <c r="R521" s="894"/>
      <c r="S521" s="855"/>
      <c r="T521" s="896">
        <f t="shared" si="113"/>
        <v>0</v>
      </c>
      <c r="U521" s="862"/>
      <c r="V521" s="857">
        <v>60</v>
      </c>
      <c r="W521" s="857">
        <f t="shared" si="110"/>
        <v>4</v>
      </c>
      <c r="X521" s="863"/>
      <c r="Y521" s="664">
        <f t="shared" si="109"/>
        <v>60</v>
      </c>
      <c r="Z521" s="664">
        <f t="shared" si="112"/>
        <v>4</v>
      </c>
      <c r="AA521" s="836"/>
      <c r="AB521" s="982"/>
      <c r="AC521" s="867">
        <v>2</v>
      </c>
      <c r="AD521" s="867">
        <v>2</v>
      </c>
      <c r="AE521" s="979">
        <f t="shared" si="111"/>
        <v>4</v>
      </c>
      <c r="AF521" s="878"/>
      <c r="AG521" s="335">
        <v>60</v>
      </c>
      <c r="AH521" s="979">
        <f t="shared" si="108"/>
        <v>4</v>
      </c>
      <c r="AI521" s="979"/>
      <c r="AJ521" s="979">
        <f t="shared" si="105"/>
        <v>0</v>
      </c>
      <c r="AK521" s="878"/>
      <c r="AL521" s="618"/>
      <c r="AM521" s="618"/>
    </row>
    <row r="522" spans="1:39" ht="33" customHeight="1" x14ac:dyDescent="0.25">
      <c r="A522" s="664"/>
      <c r="B522" s="664"/>
      <c r="C522" s="664"/>
      <c r="D522" s="1086" t="s">
        <v>368</v>
      </c>
      <c r="E522" s="845" t="s">
        <v>431</v>
      </c>
      <c r="F522" s="846" t="s">
        <v>571</v>
      </c>
      <c r="G522" s="836" t="s">
        <v>276</v>
      </c>
      <c r="H522" s="844"/>
      <c r="I522" s="625"/>
      <c r="J522" s="844"/>
      <c r="K522" s="626"/>
      <c r="L522" s="893">
        <v>22</v>
      </c>
      <c r="M522" s="893">
        <v>19</v>
      </c>
      <c r="N522" s="893">
        <f t="shared" si="106"/>
        <v>41</v>
      </c>
      <c r="O522" s="856"/>
      <c r="P522" s="856">
        <v>42</v>
      </c>
      <c r="Q522" s="856">
        <f t="shared" si="107"/>
        <v>42</v>
      </c>
      <c r="R522" s="894"/>
      <c r="S522" s="855"/>
      <c r="T522" s="896">
        <f t="shared" si="113"/>
        <v>0</v>
      </c>
      <c r="U522" s="862"/>
      <c r="V522" s="857">
        <v>630</v>
      </c>
      <c r="W522" s="857">
        <f t="shared" si="110"/>
        <v>42</v>
      </c>
      <c r="X522" s="863"/>
      <c r="Y522" s="664">
        <f t="shared" si="109"/>
        <v>630</v>
      </c>
      <c r="Z522" s="664">
        <f t="shared" si="112"/>
        <v>42</v>
      </c>
      <c r="AA522" s="836"/>
      <c r="AB522" s="982"/>
      <c r="AC522" s="867">
        <v>22</v>
      </c>
      <c r="AD522" s="867">
        <v>19</v>
      </c>
      <c r="AE522" s="979">
        <f t="shared" si="111"/>
        <v>41</v>
      </c>
      <c r="AF522" s="878"/>
      <c r="AG522" s="335">
        <v>630</v>
      </c>
      <c r="AH522" s="979">
        <f t="shared" si="108"/>
        <v>42</v>
      </c>
      <c r="AI522" s="979"/>
      <c r="AJ522" s="979">
        <f t="shared" si="105"/>
        <v>0</v>
      </c>
      <c r="AK522" s="878"/>
      <c r="AL522" s="618"/>
      <c r="AM522" s="618"/>
    </row>
    <row r="523" spans="1:39" ht="21.6" customHeight="1" x14ac:dyDescent="0.25">
      <c r="A523" s="664"/>
      <c r="B523" s="664"/>
      <c r="C523" s="664"/>
      <c r="D523" s="1086" t="s">
        <v>368</v>
      </c>
      <c r="E523" s="845" t="s">
        <v>431</v>
      </c>
      <c r="F523" s="846" t="s">
        <v>566</v>
      </c>
      <c r="G523" s="836" t="s">
        <v>276</v>
      </c>
      <c r="H523" s="844"/>
      <c r="I523" s="625"/>
      <c r="J523" s="844"/>
      <c r="K523" s="626"/>
      <c r="L523" s="893"/>
      <c r="M523" s="893"/>
      <c r="N523" s="893">
        <f t="shared" si="106"/>
        <v>0</v>
      </c>
      <c r="O523" s="856"/>
      <c r="P523" s="856"/>
      <c r="Q523" s="856">
        <f t="shared" si="107"/>
        <v>0</v>
      </c>
      <c r="R523" s="894"/>
      <c r="S523" s="855"/>
      <c r="T523" s="896">
        <f t="shared" si="113"/>
        <v>0</v>
      </c>
      <c r="U523" s="862"/>
      <c r="V523" s="857"/>
      <c r="W523" s="857">
        <f t="shared" si="110"/>
        <v>0</v>
      </c>
      <c r="X523" s="863"/>
      <c r="Y523" s="664">
        <f t="shared" si="109"/>
        <v>0</v>
      </c>
      <c r="Z523" s="664">
        <f t="shared" si="112"/>
        <v>0</v>
      </c>
      <c r="AA523" s="836"/>
      <c r="AB523" s="982"/>
      <c r="AC523" s="867"/>
      <c r="AD523" s="867"/>
      <c r="AE523" s="979">
        <f t="shared" si="111"/>
        <v>0</v>
      </c>
      <c r="AF523" s="878"/>
      <c r="AG523" s="335"/>
      <c r="AH523" s="979">
        <f t="shared" si="108"/>
        <v>0</v>
      </c>
      <c r="AI523" s="979"/>
      <c r="AJ523" s="979">
        <f t="shared" si="105"/>
        <v>0</v>
      </c>
      <c r="AK523" s="878"/>
      <c r="AL523" s="618"/>
      <c r="AM523" s="618"/>
    </row>
    <row r="524" spans="1:39" ht="38.25" customHeight="1" x14ac:dyDescent="0.25">
      <c r="A524" s="664"/>
      <c r="B524" s="664"/>
      <c r="C524" s="664"/>
      <c r="D524" s="1086" t="s">
        <v>368</v>
      </c>
      <c r="E524" s="845" t="s">
        <v>431</v>
      </c>
      <c r="F524" s="846" t="s">
        <v>572</v>
      </c>
      <c r="G524" s="836" t="s">
        <v>276</v>
      </c>
      <c r="H524" s="844"/>
      <c r="I524" s="625"/>
      <c r="J524" s="844"/>
      <c r="K524" s="626"/>
      <c r="L524" s="893"/>
      <c r="M524" s="893"/>
      <c r="N524" s="893">
        <f t="shared" si="106"/>
        <v>0</v>
      </c>
      <c r="O524" s="856"/>
      <c r="P524" s="856"/>
      <c r="Q524" s="856">
        <f t="shared" si="107"/>
        <v>0</v>
      </c>
      <c r="R524" s="894"/>
      <c r="S524" s="855"/>
      <c r="T524" s="896">
        <f t="shared" si="113"/>
        <v>0</v>
      </c>
      <c r="U524" s="862"/>
      <c r="V524" s="857"/>
      <c r="W524" s="857">
        <f t="shared" si="110"/>
        <v>0</v>
      </c>
      <c r="X524" s="863"/>
      <c r="Y524" s="664">
        <f t="shared" si="109"/>
        <v>0</v>
      </c>
      <c r="Z524" s="664">
        <f t="shared" si="112"/>
        <v>0</v>
      </c>
      <c r="AA524" s="836"/>
      <c r="AB524" s="982"/>
      <c r="AC524" s="867"/>
      <c r="AD524" s="867"/>
      <c r="AE524" s="979">
        <f t="shared" si="111"/>
        <v>0</v>
      </c>
      <c r="AF524" s="878"/>
      <c r="AG524" s="335"/>
      <c r="AH524" s="979">
        <f t="shared" si="108"/>
        <v>0</v>
      </c>
      <c r="AI524" s="979"/>
      <c r="AJ524" s="979">
        <f t="shared" si="105"/>
        <v>0</v>
      </c>
      <c r="AK524" s="878"/>
      <c r="AL524" s="618"/>
      <c r="AM524" s="618"/>
    </row>
    <row r="525" spans="1:39" ht="29.25" customHeight="1" x14ac:dyDescent="0.25">
      <c r="A525" s="664"/>
      <c r="B525" s="664"/>
      <c r="C525" s="664"/>
      <c r="D525" s="1086" t="s">
        <v>368</v>
      </c>
      <c r="E525" s="891" t="s">
        <v>431</v>
      </c>
      <c r="F525" s="846" t="s">
        <v>573</v>
      </c>
      <c r="G525" s="836" t="s">
        <v>276</v>
      </c>
      <c r="H525" s="844"/>
      <c r="I525" s="625"/>
      <c r="J525" s="844"/>
      <c r="K525" s="626"/>
      <c r="L525" s="893"/>
      <c r="M525" s="893"/>
      <c r="N525" s="893">
        <f t="shared" si="106"/>
        <v>0</v>
      </c>
      <c r="O525" s="856"/>
      <c r="P525" s="856"/>
      <c r="Q525" s="856">
        <f t="shared" si="107"/>
        <v>0</v>
      </c>
      <c r="R525" s="894"/>
      <c r="S525" s="855"/>
      <c r="T525" s="896">
        <f t="shared" si="113"/>
        <v>0</v>
      </c>
      <c r="U525" s="862"/>
      <c r="V525" s="857"/>
      <c r="W525" s="857">
        <f t="shared" si="110"/>
        <v>0</v>
      </c>
      <c r="X525" s="863"/>
      <c r="Y525" s="664">
        <f t="shared" si="109"/>
        <v>0</v>
      </c>
      <c r="Z525" s="664">
        <f t="shared" si="112"/>
        <v>0</v>
      </c>
      <c r="AA525" s="836"/>
      <c r="AB525" s="982"/>
      <c r="AC525" s="867"/>
      <c r="AD525" s="867"/>
      <c r="AE525" s="979">
        <f t="shared" si="111"/>
        <v>0</v>
      </c>
      <c r="AF525" s="878"/>
      <c r="AG525" s="335"/>
      <c r="AH525" s="979">
        <f t="shared" si="108"/>
        <v>0</v>
      </c>
      <c r="AI525" s="979"/>
      <c r="AJ525" s="979">
        <f t="shared" si="105"/>
        <v>0</v>
      </c>
      <c r="AK525" s="878"/>
      <c r="AL525" s="618"/>
      <c r="AM525" s="618"/>
    </row>
    <row r="526" spans="1:39" ht="21.6" customHeight="1" x14ac:dyDescent="0.25">
      <c r="A526" s="664"/>
      <c r="B526" s="664"/>
      <c r="C526" s="664"/>
      <c r="D526" s="1086" t="s">
        <v>368</v>
      </c>
      <c r="E526" s="891" t="s">
        <v>431</v>
      </c>
      <c r="F526" s="846" t="s">
        <v>576</v>
      </c>
      <c r="G526" s="836" t="s">
        <v>276</v>
      </c>
      <c r="H526" s="844"/>
      <c r="I526" s="625"/>
      <c r="J526" s="844"/>
      <c r="K526" s="626"/>
      <c r="L526" s="893"/>
      <c r="M526" s="893"/>
      <c r="N526" s="893">
        <f t="shared" si="106"/>
        <v>0</v>
      </c>
      <c r="O526" s="856"/>
      <c r="P526" s="856"/>
      <c r="Q526" s="856">
        <f t="shared" si="107"/>
        <v>0</v>
      </c>
      <c r="R526" s="894"/>
      <c r="S526" s="855"/>
      <c r="T526" s="896">
        <f t="shared" si="113"/>
        <v>0</v>
      </c>
      <c r="U526" s="862"/>
      <c r="V526" s="857"/>
      <c r="W526" s="857">
        <f t="shared" si="110"/>
        <v>0</v>
      </c>
      <c r="X526" s="863"/>
      <c r="Y526" s="664">
        <f t="shared" si="109"/>
        <v>0</v>
      </c>
      <c r="Z526" s="664">
        <f t="shared" si="112"/>
        <v>0</v>
      </c>
      <c r="AA526" s="836"/>
      <c r="AB526" s="982"/>
      <c r="AC526" s="867"/>
      <c r="AD526" s="867"/>
      <c r="AE526" s="979">
        <f t="shared" si="111"/>
        <v>0</v>
      </c>
      <c r="AF526" s="878"/>
      <c r="AG526" s="335"/>
      <c r="AH526" s="979">
        <f t="shared" si="108"/>
        <v>0</v>
      </c>
      <c r="AI526" s="979"/>
      <c r="AJ526" s="979">
        <f t="shared" si="105"/>
        <v>0</v>
      </c>
      <c r="AK526" s="878"/>
      <c r="AL526" s="618"/>
      <c r="AM526" s="618"/>
    </row>
    <row r="527" spans="1:39" ht="21.6" customHeight="1" x14ac:dyDescent="0.25">
      <c r="A527" s="664"/>
      <c r="B527" s="664"/>
      <c r="C527" s="664"/>
      <c r="D527" s="1086" t="s">
        <v>368</v>
      </c>
      <c r="E527" s="845" t="s">
        <v>431</v>
      </c>
      <c r="F527" s="846" t="s">
        <v>730</v>
      </c>
      <c r="G527" s="836" t="s">
        <v>276</v>
      </c>
      <c r="H527" s="844" t="s">
        <v>276</v>
      </c>
      <c r="I527" s="625" t="s">
        <v>276</v>
      </c>
      <c r="J527" s="844" t="s">
        <v>265</v>
      </c>
      <c r="K527" s="626" t="s">
        <v>728</v>
      </c>
      <c r="L527" s="893">
        <v>9</v>
      </c>
      <c r="M527" s="893">
        <v>11</v>
      </c>
      <c r="N527" s="893">
        <f t="shared" si="106"/>
        <v>20</v>
      </c>
      <c r="O527" s="856">
        <v>17</v>
      </c>
      <c r="P527" s="856"/>
      <c r="Q527" s="856">
        <f t="shared" si="107"/>
        <v>17</v>
      </c>
      <c r="R527" s="894"/>
      <c r="S527" s="855"/>
      <c r="T527" s="896">
        <f t="shared" si="113"/>
        <v>0</v>
      </c>
      <c r="U527" s="862"/>
      <c r="V527" s="857">
        <v>255</v>
      </c>
      <c r="W527" s="857">
        <f t="shared" si="110"/>
        <v>17</v>
      </c>
      <c r="X527" s="863"/>
      <c r="Y527" s="664">
        <f t="shared" si="109"/>
        <v>255</v>
      </c>
      <c r="Z527" s="664">
        <f t="shared" si="112"/>
        <v>17</v>
      </c>
      <c r="AA527" s="836"/>
      <c r="AB527" s="982"/>
      <c r="AC527" s="867">
        <v>9</v>
      </c>
      <c r="AD527" s="867">
        <v>11</v>
      </c>
      <c r="AE527" s="979">
        <f t="shared" si="111"/>
        <v>20</v>
      </c>
      <c r="AF527" s="878"/>
      <c r="AG527" s="335">
        <v>255</v>
      </c>
      <c r="AH527" s="979">
        <f t="shared" si="108"/>
        <v>17</v>
      </c>
      <c r="AI527" s="979"/>
      <c r="AJ527" s="979">
        <f t="shared" si="105"/>
        <v>0</v>
      </c>
      <c r="AK527" s="878"/>
      <c r="AL527" s="618"/>
      <c r="AM527" s="618"/>
    </row>
    <row r="528" spans="1:39" ht="27" customHeight="1" x14ac:dyDescent="0.25">
      <c r="A528" s="664"/>
      <c r="B528" s="664"/>
      <c r="C528" s="664"/>
      <c r="D528" s="1086" t="s">
        <v>368</v>
      </c>
      <c r="E528" s="845" t="s">
        <v>437</v>
      </c>
      <c r="F528" s="846" t="s">
        <v>659</v>
      </c>
      <c r="G528" s="836"/>
      <c r="H528" s="844" t="s">
        <v>276</v>
      </c>
      <c r="I528" s="625" t="s">
        <v>276</v>
      </c>
      <c r="J528" s="844" t="s">
        <v>265</v>
      </c>
      <c r="K528" s="626" t="s">
        <v>677</v>
      </c>
      <c r="L528" s="893">
        <v>48</v>
      </c>
      <c r="M528" s="893">
        <v>30</v>
      </c>
      <c r="N528" s="893">
        <f t="shared" si="106"/>
        <v>78</v>
      </c>
      <c r="O528" s="856">
        <v>46.7</v>
      </c>
      <c r="P528" s="856"/>
      <c r="Q528" s="856">
        <f t="shared" si="107"/>
        <v>46.7</v>
      </c>
      <c r="R528" s="894"/>
      <c r="S528" s="855"/>
      <c r="T528" s="896">
        <f t="shared" si="113"/>
        <v>0</v>
      </c>
      <c r="U528" s="862"/>
      <c r="V528" s="857">
        <v>630</v>
      </c>
      <c r="W528" s="857">
        <f t="shared" si="110"/>
        <v>42</v>
      </c>
      <c r="X528" s="863"/>
      <c r="Y528" s="664">
        <f t="shared" si="109"/>
        <v>630</v>
      </c>
      <c r="Z528" s="664">
        <f t="shared" si="112"/>
        <v>42</v>
      </c>
      <c r="AA528" s="836"/>
      <c r="AB528" s="982"/>
      <c r="AC528" s="867">
        <v>48</v>
      </c>
      <c r="AD528" s="867">
        <v>30</v>
      </c>
      <c r="AE528" s="979">
        <f t="shared" si="111"/>
        <v>78</v>
      </c>
      <c r="AF528" s="878"/>
      <c r="AG528" s="335">
        <v>633</v>
      </c>
      <c r="AH528" s="979">
        <f t="shared" si="108"/>
        <v>42.2</v>
      </c>
      <c r="AI528" s="979"/>
      <c r="AJ528" s="979">
        <f t="shared" si="105"/>
        <v>-0.20000000000000284</v>
      </c>
      <c r="AK528" s="878"/>
      <c r="AL528" s="618"/>
      <c r="AM528" s="618"/>
    </row>
    <row r="529" spans="1:144" ht="34.5" customHeight="1" x14ac:dyDescent="0.25">
      <c r="A529" s="664"/>
      <c r="B529" s="664"/>
      <c r="C529" s="664"/>
      <c r="D529" s="1086" t="s">
        <v>368</v>
      </c>
      <c r="E529" s="845" t="s">
        <v>489</v>
      </c>
      <c r="F529" s="846" t="s">
        <v>574</v>
      </c>
      <c r="G529" s="836" t="s">
        <v>276</v>
      </c>
      <c r="H529" s="844"/>
      <c r="I529" s="625"/>
      <c r="J529" s="844"/>
      <c r="K529" s="626"/>
      <c r="L529" s="893"/>
      <c r="M529" s="893"/>
      <c r="N529" s="893">
        <f t="shared" si="106"/>
        <v>0</v>
      </c>
      <c r="O529" s="856"/>
      <c r="P529" s="856"/>
      <c r="Q529" s="856">
        <f t="shared" si="107"/>
        <v>0</v>
      </c>
      <c r="R529" s="894"/>
      <c r="S529" s="855"/>
      <c r="T529" s="896">
        <f t="shared" si="113"/>
        <v>0</v>
      </c>
      <c r="U529" s="862"/>
      <c r="V529" s="857"/>
      <c r="W529" s="857">
        <f t="shared" si="110"/>
        <v>0</v>
      </c>
      <c r="X529" s="863"/>
      <c r="Y529" s="664">
        <f t="shared" si="109"/>
        <v>0</v>
      </c>
      <c r="Z529" s="664">
        <f t="shared" si="112"/>
        <v>0</v>
      </c>
      <c r="AA529" s="836"/>
      <c r="AB529" s="982"/>
      <c r="AC529" s="867"/>
      <c r="AD529" s="867"/>
      <c r="AE529" s="979">
        <f t="shared" si="111"/>
        <v>0</v>
      </c>
      <c r="AF529" s="878"/>
      <c r="AG529" s="335"/>
      <c r="AH529" s="979">
        <f t="shared" si="108"/>
        <v>0</v>
      </c>
      <c r="AI529" s="979"/>
      <c r="AJ529" s="979">
        <f t="shared" si="105"/>
        <v>0</v>
      </c>
      <c r="AK529" s="878"/>
      <c r="AL529" s="618"/>
      <c r="AM529" s="618"/>
    </row>
    <row r="530" spans="1:144" ht="34.5" customHeight="1" x14ac:dyDescent="0.25">
      <c r="A530" s="664"/>
      <c r="B530" s="664"/>
      <c r="C530" s="664"/>
      <c r="D530" s="1086" t="s">
        <v>368</v>
      </c>
      <c r="E530" s="891" t="s">
        <v>489</v>
      </c>
      <c r="F530" s="846" t="s">
        <v>727</v>
      </c>
      <c r="G530" s="836"/>
      <c r="H530" s="844" t="s">
        <v>276</v>
      </c>
      <c r="I530" s="625" t="s">
        <v>276</v>
      </c>
      <c r="J530" s="844" t="s">
        <v>265</v>
      </c>
      <c r="K530" s="626" t="s">
        <v>728</v>
      </c>
      <c r="L530" s="893">
        <v>56</v>
      </c>
      <c r="M530" s="893">
        <v>11</v>
      </c>
      <c r="N530" s="893">
        <f t="shared" si="106"/>
        <v>67</v>
      </c>
      <c r="O530" s="856">
        <v>31.25</v>
      </c>
      <c r="P530" s="856"/>
      <c r="Q530" s="856">
        <f t="shared" si="107"/>
        <v>31.25</v>
      </c>
      <c r="R530" s="894"/>
      <c r="S530" s="855"/>
      <c r="T530" s="896">
        <f t="shared" si="113"/>
        <v>0</v>
      </c>
      <c r="U530" s="862"/>
      <c r="V530" s="857">
        <v>468</v>
      </c>
      <c r="W530" s="857">
        <f t="shared" si="110"/>
        <v>31.2</v>
      </c>
      <c r="X530" s="863"/>
      <c r="Y530" s="664">
        <f t="shared" si="109"/>
        <v>468</v>
      </c>
      <c r="Z530" s="664">
        <f t="shared" si="112"/>
        <v>31.2</v>
      </c>
      <c r="AA530" s="836"/>
      <c r="AB530" s="982"/>
      <c r="AC530" s="867">
        <v>56</v>
      </c>
      <c r="AD530" s="867">
        <v>11</v>
      </c>
      <c r="AE530" s="979">
        <f t="shared" si="111"/>
        <v>67</v>
      </c>
      <c r="AF530" s="878"/>
      <c r="AG530" s="335">
        <v>465</v>
      </c>
      <c r="AH530" s="979">
        <f t="shared" si="108"/>
        <v>31</v>
      </c>
      <c r="AI530" s="979"/>
      <c r="AJ530" s="979">
        <f t="shared" si="105"/>
        <v>0.19999999999999929</v>
      </c>
      <c r="AK530" s="878"/>
      <c r="AL530" s="618"/>
      <c r="AM530" s="618"/>
    </row>
    <row r="531" spans="1:144" ht="21.6" customHeight="1" x14ac:dyDescent="0.25">
      <c r="A531" s="664"/>
      <c r="B531" s="664"/>
      <c r="C531" s="664"/>
      <c r="D531" s="1086" t="s">
        <v>368</v>
      </c>
      <c r="E531" s="845" t="s">
        <v>489</v>
      </c>
      <c r="F531" s="846" t="s">
        <v>575</v>
      </c>
      <c r="G531" s="836" t="s">
        <v>276</v>
      </c>
      <c r="H531" s="844"/>
      <c r="I531" s="625"/>
      <c r="J531" s="844"/>
      <c r="K531" s="626"/>
      <c r="L531" s="893"/>
      <c r="M531" s="893"/>
      <c r="N531" s="893">
        <f t="shared" si="106"/>
        <v>0</v>
      </c>
      <c r="O531" s="856"/>
      <c r="P531" s="856"/>
      <c r="Q531" s="856">
        <f t="shared" si="107"/>
        <v>0</v>
      </c>
      <c r="R531" s="894"/>
      <c r="S531" s="855"/>
      <c r="T531" s="896">
        <f t="shared" si="113"/>
        <v>0</v>
      </c>
      <c r="U531" s="862"/>
      <c r="V531" s="857"/>
      <c r="W531" s="857">
        <f t="shared" si="110"/>
        <v>0</v>
      </c>
      <c r="X531" s="863"/>
      <c r="Y531" s="664">
        <f t="shared" si="109"/>
        <v>0</v>
      </c>
      <c r="Z531" s="664">
        <f t="shared" si="112"/>
        <v>0</v>
      </c>
      <c r="AA531" s="836"/>
      <c r="AB531" s="982"/>
      <c r="AC531" s="867"/>
      <c r="AD531" s="867"/>
      <c r="AE531" s="979">
        <f t="shared" si="111"/>
        <v>0</v>
      </c>
      <c r="AF531" s="878"/>
      <c r="AG531" s="335"/>
      <c r="AH531" s="979">
        <f t="shared" si="108"/>
        <v>0</v>
      </c>
      <c r="AI531" s="979"/>
      <c r="AJ531" s="979">
        <f t="shared" si="105"/>
        <v>0</v>
      </c>
      <c r="AK531" s="878"/>
      <c r="AL531" s="618"/>
      <c r="AM531" s="618"/>
    </row>
    <row r="532" spans="1:144" s="641" customFormat="1" ht="28.9" customHeight="1" x14ac:dyDescent="0.25">
      <c r="A532" s="836"/>
      <c r="B532" s="836"/>
      <c r="C532" s="836"/>
      <c r="D532" s="1086" t="s">
        <v>368</v>
      </c>
      <c r="E532" s="845" t="s">
        <v>489</v>
      </c>
      <c r="F532" s="846" t="s">
        <v>577</v>
      </c>
      <c r="G532" s="836" t="s">
        <v>276</v>
      </c>
      <c r="H532" s="844"/>
      <c r="I532" s="625"/>
      <c r="J532" s="844"/>
      <c r="K532" s="626"/>
      <c r="L532" s="890"/>
      <c r="M532" s="890"/>
      <c r="N532" s="890">
        <f t="shared" si="106"/>
        <v>0</v>
      </c>
      <c r="O532" s="467"/>
      <c r="P532" s="467"/>
      <c r="Q532" s="467">
        <f t="shared" si="107"/>
        <v>0</v>
      </c>
      <c r="R532" s="625"/>
      <c r="S532" s="842"/>
      <c r="T532" s="862">
        <f t="shared" si="113"/>
        <v>0</v>
      </c>
      <c r="U532" s="862"/>
      <c r="V532" s="863"/>
      <c r="W532" s="857">
        <f t="shared" si="110"/>
        <v>0</v>
      </c>
      <c r="X532" s="863"/>
      <c r="Y532" s="836">
        <f t="shared" si="109"/>
        <v>0</v>
      </c>
      <c r="Z532" s="664">
        <f t="shared" si="112"/>
        <v>0</v>
      </c>
      <c r="AA532" s="836"/>
      <c r="AB532" s="982"/>
      <c r="AC532" s="867"/>
      <c r="AD532" s="867"/>
      <c r="AE532" s="979">
        <f t="shared" si="111"/>
        <v>0</v>
      </c>
      <c r="AF532" s="878"/>
      <c r="AG532" s="335"/>
      <c r="AH532" s="979">
        <f t="shared" si="108"/>
        <v>0</v>
      </c>
      <c r="AI532" s="979"/>
      <c r="AJ532" s="979">
        <f t="shared" si="105"/>
        <v>0</v>
      </c>
      <c r="AK532" s="878"/>
      <c r="AL532" s="648"/>
      <c r="AM532" s="648"/>
      <c r="AN532" s="647"/>
      <c r="AO532" s="647"/>
      <c r="AP532" s="647"/>
      <c r="AQ532" s="647"/>
      <c r="AR532" s="647"/>
      <c r="AS532" s="647"/>
      <c r="AT532" s="647"/>
      <c r="AU532" s="647"/>
      <c r="AV532" s="647"/>
      <c r="AW532" s="647"/>
      <c r="AX532" s="647"/>
      <c r="AY532" s="647"/>
      <c r="AZ532" s="647"/>
      <c r="BA532" s="647"/>
      <c r="BB532" s="647"/>
      <c r="BC532" s="647"/>
      <c r="BD532" s="647"/>
      <c r="BE532" s="647"/>
      <c r="BF532" s="647"/>
      <c r="BG532" s="647"/>
      <c r="BH532" s="647"/>
      <c r="BI532" s="647"/>
      <c r="BJ532" s="647"/>
      <c r="BK532" s="647"/>
      <c r="BL532" s="647"/>
      <c r="BM532" s="647"/>
      <c r="BN532" s="647"/>
      <c r="BO532" s="647"/>
      <c r="BP532" s="647"/>
      <c r="BQ532" s="647"/>
      <c r="BR532" s="647"/>
      <c r="BS532" s="647"/>
      <c r="BT532" s="647"/>
      <c r="BU532" s="647"/>
      <c r="BV532" s="647"/>
      <c r="BW532" s="647"/>
      <c r="BX532" s="647"/>
      <c r="BY532" s="647"/>
      <c r="BZ532" s="647"/>
      <c r="CA532" s="647"/>
      <c r="CB532" s="647"/>
      <c r="CC532" s="647"/>
    </row>
    <row r="533" spans="1:144" ht="30" customHeight="1" x14ac:dyDescent="0.25">
      <c r="A533" s="664"/>
      <c r="B533" s="664"/>
      <c r="C533" s="664"/>
      <c r="D533" s="1086"/>
      <c r="E533" s="845"/>
      <c r="F533" s="846"/>
      <c r="G533" s="836"/>
      <c r="H533" s="844"/>
      <c r="I533" s="625"/>
      <c r="J533" s="844"/>
      <c r="K533" s="626"/>
      <c r="L533" s="893"/>
      <c r="M533" s="893"/>
      <c r="N533" s="893">
        <f t="shared" si="106"/>
        <v>0</v>
      </c>
      <c r="O533" s="856"/>
      <c r="P533" s="856"/>
      <c r="Q533" s="856">
        <f t="shared" si="107"/>
        <v>0</v>
      </c>
      <c r="R533" s="894"/>
      <c r="S533" s="855"/>
      <c r="T533" s="896">
        <f t="shared" si="113"/>
        <v>0</v>
      </c>
      <c r="U533" s="862"/>
      <c r="V533" s="857"/>
      <c r="W533" s="857">
        <f t="shared" si="110"/>
        <v>0</v>
      </c>
      <c r="X533" s="863"/>
      <c r="Y533" s="664">
        <f t="shared" si="109"/>
        <v>0</v>
      </c>
      <c r="Z533" s="664">
        <f t="shared" si="112"/>
        <v>0</v>
      </c>
      <c r="AA533" s="836"/>
      <c r="AB533" s="982"/>
      <c r="AC533" s="867"/>
      <c r="AD533" s="867"/>
      <c r="AE533" s="979">
        <f t="shared" si="111"/>
        <v>0</v>
      </c>
      <c r="AF533" s="878"/>
      <c r="AG533" s="335"/>
      <c r="AH533" s="979">
        <f t="shared" si="108"/>
        <v>0</v>
      </c>
      <c r="AI533" s="979"/>
      <c r="AJ533" s="979">
        <f t="shared" si="105"/>
        <v>0</v>
      </c>
      <c r="AK533" s="878"/>
      <c r="AL533" s="618"/>
      <c r="AM533" s="618"/>
    </row>
    <row r="534" spans="1:144" ht="27.6" customHeight="1" x14ac:dyDescent="0.25">
      <c r="A534" s="664">
        <v>178</v>
      </c>
      <c r="B534" s="664" t="s">
        <v>130</v>
      </c>
      <c r="C534" s="664">
        <v>7</v>
      </c>
      <c r="D534" s="1086" t="s">
        <v>256</v>
      </c>
      <c r="E534" s="845"/>
      <c r="F534" s="846" t="s">
        <v>200</v>
      </c>
      <c r="G534" s="836" t="s">
        <v>265</v>
      </c>
      <c r="H534" s="844"/>
      <c r="I534" s="625"/>
      <c r="J534" s="844"/>
      <c r="K534" s="626"/>
      <c r="L534" s="893"/>
      <c r="M534" s="893"/>
      <c r="N534" s="893">
        <f t="shared" si="106"/>
        <v>0</v>
      </c>
      <c r="O534" s="856"/>
      <c r="P534" s="856"/>
      <c r="Q534" s="856">
        <f t="shared" si="107"/>
        <v>0</v>
      </c>
      <c r="R534" s="894"/>
      <c r="S534" s="855">
        <v>3</v>
      </c>
      <c r="T534" s="896">
        <f t="shared" si="113"/>
        <v>0.2</v>
      </c>
      <c r="U534" s="862">
        <f>SUM(T534:T541)</f>
        <v>0.2</v>
      </c>
      <c r="V534" s="857">
        <v>75</v>
      </c>
      <c r="W534" s="857">
        <f t="shared" si="110"/>
        <v>5</v>
      </c>
      <c r="X534" s="863">
        <f>SUM(W534:W541)</f>
        <v>9.8000000000000007</v>
      </c>
      <c r="Y534" s="664">
        <f t="shared" si="109"/>
        <v>78</v>
      </c>
      <c r="Z534" s="664">
        <f t="shared" si="112"/>
        <v>5.2</v>
      </c>
      <c r="AA534" s="836">
        <f>SUM(Z534:Z541)</f>
        <v>10</v>
      </c>
      <c r="AB534" s="982">
        <v>10</v>
      </c>
      <c r="AC534" s="867">
        <v>13</v>
      </c>
      <c r="AD534" s="867">
        <v>11</v>
      </c>
      <c r="AE534" s="979">
        <f t="shared" si="111"/>
        <v>24</v>
      </c>
      <c r="AF534" s="878">
        <f>SUM(AE534:AE541)</f>
        <v>39</v>
      </c>
      <c r="AG534" s="335">
        <v>75</v>
      </c>
      <c r="AH534" s="979">
        <f t="shared" si="108"/>
        <v>5</v>
      </c>
      <c r="AI534" s="979">
        <f>SUM(AH534:AH541)</f>
        <v>9.8000000000000007</v>
      </c>
      <c r="AJ534" s="979">
        <f t="shared" si="105"/>
        <v>0.20000000000000018</v>
      </c>
      <c r="AK534" s="878">
        <f>SUM(AJ534:AJ541)</f>
        <v>0.20000000000000018</v>
      </c>
      <c r="AL534" s="618"/>
      <c r="AM534" s="618"/>
    </row>
    <row r="535" spans="1:144" ht="21.6" customHeight="1" x14ac:dyDescent="0.25">
      <c r="A535" s="664"/>
      <c r="B535" s="664"/>
      <c r="C535" s="664"/>
      <c r="D535" s="1086" t="s">
        <v>256</v>
      </c>
      <c r="E535" s="845"/>
      <c r="F535" s="846" t="s">
        <v>616</v>
      </c>
      <c r="G535" s="836"/>
      <c r="H535" s="844"/>
      <c r="I535" s="625"/>
      <c r="J535" s="844"/>
      <c r="K535" s="626"/>
      <c r="L535" s="893"/>
      <c r="M535" s="893"/>
      <c r="N535" s="893">
        <f t="shared" si="106"/>
        <v>0</v>
      </c>
      <c r="O535" s="856"/>
      <c r="P535" s="856"/>
      <c r="Q535" s="856">
        <f t="shared" si="107"/>
        <v>0</v>
      </c>
      <c r="R535" s="894"/>
      <c r="S535" s="855"/>
      <c r="T535" s="896">
        <f t="shared" si="113"/>
        <v>0</v>
      </c>
      <c r="U535" s="862"/>
      <c r="V535" s="857"/>
      <c r="W535" s="857">
        <f t="shared" si="110"/>
        <v>0</v>
      </c>
      <c r="X535" s="863"/>
      <c r="Y535" s="664">
        <f t="shared" si="109"/>
        <v>0</v>
      </c>
      <c r="Z535" s="664">
        <f t="shared" si="112"/>
        <v>0</v>
      </c>
      <c r="AA535" s="836"/>
      <c r="AB535" s="982"/>
      <c r="AC535" s="867"/>
      <c r="AD535" s="867"/>
      <c r="AE535" s="979">
        <f t="shared" si="111"/>
        <v>0</v>
      </c>
      <c r="AF535" s="878"/>
      <c r="AG535" s="335"/>
      <c r="AH535" s="979">
        <f t="shared" si="108"/>
        <v>0</v>
      </c>
      <c r="AI535" s="979"/>
      <c r="AJ535" s="979">
        <f t="shared" si="105"/>
        <v>0</v>
      </c>
      <c r="AK535" s="878"/>
      <c r="AL535" s="618"/>
      <c r="AM535" s="618"/>
    </row>
    <row r="536" spans="1:144" ht="27.75" customHeight="1" x14ac:dyDescent="0.25">
      <c r="A536" s="664">
        <v>172</v>
      </c>
      <c r="B536" s="664" t="s">
        <v>130</v>
      </c>
      <c r="C536" s="664">
        <v>1</v>
      </c>
      <c r="D536" s="1086" t="s">
        <v>256</v>
      </c>
      <c r="E536" s="845"/>
      <c r="F536" s="846" t="s">
        <v>257</v>
      </c>
      <c r="G536" s="836" t="s">
        <v>265</v>
      </c>
      <c r="H536" s="844"/>
      <c r="I536" s="625"/>
      <c r="J536" s="844"/>
      <c r="K536" s="626"/>
      <c r="L536" s="893"/>
      <c r="M536" s="893"/>
      <c r="N536" s="893">
        <f t="shared" si="106"/>
        <v>0</v>
      </c>
      <c r="O536" s="856"/>
      <c r="P536" s="856"/>
      <c r="Q536" s="856">
        <f t="shared" si="107"/>
        <v>0</v>
      </c>
      <c r="R536" s="894"/>
      <c r="S536" s="855"/>
      <c r="T536" s="896">
        <f t="shared" si="113"/>
        <v>0</v>
      </c>
      <c r="U536" s="862"/>
      <c r="V536" s="857"/>
      <c r="W536" s="857">
        <f t="shared" si="110"/>
        <v>0</v>
      </c>
      <c r="X536" s="863"/>
      <c r="Y536" s="664">
        <f t="shared" si="109"/>
        <v>0</v>
      </c>
      <c r="Z536" s="664">
        <f t="shared" si="112"/>
        <v>0</v>
      </c>
      <c r="AA536" s="836"/>
      <c r="AB536" s="982"/>
      <c r="AC536" s="867"/>
      <c r="AD536" s="867"/>
      <c r="AE536" s="979">
        <f t="shared" si="111"/>
        <v>0</v>
      </c>
      <c r="AF536" s="878"/>
      <c r="AG536" s="335"/>
      <c r="AH536" s="979">
        <f t="shared" si="108"/>
        <v>0</v>
      </c>
      <c r="AI536" s="979"/>
      <c r="AJ536" s="979">
        <f t="shared" si="105"/>
        <v>0</v>
      </c>
      <c r="AK536" s="878"/>
      <c r="AL536" s="618"/>
      <c r="AM536" s="618"/>
    </row>
    <row r="537" spans="1:144" ht="29.25" customHeight="1" x14ac:dyDescent="0.25">
      <c r="A537" s="664">
        <v>173</v>
      </c>
      <c r="B537" s="664" t="s">
        <v>130</v>
      </c>
      <c r="C537" s="664">
        <v>2</v>
      </c>
      <c r="D537" s="1086" t="s">
        <v>256</v>
      </c>
      <c r="E537" s="845"/>
      <c r="F537" s="846" t="s">
        <v>258</v>
      </c>
      <c r="G537" s="836" t="s">
        <v>265</v>
      </c>
      <c r="H537" s="844"/>
      <c r="I537" s="625"/>
      <c r="J537" s="844" t="s">
        <v>265</v>
      </c>
      <c r="K537" s="626" t="s">
        <v>858</v>
      </c>
      <c r="L537" s="893">
        <v>9</v>
      </c>
      <c r="M537" s="893">
        <v>6</v>
      </c>
      <c r="N537" s="893">
        <f t="shared" si="106"/>
        <v>15</v>
      </c>
      <c r="O537" s="856"/>
      <c r="P537" s="856">
        <v>4.8</v>
      </c>
      <c r="Q537" s="856">
        <f t="shared" si="107"/>
        <v>4.8</v>
      </c>
      <c r="R537" s="894"/>
      <c r="S537" s="855"/>
      <c r="T537" s="896">
        <f t="shared" si="113"/>
        <v>0</v>
      </c>
      <c r="U537" s="862"/>
      <c r="V537" s="857">
        <v>72</v>
      </c>
      <c r="W537" s="857">
        <f t="shared" si="110"/>
        <v>4.8</v>
      </c>
      <c r="X537" s="863"/>
      <c r="Y537" s="664">
        <f t="shared" si="109"/>
        <v>72</v>
      </c>
      <c r="Z537" s="664">
        <f t="shared" si="112"/>
        <v>4.8</v>
      </c>
      <c r="AA537" s="836"/>
      <c r="AB537" s="982"/>
      <c r="AC537" s="867">
        <v>9</v>
      </c>
      <c r="AD537" s="867">
        <v>6</v>
      </c>
      <c r="AE537" s="979">
        <f t="shared" si="111"/>
        <v>15</v>
      </c>
      <c r="AF537" s="878"/>
      <c r="AG537" s="335">
        <v>72</v>
      </c>
      <c r="AH537" s="979">
        <f t="shared" si="108"/>
        <v>4.8</v>
      </c>
      <c r="AI537" s="979"/>
      <c r="AJ537" s="979">
        <f t="shared" si="105"/>
        <v>0</v>
      </c>
      <c r="AK537" s="878"/>
      <c r="AL537" s="618"/>
      <c r="AM537" s="618"/>
    </row>
    <row r="538" spans="1:144" ht="40.5" customHeight="1" x14ac:dyDescent="0.25">
      <c r="A538" s="664"/>
      <c r="B538" s="664"/>
      <c r="C538" s="664"/>
      <c r="D538" s="1086" t="s">
        <v>256</v>
      </c>
      <c r="E538" s="845"/>
      <c r="F538" s="846" t="s">
        <v>615</v>
      </c>
      <c r="G538" s="836"/>
      <c r="H538" s="844"/>
      <c r="I538" s="625"/>
      <c r="J538" s="844"/>
      <c r="K538" s="626"/>
      <c r="L538" s="893"/>
      <c r="M538" s="893"/>
      <c r="N538" s="893">
        <f t="shared" si="106"/>
        <v>0</v>
      </c>
      <c r="O538" s="856"/>
      <c r="P538" s="856"/>
      <c r="Q538" s="856">
        <f t="shared" si="107"/>
        <v>0</v>
      </c>
      <c r="R538" s="894"/>
      <c r="S538" s="855"/>
      <c r="T538" s="896">
        <f t="shared" si="113"/>
        <v>0</v>
      </c>
      <c r="U538" s="862"/>
      <c r="V538" s="857"/>
      <c r="W538" s="857">
        <f t="shared" si="110"/>
        <v>0</v>
      </c>
      <c r="X538" s="863"/>
      <c r="Y538" s="664">
        <f t="shared" si="109"/>
        <v>0</v>
      </c>
      <c r="Z538" s="664">
        <f t="shared" si="112"/>
        <v>0</v>
      </c>
      <c r="AA538" s="836"/>
      <c r="AB538" s="982"/>
      <c r="AC538" s="867"/>
      <c r="AD538" s="867"/>
      <c r="AE538" s="979">
        <f t="shared" si="111"/>
        <v>0</v>
      </c>
      <c r="AF538" s="878"/>
      <c r="AG538" s="335"/>
      <c r="AH538" s="979">
        <f t="shared" si="108"/>
        <v>0</v>
      </c>
      <c r="AI538" s="979"/>
      <c r="AJ538" s="979">
        <f t="shared" si="105"/>
        <v>0</v>
      </c>
      <c r="AK538" s="878"/>
      <c r="AL538" s="618"/>
      <c r="AM538" s="618"/>
    </row>
    <row r="539" spans="1:144" ht="36" customHeight="1" x14ac:dyDescent="0.25">
      <c r="A539" s="664">
        <v>174</v>
      </c>
      <c r="B539" s="664" t="s">
        <v>130</v>
      </c>
      <c r="C539" s="664">
        <v>3</v>
      </c>
      <c r="D539" s="1086" t="s">
        <v>256</v>
      </c>
      <c r="E539" s="845"/>
      <c r="F539" s="846" t="s">
        <v>259</v>
      </c>
      <c r="G539" s="836" t="s">
        <v>265</v>
      </c>
      <c r="H539" s="844"/>
      <c r="I539" s="625"/>
      <c r="J539" s="844"/>
      <c r="K539" s="626"/>
      <c r="L539" s="893"/>
      <c r="M539" s="893"/>
      <c r="N539" s="893">
        <f t="shared" si="106"/>
        <v>0</v>
      </c>
      <c r="O539" s="856"/>
      <c r="P539" s="856"/>
      <c r="Q539" s="856">
        <f t="shared" si="107"/>
        <v>0</v>
      </c>
      <c r="R539" s="894"/>
      <c r="S539" s="855"/>
      <c r="T539" s="896">
        <f t="shared" si="113"/>
        <v>0</v>
      </c>
      <c r="U539" s="862"/>
      <c r="V539" s="857"/>
      <c r="W539" s="857">
        <f t="shared" si="110"/>
        <v>0</v>
      </c>
      <c r="X539" s="863"/>
      <c r="Y539" s="664">
        <f t="shared" si="109"/>
        <v>0</v>
      </c>
      <c r="Z539" s="664">
        <f t="shared" si="112"/>
        <v>0</v>
      </c>
      <c r="AA539" s="836"/>
      <c r="AB539" s="982"/>
      <c r="AC539" s="867"/>
      <c r="AD539" s="867"/>
      <c r="AE539" s="979">
        <f t="shared" si="111"/>
        <v>0</v>
      </c>
      <c r="AF539" s="878"/>
      <c r="AG539" s="335"/>
      <c r="AH539" s="979">
        <f t="shared" si="108"/>
        <v>0</v>
      </c>
      <c r="AI539" s="979"/>
      <c r="AJ539" s="979">
        <f t="shared" si="105"/>
        <v>0</v>
      </c>
      <c r="AK539" s="878"/>
      <c r="AL539" s="618"/>
      <c r="AM539" s="618"/>
    </row>
    <row r="540" spans="1:144" s="139" customFormat="1" ht="21.6" customHeight="1" x14ac:dyDescent="0.25">
      <c r="A540" s="664">
        <v>175</v>
      </c>
      <c r="B540" s="664" t="s">
        <v>130</v>
      </c>
      <c r="C540" s="664">
        <v>4</v>
      </c>
      <c r="D540" s="1086" t="s">
        <v>256</v>
      </c>
      <c r="E540" s="910"/>
      <c r="F540" s="846" t="s">
        <v>260</v>
      </c>
      <c r="G540" s="836" t="s">
        <v>265</v>
      </c>
      <c r="H540" s="844"/>
      <c r="I540" s="894"/>
      <c r="J540" s="933"/>
      <c r="K540" s="626"/>
      <c r="L540" s="934"/>
      <c r="M540" s="934"/>
      <c r="N540" s="934">
        <f t="shared" si="106"/>
        <v>0</v>
      </c>
      <c r="O540" s="894"/>
      <c r="P540" s="894"/>
      <c r="Q540" s="894">
        <f t="shared" si="107"/>
        <v>0</v>
      </c>
      <c r="R540" s="894"/>
      <c r="S540" s="894"/>
      <c r="T540" s="664">
        <f t="shared" si="113"/>
        <v>0</v>
      </c>
      <c r="U540" s="664"/>
      <c r="V540" s="664"/>
      <c r="W540" s="664">
        <f t="shared" si="110"/>
        <v>0</v>
      </c>
      <c r="X540" s="664"/>
      <c r="Y540" s="664">
        <f t="shared" si="109"/>
        <v>0</v>
      </c>
      <c r="Z540" s="664">
        <f t="shared" si="112"/>
        <v>0</v>
      </c>
      <c r="AA540" s="836"/>
      <c r="AB540" s="982"/>
      <c r="AC540" s="867"/>
      <c r="AD540" s="867"/>
      <c r="AE540" s="979">
        <f t="shared" si="111"/>
        <v>0</v>
      </c>
      <c r="AF540" s="878"/>
      <c r="AG540" s="335"/>
      <c r="AH540" s="979">
        <f t="shared" si="108"/>
        <v>0</v>
      </c>
      <c r="AI540" s="979"/>
      <c r="AJ540" s="979">
        <f t="shared" si="105"/>
        <v>0</v>
      </c>
      <c r="AK540" s="878"/>
      <c r="AL540" s="618"/>
      <c r="AM540" s="618"/>
    </row>
    <row r="541" spans="1:144" s="222" customFormat="1" ht="21.6" customHeight="1" x14ac:dyDescent="0.25">
      <c r="A541" s="664">
        <v>176</v>
      </c>
      <c r="B541" s="664" t="s">
        <v>130</v>
      </c>
      <c r="C541" s="664">
        <v>5</v>
      </c>
      <c r="D541" s="910" t="s">
        <v>256</v>
      </c>
      <c r="E541" s="910"/>
      <c r="F541" s="846" t="s">
        <v>261</v>
      </c>
      <c r="G541" s="836" t="s">
        <v>265</v>
      </c>
      <c r="H541" s="844"/>
      <c r="I541" s="894"/>
      <c r="J541" s="933"/>
      <c r="K541" s="626"/>
      <c r="L541" s="934"/>
      <c r="M541" s="934"/>
      <c r="N541" s="934">
        <f t="shared" si="106"/>
        <v>0</v>
      </c>
      <c r="O541" s="894"/>
      <c r="P541" s="894"/>
      <c r="Q541" s="894">
        <f t="shared" si="107"/>
        <v>0</v>
      </c>
      <c r="R541" s="894"/>
      <c r="S541" s="894"/>
      <c r="T541" s="664">
        <f t="shared" si="113"/>
        <v>0</v>
      </c>
      <c r="U541" s="664"/>
      <c r="V541" s="664"/>
      <c r="W541" s="664">
        <f t="shared" si="110"/>
        <v>0</v>
      </c>
      <c r="X541" s="664"/>
      <c r="Y541" s="664">
        <f t="shared" si="109"/>
        <v>0</v>
      </c>
      <c r="Z541" s="664">
        <f t="shared" si="112"/>
        <v>0</v>
      </c>
      <c r="AA541" s="836"/>
      <c r="AB541" s="982"/>
      <c r="AC541" s="867"/>
      <c r="AD541" s="867"/>
      <c r="AE541" s="979">
        <f t="shared" si="111"/>
        <v>0</v>
      </c>
      <c r="AF541" s="878"/>
      <c r="AG541" s="335"/>
      <c r="AH541" s="979">
        <f t="shared" si="108"/>
        <v>0</v>
      </c>
      <c r="AI541" s="979"/>
      <c r="AJ541" s="979">
        <f t="shared" si="105"/>
        <v>0</v>
      </c>
      <c r="AK541" s="878"/>
      <c r="AL541" s="618"/>
      <c r="AM541" s="618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  <c r="BP541" s="139"/>
      <c r="BQ541" s="139"/>
      <c r="BR541" s="139"/>
      <c r="BS541" s="139"/>
      <c r="BT541" s="139"/>
      <c r="BU541" s="139"/>
      <c r="BV541" s="139"/>
      <c r="BW541" s="139"/>
      <c r="BX541" s="139"/>
      <c r="BY541" s="139"/>
      <c r="BZ541" s="139"/>
      <c r="CA541" s="139"/>
      <c r="CB541" s="139"/>
      <c r="CC541" s="139"/>
      <c r="CD541" s="139"/>
      <c r="CE541" s="139"/>
      <c r="CF541" s="139"/>
      <c r="CG541" s="139"/>
      <c r="CH541" s="139"/>
      <c r="CI541" s="139"/>
      <c r="CJ541" s="139"/>
      <c r="CK541" s="139"/>
      <c r="CL541" s="139"/>
      <c r="CM541" s="139"/>
      <c r="CN541" s="139"/>
      <c r="CO541" s="139"/>
      <c r="CP541" s="139"/>
      <c r="CQ541" s="139"/>
      <c r="CR541" s="139"/>
      <c r="CS541" s="139"/>
      <c r="CT541" s="139"/>
      <c r="CU541" s="139"/>
      <c r="CV541" s="139"/>
      <c r="CW541" s="139"/>
      <c r="CX541" s="139"/>
      <c r="CY541" s="139"/>
      <c r="CZ541" s="139"/>
      <c r="DA541" s="139"/>
      <c r="DB541" s="139"/>
      <c r="DC541" s="139"/>
      <c r="DD541" s="139"/>
      <c r="DE541" s="139"/>
      <c r="DF541" s="139"/>
      <c r="DG541" s="139"/>
      <c r="DH541" s="139"/>
      <c r="DI541" s="139"/>
      <c r="DJ541" s="139"/>
      <c r="DK541" s="139"/>
      <c r="DL541" s="139"/>
      <c r="DM541" s="139"/>
      <c r="DN541" s="139"/>
      <c r="DO541" s="139"/>
      <c r="DP541" s="139"/>
      <c r="DQ541" s="139"/>
      <c r="DR541" s="139"/>
      <c r="DS541" s="139"/>
      <c r="DT541" s="139"/>
      <c r="DU541" s="139"/>
      <c r="DV541" s="139"/>
      <c r="DW541" s="139"/>
      <c r="DX541" s="139"/>
      <c r="DY541" s="139"/>
      <c r="DZ541" s="139"/>
      <c r="EA541" s="139"/>
      <c r="EB541" s="139"/>
      <c r="EC541" s="139"/>
      <c r="ED541" s="139"/>
      <c r="EE541" s="139"/>
      <c r="EF541" s="139"/>
      <c r="EG541" s="139"/>
      <c r="EH541" s="139"/>
      <c r="EI541" s="139"/>
      <c r="EJ541" s="139"/>
      <c r="EK541" s="139"/>
      <c r="EL541" s="139"/>
      <c r="EM541" s="139"/>
      <c r="EN541" s="139"/>
    </row>
    <row r="542" spans="1:144" s="139" customFormat="1" ht="21.6" customHeight="1" x14ac:dyDescent="0.25">
      <c r="A542" s="664"/>
      <c r="B542" s="664"/>
      <c r="C542" s="664"/>
      <c r="D542" s="910" t="s">
        <v>256</v>
      </c>
      <c r="E542" s="910"/>
      <c r="F542" s="846" t="s">
        <v>756</v>
      </c>
      <c r="G542" s="836"/>
      <c r="H542" s="844"/>
      <c r="I542" s="894"/>
      <c r="J542" s="933"/>
      <c r="K542" s="626"/>
      <c r="L542" s="934"/>
      <c r="M542" s="934"/>
      <c r="N542" s="934"/>
      <c r="O542" s="894"/>
      <c r="P542" s="894"/>
      <c r="Q542" s="894"/>
      <c r="R542" s="894"/>
      <c r="S542" s="894"/>
      <c r="T542" s="664"/>
      <c r="U542" s="664"/>
      <c r="V542" s="664"/>
      <c r="W542" s="664"/>
      <c r="X542" s="664"/>
      <c r="Y542" s="664">
        <f t="shared" si="109"/>
        <v>0</v>
      </c>
      <c r="Z542" s="664"/>
      <c r="AA542" s="836"/>
      <c r="AB542" s="982"/>
      <c r="AC542" s="867"/>
      <c r="AD542" s="867"/>
      <c r="AE542" s="979">
        <f t="shared" si="111"/>
        <v>0</v>
      </c>
      <c r="AF542" s="878"/>
      <c r="AG542" s="335"/>
      <c r="AH542" s="979"/>
      <c r="AI542" s="979"/>
      <c r="AJ542" s="979">
        <f t="shared" si="105"/>
        <v>0</v>
      </c>
      <c r="AK542" s="878"/>
      <c r="AL542" s="618"/>
      <c r="AM542" s="618"/>
    </row>
    <row r="543" spans="1:144" s="139" customFormat="1" ht="21.6" customHeight="1" x14ac:dyDescent="0.25">
      <c r="D543" s="222"/>
      <c r="E543" s="222"/>
      <c r="F543" s="633"/>
      <c r="G543" s="647"/>
      <c r="H543" s="652"/>
      <c r="I543" s="297"/>
      <c r="J543" s="657"/>
      <c r="K543" s="802"/>
      <c r="L543" s="140"/>
      <c r="M543" s="140"/>
      <c r="N543" s="140"/>
      <c r="O543" s="297"/>
      <c r="P543" s="297"/>
      <c r="Q543" s="297"/>
      <c r="R543" s="658"/>
      <c r="S543" s="297"/>
      <c r="AA543" s="647"/>
      <c r="AB543" s="647"/>
      <c r="AC543" s="95"/>
      <c r="AD543" s="95"/>
      <c r="AE543" s="95"/>
      <c r="AF543" s="647"/>
      <c r="AG543" s="647"/>
      <c r="AH543" s="95"/>
      <c r="AI543" s="95"/>
      <c r="AJ543" s="95"/>
      <c r="AK543" s="647"/>
      <c r="AL543" s="618"/>
      <c r="AM543" s="618"/>
    </row>
    <row r="544" spans="1:144" s="139" customFormat="1" ht="21.6" customHeight="1" x14ac:dyDescent="0.25">
      <c r="D544" s="222"/>
      <c r="E544" s="222"/>
      <c r="F544" s="633"/>
      <c r="G544" s="647"/>
      <c r="H544" s="652"/>
      <c r="I544" s="297"/>
      <c r="J544" s="657"/>
      <c r="K544" s="802"/>
      <c r="L544" s="140"/>
      <c r="M544" s="140"/>
      <c r="N544" s="140"/>
      <c r="O544" s="297"/>
      <c r="P544" s="297"/>
      <c r="Q544" s="297"/>
      <c r="R544" s="658"/>
      <c r="S544" s="297"/>
      <c r="AA544" s="647"/>
      <c r="AB544" s="647"/>
      <c r="AC544" s="95"/>
      <c r="AD544" s="95"/>
      <c r="AE544" s="95"/>
      <c r="AF544" s="647"/>
      <c r="AG544" s="647"/>
      <c r="AH544" s="95"/>
      <c r="AI544" s="95"/>
      <c r="AJ544" s="95"/>
      <c r="AK544" s="647"/>
      <c r="AL544" s="618"/>
      <c r="AM544" s="618"/>
    </row>
    <row r="545" spans="4:39" s="139" customFormat="1" ht="21.6" customHeight="1" x14ac:dyDescent="0.25">
      <c r="D545" s="222"/>
      <c r="E545" s="222"/>
      <c r="F545" s="633"/>
      <c r="G545" s="647"/>
      <c r="H545" s="652"/>
      <c r="I545" s="297"/>
      <c r="J545" s="657"/>
      <c r="K545" s="802"/>
      <c r="L545" s="140"/>
      <c r="M545" s="140"/>
      <c r="N545" s="140"/>
      <c r="O545" s="297"/>
      <c r="P545" s="297"/>
      <c r="Q545" s="297"/>
      <c r="R545" s="658"/>
      <c r="S545" s="297"/>
      <c r="AA545" s="647"/>
      <c r="AB545" s="647"/>
      <c r="AC545" s="95"/>
      <c r="AD545" s="95"/>
      <c r="AE545" s="95"/>
      <c r="AF545" s="647"/>
      <c r="AG545" s="647"/>
      <c r="AH545" s="95"/>
      <c r="AI545" s="95"/>
      <c r="AJ545" s="95"/>
      <c r="AK545" s="647"/>
      <c r="AL545" s="618"/>
      <c r="AM545" s="618"/>
    </row>
    <row r="546" spans="4:39" s="139" customFormat="1" ht="21.6" customHeight="1" x14ac:dyDescent="0.25">
      <c r="D546" s="222"/>
      <c r="E546" s="222"/>
      <c r="F546" s="633"/>
      <c r="G546" s="647"/>
      <c r="H546" s="652"/>
      <c r="I546" s="297"/>
      <c r="J546" s="657"/>
      <c r="K546" s="802"/>
      <c r="L546" s="140"/>
      <c r="M546" s="140"/>
      <c r="N546" s="140"/>
      <c r="O546" s="297"/>
      <c r="P546" s="297"/>
      <c r="Q546" s="297"/>
      <c r="R546" s="658"/>
      <c r="S546" s="297"/>
      <c r="AA546" s="647"/>
      <c r="AB546" s="647"/>
      <c r="AC546" s="95"/>
      <c r="AD546" s="95"/>
      <c r="AE546" s="95"/>
      <c r="AF546" s="647"/>
      <c r="AG546" s="647"/>
      <c r="AH546" s="95"/>
      <c r="AI546" s="95"/>
      <c r="AJ546" s="95"/>
      <c r="AK546" s="647"/>
      <c r="AL546" s="618"/>
      <c r="AM546" s="618"/>
    </row>
    <row r="547" spans="4:39" s="139" customFormat="1" ht="21.6" customHeight="1" x14ac:dyDescent="0.25">
      <c r="D547" s="222"/>
      <c r="E547" s="222"/>
      <c r="F547" s="633"/>
      <c r="G547" s="647"/>
      <c r="H547" s="652"/>
      <c r="I547" s="297"/>
      <c r="J547" s="657"/>
      <c r="K547" s="802"/>
      <c r="L547" s="140"/>
      <c r="M547" s="140"/>
      <c r="N547" s="140"/>
      <c r="O547" s="297"/>
      <c r="P547" s="297"/>
      <c r="Q547" s="297"/>
      <c r="R547" s="658"/>
      <c r="S547" s="297"/>
      <c r="AA547" s="647"/>
      <c r="AB547" s="647"/>
      <c r="AC547" s="95"/>
      <c r="AD547" s="95"/>
      <c r="AE547" s="95"/>
      <c r="AF547" s="647"/>
      <c r="AG547" s="647"/>
      <c r="AH547" s="95"/>
      <c r="AI547" s="95"/>
      <c r="AJ547" s="95"/>
      <c r="AK547" s="647"/>
      <c r="AL547" s="618"/>
      <c r="AM547" s="618"/>
    </row>
    <row r="548" spans="4:39" s="139" customFormat="1" ht="21.6" customHeight="1" x14ac:dyDescent="0.25">
      <c r="D548" s="222"/>
      <c r="E548" s="222"/>
      <c r="F548" s="633"/>
      <c r="G548" s="647"/>
      <c r="H548" s="652"/>
      <c r="I548" s="297"/>
      <c r="J548" s="657"/>
      <c r="K548" s="802"/>
      <c r="L548" s="140"/>
      <c r="M548" s="140"/>
      <c r="N548" s="140"/>
      <c r="O548" s="297"/>
      <c r="P548" s="297"/>
      <c r="Q548" s="297"/>
      <c r="R548" s="658"/>
      <c r="S548" s="297"/>
      <c r="AA548" s="647"/>
      <c r="AB548" s="647"/>
      <c r="AC548" s="95"/>
      <c r="AD548" s="95"/>
      <c r="AE548" s="95"/>
      <c r="AF548" s="647"/>
      <c r="AG548" s="647"/>
      <c r="AH548" s="95"/>
      <c r="AI548" s="95"/>
      <c r="AJ548" s="95"/>
      <c r="AK548" s="647"/>
      <c r="AL548" s="618"/>
      <c r="AM548" s="618"/>
    </row>
    <row r="549" spans="4:39" s="139" customFormat="1" ht="21.6" customHeight="1" x14ac:dyDescent="0.25">
      <c r="D549" s="222"/>
      <c r="E549" s="222"/>
      <c r="F549" s="633"/>
      <c r="G549" s="647"/>
      <c r="H549" s="652"/>
      <c r="I549" s="297"/>
      <c r="J549" s="657"/>
      <c r="K549" s="802"/>
      <c r="L549" s="140"/>
      <c r="M549" s="140"/>
      <c r="N549" s="140"/>
      <c r="O549" s="297"/>
      <c r="P549" s="297"/>
      <c r="Q549" s="297"/>
      <c r="R549" s="658"/>
      <c r="S549" s="297"/>
      <c r="AA549" s="647"/>
      <c r="AB549" s="647"/>
      <c r="AC549" s="95"/>
      <c r="AD549" s="95"/>
      <c r="AE549" s="95"/>
      <c r="AF549" s="647"/>
      <c r="AG549" s="647"/>
      <c r="AH549" s="95"/>
      <c r="AI549" s="95"/>
      <c r="AJ549" s="95"/>
      <c r="AK549" s="647"/>
      <c r="AL549" s="618"/>
      <c r="AM549" s="618"/>
    </row>
    <row r="550" spans="4:39" s="139" customFormat="1" ht="21.6" customHeight="1" x14ac:dyDescent="0.25">
      <c r="D550" s="222"/>
      <c r="E550" s="222"/>
      <c r="F550" s="633"/>
      <c r="G550" s="647"/>
      <c r="H550" s="652"/>
      <c r="I550" s="297"/>
      <c r="J550" s="657"/>
      <c r="K550" s="802"/>
      <c r="L550" s="140"/>
      <c r="M550" s="140"/>
      <c r="N550" s="140"/>
      <c r="O550" s="297"/>
      <c r="P550" s="297"/>
      <c r="Q550" s="297"/>
      <c r="R550" s="658"/>
      <c r="S550" s="297"/>
      <c r="AA550" s="647"/>
      <c r="AB550" s="647"/>
      <c r="AC550" s="95"/>
      <c r="AD550" s="95"/>
      <c r="AE550" s="95"/>
      <c r="AF550" s="647"/>
      <c r="AG550" s="647"/>
      <c r="AH550" s="95"/>
      <c r="AI550" s="95"/>
      <c r="AJ550" s="95"/>
      <c r="AK550" s="647"/>
      <c r="AL550" s="618"/>
      <c r="AM550" s="618"/>
    </row>
    <row r="551" spans="4:39" s="139" customFormat="1" ht="21.6" customHeight="1" x14ac:dyDescent="0.25">
      <c r="D551" s="222"/>
      <c r="E551" s="222"/>
      <c r="F551" s="633"/>
      <c r="G551" s="647"/>
      <c r="H551" s="652"/>
      <c r="I551" s="297"/>
      <c r="J551" s="657"/>
      <c r="K551" s="802"/>
      <c r="L551" s="140"/>
      <c r="M551" s="140"/>
      <c r="N551" s="140"/>
      <c r="O551" s="297"/>
      <c r="P551" s="297"/>
      <c r="Q551" s="297"/>
      <c r="R551" s="658"/>
      <c r="S551" s="297"/>
      <c r="AA551" s="647"/>
      <c r="AB551" s="647"/>
      <c r="AC551" s="95"/>
      <c r="AD551" s="95"/>
      <c r="AE551" s="95"/>
      <c r="AF551" s="647"/>
      <c r="AG551" s="647"/>
      <c r="AH551" s="95"/>
      <c r="AI551" s="95"/>
      <c r="AJ551" s="95"/>
      <c r="AK551" s="647"/>
      <c r="AL551" s="618"/>
      <c r="AM551" s="618"/>
    </row>
    <row r="552" spans="4:39" s="139" customFormat="1" ht="21.6" customHeight="1" x14ac:dyDescent="0.25">
      <c r="D552" s="222"/>
      <c r="E552" s="222"/>
      <c r="F552" s="633"/>
      <c r="G552" s="647"/>
      <c r="H552" s="652"/>
      <c r="I552" s="297"/>
      <c r="J552" s="657"/>
      <c r="K552" s="802"/>
      <c r="L552" s="140"/>
      <c r="M552" s="140"/>
      <c r="N552" s="140"/>
      <c r="O552" s="297"/>
      <c r="P552" s="297"/>
      <c r="Q552" s="297"/>
      <c r="R552" s="658"/>
      <c r="S552" s="297"/>
      <c r="AA552" s="647"/>
      <c r="AB552" s="647"/>
      <c r="AC552" s="95"/>
      <c r="AD552" s="95"/>
      <c r="AE552" s="95"/>
      <c r="AF552" s="647"/>
      <c r="AG552" s="647"/>
      <c r="AH552" s="95"/>
      <c r="AI552" s="95"/>
      <c r="AJ552" s="95"/>
      <c r="AK552" s="647"/>
      <c r="AL552" s="618"/>
      <c r="AM552" s="618"/>
    </row>
    <row r="553" spans="4:39" s="139" customFormat="1" ht="21.6" customHeight="1" x14ac:dyDescent="0.25">
      <c r="D553" s="222"/>
      <c r="E553" s="222"/>
      <c r="F553" s="633"/>
      <c r="G553" s="647"/>
      <c r="H553" s="652"/>
      <c r="I553" s="297"/>
      <c r="J553" s="657"/>
      <c r="K553" s="802"/>
      <c r="L553" s="140"/>
      <c r="M553" s="140"/>
      <c r="N553" s="140"/>
      <c r="O553" s="297"/>
      <c r="P553" s="297"/>
      <c r="Q553" s="297"/>
      <c r="R553" s="658"/>
      <c r="S553" s="297"/>
      <c r="AA553" s="647"/>
      <c r="AB553" s="647"/>
      <c r="AC553" s="95"/>
      <c r="AD553" s="95"/>
      <c r="AE553" s="95"/>
      <c r="AF553" s="647"/>
      <c r="AG553" s="647"/>
      <c r="AH553" s="95"/>
      <c r="AI553" s="95"/>
      <c r="AJ553" s="95"/>
      <c r="AK553" s="647"/>
      <c r="AL553" s="618"/>
      <c r="AM553" s="618"/>
    </row>
    <row r="554" spans="4:39" s="139" customFormat="1" ht="21.6" customHeight="1" x14ac:dyDescent="0.25">
      <c r="D554" s="222"/>
      <c r="E554" s="222"/>
      <c r="F554" s="633"/>
      <c r="G554" s="647"/>
      <c r="H554" s="652"/>
      <c r="I554" s="297"/>
      <c r="J554" s="657"/>
      <c r="K554" s="802"/>
      <c r="L554" s="140"/>
      <c r="M554" s="140"/>
      <c r="N554" s="140"/>
      <c r="O554" s="297"/>
      <c r="P554" s="297"/>
      <c r="Q554" s="297"/>
      <c r="R554" s="658"/>
      <c r="S554" s="297"/>
      <c r="AA554" s="647"/>
      <c r="AB554" s="647"/>
      <c r="AC554" s="95"/>
      <c r="AD554" s="95"/>
      <c r="AE554" s="95"/>
      <c r="AF554" s="647"/>
      <c r="AG554" s="647"/>
      <c r="AH554" s="95"/>
      <c r="AI554" s="95"/>
      <c r="AJ554" s="95"/>
      <c r="AK554" s="647"/>
      <c r="AL554" s="618"/>
      <c r="AM554" s="618"/>
    </row>
    <row r="555" spans="4:39" s="139" customFormat="1" ht="21.6" customHeight="1" x14ac:dyDescent="0.25">
      <c r="D555" s="222"/>
      <c r="E555" s="222"/>
      <c r="F555" s="633"/>
      <c r="G555" s="647"/>
      <c r="H555" s="652"/>
      <c r="I555" s="297"/>
      <c r="J555" s="657"/>
      <c r="K555" s="802"/>
      <c r="L555" s="140"/>
      <c r="M555" s="140"/>
      <c r="N555" s="140"/>
      <c r="O555" s="297"/>
      <c r="P555" s="297"/>
      <c r="Q555" s="297"/>
      <c r="R555" s="658"/>
      <c r="S555" s="297"/>
      <c r="AA555" s="647"/>
      <c r="AB555" s="647"/>
      <c r="AC555" s="95"/>
      <c r="AD555" s="95"/>
      <c r="AE555" s="95"/>
      <c r="AF555" s="647"/>
      <c r="AG555" s="647"/>
      <c r="AH555" s="95"/>
      <c r="AI555" s="95"/>
      <c r="AJ555" s="95"/>
      <c r="AK555" s="647"/>
      <c r="AL555" s="618"/>
      <c r="AM555" s="618"/>
    </row>
    <row r="556" spans="4:39" s="139" customFormat="1" ht="21.6" customHeight="1" x14ac:dyDescent="0.25">
      <c r="D556" s="222"/>
      <c r="E556" s="222"/>
      <c r="F556" s="633"/>
      <c r="G556" s="647"/>
      <c r="H556" s="652"/>
      <c r="I556" s="297"/>
      <c r="J556" s="657"/>
      <c r="K556" s="802"/>
      <c r="L556" s="140"/>
      <c r="M556" s="140"/>
      <c r="N556" s="140"/>
      <c r="O556" s="297"/>
      <c r="P556" s="297"/>
      <c r="Q556" s="297"/>
      <c r="R556" s="658"/>
      <c r="S556" s="297"/>
      <c r="AA556" s="647"/>
      <c r="AB556" s="647"/>
      <c r="AC556" s="95"/>
      <c r="AD556" s="95"/>
      <c r="AE556" s="95"/>
      <c r="AF556" s="647"/>
      <c r="AG556" s="647"/>
      <c r="AH556" s="95"/>
      <c r="AI556" s="95"/>
      <c r="AJ556" s="95"/>
      <c r="AK556" s="647"/>
      <c r="AL556" s="618"/>
      <c r="AM556" s="618"/>
    </row>
    <row r="557" spans="4:39" s="139" customFormat="1" ht="21.6" customHeight="1" x14ac:dyDescent="0.25">
      <c r="D557" s="222"/>
      <c r="E557" s="222"/>
      <c r="F557" s="633"/>
      <c r="G557" s="647"/>
      <c r="H557" s="652"/>
      <c r="I557" s="297"/>
      <c r="J557" s="657"/>
      <c r="K557" s="802"/>
      <c r="L557" s="140"/>
      <c r="M557" s="140"/>
      <c r="N557" s="140"/>
      <c r="O557" s="297"/>
      <c r="P557" s="297"/>
      <c r="Q557" s="297"/>
      <c r="R557" s="658"/>
      <c r="S557" s="297"/>
      <c r="AA557" s="647"/>
      <c r="AB557" s="647"/>
      <c r="AC557" s="95"/>
      <c r="AD557" s="95"/>
      <c r="AE557" s="95"/>
      <c r="AF557" s="647"/>
      <c r="AG557" s="647"/>
      <c r="AH557" s="95"/>
      <c r="AI557" s="95"/>
      <c r="AJ557" s="95"/>
      <c r="AK557" s="647"/>
      <c r="AL557" s="618"/>
      <c r="AM557" s="618"/>
    </row>
    <row r="558" spans="4:39" s="139" customFormat="1" ht="21.6" customHeight="1" x14ac:dyDescent="0.25">
      <c r="D558" s="222"/>
      <c r="E558" s="222"/>
      <c r="F558" s="633"/>
      <c r="G558" s="647"/>
      <c r="H558" s="652"/>
      <c r="I558" s="297"/>
      <c r="J558" s="657"/>
      <c r="K558" s="802"/>
      <c r="L558" s="140"/>
      <c r="M558" s="140"/>
      <c r="N558" s="140"/>
      <c r="O558" s="297"/>
      <c r="P558" s="297"/>
      <c r="Q558" s="297"/>
      <c r="R558" s="658"/>
      <c r="S558" s="297"/>
      <c r="AA558" s="647"/>
      <c r="AB558" s="647"/>
      <c r="AC558" s="95"/>
      <c r="AD558" s="95"/>
      <c r="AE558" s="95"/>
      <c r="AF558" s="647"/>
      <c r="AG558" s="647"/>
      <c r="AH558" s="95"/>
      <c r="AI558" s="95"/>
      <c r="AJ558" s="95"/>
      <c r="AK558" s="647"/>
      <c r="AL558" s="618"/>
      <c r="AM558" s="618"/>
    </row>
    <row r="559" spans="4:39" s="139" customFormat="1" ht="21.6" customHeight="1" x14ac:dyDescent="0.25">
      <c r="D559" s="222"/>
      <c r="E559" s="222"/>
      <c r="F559" s="633"/>
      <c r="G559" s="647"/>
      <c r="H559" s="652"/>
      <c r="I559" s="297"/>
      <c r="J559" s="657"/>
      <c r="K559" s="802"/>
      <c r="L559" s="140"/>
      <c r="M559" s="140"/>
      <c r="N559" s="140"/>
      <c r="O559" s="297"/>
      <c r="P559" s="297"/>
      <c r="Q559" s="297"/>
      <c r="R559" s="658"/>
      <c r="S559" s="297"/>
      <c r="AA559" s="647"/>
      <c r="AB559" s="647"/>
      <c r="AC559" s="95"/>
      <c r="AD559" s="95"/>
      <c r="AE559" s="95"/>
      <c r="AF559" s="647"/>
      <c r="AG559" s="647"/>
      <c r="AH559" s="95"/>
      <c r="AI559" s="95"/>
      <c r="AJ559" s="95"/>
      <c r="AK559" s="647"/>
      <c r="AL559" s="618"/>
      <c r="AM559" s="618"/>
    </row>
    <row r="560" spans="4:39" s="139" customFormat="1" ht="21.6" customHeight="1" x14ac:dyDescent="0.25">
      <c r="D560" s="222"/>
      <c r="E560" s="222"/>
      <c r="F560" s="633"/>
      <c r="G560" s="647"/>
      <c r="H560" s="652"/>
      <c r="I560" s="297"/>
      <c r="J560" s="657"/>
      <c r="K560" s="802"/>
      <c r="L560" s="140"/>
      <c r="M560" s="140"/>
      <c r="N560" s="140"/>
      <c r="O560" s="297"/>
      <c r="P560" s="297"/>
      <c r="Q560" s="297"/>
      <c r="R560" s="658"/>
      <c r="S560" s="297"/>
      <c r="AA560" s="647"/>
      <c r="AB560" s="647"/>
      <c r="AC560" s="95"/>
      <c r="AD560" s="95"/>
      <c r="AE560" s="95"/>
      <c r="AF560" s="647"/>
      <c r="AG560" s="647"/>
      <c r="AH560" s="95"/>
      <c r="AI560" s="95"/>
      <c r="AJ560" s="95"/>
      <c r="AK560" s="647"/>
      <c r="AL560" s="618"/>
      <c r="AM560" s="618"/>
    </row>
    <row r="561" spans="4:39" s="139" customFormat="1" ht="21.6" customHeight="1" x14ac:dyDescent="0.25">
      <c r="D561" s="222"/>
      <c r="E561" s="222"/>
      <c r="F561" s="633"/>
      <c r="G561" s="647"/>
      <c r="H561" s="652"/>
      <c r="I561" s="297"/>
      <c r="J561" s="657"/>
      <c r="K561" s="802"/>
      <c r="L561" s="140"/>
      <c r="M561" s="140"/>
      <c r="N561" s="140"/>
      <c r="O561" s="297"/>
      <c r="P561" s="297"/>
      <c r="Q561" s="297"/>
      <c r="R561" s="658"/>
      <c r="S561" s="297"/>
      <c r="AA561" s="647"/>
      <c r="AB561" s="647"/>
      <c r="AC561" s="95"/>
      <c r="AD561" s="95"/>
      <c r="AE561" s="95"/>
      <c r="AF561" s="647"/>
      <c r="AG561" s="647"/>
      <c r="AH561" s="95"/>
      <c r="AI561" s="95"/>
      <c r="AJ561" s="95"/>
      <c r="AK561" s="647"/>
      <c r="AL561" s="618"/>
      <c r="AM561" s="618"/>
    </row>
    <row r="562" spans="4:39" s="139" customFormat="1" ht="21.6" customHeight="1" x14ac:dyDescent="0.25">
      <c r="D562" s="222"/>
      <c r="E562" s="222"/>
      <c r="F562" s="633"/>
      <c r="G562" s="647"/>
      <c r="H562" s="652"/>
      <c r="I562" s="297"/>
      <c r="J562" s="657"/>
      <c r="K562" s="802"/>
      <c r="L562" s="140"/>
      <c r="M562" s="140"/>
      <c r="N562" s="140"/>
      <c r="O562" s="297"/>
      <c r="P562" s="297"/>
      <c r="Q562" s="297"/>
      <c r="R562" s="658"/>
      <c r="S562" s="297"/>
      <c r="AA562" s="647"/>
      <c r="AB562" s="647"/>
      <c r="AC562" s="95"/>
      <c r="AD562" s="95"/>
      <c r="AE562" s="95"/>
      <c r="AF562" s="647"/>
      <c r="AG562" s="647"/>
      <c r="AH562" s="95"/>
      <c r="AI562" s="95"/>
      <c r="AJ562" s="95"/>
      <c r="AK562" s="647"/>
      <c r="AL562" s="618"/>
      <c r="AM562" s="618"/>
    </row>
    <row r="563" spans="4:39" s="139" customFormat="1" ht="21.6" customHeight="1" x14ac:dyDescent="0.25">
      <c r="D563" s="222"/>
      <c r="E563" s="222"/>
      <c r="F563" s="633"/>
      <c r="G563" s="647"/>
      <c r="H563" s="652"/>
      <c r="I563" s="297"/>
      <c r="J563" s="657"/>
      <c r="K563" s="802"/>
      <c r="L563" s="140"/>
      <c r="M563" s="140"/>
      <c r="N563" s="140"/>
      <c r="O563" s="297"/>
      <c r="P563" s="297"/>
      <c r="Q563" s="297"/>
      <c r="R563" s="658"/>
      <c r="S563" s="297"/>
      <c r="AA563" s="647"/>
      <c r="AB563" s="647"/>
      <c r="AC563" s="95"/>
      <c r="AD563" s="95"/>
      <c r="AE563" s="95"/>
      <c r="AF563" s="647"/>
      <c r="AG563" s="647"/>
      <c r="AH563" s="95"/>
      <c r="AI563" s="95"/>
      <c r="AJ563" s="95"/>
      <c r="AK563" s="647"/>
      <c r="AL563" s="618"/>
      <c r="AM563" s="618"/>
    </row>
    <row r="564" spans="4:39" s="139" customFormat="1" ht="21.6" customHeight="1" x14ac:dyDescent="0.25">
      <c r="D564" s="222"/>
      <c r="E564" s="222"/>
      <c r="F564" s="633"/>
      <c r="G564" s="647"/>
      <c r="H564" s="652"/>
      <c r="I564" s="297"/>
      <c r="J564" s="657"/>
      <c r="K564" s="802"/>
      <c r="L564" s="140"/>
      <c r="M564" s="140"/>
      <c r="N564" s="140"/>
      <c r="O564" s="297"/>
      <c r="P564" s="297"/>
      <c r="Q564" s="297"/>
      <c r="R564" s="658"/>
      <c r="S564" s="297"/>
      <c r="AA564" s="647"/>
      <c r="AB564" s="647"/>
      <c r="AC564" s="95"/>
      <c r="AD564" s="95"/>
      <c r="AE564" s="95"/>
      <c r="AF564" s="647"/>
      <c r="AG564" s="647"/>
      <c r="AH564" s="95"/>
      <c r="AI564" s="95"/>
      <c r="AJ564" s="95"/>
      <c r="AK564" s="647"/>
      <c r="AL564" s="618"/>
      <c r="AM564" s="618"/>
    </row>
    <row r="565" spans="4:39" s="139" customFormat="1" ht="21.6" customHeight="1" x14ac:dyDescent="0.25">
      <c r="D565" s="222"/>
      <c r="E565" s="222"/>
      <c r="F565" s="633"/>
      <c r="G565" s="647"/>
      <c r="H565" s="652"/>
      <c r="I565" s="297"/>
      <c r="J565" s="657"/>
      <c r="K565" s="802"/>
      <c r="L565" s="140"/>
      <c r="M565" s="140"/>
      <c r="N565" s="140"/>
      <c r="O565" s="297"/>
      <c r="P565" s="297"/>
      <c r="Q565" s="297"/>
      <c r="R565" s="658"/>
      <c r="S565" s="297"/>
      <c r="AA565" s="647"/>
      <c r="AB565" s="647"/>
      <c r="AC565" s="95"/>
      <c r="AD565" s="95"/>
      <c r="AE565" s="95"/>
      <c r="AF565" s="647"/>
      <c r="AG565" s="647"/>
      <c r="AH565" s="95"/>
      <c r="AI565" s="95"/>
      <c r="AJ565" s="95"/>
      <c r="AK565" s="647"/>
      <c r="AL565" s="618"/>
      <c r="AM565" s="618"/>
    </row>
    <row r="566" spans="4:39" s="139" customFormat="1" ht="21.6" customHeight="1" x14ac:dyDescent="0.25">
      <c r="D566" s="222"/>
      <c r="E566" s="222"/>
      <c r="F566" s="633"/>
      <c r="G566" s="647"/>
      <c r="H566" s="652"/>
      <c r="I566" s="297"/>
      <c r="J566" s="657"/>
      <c r="K566" s="802"/>
      <c r="L566" s="140"/>
      <c r="M566" s="140"/>
      <c r="N566" s="140"/>
      <c r="O566" s="297"/>
      <c r="P566" s="297"/>
      <c r="Q566" s="297"/>
      <c r="R566" s="658"/>
      <c r="S566" s="297"/>
      <c r="AA566" s="647"/>
      <c r="AB566" s="647"/>
      <c r="AC566" s="95"/>
      <c r="AD566" s="95"/>
      <c r="AE566" s="95"/>
      <c r="AF566" s="647"/>
      <c r="AG566" s="647"/>
      <c r="AH566" s="95"/>
      <c r="AI566" s="95"/>
      <c r="AJ566" s="95"/>
      <c r="AK566" s="647"/>
      <c r="AL566" s="618"/>
      <c r="AM566" s="618"/>
    </row>
    <row r="567" spans="4:39" s="139" customFormat="1" ht="21.6" customHeight="1" x14ac:dyDescent="0.25">
      <c r="D567" s="222"/>
      <c r="E567" s="222"/>
      <c r="F567" s="633"/>
      <c r="G567" s="647"/>
      <c r="H567" s="652"/>
      <c r="I567" s="297"/>
      <c r="J567" s="657"/>
      <c r="K567" s="802"/>
      <c r="L567" s="140"/>
      <c r="M567" s="140"/>
      <c r="N567" s="140"/>
      <c r="O567" s="297"/>
      <c r="P567" s="297"/>
      <c r="Q567" s="297"/>
      <c r="R567" s="658"/>
      <c r="S567" s="297"/>
      <c r="AA567" s="647"/>
      <c r="AB567" s="647"/>
      <c r="AC567" s="95"/>
      <c r="AD567" s="95"/>
      <c r="AE567" s="95"/>
      <c r="AF567" s="647"/>
      <c r="AG567" s="647"/>
      <c r="AH567" s="95"/>
      <c r="AI567" s="95"/>
      <c r="AJ567" s="95"/>
      <c r="AK567" s="647"/>
      <c r="AL567" s="618"/>
      <c r="AM567" s="618"/>
    </row>
    <row r="568" spans="4:39" s="139" customFormat="1" ht="21.6" customHeight="1" x14ac:dyDescent="0.25">
      <c r="D568" s="222"/>
      <c r="E568" s="222"/>
      <c r="F568" s="633"/>
      <c r="G568" s="647"/>
      <c r="H568" s="652"/>
      <c r="I568" s="297"/>
      <c r="J568" s="657"/>
      <c r="K568" s="802"/>
      <c r="L568" s="140"/>
      <c r="M568" s="140"/>
      <c r="N568" s="140"/>
      <c r="O568" s="297"/>
      <c r="P568" s="297"/>
      <c r="Q568" s="297"/>
      <c r="R568" s="658"/>
      <c r="S568" s="297"/>
      <c r="AA568" s="647"/>
      <c r="AB568" s="647"/>
      <c r="AC568" s="95"/>
      <c r="AD568" s="95"/>
      <c r="AE568" s="95"/>
      <c r="AF568" s="647"/>
      <c r="AG568" s="647"/>
      <c r="AH568" s="95"/>
      <c r="AI568" s="95"/>
      <c r="AJ568" s="95"/>
      <c r="AK568" s="647"/>
      <c r="AL568" s="618"/>
      <c r="AM568" s="618"/>
    </row>
    <row r="569" spans="4:39" s="139" customFormat="1" ht="21.6" customHeight="1" x14ac:dyDescent="0.25">
      <c r="D569" s="222"/>
      <c r="E569" s="222"/>
      <c r="F569" s="633"/>
      <c r="G569" s="647"/>
      <c r="H569" s="652"/>
      <c r="I569" s="297"/>
      <c r="J569" s="657"/>
      <c r="K569" s="802"/>
      <c r="L569" s="140"/>
      <c r="M569" s="140"/>
      <c r="N569" s="140"/>
      <c r="O569" s="297"/>
      <c r="P569" s="297"/>
      <c r="Q569" s="297"/>
      <c r="R569" s="658"/>
      <c r="S569" s="297"/>
      <c r="AA569" s="647"/>
      <c r="AB569" s="647"/>
      <c r="AC569" s="95"/>
      <c r="AD569" s="95"/>
      <c r="AE569" s="95"/>
      <c r="AF569" s="647"/>
      <c r="AG569" s="647"/>
      <c r="AH569" s="95"/>
      <c r="AI569" s="95"/>
      <c r="AJ569" s="95"/>
      <c r="AK569" s="647"/>
      <c r="AL569" s="618"/>
      <c r="AM569" s="618"/>
    </row>
    <row r="570" spans="4:39" s="139" customFormat="1" ht="21.6" customHeight="1" x14ac:dyDescent="0.25">
      <c r="D570" s="222"/>
      <c r="E570" s="222"/>
      <c r="F570" s="633"/>
      <c r="G570" s="647"/>
      <c r="H570" s="652"/>
      <c r="I570" s="297"/>
      <c r="J570" s="657"/>
      <c r="K570" s="802"/>
      <c r="L570" s="140"/>
      <c r="M570" s="140"/>
      <c r="N570" s="140"/>
      <c r="O570" s="297"/>
      <c r="P570" s="297"/>
      <c r="Q570" s="297"/>
      <c r="R570" s="658"/>
      <c r="S570" s="297"/>
      <c r="AA570" s="647"/>
      <c r="AB570" s="647"/>
      <c r="AC570" s="95"/>
      <c r="AD570" s="95"/>
      <c r="AE570" s="95"/>
      <c r="AF570" s="647"/>
      <c r="AG570" s="647"/>
      <c r="AH570" s="95"/>
      <c r="AI570" s="95"/>
      <c r="AJ570" s="95"/>
      <c r="AK570" s="647"/>
      <c r="AL570" s="618"/>
      <c r="AM570" s="618"/>
    </row>
    <row r="571" spans="4:39" s="139" customFormat="1" ht="21.6" customHeight="1" x14ac:dyDescent="0.25">
      <c r="D571" s="222"/>
      <c r="E571" s="222"/>
      <c r="F571" s="633"/>
      <c r="G571" s="647"/>
      <c r="H571" s="652"/>
      <c r="I571" s="297"/>
      <c r="J571" s="657"/>
      <c r="K571" s="802"/>
      <c r="L571" s="140"/>
      <c r="M571" s="140"/>
      <c r="N571" s="140"/>
      <c r="O571" s="297"/>
      <c r="P571" s="297"/>
      <c r="Q571" s="297"/>
      <c r="R571" s="658"/>
      <c r="S571" s="297"/>
      <c r="AA571" s="647"/>
      <c r="AB571" s="647"/>
      <c r="AC571" s="95"/>
      <c r="AD571" s="95"/>
      <c r="AE571" s="95"/>
      <c r="AF571" s="647"/>
      <c r="AG571" s="647"/>
      <c r="AH571" s="95"/>
      <c r="AI571" s="95"/>
      <c r="AJ571" s="95"/>
      <c r="AK571" s="647"/>
      <c r="AL571" s="618"/>
      <c r="AM571" s="618"/>
    </row>
    <row r="572" spans="4:39" s="139" customFormat="1" ht="21.6" customHeight="1" x14ac:dyDescent="0.25">
      <c r="D572" s="222"/>
      <c r="E572" s="222"/>
      <c r="F572" s="633"/>
      <c r="G572" s="647"/>
      <c r="H572" s="652"/>
      <c r="I572" s="297"/>
      <c r="J572" s="657"/>
      <c r="K572" s="802"/>
      <c r="L572" s="140"/>
      <c r="M572" s="140"/>
      <c r="N572" s="140"/>
      <c r="O572" s="297"/>
      <c r="P572" s="297"/>
      <c r="Q572" s="297"/>
      <c r="R572" s="658"/>
      <c r="S572" s="297"/>
      <c r="AA572" s="647"/>
      <c r="AB572" s="647"/>
      <c r="AC572" s="95"/>
      <c r="AD572" s="95"/>
      <c r="AE572" s="95"/>
      <c r="AF572" s="647"/>
      <c r="AG572" s="647"/>
      <c r="AH572" s="95"/>
      <c r="AI572" s="95"/>
      <c r="AJ572" s="95"/>
      <c r="AK572" s="647"/>
      <c r="AL572" s="618"/>
      <c r="AM572" s="618"/>
    </row>
    <row r="573" spans="4:39" s="139" customFormat="1" ht="21.6" customHeight="1" x14ac:dyDescent="0.25">
      <c r="D573" s="222"/>
      <c r="E573" s="222"/>
      <c r="F573" s="633"/>
      <c r="G573" s="647"/>
      <c r="H573" s="652"/>
      <c r="I573" s="297"/>
      <c r="J573" s="657"/>
      <c r="K573" s="802"/>
      <c r="L573" s="140"/>
      <c r="M573" s="140"/>
      <c r="N573" s="140"/>
      <c r="O573" s="297"/>
      <c r="P573" s="297"/>
      <c r="Q573" s="297"/>
      <c r="R573" s="658"/>
      <c r="S573" s="297"/>
      <c r="AA573" s="647"/>
      <c r="AB573" s="647"/>
      <c r="AC573" s="95"/>
      <c r="AD573" s="95"/>
      <c r="AE573" s="95"/>
      <c r="AF573" s="647"/>
      <c r="AG573" s="647"/>
      <c r="AH573" s="95"/>
      <c r="AI573" s="95"/>
      <c r="AJ573" s="95"/>
      <c r="AK573" s="647"/>
      <c r="AL573" s="618"/>
      <c r="AM573" s="618"/>
    </row>
    <row r="574" spans="4:39" s="139" customFormat="1" ht="21.6" customHeight="1" x14ac:dyDescent="0.25">
      <c r="D574" s="222"/>
      <c r="E574" s="222"/>
      <c r="F574" s="633"/>
      <c r="G574" s="647"/>
      <c r="H574" s="652"/>
      <c r="I574" s="297"/>
      <c r="J574" s="657"/>
      <c r="K574" s="802"/>
      <c r="L574" s="140"/>
      <c r="M574" s="140"/>
      <c r="N574" s="140"/>
      <c r="O574" s="297"/>
      <c r="P574" s="297"/>
      <c r="Q574" s="297"/>
      <c r="R574" s="658"/>
      <c r="S574" s="297"/>
      <c r="AA574" s="647"/>
      <c r="AB574" s="647"/>
      <c r="AC574" s="95"/>
      <c r="AD574" s="95"/>
      <c r="AE574" s="95"/>
      <c r="AF574" s="647"/>
      <c r="AG574" s="647"/>
      <c r="AH574" s="95"/>
      <c r="AI574" s="95"/>
      <c r="AJ574" s="95"/>
      <c r="AK574" s="647"/>
      <c r="AL574" s="618"/>
      <c r="AM574" s="618"/>
    </row>
    <row r="575" spans="4:39" s="139" customFormat="1" ht="21.6" customHeight="1" x14ac:dyDescent="0.25">
      <c r="D575" s="222"/>
      <c r="E575" s="222"/>
      <c r="F575" s="633"/>
      <c r="G575" s="647"/>
      <c r="H575" s="652"/>
      <c r="I575" s="297"/>
      <c r="J575" s="657"/>
      <c r="K575" s="802"/>
      <c r="L575" s="140"/>
      <c r="M575" s="140"/>
      <c r="N575" s="140"/>
      <c r="O575" s="297"/>
      <c r="P575" s="297"/>
      <c r="Q575" s="297"/>
      <c r="R575" s="658"/>
      <c r="S575" s="297"/>
      <c r="AA575" s="647"/>
      <c r="AB575" s="647"/>
      <c r="AC575" s="95"/>
      <c r="AD575" s="95"/>
      <c r="AE575" s="95"/>
      <c r="AF575" s="647"/>
      <c r="AG575" s="647"/>
      <c r="AH575" s="95"/>
      <c r="AI575" s="95"/>
      <c r="AJ575" s="95"/>
      <c r="AK575" s="647"/>
      <c r="AL575" s="618"/>
      <c r="AM575" s="618"/>
    </row>
    <row r="576" spans="4:39" s="139" customFormat="1" ht="21.6" customHeight="1" x14ac:dyDescent="0.25">
      <c r="D576" s="222"/>
      <c r="E576" s="222"/>
      <c r="F576" s="633"/>
      <c r="G576" s="647"/>
      <c r="H576" s="652"/>
      <c r="I576" s="297"/>
      <c r="J576" s="657"/>
      <c r="K576" s="802"/>
      <c r="L576" s="140"/>
      <c r="M576" s="140"/>
      <c r="N576" s="140"/>
      <c r="O576" s="297"/>
      <c r="P576" s="297"/>
      <c r="Q576" s="297"/>
      <c r="R576" s="658"/>
      <c r="S576" s="297"/>
      <c r="AA576" s="647"/>
      <c r="AB576" s="647"/>
      <c r="AC576" s="95"/>
      <c r="AD576" s="95"/>
      <c r="AE576" s="95"/>
      <c r="AF576" s="647"/>
      <c r="AG576" s="647"/>
      <c r="AH576" s="95"/>
      <c r="AI576" s="95"/>
      <c r="AJ576" s="95"/>
      <c r="AK576" s="647"/>
      <c r="AL576" s="618"/>
      <c r="AM576" s="618"/>
    </row>
    <row r="577" spans="4:39" s="139" customFormat="1" ht="21.6" customHeight="1" x14ac:dyDescent="0.25">
      <c r="D577" s="222"/>
      <c r="E577" s="222"/>
      <c r="F577" s="633"/>
      <c r="G577" s="647"/>
      <c r="H577" s="652"/>
      <c r="I577" s="297"/>
      <c r="J577" s="657"/>
      <c r="K577" s="802"/>
      <c r="L577" s="140"/>
      <c r="M577" s="140"/>
      <c r="N577" s="140"/>
      <c r="O577" s="297"/>
      <c r="P577" s="297"/>
      <c r="Q577" s="297"/>
      <c r="R577" s="658"/>
      <c r="S577" s="297"/>
      <c r="AA577" s="647"/>
      <c r="AB577" s="647"/>
      <c r="AC577" s="95"/>
      <c r="AD577" s="95"/>
      <c r="AE577" s="95"/>
      <c r="AF577" s="647"/>
      <c r="AG577" s="647"/>
      <c r="AH577" s="95"/>
      <c r="AI577" s="95"/>
      <c r="AJ577" s="95"/>
      <c r="AK577" s="647"/>
      <c r="AL577" s="618"/>
      <c r="AM577" s="618"/>
    </row>
    <row r="578" spans="4:39" s="139" customFormat="1" ht="21.6" customHeight="1" x14ac:dyDescent="0.25">
      <c r="D578" s="222"/>
      <c r="E578" s="222"/>
      <c r="F578" s="633"/>
      <c r="G578" s="647"/>
      <c r="H578" s="652"/>
      <c r="I578" s="297"/>
      <c r="J578" s="657"/>
      <c r="K578" s="802"/>
      <c r="L578" s="140"/>
      <c r="M578" s="140"/>
      <c r="N578" s="140"/>
      <c r="O578" s="297"/>
      <c r="P578" s="297"/>
      <c r="Q578" s="297"/>
      <c r="R578" s="658"/>
      <c r="S578" s="297"/>
      <c r="AA578" s="647"/>
      <c r="AB578" s="647"/>
      <c r="AC578" s="95"/>
      <c r="AD578" s="95"/>
      <c r="AE578" s="95"/>
      <c r="AF578" s="647"/>
      <c r="AG578" s="647"/>
      <c r="AH578" s="95"/>
      <c r="AI578" s="95"/>
      <c r="AJ578" s="95"/>
      <c r="AK578" s="647"/>
      <c r="AL578" s="618"/>
      <c r="AM578" s="618"/>
    </row>
    <row r="579" spans="4:39" s="139" customFormat="1" ht="21.6" customHeight="1" x14ac:dyDescent="0.25">
      <c r="D579" s="222"/>
      <c r="E579" s="222"/>
      <c r="F579" s="633"/>
      <c r="G579" s="647"/>
      <c r="H579" s="652"/>
      <c r="I579" s="297"/>
      <c r="J579" s="657"/>
      <c r="K579" s="802"/>
      <c r="L579" s="140"/>
      <c r="M579" s="140"/>
      <c r="N579" s="140"/>
      <c r="O579" s="297"/>
      <c r="P579" s="297"/>
      <c r="Q579" s="297"/>
      <c r="R579" s="658"/>
      <c r="S579" s="297"/>
      <c r="AA579" s="647"/>
      <c r="AB579" s="647"/>
      <c r="AC579" s="95"/>
      <c r="AD579" s="95"/>
      <c r="AE579" s="95"/>
      <c r="AF579" s="647"/>
      <c r="AG579" s="647"/>
      <c r="AH579" s="95"/>
      <c r="AI579" s="95"/>
      <c r="AJ579" s="95"/>
      <c r="AK579" s="647"/>
      <c r="AL579" s="618"/>
      <c r="AM579" s="618"/>
    </row>
    <row r="580" spans="4:39" s="139" customFormat="1" ht="21.6" customHeight="1" x14ac:dyDescent="0.25">
      <c r="D580" s="222"/>
      <c r="E580" s="222"/>
      <c r="F580" s="633"/>
      <c r="G580" s="647"/>
      <c r="H580" s="652"/>
      <c r="I580" s="297"/>
      <c r="J580" s="657"/>
      <c r="K580" s="802"/>
      <c r="L580" s="140"/>
      <c r="M580" s="140"/>
      <c r="N580" s="140"/>
      <c r="O580" s="297"/>
      <c r="P580" s="297"/>
      <c r="Q580" s="297"/>
      <c r="R580" s="658"/>
      <c r="S580" s="297"/>
      <c r="AA580" s="647"/>
      <c r="AB580" s="647"/>
      <c r="AC580" s="95"/>
      <c r="AD580" s="95"/>
      <c r="AE580" s="95"/>
      <c r="AF580" s="647"/>
      <c r="AG580" s="647"/>
      <c r="AH580" s="95"/>
      <c r="AI580" s="95"/>
      <c r="AJ580" s="95"/>
      <c r="AK580" s="647"/>
      <c r="AL580" s="618"/>
      <c r="AM580" s="618"/>
    </row>
    <row r="581" spans="4:39" s="139" customFormat="1" ht="21.6" customHeight="1" x14ac:dyDescent="0.25">
      <c r="D581" s="222"/>
      <c r="E581" s="222"/>
      <c r="F581" s="633"/>
      <c r="G581" s="647"/>
      <c r="H581" s="652"/>
      <c r="I581" s="297"/>
      <c r="J581" s="657"/>
      <c r="K581" s="802"/>
      <c r="L581" s="140"/>
      <c r="M581" s="140"/>
      <c r="N581" s="140"/>
      <c r="O581" s="297"/>
      <c r="P581" s="297"/>
      <c r="Q581" s="297"/>
      <c r="R581" s="658"/>
      <c r="S581" s="297"/>
      <c r="AA581" s="647"/>
      <c r="AB581" s="647"/>
      <c r="AC581" s="95"/>
      <c r="AD581" s="95"/>
      <c r="AE581" s="95"/>
      <c r="AF581" s="647"/>
      <c r="AG581" s="647"/>
      <c r="AH581" s="95"/>
      <c r="AI581" s="95"/>
      <c r="AJ581" s="95"/>
      <c r="AK581" s="647"/>
      <c r="AL581" s="618"/>
      <c r="AM581" s="618"/>
    </row>
    <row r="582" spans="4:39" s="139" customFormat="1" ht="21.6" customHeight="1" x14ac:dyDescent="0.25">
      <c r="D582" s="222"/>
      <c r="E582" s="222"/>
      <c r="F582" s="633"/>
      <c r="G582" s="647"/>
      <c r="H582" s="652"/>
      <c r="I582" s="297"/>
      <c r="J582" s="657"/>
      <c r="K582" s="802"/>
      <c r="L582" s="140"/>
      <c r="M582" s="140"/>
      <c r="N582" s="140"/>
      <c r="O582" s="297"/>
      <c r="P582" s="297"/>
      <c r="Q582" s="297"/>
      <c r="R582" s="658"/>
      <c r="S582" s="297"/>
      <c r="AA582" s="647"/>
      <c r="AB582" s="647"/>
      <c r="AC582" s="95"/>
      <c r="AD582" s="95"/>
      <c r="AE582" s="95"/>
      <c r="AF582" s="647"/>
      <c r="AG582" s="647"/>
      <c r="AH582" s="95"/>
      <c r="AI582" s="95"/>
      <c r="AJ582" s="95"/>
      <c r="AK582" s="647"/>
      <c r="AL582" s="618"/>
      <c r="AM582" s="618"/>
    </row>
    <row r="583" spans="4:39" s="139" customFormat="1" ht="21.6" customHeight="1" x14ac:dyDescent="0.25">
      <c r="D583" s="222"/>
      <c r="E583" s="222"/>
      <c r="F583" s="633"/>
      <c r="G583" s="647"/>
      <c r="H583" s="652"/>
      <c r="I583" s="297"/>
      <c r="J583" s="657"/>
      <c r="K583" s="802"/>
      <c r="L583" s="140"/>
      <c r="M583" s="140"/>
      <c r="N583" s="140"/>
      <c r="O583" s="297"/>
      <c r="P583" s="297"/>
      <c r="Q583" s="297"/>
      <c r="R583" s="658"/>
      <c r="S583" s="297"/>
      <c r="AA583" s="647"/>
      <c r="AB583" s="647"/>
      <c r="AC583" s="95"/>
      <c r="AD583" s="95"/>
      <c r="AE583" s="95"/>
      <c r="AF583" s="647"/>
      <c r="AG583" s="647"/>
      <c r="AH583" s="95"/>
      <c r="AI583" s="95"/>
      <c r="AJ583" s="95"/>
      <c r="AK583" s="647"/>
      <c r="AL583" s="618"/>
      <c r="AM583" s="618"/>
    </row>
    <row r="584" spans="4:39" s="139" customFormat="1" ht="21.6" customHeight="1" x14ac:dyDescent="0.25">
      <c r="D584" s="222"/>
      <c r="E584" s="222"/>
      <c r="F584" s="633"/>
      <c r="G584" s="647"/>
      <c r="H584" s="652"/>
      <c r="I584" s="297"/>
      <c r="J584" s="657"/>
      <c r="K584" s="802"/>
      <c r="L584" s="140"/>
      <c r="M584" s="140"/>
      <c r="N584" s="140"/>
      <c r="O584" s="297"/>
      <c r="P584" s="297"/>
      <c r="Q584" s="297"/>
      <c r="R584" s="658"/>
      <c r="S584" s="297"/>
      <c r="AA584" s="647"/>
      <c r="AB584" s="647"/>
      <c r="AC584" s="95"/>
      <c r="AD584" s="95"/>
      <c r="AE584" s="95"/>
      <c r="AF584" s="647"/>
      <c r="AG584" s="647"/>
      <c r="AH584" s="95"/>
      <c r="AI584" s="95"/>
      <c r="AJ584" s="95"/>
      <c r="AK584" s="647"/>
      <c r="AL584" s="618"/>
      <c r="AM584" s="618"/>
    </row>
    <row r="585" spans="4:39" s="139" customFormat="1" ht="21.6" customHeight="1" x14ac:dyDescent="0.25">
      <c r="D585" s="222"/>
      <c r="E585" s="222"/>
      <c r="F585" s="633"/>
      <c r="G585" s="647"/>
      <c r="H585" s="652"/>
      <c r="I585" s="297"/>
      <c r="J585" s="657"/>
      <c r="K585" s="802"/>
      <c r="L585" s="140"/>
      <c r="M585" s="140"/>
      <c r="N585" s="140"/>
      <c r="O585" s="297"/>
      <c r="P585" s="297"/>
      <c r="Q585" s="297"/>
      <c r="R585" s="658"/>
      <c r="S585" s="297"/>
      <c r="AA585" s="647"/>
      <c r="AB585" s="647"/>
      <c r="AC585" s="95"/>
      <c r="AD585" s="95"/>
      <c r="AE585" s="95"/>
      <c r="AF585" s="647"/>
      <c r="AG585" s="647"/>
      <c r="AH585" s="95"/>
      <c r="AI585" s="95"/>
      <c r="AJ585" s="95"/>
      <c r="AK585" s="647"/>
      <c r="AL585" s="618"/>
      <c r="AM585" s="618"/>
    </row>
    <row r="586" spans="4:39" s="139" customFormat="1" ht="21.6" customHeight="1" x14ac:dyDescent="0.25">
      <c r="D586" s="222"/>
      <c r="E586" s="222"/>
      <c r="F586" s="633"/>
      <c r="G586" s="647"/>
      <c r="H586" s="652"/>
      <c r="I586" s="297"/>
      <c r="J586" s="657"/>
      <c r="K586" s="802"/>
      <c r="L586" s="140"/>
      <c r="M586" s="140"/>
      <c r="N586" s="140"/>
      <c r="O586" s="297"/>
      <c r="P586" s="297"/>
      <c r="Q586" s="297"/>
      <c r="R586" s="658"/>
      <c r="S586" s="297"/>
      <c r="AA586" s="647"/>
      <c r="AB586" s="647"/>
      <c r="AC586" s="95"/>
      <c r="AD586" s="95"/>
      <c r="AE586" s="95"/>
      <c r="AF586" s="647"/>
      <c r="AG586" s="647"/>
      <c r="AH586" s="95"/>
      <c r="AI586" s="95"/>
      <c r="AJ586" s="95"/>
      <c r="AK586" s="647"/>
      <c r="AL586" s="618"/>
      <c r="AM586" s="618"/>
    </row>
    <row r="587" spans="4:39" s="139" customFormat="1" ht="21.6" customHeight="1" x14ac:dyDescent="0.25">
      <c r="D587" s="222"/>
      <c r="E587" s="222"/>
      <c r="F587" s="633"/>
      <c r="G587" s="647"/>
      <c r="H587" s="652"/>
      <c r="I587" s="297"/>
      <c r="J587" s="657"/>
      <c r="K587" s="802"/>
      <c r="L587" s="140"/>
      <c r="M587" s="140"/>
      <c r="N587" s="140"/>
      <c r="O587" s="297"/>
      <c r="P587" s="297"/>
      <c r="Q587" s="297"/>
      <c r="R587" s="658"/>
      <c r="S587" s="297"/>
      <c r="AA587" s="647"/>
      <c r="AB587" s="647"/>
      <c r="AC587" s="95"/>
      <c r="AD587" s="95"/>
      <c r="AE587" s="95"/>
      <c r="AF587" s="647"/>
      <c r="AG587" s="647"/>
      <c r="AH587" s="95"/>
      <c r="AI587" s="95"/>
      <c r="AJ587" s="95"/>
      <c r="AK587" s="647"/>
      <c r="AL587" s="618"/>
      <c r="AM587" s="618"/>
    </row>
    <row r="588" spans="4:39" s="139" customFormat="1" ht="21.6" customHeight="1" x14ac:dyDescent="0.25">
      <c r="D588" s="222"/>
      <c r="E588" s="222"/>
      <c r="F588" s="633"/>
      <c r="G588" s="647"/>
      <c r="H588" s="652"/>
      <c r="I588" s="297"/>
      <c r="J588" s="657"/>
      <c r="K588" s="802"/>
      <c r="L588" s="140"/>
      <c r="M588" s="140"/>
      <c r="N588" s="140"/>
      <c r="O588" s="297"/>
      <c r="P588" s="297"/>
      <c r="Q588" s="297"/>
      <c r="R588" s="658"/>
      <c r="S588" s="297"/>
      <c r="AA588" s="647"/>
      <c r="AB588" s="647"/>
      <c r="AC588" s="95"/>
      <c r="AD588" s="95"/>
      <c r="AE588" s="95"/>
      <c r="AF588" s="647"/>
      <c r="AG588" s="647"/>
      <c r="AH588" s="95"/>
      <c r="AI588" s="95"/>
      <c r="AJ588" s="95"/>
      <c r="AK588" s="647"/>
      <c r="AL588" s="618"/>
      <c r="AM588" s="618"/>
    </row>
    <row r="589" spans="4:39" s="139" customFormat="1" ht="21.6" customHeight="1" x14ac:dyDescent="0.25">
      <c r="D589" s="222"/>
      <c r="E589" s="222"/>
      <c r="F589" s="633"/>
      <c r="G589" s="647"/>
      <c r="H589" s="652"/>
      <c r="I589" s="297"/>
      <c r="J589" s="657"/>
      <c r="K589" s="802"/>
      <c r="L589" s="140"/>
      <c r="M589" s="140"/>
      <c r="N589" s="140"/>
      <c r="O589" s="297"/>
      <c r="P589" s="297"/>
      <c r="Q589" s="297"/>
      <c r="R589" s="658"/>
      <c r="S589" s="297"/>
      <c r="AA589" s="647"/>
      <c r="AB589" s="647"/>
      <c r="AC589" s="95"/>
      <c r="AD589" s="95"/>
      <c r="AE589" s="95"/>
      <c r="AF589" s="647"/>
      <c r="AG589" s="647"/>
      <c r="AH589" s="95"/>
      <c r="AI589" s="95"/>
      <c r="AJ589" s="95"/>
      <c r="AK589" s="647"/>
      <c r="AL589" s="618"/>
      <c r="AM589" s="618"/>
    </row>
    <row r="590" spans="4:39" s="139" customFormat="1" ht="21.6" customHeight="1" x14ac:dyDescent="0.25">
      <c r="D590" s="222"/>
      <c r="E590" s="222"/>
      <c r="F590" s="633"/>
      <c r="G590" s="647"/>
      <c r="H590" s="652"/>
      <c r="I590" s="297"/>
      <c r="J590" s="657"/>
      <c r="K590" s="802"/>
      <c r="L590" s="140"/>
      <c r="M590" s="140"/>
      <c r="N590" s="140"/>
      <c r="O590" s="297"/>
      <c r="P590" s="297"/>
      <c r="Q590" s="297"/>
      <c r="R590" s="658"/>
      <c r="S590" s="297"/>
      <c r="AA590" s="647"/>
      <c r="AB590" s="647"/>
      <c r="AC590" s="95"/>
      <c r="AD590" s="95"/>
      <c r="AE590" s="95"/>
      <c r="AF590" s="647"/>
      <c r="AG590" s="647"/>
      <c r="AH590" s="95"/>
      <c r="AI590" s="95"/>
      <c r="AJ590" s="95"/>
      <c r="AK590" s="647"/>
      <c r="AL590" s="618"/>
      <c r="AM590" s="618"/>
    </row>
    <row r="591" spans="4:39" s="139" customFormat="1" ht="21.6" customHeight="1" x14ac:dyDescent="0.25">
      <c r="D591" s="222"/>
      <c r="E591" s="222"/>
      <c r="F591" s="633"/>
      <c r="G591" s="647"/>
      <c r="H591" s="652"/>
      <c r="I591" s="297"/>
      <c r="J591" s="657"/>
      <c r="K591" s="802"/>
      <c r="L591" s="140"/>
      <c r="M591" s="140"/>
      <c r="N591" s="140"/>
      <c r="O591" s="297"/>
      <c r="P591" s="297"/>
      <c r="Q591" s="297"/>
      <c r="R591" s="658"/>
      <c r="S591" s="297"/>
      <c r="AA591" s="647"/>
      <c r="AB591" s="647"/>
      <c r="AC591" s="95"/>
      <c r="AD591" s="95"/>
      <c r="AE591" s="95"/>
      <c r="AF591" s="647"/>
      <c r="AG591" s="647"/>
      <c r="AH591" s="95"/>
      <c r="AI591" s="95"/>
      <c r="AJ591" s="95"/>
      <c r="AK591" s="647"/>
      <c r="AL591" s="618"/>
      <c r="AM591" s="618"/>
    </row>
    <row r="592" spans="4:39" s="139" customFormat="1" ht="21.6" customHeight="1" x14ac:dyDescent="0.25">
      <c r="D592" s="222"/>
      <c r="E592" s="222"/>
      <c r="F592" s="633"/>
      <c r="G592" s="647"/>
      <c r="H592" s="652"/>
      <c r="I592" s="297"/>
      <c r="J592" s="657"/>
      <c r="K592" s="802"/>
      <c r="L592" s="140"/>
      <c r="M592" s="140"/>
      <c r="N592" s="140"/>
      <c r="O592" s="297"/>
      <c r="P592" s="297"/>
      <c r="Q592" s="297"/>
      <c r="R592" s="658"/>
      <c r="S592" s="297"/>
      <c r="AA592" s="647"/>
      <c r="AB592" s="647"/>
      <c r="AC592" s="95"/>
      <c r="AD592" s="95"/>
      <c r="AE592" s="95"/>
      <c r="AF592" s="647"/>
      <c r="AG592" s="647"/>
      <c r="AH592" s="95"/>
      <c r="AI592" s="95"/>
      <c r="AJ592" s="95"/>
      <c r="AK592" s="647"/>
      <c r="AL592" s="618"/>
      <c r="AM592" s="618"/>
    </row>
    <row r="593" spans="4:39" s="139" customFormat="1" ht="21.6" customHeight="1" x14ac:dyDescent="0.25">
      <c r="D593" s="222"/>
      <c r="E593" s="222"/>
      <c r="F593" s="633"/>
      <c r="G593" s="647"/>
      <c r="H593" s="652"/>
      <c r="I593" s="297"/>
      <c r="J593" s="657"/>
      <c r="K593" s="802"/>
      <c r="L593" s="140"/>
      <c r="M593" s="140"/>
      <c r="N593" s="140"/>
      <c r="O593" s="297"/>
      <c r="P593" s="297"/>
      <c r="Q593" s="297"/>
      <c r="R593" s="658"/>
      <c r="S593" s="297"/>
      <c r="AA593" s="647"/>
      <c r="AB593" s="647"/>
      <c r="AC593" s="95"/>
      <c r="AD593" s="95"/>
      <c r="AE593" s="95"/>
      <c r="AF593" s="647"/>
      <c r="AG593" s="647"/>
      <c r="AH593" s="95"/>
      <c r="AI593" s="95"/>
      <c r="AJ593" s="95"/>
      <c r="AK593" s="647"/>
      <c r="AL593" s="618"/>
      <c r="AM593" s="618"/>
    </row>
    <row r="594" spans="4:39" s="139" customFormat="1" ht="21.6" customHeight="1" x14ac:dyDescent="0.25">
      <c r="D594" s="222"/>
      <c r="E594" s="222"/>
      <c r="F594" s="633"/>
      <c r="G594" s="647"/>
      <c r="H594" s="652"/>
      <c r="I594" s="297"/>
      <c r="J594" s="657"/>
      <c r="K594" s="802"/>
      <c r="L594" s="140"/>
      <c r="M594" s="140"/>
      <c r="N594" s="140"/>
      <c r="O594" s="297"/>
      <c r="P594" s="297"/>
      <c r="Q594" s="297"/>
      <c r="R594" s="658"/>
      <c r="S594" s="297"/>
      <c r="AA594" s="647"/>
      <c r="AB594" s="647"/>
      <c r="AC594" s="95"/>
      <c r="AD594" s="95"/>
      <c r="AE594" s="95"/>
      <c r="AF594" s="647"/>
      <c r="AG594" s="647"/>
      <c r="AH594" s="95"/>
      <c r="AI594" s="95"/>
      <c r="AJ594" s="95"/>
      <c r="AK594" s="647"/>
      <c r="AL594" s="618"/>
      <c r="AM594" s="618"/>
    </row>
    <row r="595" spans="4:39" s="139" customFormat="1" ht="21.6" customHeight="1" x14ac:dyDescent="0.25">
      <c r="D595" s="222"/>
      <c r="E595" s="222"/>
      <c r="F595" s="633"/>
      <c r="G595" s="647"/>
      <c r="H595" s="652"/>
      <c r="I595" s="297"/>
      <c r="J595" s="657"/>
      <c r="K595" s="802"/>
      <c r="L595" s="140"/>
      <c r="M595" s="140"/>
      <c r="N595" s="140"/>
      <c r="O595" s="297"/>
      <c r="P595" s="297"/>
      <c r="Q595" s="297"/>
      <c r="R595" s="658"/>
      <c r="S595" s="297"/>
      <c r="AA595" s="647"/>
      <c r="AB595" s="647"/>
      <c r="AC595" s="95"/>
      <c r="AD595" s="95"/>
      <c r="AE595" s="95"/>
      <c r="AF595" s="647"/>
      <c r="AG595" s="647"/>
      <c r="AH595" s="95"/>
      <c r="AI595" s="95"/>
      <c r="AJ595" s="95"/>
      <c r="AK595" s="647"/>
      <c r="AL595" s="618"/>
      <c r="AM595" s="618"/>
    </row>
    <row r="596" spans="4:39" s="139" customFormat="1" ht="21.6" customHeight="1" x14ac:dyDescent="0.25">
      <c r="D596" s="222"/>
      <c r="E596" s="222"/>
      <c r="F596" s="633"/>
      <c r="G596" s="647"/>
      <c r="H596" s="652"/>
      <c r="I596" s="297"/>
      <c r="J596" s="657"/>
      <c r="K596" s="802"/>
      <c r="L596" s="140"/>
      <c r="M596" s="140"/>
      <c r="N596" s="140"/>
      <c r="O596" s="297"/>
      <c r="P596" s="297"/>
      <c r="Q596" s="297"/>
      <c r="R596" s="658"/>
      <c r="S596" s="297"/>
      <c r="AA596" s="647"/>
      <c r="AB596" s="647"/>
      <c r="AC596" s="95"/>
      <c r="AD596" s="95"/>
      <c r="AE596" s="95"/>
      <c r="AF596" s="647"/>
      <c r="AG596" s="647"/>
      <c r="AH596" s="95"/>
      <c r="AI596" s="95"/>
      <c r="AJ596" s="95"/>
      <c r="AK596" s="647"/>
      <c r="AL596" s="618"/>
      <c r="AM596" s="618"/>
    </row>
    <row r="597" spans="4:39" s="139" customFormat="1" ht="21.6" customHeight="1" x14ac:dyDescent="0.25">
      <c r="D597" s="222"/>
      <c r="E597" s="222"/>
      <c r="F597" s="633"/>
      <c r="G597" s="647"/>
      <c r="H597" s="652"/>
      <c r="I597" s="297"/>
      <c r="J597" s="657"/>
      <c r="K597" s="802"/>
      <c r="L597" s="140"/>
      <c r="M597" s="140"/>
      <c r="N597" s="140"/>
      <c r="O597" s="297"/>
      <c r="P597" s="297"/>
      <c r="Q597" s="297"/>
      <c r="R597" s="658"/>
      <c r="S597" s="297"/>
      <c r="AA597" s="647"/>
      <c r="AB597" s="647"/>
      <c r="AC597" s="95"/>
      <c r="AD597" s="95"/>
      <c r="AE597" s="95"/>
      <c r="AF597" s="647"/>
      <c r="AG597" s="647"/>
      <c r="AH597" s="95"/>
      <c r="AI597" s="95"/>
      <c r="AJ597" s="95"/>
      <c r="AK597" s="647"/>
      <c r="AL597" s="618"/>
      <c r="AM597" s="618"/>
    </row>
    <row r="598" spans="4:39" s="139" customFormat="1" ht="21.6" customHeight="1" x14ac:dyDescent="0.25">
      <c r="D598" s="222"/>
      <c r="E598" s="222"/>
      <c r="F598" s="633"/>
      <c r="G598" s="647"/>
      <c r="H598" s="652"/>
      <c r="I598" s="297"/>
      <c r="J598" s="657"/>
      <c r="K598" s="802"/>
      <c r="L598" s="140"/>
      <c r="M598" s="140"/>
      <c r="N598" s="140"/>
      <c r="O598" s="297"/>
      <c r="P598" s="297"/>
      <c r="Q598" s="297"/>
      <c r="R598" s="658"/>
      <c r="S598" s="297"/>
      <c r="AA598" s="647"/>
      <c r="AB598" s="647"/>
      <c r="AC598" s="95"/>
      <c r="AD598" s="95"/>
      <c r="AE598" s="95"/>
      <c r="AF598" s="647"/>
      <c r="AG598" s="647"/>
      <c r="AH598" s="95"/>
      <c r="AI598" s="95"/>
      <c r="AJ598" s="95"/>
      <c r="AK598" s="647"/>
      <c r="AL598" s="618"/>
      <c r="AM598" s="618"/>
    </row>
    <row r="599" spans="4:39" s="139" customFormat="1" ht="21.6" customHeight="1" x14ac:dyDescent="0.25">
      <c r="D599" s="222"/>
      <c r="E599" s="222"/>
      <c r="F599" s="633"/>
      <c r="G599" s="647"/>
      <c r="H599" s="652"/>
      <c r="I599" s="297"/>
      <c r="J599" s="657"/>
      <c r="K599" s="802"/>
      <c r="L599" s="140"/>
      <c r="M599" s="140"/>
      <c r="N599" s="140"/>
      <c r="O599" s="297"/>
      <c r="P599" s="297"/>
      <c r="Q599" s="297"/>
      <c r="R599" s="658"/>
      <c r="S599" s="297"/>
      <c r="AA599" s="647"/>
      <c r="AB599" s="647"/>
      <c r="AC599" s="95"/>
      <c r="AD599" s="95"/>
      <c r="AE599" s="95"/>
      <c r="AF599" s="647"/>
      <c r="AG599" s="647"/>
      <c r="AH599" s="95"/>
      <c r="AI599" s="95"/>
      <c r="AJ599" s="95"/>
      <c r="AK599" s="647"/>
      <c r="AL599" s="618"/>
      <c r="AM599" s="618"/>
    </row>
    <row r="600" spans="4:39" s="139" customFormat="1" ht="21.6" customHeight="1" x14ac:dyDescent="0.25">
      <c r="D600" s="222"/>
      <c r="E600" s="222"/>
      <c r="F600" s="633"/>
      <c r="G600" s="647"/>
      <c r="H600" s="652"/>
      <c r="I600" s="297"/>
      <c r="J600" s="657"/>
      <c r="K600" s="802"/>
      <c r="L600" s="140"/>
      <c r="M600" s="140"/>
      <c r="N600" s="140"/>
      <c r="O600" s="297"/>
      <c r="P600" s="297"/>
      <c r="Q600" s="297"/>
      <c r="R600" s="658"/>
      <c r="S600" s="297"/>
      <c r="AA600" s="647"/>
      <c r="AB600" s="647"/>
      <c r="AC600" s="95"/>
      <c r="AD600" s="95"/>
      <c r="AE600" s="95"/>
      <c r="AF600" s="647"/>
      <c r="AG600" s="647"/>
      <c r="AH600" s="95"/>
      <c r="AI600" s="95"/>
      <c r="AJ600" s="95"/>
      <c r="AK600" s="647"/>
      <c r="AL600" s="618"/>
      <c r="AM600" s="618"/>
    </row>
    <row r="601" spans="4:39" s="139" customFormat="1" ht="21.6" customHeight="1" x14ac:dyDescent="0.25">
      <c r="D601" s="222"/>
      <c r="E601" s="222"/>
      <c r="F601" s="633"/>
      <c r="G601" s="647"/>
      <c r="H601" s="652"/>
      <c r="I601" s="297"/>
      <c r="J601" s="657"/>
      <c r="K601" s="802"/>
      <c r="L601" s="140"/>
      <c r="M601" s="140"/>
      <c r="N601" s="140"/>
      <c r="O601" s="297"/>
      <c r="P601" s="297"/>
      <c r="Q601" s="297"/>
      <c r="R601" s="658"/>
      <c r="S601" s="297"/>
      <c r="AA601" s="647"/>
      <c r="AB601" s="647"/>
      <c r="AC601" s="95"/>
      <c r="AD601" s="95"/>
      <c r="AE601" s="95"/>
      <c r="AF601" s="647"/>
      <c r="AG601" s="647"/>
      <c r="AH601" s="95"/>
      <c r="AI601" s="95"/>
      <c r="AJ601" s="95"/>
      <c r="AK601" s="647"/>
      <c r="AL601" s="618"/>
      <c r="AM601" s="618"/>
    </row>
    <row r="602" spans="4:39" s="139" customFormat="1" ht="21.6" customHeight="1" x14ac:dyDescent="0.25">
      <c r="D602" s="222"/>
      <c r="E602" s="222"/>
      <c r="F602" s="633"/>
      <c r="G602" s="647"/>
      <c r="H602" s="652"/>
      <c r="I602" s="297"/>
      <c r="J602" s="657"/>
      <c r="K602" s="802"/>
      <c r="L602" s="140"/>
      <c r="M602" s="140"/>
      <c r="N602" s="140"/>
      <c r="O602" s="297"/>
      <c r="P602" s="297"/>
      <c r="Q602" s="297"/>
      <c r="R602" s="658"/>
      <c r="S602" s="297"/>
      <c r="AA602" s="647"/>
      <c r="AB602" s="647"/>
      <c r="AC602" s="95"/>
      <c r="AD602" s="95"/>
      <c r="AE602" s="95"/>
      <c r="AF602" s="647"/>
      <c r="AG602" s="647"/>
      <c r="AH602" s="95"/>
      <c r="AI602" s="95"/>
      <c r="AJ602" s="95"/>
      <c r="AK602" s="647"/>
      <c r="AL602" s="618"/>
      <c r="AM602" s="618"/>
    </row>
    <row r="603" spans="4:39" s="139" customFormat="1" ht="21.6" customHeight="1" x14ac:dyDescent="0.25">
      <c r="D603" s="222"/>
      <c r="E603" s="222"/>
      <c r="F603" s="633"/>
      <c r="G603" s="647"/>
      <c r="H603" s="652"/>
      <c r="I603" s="297"/>
      <c r="J603" s="657"/>
      <c r="K603" s="802"/>
      <c r="L603" s="140"/>
      <c r="M603" s="140"/>
      <c r="N603" s="140"/>
      <c r="O603" s="297"/>
      <c r="P603" s="297"/>
      <c r="Q603" s="297"/>
      <c r="R603" s="658"/>
      <c r="S603" s="297"/>
      <c r="AA603" s="647"/>
      <c r="AB603" s="647"/>
      <c r="AC603" s="95"/>
      <c r="AD603" s="95"/>
      <c r="AE603" s="95"/>
      <c r="AF603" s="647"/>
      <c r="AG603" s="647"/>
      <c r="AH603" s="95"/>
      <c r="AI603" s="95"/>
      <c r="AJ603" s="95"/>
      <c r="AK603" s="647"/>
      <c r="AL603" s="618"/>
      <c r="AM603" s="618"/>
    </row>
    <row r="604" spans="4:39" s="139" customFormat="1" ht="21.6" customHeight="1" x14ac:dyDescent="0.25">
      <c r="D604" s="222"/>
      <c r="E604" s="222"/>
      <c r="F604" s="633"/>
      <c r="G604" s="647"/>
      <c r="H604" s="652"/>
      <c r="I604" s="297"/>
      <c r="J604" s="657"/>
      <c r="K604" s="802"/>
      <c r="L604" s="140"/>
      <c r="M604" s="140"/>
      <c r="N604" s="140"/>
      <c r="O604" s="297"/>
      <c r="P604" s="297"/>
      <c r="Q604" s="297"/>
      <c r="R604" s="658"/>
      <c r="S604" s="297"/>
      <c r="AA604" s="647"/>
      <c r="AB604" s="647"/>
      <c r="AC604" s="95"/>
      <c r="AD604" s="95"/>
      <c r="AE604" s="95"/>
      <c r="AF604" s="647"/>
      <c r="AG604" s="647"/>
      <c r="AH604" s="95"/>
      <c r="AI604" s="95"/>
      <c r="AJ604" s="95"/>
      <c r="AK604" s="647"/>
      <c r="AL604" s="618"/>
      <c r="AM604" s="618"/>
    </row>
    <row r="605" spans="4:39" s="139" customFormat="1" ht="21.6" customHeight="1" x14ac:dyDescent="0.25">
      <c r="D605" s="222"/>
      <c r="E605" s="222"/>
      <c r="F605" s="633"/>
      <c r="G605" s="647"/>
      <c r="H605" s="652"/>
      <c r="I605" s="297"/>
      <c r="J605" s="657"/>
      <c r="K605" s="802"/>
      <c r="L605" s="140"/>
      <c r="M605" s="140"/>
      <c r="N605" s="140"/>
      <c r="O605" s="297"/>
      <c r="P605" s="297"/>
      <c r="Q605" s="297"/>
      <c r="R605" s="658"/>
      <c r="S605" s="297"/>
      <c r="AA605" s="647"/>
      <c r="AB605" s="647"/>
      <c r="AC605" s="95"/>
      <c r="AD605" s="95"/>
      <c r="AE605" s="95"/>
      <c r="AF605" s="647"/>
      <c r="AG605" s="647"/>
      <c r="AH605" s="95"/>
      <c r="AI605" s="95"/>
      <c r="AJ605" s="95"/>
      <c r="AK605" s="647"/>
      <c r="AL605" s="618"/>
      <c r="AM605" s="618"/>
    </row>
    <row r="606" spans="4:39" s="139" customFormat="1" ht="21.6" customHeight="1" x14ac:dyDescent="0.25">
      <c r="D606" s="222"/>
      <c r="E606" s="222"/>
      <c r="F606" s="633"/>
      <c r="G606" s="647"/>
      <c r="H606" s="652"/>
      <c r="I606" s="297"/>
      <c r="J606" s="657"/>
      <c r="K606" s="802"/>
      <c r="L606" s="140"/>
      <c r="M606" s="140"/>
      <c r="N606" s="140"/>
      <c r="O606" s="297"/>
      <c r="P606" s="297"/>
      <c r="Q606" s="297"/>
      <c r="R606" s="658"/>
      <c r="S606" s="297"/>
      <c r="AA606" s="647"/>
      <c r="AB606" s="647"/>
      <c r="AC606" s="95"/>
      <c r="AD606" s="95"/>
      <c r="AE606" s="95"/>
      <c r="AF606" s="647"/>
      <c r="AG606" s="647"/>
      <c r="AH606" s="95"/>
      <c r="AI606" s="95"/>
      <c r="AJ606" s="95"/>
      <c r="AK606" s="647"/>
      <c r="AL606" s="618"/>
      <c r="AM606" s="618"/>
    </row>
    <row r="607" spans="4:39" s="139" customFormat="1" ht="21.6" customHeight="1" x14ac:dyDescent="0.25">
      <c r="D607" s="222"/>
      <c r="E607" s="222"/>
      <c r="F607" s="633"/>
      <c r="G607" s="647"/>
      <c r="H607" s="652"/>
      <c r="I607" s="297"/>
      <c r="J607" s="657"/>
      <c r="K607" s="802"/>
      <c r="L607" s="140"/>
      <c r="M607" s="140"/>
      <c r="N607" s="140"/>
      <c r="O607" s="297"/>
      <c r="P607" s="297"/>
      <c r="Q607" s="297"/>
      <c r="R607" s="658"/>
      <c r="S607" s="297"/>
      <c r="AA607" s="647"/>
      <c r="AB607" s="647"/>
      <c r="AC607" s="95"/>
      <c r="AD607" s="95"/>
      <c r="AE607" s="95"/>
      <c r="AF607" s="647"/>
      <c r="AG607" s="647"/>
      <c r="AH607" s="95"/>
      <c r="AI607" s="95"/>
      <c r="AJ607" s="95"/>
      <c r="AK607" s="647"/>
      <c r="AL607" s="618"/>
      <c r="AM607" s="618"/>
    </row>
    <row r="608" spans="4:39" s="139" customFormat="1" ht="21.6" customHeight="1" x14ac:dyDescent="0.25">
      <c r="D608" s="222"/>
      <c r="E608" s="222"/>
      <c r="F608" s="633"/>
      <c r="G608" s="647"/>
      <c r="H608" s="652"/>
      <c r="I608" s="297"/>
      <c r="J608" s="657"/>
      <c r="K608" s="802"/>
      <c r="L608" s="140"/>
      <c r="M608" s="140"/>
      <c r="N608" s="140"/>
      <c r="O608" s="297"/>
      <c r="P608" s="297"/>
      <c r="Q608" s="297"/>
      <c r="R608" s="658"/>
      <c r="S608" s="297"/>
      <c r="AA608" s="647"/>
      <c r="AB608" s="647"/>
      <c r="AC608" s="95"/>
      <c r="AD608" s="95"/>
      <c r="AE608" s="95"/>
      <c r="AF608" s="647"/>
      <c r="AG608" s="647"/>
      <c r="AH608" s="95"/>
      <c r="AI608" s="95"/>
      <c r="AJ608" s="95"/>
      <c r="AK608" s="647"/>
      <c r="AL608" s="618"/>
      <c r="AM608" s="618"/>
    </row>
    <row r="609" spans="4:39" s="139" customFormat="1" ht="21.6" customHeight="1" x14ac:dyDescent="0.25">
      <c r="D609" s="222"/>
      <c r="E609" s="222"/>
      <c r="F609" s="633"/>
      <c r="G609" s="647"/>
      <c r="H609" s="652"/>
      <c r="I609" s="297"/>
      <c r="J609" s="657"/>
      <c r="K609" s="802"/>
      <c r="L609" s="140"/>
      <c r="M609" s="140"/>
      <c r="N609" s="140"/>
      <c r="O609" s="297"/>
      <c r="P609" s="297"/>
      <c r="Q609" s="297"/>
      <c r="R609" s="658"/>
      <c r="S609" s="297"/>
      <c r="AA609" s="647"/>
      <c r="AB609" s="647"/>
      <c r="AC609" s="95"/>
      <c r="AD609" s="95"/>
      <c r="AE609" s="95"/>
      <c r="AF609" s="647"/>
      <c r="AG609" s="647"/>
      <c r="AH609" s="95"/>
      <c r="AI609" s="95"/>
      <c r="AJ609" s="95"/>
      <c r="AK609" s="647"/>
      <c r="AL609" s="618"/>
      <c r="AM609" s="618"/>
    </row>
    <row r="610" spans="4:39" s="139" customFormat="1" ht="21.6" customHeight="1" x14ac:dyDescent="0.25">
      <c r="D610" s="222"/>
      <c r="E610" s="222"/>
      <c r="F610" s="633"/>
      <c r="G610" s="647"/>
      <c r="H610" s="652"/>
      <c r="I610" s="297"/>
      <c r="J610" s="657"/>
      <c r="K610" s="802"/>
      <c r="L610" s="140"/>
      <c r="M610" s="140"/>
      <c r="N610" s="140"/>
      <c r="O610" s="297"/>
      <c r="P610" s="297"/>
      <c r="Q610" s="297"/>
      <c r="R610" s="658"/>
      <c r="S610" s="297"/>
      <c r="AA610" s="647"/>
      <c r="AB610" s="647"/>
      <c r="AC610" s="95"/>
      <c r="AD610" s="95"/>
      <c r="AE610" s="95"/>
      <c r="AF610" s="647"/>
      <c r="AG610" s="647"/>
      <c r="AH610" s="95"/>
      <c r="AI610" s="95"/>
      <c r="AJ610" s="95"/>
      <c r="AK610" s="647"/>
      <c r="AL610" s="618"/>
      <c r="AM610" s="618"/>
    </row>
    <row r="611" spans="4:39" s="139" customFormat="1" ht="21.6" customHeight="1" x14ac:dyDescent="0.25">
      <c r="D611" s="222"/>
      <c r="E611" s="222"/>
      <c r="F611" s="633"/>
      <c r="G611" s="647"/>
      <c r="H611" s="652"/>
      <c r="I611" s="297"/>
      <c r="J611" s="657"/>
      <c r="K611" s="802"/>
      <c r="L611" s="140"/>
      <c r="M611" s="140"/>
      <c r="N611" s="140"/>
      <c r="O611" s="297"/>
      <c r="P611" s="297"/>
      <c r="Q611" s="297"/>
      <c r="R611" s="658"/>
      <c r="S611" s="297"/>
      <c r="AA611" s="647"/>
      <c r="AB611" s="647"/>
      <c r="AC611" s="95"/>
      <c r="AD611" s="95"/>
      <c r="AE611" s="95"/>
      <c r="AF611" s="647"/>
      <c r="AG611" s="647"/>
      <c r="AH611" s="95"/>
      <c r="AI611" s="95"/>
      <c r="AJ611" s="95"/>
      <c r="AK611" s="647"/>
      <c r="AL611" s="618"/>
      <c r="AM611" s="618"/>
    </row>
    <row r="612" spans="4:39" s="139" customFormat="1" ht="21.6" customHeight="1" x14ac:dyDescent="0.25">
      <c r="D612" s="222"/>
      <c r="E612" s="222"/>
      <c r="F612" s="633"/>
      <c r="G612" s="647"/>
      <c r="H612" s="652"/>
      <c r="I612" s="297"/>
      <c r="J612" s="657"/>
      <c r="K612" s="802"/>
      <c r="L612" s="140"/>
      <c r="M612" s="140"/>
      <c r="N612" s="140"/>
      <c r="O612" s="297"/>
      <c r="P612" s="297"/>
      <c r="Q612" s="297"/>
      <c r="R612" s="658"/>
      <c r="S612" s="297"/>
      <c r="AA612" s="647"/>
      <c r="AB612" s="647"/>
      <c r="AC612" s="95"/>
      <c r="AD612" s="95"/>
      <c r="AE612" s="95"/>
      <c r="AF612" s="647"/>
      <c r="AG612" s="647"/>
      <c r="AH612" s="95"/>
      <c r="AI612" s="95"/>
      <c r="AJ612" s="95"/>
      <c r="AK612" s="647"/>
      <c r="AL612" s="618"/>
      <c r="AM612" s="618"/>
    </row>
    <row r="613" spans="4:39" s="139" customFormat="1" ht="21.6" customHeight="1" x14ac:dyDescent="0.25">
      <c r="D613" s="222"/>
      <c r="E613" s="222"/>
      <c r="F613" s="633"/>
      <c r="G613" s="647"/>
      <c r="H613" s="652"/>
      <c r="I613" s="297"/>
      <c r="J613" s="657"/>
      <c r="K613" s="802"/>
      <c r="L613" s="140"/>
      <c r="M613" s="140"/>
      <c r="N613" s="140"/>
      <c r="O613" s="297"/>
      <c r="P613" s="297"/>
      <c r="Q613" s="297"/>
      <c r="R613" s="658"/>
      <c r="S613" s="297"/>
      <c r="AA613" s="647"/>
      <c r="AB613" s="647"/>
      <c r="AC613" s="95"/>
      <c r="AD613" s="95"/>
      <c r="AE613" s="95"/>
      <c r="AF613" s="647"/>
      <c r="AG613" s="647"/>
      <c r="AH613" s="95"/>
      <c r="AI613" s="95"/>
      <c r="AJ613" s="95"/>
      <c r="AK613" s="647"/>
      <c r="AL613" s="618"/>
      <c r="AM613" s="618"/>
    </row>
    <row r="614" spans="4:39" s="139" customFormat="1" ht="21.6" customHeight="1" x14ac:dyDescent="0.25">
      <c r="D614" s="222"/>
      <c r="E614" s="222"/>
      <c r="F614" s="633"/>
      <c r="G614" s="647"/>
      <c r="H614" s="652"/>
      <c r="I614" s="297"/>
      <c r="J614" s="657"/>
      <c r="K614" s="802"/>
      <c r="L614" s="140"/>
      <c r="M614" s="140"/>
      <c r="N614" s="140"/>
      <c r="O614" s="297"/>
      <c r="P614" s="297"/>
      <c r="Q614" s="297"/>
      <c r="R614" s="658"/>
      <c r="S614" s="297"/>
      <c r="AA614" s="647"/>
      <c r="AB614" s="647"/>
      <c r="AC614" s="95"/>
      <c r="AD614" s="95"/>
      <c r="AE614" s="95"/>
      <c r="AF614" s="647"/>
      <c r="AG614" s="647"/>
      <c r="AH614" s="95"/>
      <c r="AI614" s="95"/>
      <c r="AJ614" s="95"/>
      <c r="AK614" s="647"/>
      <c r="AL614" s="618"/>
      <c r="AM614" s="618"/>
    </row>
    <row r="615" spans="4:39" s="139" customFormat="1" ht="21.6" customHeight="1" x14ac:dyDescent="0.25">
      <c r="D615" s="222"/>
      <c r="E615" s="222"/>
      <c r="F615" s="633"/>
      <c r="G615" s="647"/>
      <c r="H615" s="652"/>
      <c r="I615" s="297"/>
      <c r="J615" s="657"/>
      <c r="K615" s="802"/>
      <c r="L615" s="140"/>
      <c r="M615" s="140"/>
      <c r="N615" s="140"/>
      <c r="O615" s="297"/>
      <c r="P615" s="297"/>
      <c r="Q615" s="297"/>
      <c r="R615" s="658"/>
      <c r="S615" s="297"/>
      <c r="AA615" s="647"/>
      <c r="AB615" s="647"/>
      <c r="AC615" s="95"/>
      <c r="AD615" s="95"/>
      <c r="AE615" s="95"/>
      <c r="AF615" s="647"/>
      <c r="AG615" s="647"/>
      <c r="AH615" s="95"/>
      <c r="AI615" s="95"/>
      <c r="AJ615" s="95"/>
      <c r="AK615" s="647"/>
      <c r="AL615" s="618"/>
      <c r="AM615" s="618"/>
    </row>
    <row r="616" spans="4:39" s="139" customFormat="1" ht="21.6" customHeight="1" x14ac:dyDescent="0.25">
      <c r="D616" s="222"/>
      <c r="E616" s="222"/>
      <c r="F616" s="633"/>
      <c r="G616" s="647"/>
      <c r="H616" s="652"/>
      <c r="I616" s="297"/>
      <c r="J616" s="657"/>
      <c r="K616" s="802"/>
      <c r="L616" s="140"/>
      <c r="M616" s="140"/>
      <c r="N616" s="140"/>
      <c r="O616" s="297"/>
      <c r="P616" s="297"/>
      <c r="Q616" s="297"/>
      <c r="R616" s="658"/>
      <c r="S616" s="297"/>
      <c r="AA616" s="647"/>
      <c r="AB616" s="647"/>
      <c r="AC616" s="95"/>
      <c r="AD616" s="95"/>
      <c r="AE616" s="95"/>
      <c r="AF616" s="647"/>
      <c r="AG616" s="647"/>
      <c r="AH616" s="95"/>
      <c r="AI616" s="95"/>
      <c r="AJ616" s="95"/>
      <c r="AK616" s="647"/>
      <c r="AL616" s="618"/>
      <c r="AM616" s="618"/>
    </row>
    <row r="617" spans="4:39" s="139" customFormat="1" ht="21.6" customHeight="1" x14ac:dyDescent="0.25">
      <c r="D617" s="222"/>
      <c r="E617" s="222"/>
      <c r="F617" s="633"/>
      <c r="G617" s="647"/>
      <c r="H617" s="652"/>
      <c r="I617" s="297"/>
      <c r="J617" s="657"/>
      <c r="K617" s="802"/>
      <c r="L617" s="140"/>
      <c r="M617" s="140"/>
      <c r="N617" s="140"/>
      <c r="O617" s="297"/>
      <c r="P617" s="297"/>
      <c r="Q617" s="297"/>
      <c r="R617" s="658"/>
      <c r="S617" s="297"/>
      <c r="AA617" s="647"/>
      <c r="AB617" s="647"/>
      <c r="AC617" s="95"/>
      <c r="AD617" s="95"/>
      <c r="AE617" s="95"/>
      <c r="AF617" s="647"/>
      <c r="AG617" s="647"/>
      <c r="AH617" s="95"/>
      <c r="AI617" s="95"/>
      <c r="AJ617" s="95"/>
      <c r="AK617" s="647"/>
      <c r="AL617" s="618"/>
      <c r="AM617" s="618"/>
    </row>
    <row r="618" spans="4:39" s="139" customFormat="1" ht="21.6" customHeight="1" x14ac:dyDescent="0.25">
      <c r="D618" s="222"/>
      <c r="E618" s="222"/>
      <c r="F618" s="633"/>
      <c r="G618" s="647"/>
      <c r="H618" s="652"/>
      <c r="I618" s="297"/>
      <c r="J618" s="657"/>
      <c r="K618" s="802"/>
      <c r="L618" s="140"/>
      <c r="M618" s="140"/>
      <c r="N618" s="140"/>
      <c r="O618" s="297"/>
      <c r="P618" s="297"/>
      <c r="Q618" s="297"/>
      <c r="R618" s="658"/>
      <c r="S618" s="297"/>
      <c r="AA618" s="647"/>
      <c r="AB618" s="647"/>
      <c r="AC618" s="95"/>
      <c r="AD618" s="95"/>
      <c r="AE618" s="95"/>
      <c r="AF618" s="647"/>
      <c r="AG618" s="647"/>
      <c r="AH618" s="95"/>
      <c r="AI618" s="95"/>
      <c r="AJ618" s="95"/>
      <c r="AK618" s="647"/>
      <c r="AL618" s="618"/>
      <c r="AM618" s="618"/>
    </row>
    <row r="619" spans="4:39" s="139" customFormat="1" ht="21.6" customHeight="1" x14ac:dyDescent="0.25">
      <c r="D619" s="222"/>
      <c r="E619" s="222"/>
      <c r="F619" s="633"/>
      <c r="G619" s="647"/>
      <c r="H619" s="652"/>
      <c r="I619" s="297"/>
      <c r="J619" s="657"/>
      <c r="K619" s="802"/>
      <c r="L619" s="140"/>
      <c r="M619" s="140"/>
      <c r="N619" s="140"/>
      <c r="O619" s="297"/>
      <c r="P619" s="297"/>
      <c r="Q619" s="297"/>
      <c r="R619" s="658"/>
      <c r="S619" s="297"/>
      <c r="AA619" s="647"/>
      <c r="AB619" s="647"/>
      <c r="AC619" s="95"/>
      <c r="AD619" s="95"/>
      <c r="AE619" s="95"/>
      <c r="AF619" s="647"/>
      <c r="AG619" s="647"/>
      <c r="AH619" s="95"/>
      <c r="AI619" s="95"/>
      <c r="AJ619" s="95"/>
      <c r="AK619" s="647"/>
      <c r="AL619" s="618"/>
      <c r="AM619" s="618"/>
    </row>
    <row r="620" spans="4:39" s="139" customFormat="1" ht="21.6" customHeight="1" x14ac:dyDescent="0.25">
      <c r="D620" s="222"/>
      <c r="E620" s="222"/>
      <c r="F620" s="633"/>
      <c r="G620" s="647"/>
      <c r="H620" s="652"/>
      <c r="I620" s="297"/>
      <c r="J620" s="657"/>
      <c r="K620" s="802"/>
      <c r="L620" s="140"/>
      <c r="M620" s="140"/>
      <c r="N620" s="140"/>
      <c r="O620" s="297"/>
      <c r="P620" s="297"/>
      <c r="Q620" s="297"/>
      <c r="R620" s="658"/>
      <c r="S620" s="297"/>
      <c r="AA620" s="647"/>
      <c r="AB620" s="647"/>
      <c r="AC620" s="95"/>
      <c r="AD620" s="95"/>
      <c r="AE620" s="95"/>
      <c r="AF620" s="647"/>
      <c r="AG620" s="647"/>
      <c r="AH620" s="95"/>
      <c r="AI620" s="95"/>
      <c r="AJ620" s="95"/>
      <c r="AK620" s="647"/>
      <c r="AL620" s="618"/>
      <c r="AM620" s="618"/>
    </row>
    <row r="621" spans="4:39" s="139" customFormat="1" ht="21.6" customHeight="1" x14ac:dyDescent="0.25">
      <c r="D621" s="222"/>
      <c r="E621" s="222"/>
      <c r="F621" s="633"/>
      <c r="G621" s="647"/>
      <c r="H621" s="652"/>
      <c r="I621" s="297"/>
      <c r="J621" s="657"/>
      <c r="K621" s="802"/>
      <c r="L621" s="140"/>
      <c r="M621" s="140"/>
      <c r="N621" s="140"/>
      <c r="O621" s="297"/>
      <c r="P621" s="297"/>
      <c r="Q621" s="297"/>
      <c r="R621" s="658"/>
      <c r="S621" s="297"/>
      <c r="AA621" s="647"/>
      <c r="AB621" s="647"/>
      <c r="AC621" s="95"/>
      <c r="AD621" s="95"/>
      <c r="AE621" s="95"/>
      <c r="AF621" s="647"/>
      <c r="AG621" s="647"/>
      <c r="AH621" s="95"/>
      <c r="AI621" s="95"/>
      <c r="AJ621" s="95"/>
      <c r="AK621" s="647"/>
      <c r="AL621" s="618"/>
      <c r="AM621" s="618"/>
    </row>
    <row r="622" spans="4:39" s="139" customFormat="1" ht="21.6" customHeight="1" x14ac:dyDescent="0.25">
      <c r="D622" s="222"/>
      <c r="E622" s="222"/>
      <c r="F622" s="633"/>
      <c r="G622" s="647"/>
      <c r="H622" s="652"/>
      <c r="I622" s="297"/>
      <c r="J622" s="657"/>
      <c r="K622" s="802"/>
      <c r="L622" s="140"/>
      <c r="M622" s="140"/>
      <c r="N622" s="140"/>
      <c r="O622" s="297"/>
      <c r="P622" s="297"/>
      <c r="Q622" s="297"/>
      <c r="R622" s="658"/>
      <c r="S622" s="297"/>
      <c r="AA622" s="647"/>
      <c r="AB622" s="647"/>
      <c r="AC622" s="95"/>
      <c r="AD622" s="95"/>
      <c r="AE622" s="95"/>
      <c r="AF622" s="647"/>
      <c r="AG622" s="647"/>
      <c r="AH622" s="95"/>
      <c r="AI622" s="95"/>
      <c r="AJ622" s="95"/>
      <c r="AK622" s="647"/>
      <c r="AL622" s="618"/>
      <c r="AM622" s="618"/>
    </row>
    <row r="623" spans="4:39" s="139" customFormat="1" ht="21.6" customHeight="1" x14ac:dyDescent="0.25">
      <c r="D623" s="222"/>
      <c r="E623" s="222"/>
      <c r="F623" s="633"/>
      <c r="G623" s="647"/>
      <c r="H623" s="652"/>
      <c r="I623" s="297"/>
      <c r="J623" s="657"/>
      <c r="K623" s="802"/>
      <c r="L623" s="140"/>
      <c r="M623" s="140"/>
      <c r="N623" s="140"/>
      <c r="O623" s="297"/>
      <c r="P623" s="297"/>
      <c r="Q623" s="297"/>
      <c r="R623" s="658"/>
      <c r="S623" s="297"/>
      <c r="AA623" s="647"/>
      <c r="AB623" s="647"/>
      <c r="AC623" s="95"/>
      <c r="AD623" s="95"/>
      <c r="AE623" s="95"/>
      <c r="AF623" s="647"/>
      <c r="AG623" s="647"/>
      <c r="AH623" s="95"/>
      <c r="AI623" s="95"/>
      <c r="AJ623" s="95"/>
      <c r="AK623" s="647"/>
      <c r="AL623" s="618"/>
      <c r="AM623" s="618"/>
    </row>
    <row r="624" spans="4:39" s="139" customFormat="1" ht="21.6" customHeight="1" x14ac:dyDescent="0.25">
      <c r="D624" s="222"/>
      <c r="E624" s="222"/>
      <c r="F624" s="633"/>
      <c r="G624" s="647"/>
      <c r="H624" s="652"/>
      <c r="I624" s="297"/>
      <c r="J624" s="657"/>
      <c r="K624" s="802"/>
      <c r="L624" s="140"/>
      <c r="M624" s="140"/>
      <c r="N624" s="140"/>
      <c r="O624" s="297"/>
      <c r="P624" s="297"/>
      <c r="Q624" s="297"/>
      <c r="R624" s="658"/>
      <c r="S624" s="297"/>
      <c r="AA624" s="647"/>
      <c r="AB624" s="647"/>
      <c r="AC624" s="95"/>
      <c r="AD624" s="95"/>
      <c r="AE624" s="95"/>
      <c r="AF624" s="647"/>
      <c r="AG624" s="647"/>
      <c r="AH624" s="95"/>
      <c r="AI624" s="95"/>
      <c r="AJ624" s="95"/>
      <c r="AK624" s="647"/>
      <c r="AL624" s="618"/>
      <c r="AM624" s="618"/>
    </row>
    <row r="625" spans="4:39" s="139" customFormat="1" ht="21.6" customHeight="1" x14ac:dyDescent="0.25">
      <c r="D625" s="222"/>
      <c r="E625" s="222"/>
      <c r="F625" s="633"/>
      <c r="G625" s="647"/>
      <c r="H625" s="652"/>
      <c r="I625" s="297"/>
      <c r="J625" s="657"/>
      <c r="K625" s="802"/>
      <c r="L625" s="140"/>
      <c r="M625" s="140"/>
      <c r="N625" s="140"/>
      <c r="O625" s="297"/>
      <c r="P625" s="297"/>
      <c r="Q625" s="297"/>
      <c r="R625" s="658"/>
      <c r="S625" s="297"/>
      <c r="AA625" s="647"/>
      <c r="AB625" s="647"/>
      <c r="AC625" s="95"/>
      <c r="AD625" s="95"/>
      <c r="AE625" s="95"/>
      <c r="AF625" s="647"/>
      <c r="AG625" s="647"/>
      <c r="AH625" s="95"/>
      <c r="AI625" s="95"/>
      <c r="AJ625" s="95"/>
      <c r="AK625" s="647"/>
      <c r="AL625" s="618"/>
      <c r="AM625" s="618"/>
    </row>
    <row r="626" spans="4:39" s="139" customFormat="1" ht="21.6" customHeight="1" x14ac:dyDescent="0.25">
      <c r="D626" s="222"/>
      <c r="E626" s="222"/>
      <c r="F626" s="633"/>
      <c r="G626" s="647"/>
      <c r="H626" s="652"/>
      <c r="I626" s="297"/>
      <c r="J626" s="657"/>
      <c r="K626" s="802"/>
      <c r="L626" s="140"/>
      <c r="M626" s="140"/>
      <c r="N626" s="140"/>
      <c r="O626" s="297"/>
      <c r="P626" s="297"/>
      <c r="Q626" s="297"/>
      <c r="R626" s="658"/>
      <c r="S626" s="297"/>
      <c r="AA626" s="647"/>
      <c r="AB626" s="647"/>
      <c r="AC626" s="95"/>
      <c r="AD626" s="95"/>
      <c r="AE626" s="95"/>
      <c r="AF626" s="647"/>
      <c r="AG626" s="647"/>
      <c r="AH626" s="95"/>
      <c r="AI626" s="95"/>
      <c r="AJ626" s="95"/>
      <c r="AK626" s="647"/>
      <c r="AL626" s="618"/>
      <c r="AM626" s="618"/>
    </row>
    <row r="627" spans="4:39" s="139" customFormat="1" ht="21.6" customHeight="1" x14ac:dyDescent="0.25">
      <c r="D627" s="222"/>
      <c r="E627" s="222"/>
      <c r="F627" s="633"/>
      <c r="G627" s="647"/>
      <c r="H627" s="652"/>
      <c r="I627" s="297"/>
      <c r="J627" s="657"/>
      <c r="K627" s="802"/>
      <c r="L627" s="140"/>
      <c r="M627" s="140"/>
      <c r="N627" s="140"/>
      <c r="O627" s="297"/>
      <c r="P627" s="297"/>
      <c r="Q627" s="297"/>
      <c r="R627" s="658"/>
      <c r="S627" s="297"/>
      <c r="AA627" s="647"/>
      <c r="AB627" s="647"/>
      <c r="AC627" s="95"/>
      <c r="AD627" s="95"/>
      <c r="AE627" s="95"/>
      <c r="AF627" s="647"/>
      <c r="AG627" s="647"/>
      <c r="AH627" s="95"/>
      <c r="AI627" s="95"/>
      <c r="AJ627" s="95"/>
      <c r="AK627" s="647"/>
      <c r="AL627" s="618"/>
      <c r="AM627" s="618"/>
    </row>
    <row r="628" spans="4:39" s="139" customFormat="1" ht="21.6" customHeight="1" x14ac:dyDescent="0.25">
      <c r="D628" s="222"/>
      <c r="E628" s="222"/>
      <c r="F628" s="633"/>
      <c r="G628" s="647"/>
      <c r="H628" s="652"/>
      <c r="I628" s="297"/>
      <c r="J628" s="657"/>
      <c r="K628" s="802"/>
      <c r="L628" s="140"/>
      <c r="M628" s="140"/>
      <c r="N628" s="140"/>
      <c r="O628" s="297"/>
      <c r="P628" s="297"/>
      <c r="Q628" s="297"/>
      <c r="R628" s="658"/>
      <c r="S628" s="297"/>
      <c r="AA628" s="647"/>
      <c r="AB628" s="647"/>
      <c r="AC628" s="95"/>
      <c r="AD628" s="95"/>
      <c r="AE628" s="95"/>
      <c r="AF628" s="647"/>
      <c r="AG628" s="647"/>
      <c r="AH628" s="95"/>
      <c r="AI628" s="95"/>
      <c r="AJ628" s="95"/>
      <c r="AK628" s="647"/>
      <c r="AL628" s="618"/>
      <c r="AM628" s="618"/>
    </row>
    <row r="629" spans="4:39" s="139" customFormat="1" ht="21.6" customHeight="1" x14ac:dyDescent="0.25">
      <c r="D629" s="222"/>
      <c r="E629" s="222"/>
      <c r="F629" s="633"/>
      <c r="G629" s="647"/>
      <c r="H629" s="652"/>
      <c r="I629" s="297"/>
      <c r="J629" s="657"/>
      <c r="K629" s="802"/>
      <c r="L629" s="140"/>
      <c r="M629" s="140"/>
      <c r="N629" s="140"/>
      <c r="O629" s="297"/>
      <c r="P629" s="297"/>
      <c r="Q629" s="297"/>
      <c r="R629" s="658"/>
      <c r="S629" s="297"/>
      <c r="AA629" s="647"/>
      <c r="AB629" s="647"/>
      <c r="AC629" s="95"/>
      <c r="AD629" s="95"/>
      <c r="AE629" s="95"/>
      <c r="AF629" s="647"/>
      <c r="AG629" s="647"/>
      <c r="AH629" s="95"/>
      <c r="AI629" s="95"/>
      <c r="AJ629" s="95"/>
      <c r="AK629" s="647"/>
      <c r="AL629" s="618"/>
      <c r="AM629" s="618"/>
    </row>
    <row r="630" spans="4:39" s="139" customFormat="1" ht="21.6" customHeight="1" x14ac:dyDescent="0.25">
      <c r="D630" s="222"/>
      <c r="E630" s="222"/>
      <c r="F630" s="633"/>
      <c r="G630" s="647"/>
      <c r="H630" s="652"/>
      <c r="I630" s="297"/>
      <c r="J630" s="657"/>
      <c r="K630" s="802"/>
      <c r="L630" s="140"/>
      <c r="M630" s="140"/>
      <c r="N630" s="140"/>
      <c r="O630" s="297"/>
      <c r="P630" s="297"/>
      <c r="Q630" s="297"/>
      <c r="R630" s="658"/>
      <c r="S630" s="297"/>
      <c r="AA630" s="647"/>
      <c r="AB630" s="647"/>
      <c r="AC630" s="95"/>
      <c r="AD630" s="95"/>
      <c r="AE630" s="95"/>
      <c r="AF630" s="647"/>
      <c r="AG630" s="647"/>
      <c r="AH630" s="95"/>
      <c r="AI630" s="95"/>
      <c r="AJ630" s="95"/>
      <c r="AK630" s="647"/>
      <c r="AL630" s="618"/>
      <c r="AM630" s="618"/>
    </row>
    <row r="631" spans="4:39" s="139" customFormat="1" ht="21.6" customHeight="1" x14ac:dyDescent="0.25">
      <c r="D631" s="222"/>
      <c r="E631" s="222"/>
      <c r="F631" s="633"/>
      <c r="G631" s="647"/>
      <c r="H631" s="652"/>
      <c r="I631" s="297"/>
      <c r="J631" s="657"/>
      <c r="K631" s="802"/>
      <c r="L631" s="140"/>
      <c r="M631" s="140"/>
      <c r="N631" s="140"/>
      <c r="O631" s="297"/>
      <c r="P631" s="297"/>
      <c r="Q631" s="297"/>
      <c r="R631" s="658"/>
      <c r="S631" s="297"/>
      <c r="AA631" s="647"/>
      <c r="AB631" s="647"/>
      <c r="AC631" s="95"/>
      <c r="AD631" s="95"/>
      <c r="AE631" s="95"/>
      <c r="AF631" s="647"/>
      <c r="AG631" s="647"/>
      <c r="AH631" s="95"/>
      <c r="AI631" s="95"/>
      <c r="AJ631" s="95"/>
      <c r="AK631" s="647"/>
      <c r="AL631" s="618"/>
      <c r="AM631" s="618"/>
    </row>
    <row r="632" spans="4:39" s="139" customFormat="1" ht="21.6" customHeight="1" x14ac:dyDescent="0.25">
      <c r="D632" s="222"/>
      <c r="E632" s="222"/>
      <c r="F632" s="633"/>
      <c r="G632" s="647"/>
      <c r="H632" s="652"/>
      <c r="I632" s="297"/>
      <c r="J632" s="657"/>
      <c r="K632" s="802"/>
      <c r="L632" s="140"/>
      <c r="M632" s="140"/>
      <c r="N632" s="140"/>
      <c r="O632" s="297"/>
      <c r="P632" s="297"/>
      <c r="Q632" s="297"/>
      <c r="R632" s="658"/>
      <c r="S632" s="297"/>
      <c r="AA632" s="647"/>
      <c r="AB632" s="647"/>
      <c r="AC632" s="95"/>
      <c r="AD632" s="95"/>
      <c r="AE632" s="95"/>
      <c r="AF632" s="647"/>
      <c r="AG632" s="647"/>
      <c r="AH632" s="95"/>
      <c r="AI632" s="95"/>
      <c r="AJ632" s="95"/>
      <c r="AK632" s="647"/>
      <c r="AL632" s="618"/>
      <c r="AM632" s="618"/>
    </row>
    <row r="633" spans="4:39" s="139" customFormat="1" ht="21.6" customHeight="1" x14ac:dyDescent="0.25">
      <c r="D633" s="222"/>
      <c r="E633" s="222"/>
      <c r="F633" s="633"/>
      <c r="G633" s="647"/>
      <c r="H633" s="652"/>
      <c r="I633" s="297"/>
      <c r="J633" s="657"/>
      <c r="K633" s="802"/>
      <c r="L633" s="140"/>
      <c r="M633" s="140"/>
      <c r="N633" s="140"/>
      <c r="O633" s="297"/>
      <c r="P633" s="297"/>
      <c r="Q633" s="297"/>
      <c r="R633" s="658"/>
      <c r="S633" s="297"/>
      <c r="AA633" s="647"/>
      <c r="AB633" s="647"/>
      <c r="AC633" s="95"/>
      <c r="AD633" s="95"/>
      <c r="AE633" s="95"/>
      <c r="AF633" s="647"/>
      <c r="AG633" s="647"/>
      <c r="AH633" s="95"/>
      <c r="AI633" s="95"/>
      <c r="AJ633" s="95"/>
      <c r="AK633" s="647"/>
      <c r="AL633" s="618"/>
      <c r="AM633" s="618"/>
    </row>
    <row r="634" spans="4:39" s="139" customFormat="1" ht="21.6" customHeight="1" x14ac:dyDescent="0.25">
      <c r="D634" s="222"/>
      <c r="E634" s="222"/>
      <c r="F634" s="633"/>
      <c r="G634" s="647"/>
      <c r="H634" s="652"/>
      <c r="I634" s="297"/>
      <c r="J634" s="657"/>
      <c r="K634" s="802"/>
      <c r="L634" s="140"/>
      <c r="M634" s="140"/>
      <c r="N634" s="140"/>
      <c r="O634" s="297"/>
      <c r="P634" s="297"/>
      <c r="Q634" s="297"/>
      <c r="R634" s="658"/>
      <c r="S634" s="297"/>
      <c r="AA634" s="647"/>
      <c r="AB634" s="647"/>
      <c r="AC634" s="95"/>
      <c r="AD634" s="95"/>
      <c r="AE634" s="95"/>
      <c r="AF634" s="647"/>
      <c r="AG634" s="647"/>
      <c r="AH634" s="95"/>
      <c r="AI634" s="95"/>
      <c r="AJ634" s="95"/>
      <c r="AK634" s="647"/>
      <c r="AL634" s="618"/>
      <c r="AM634" s="618"/>
    </row>
    <row r="635" spans="4:39" s="139" customFormat="1" ht="21.6" customHeight="1" x14ac:dyDescent="0.25">
      <c r="D635" s="222"/>
      <c r="E635" s="222"/>
      <c r="F635" s="633"/>
      <c r="G635" s="647"/>
      <c r="H635" s="652"/>
      <c r="I635" s="297"/>
      <c r="J635" s="657"/>
      <c r="K635" s="802"/>
      <c r="L635" s="140"/>
      <c r="M635" s="140"/>
      <c r="N635" s="140"/>
      <c r="O635" s="297"/>
      <c r="P635" s="297"/>
      <c r="Q635" s="297"/>
      <c r="R635" s="658"/>
      <c r="S635" s="297"/>
      <c r="AA635" s="647"/>
      <c r="AB635" s="647"/>
      <c r="AC635" s="95"/>
      <c r="AD635" s="95"/>
      <c r="AE635" s="95"/>
      <c r="AF635" s="647"/>
      <c r="AG635" s="647"/>
      <c r="AH635" s="95"/>
      <c r="AI635" s="95"/>
      <c r="AJ635" s="95"/>
      <c r="AK635" s="647"/>
      <c r="AL635" s="618"/>
      <c r="AM635" s="618"/>
    </row>
    <row r="636" spans="4:39" s="139" customFormat="1" ht="21.6" customHeight="1" x14ac:dyDescent="0.25">
      <c r="D636" s="222"/>
      <c r="E636" s="222"/>
      <c r="F636" s="633"/>
      <c r="G636" s="647"/>
      <c r="H636" s="652"/>
      <c r="I636" s="297"/>
      <c r="J636" s="657"/>
      <c r="K636" s="802"/>
      <c r="L636" s="140"/>
      <c r="M636" s="140"/>
      <c r="N636" s="140"/>
      <c r="O636" s="297"/>
      <c r="P636" s="297"/>
      <c r="Q636" s="297"/>
      <c r="R636" s="658"/>
      <c r="S636" s="297"/>
      <c r="AA636" s="647"/>
      <c r="AB636" s="647"/>
      <c r="AC636" s="95"/>
      <c r="AD636" s="95"/>
      <c r="AE636" s="95"/>
      <c r="AF636" s="647"/>
      <c r="AG636" s="647"/>
      <c r="AH636" s="95"/>
      <c r="AI636" s="95"/>
      <c r="AJ636" s="95"/>
      <c r="AK636" s="647"/>
      <c r="AL636" s="618"/>
      <c r="AM636" s="618"/>
    </row>
    <row r="637" spans="4:39" s="139" customFormat="1" ht="21.6" customHeight="1" x14ac:dyDescent="0.25">
      <c r="D637" s="222"/>
      <c r="E637" s="222"/>
      <c r="F637" s="633"/>
      <c r="G637" s="647"/>
      <c r="H637" s="652"/>
      <c r="I637" s="297"/>
      <c r="J637" s="657"/>
      <c r="K637" s="802"/>
      <c r="L637" s="140"/>
      <c r="M637" s="140"/>
      <c r="N637" s="140"/>
      <c r="O637" s="297"/>
      <c r="P637" s="297"/>
      <c r="Q637" s="297"/>
      <c r="R637" s="658"/>
      <c r="S637" s="297"/>
      <c r="AA637" s="647"/>
      <c r="AB637" s="647"/>
      <c r="AC637" s="95"/>
      <c r="AD637" s="95"/>
      <c r="AE637" s="95"/>
      <c r="AF637" s="647"/>
      <c r="AG637" s="647"/>
      <c r="AH637" s="95"/>
      <c r="AI637" s="95"/>
      <c r="AJ637" s="95"/>
      <c r="AK637" s="647"/>
      <c r="AL637" s="618"/>
      <c r="AM637" s="618"/>
    </row>
    <row r="638" spans="4:39" s="139" customFormat="1" ht="21.6" customHeight="1" x14ac:dyDescent="0.25">
      <c r="D638" s="222"/>
      <c r="E638" s="222"/>
      <c r="F638" s="633"/>
      <c r="G638" s="647"/>
      <c r="H638" s="652"/>
      <c r="I638" s="297"/>
      <c r="J638" s="657"/>
      <c r="K638" s="802"/>
      <c r="L638" s="140"/>
      <c r="M638" s="140"/>
      <c r="N638" s="140"/>
      <c r="O638" s="297"/>
      <c r="P638" s="297"/>
      <c r="Q638" s="297"/>
      <c r="R638" s="658"/>
      <c r="S638" s="297"/>
      <c r="AA638" s="647"/>
      <c r="AB638" s="647"/>
      <c r="AC638" s="95"/>
      <c r="AD638" s="95"/>
      <c r="AE638" s="95"/>
      <c r="AF638" s="647"/>
      <c r="AG638" s="647"/>
      <c r="AH638" s="95"/>
      <c r="AI638" s="95"/>
      <c r="AJ638" s="95"/>
      <c r="AK638" s="647"/>
      <c r="AL638" s="618"/>
      <c r="AM638" s="618"/>
    </row>
    <row r="639" spans="4:39" s="139" customFormat="1" ht="21.6" customHeight="1" x14ac:dyDescent="0.25">
      <c r="D639" s="222"/>
      <c r="E639" s="222"/>
      <c r="F639" s="633"/>
      <c r="G639" s="647"/>
      <c r="H639" s="652"/>
      <c r="I639" s="297"/>
      <c r="J639" s="657"/>
      <c r="K639" s="802"/>
      <c r="L639" s="140"/>
      <c r="M639" s="140"/>
      <c r="N639" s="140"/>
      <c r="O639" s="297"/>
      <c r="P639" s="297"/>
      <c r="Q639" s="297"/>
      <c r="R639" s="658"/>
      <c r="S639" s="297"/>
      <c r="AA639" s="647"/>
      <c r="AB639" s="647"/>
      <c r="AC639" s="95"/>
      <c r="AD639" s="95"/>
      <c r="AE639" s="95"/>
      <c r="AF639" s="647"/>
      <c r="AG639" s="647"/>
      <c r="AH639" s="95"/>
      <c r="AI639" s="95"/>
      <c r="AJ639" s="95"/>
      <c r="AK639" s="647"/>
      <c r="AL639" s="618"/>
      <c r="AM639" s="618"/>
    </row>
    <row r="640" spans="4:39" s="139" customFormat="1" ht="21.6" customHeight="1" x14ac:dyDescent="0.25">
      <c r="D640" s="222"/>
      <c r="E640" s="222"/>
      <c r="F640" s="633"/>
      <c r="G640" s="647"/>
      <c r="H640" s="652"/>
      <c r="I640" s="297"/>
      <c r="J640" s="657"/>
      <c r="K640" s="802"/>
      <c r="L640" s="140"/>
      <c r="M640" s="140"/>
      <c r="N640" s="140"/>
      <c r="O640" s="297"/>
      <c r="P640" s="297"/>
      <c r="Q640" s="297"/>
      <c r="R640" s="658"/>
      <c r="S640" s="297"/>
      <c r="AA640" s="647"/>
      <c r="AB640" s="647"/>
      <c r="AC640" s="95"/>
      <c r="AD640" s="95"/>
      <c r="AE640" s="95"/>
      <c r="AF640" s="647"/>
      <c r="AG640" s="647"/>
      <c r="AH640" s="95"/>
      <c r="AI640" s="95"/>
      <c r="AJ640" s="95"/>
      <c r="AK640" s="647"/>
      <c r="AL640" s="618"/>
      <c r="AM640" s="618"/>
    </row>
    <row r="641" spans="4:39" s="139" customFormat="1" ht="21.6" customHeight="1" x14ac:dyDescent="0.25">
      <c r="D641" s="222"/>
      <c r="E641" s="222"/>
      <c r="F641" s="633"/>
      <c r="G641" s="647"/>
      <c r="H641" s="652"/>
      <c r="I641" s="297"/>
      <c r="J641" s="657"/>
      <c r="K641" s="802"/>
      <c r="L641" s="140"/>
      <c r="M641" s="140"/>
      <c r="N641" s="140"/>
      <c r="O641" s="297"/>
      <c r="P641" s="297"/>
      <c r="Q641" s="297"/>
      <c r="R641" s="658"/>
      <c r="S641" s="297"/>
      <c r="AA641" s="647"/>
      <c r="AB641" s="647"/>
      <c r="AC641" s="95"/>
      <c r="AD641" s="95"/>
      <c r="AE641" s="95"/>
      <c r="AF641" s="647"/>
      <c r="AG641" s="647"/>
      <c r="AH641" s="95"/>
      <c r="AI641" s="95"/>
      <c r="AJ641" s="95"/>
      <c r="AK641" s="647"/>
      <c r="AL641" s="618"/>
      <c r="AM641" s="618"/>
    </row>
    <row r="642" spans="4:39" s="139" customFormat="1" ht="21.6" customHeight="1" x14ac:dyDescent="0.25">
      <c r="D642" s="222"/>
      <c r="E642" s="222"/>
      <c r="F642" s="633"/>
      <c r="G642" s="647"/>
      <c r="H642" s="652"/>
      <c r="I642" s="297"/>
      <c r="J642" s="657"/>
      <c r="K642" s="802"/>
      <c r="L642" s="140"/>
      <c r="M642" s="140"/>
      <c r="N642" s="140"/>
      <c r="O642" s="297"/>
      <c r="P642" s="297"/>
      <c r="Q642" s="297"/>
      <c r="R642" s="658"/>
      <c r="S642" s="297"/>
      <c r="AA642" s="647"/>
      <c r="AB642" s="647"/>
      <c r="AC642" s="95"/>
      <c r="AD642" s="95"/>
      <c r="AE642" s="95"/>
      <c r="AF642" s="647"/>
      <c r="AG642" s="647"/>
      <c r="AH642" s="95"/>
      <c r="AI642" s="95"/>
      <c r="AJ642" s="95"/>
      <c r="AK642" s="647"/>
      <c r="AL642" s="618"/>
      <c r="AM642" s="618"/>
    </row>
    <row r="643" spans="4:39" s="139" customFormat="1" ht="21.6" customHeight="1" x14ac:dyDescent="0.25">
      <c r="D643" s="222"/>
      <c r="E643" s="222"/>
      <c r="F643" s="633"/>
      <c r="G643" s="647"/>
      <c r="H643" s="652"/>
      <c r="I643" s="297"/>
      <c r="J643" s="657"/>
      <c r="K643" s="802"/>
      <c r="L643" s="140"/>
      <c r="M643" s="140"/>
      <c r="N643" s="140"/>
      <c r="O643" s="297"/>
      <c r="P643" s="297"/>
      <c r="Q643" s="297"/>
      <c r="R643" s="658"/>
      <c r="S643" s="297"/>
      <c r="AA643" s="647"/>
      <c r="AB643" s="647"/>
      <c r="AC643" s="95"/>
      <c r="AD643" s="95"/>
      <c r="AE643" s="95"/>
      <c r="AF643" s="647"/>
      <c r="AG643" s="647"/>
      <c r="AH643" s="95"/>
      <c r="AI643" s="95"/>
      <c r="AJ643" s="95"/>
      <c r="AK643" s="647"/>
      <c r="AL643" s="618"/>
      <c r="AM643" s="618"/>
    </row>
    <row r="644" spans="4:39" s="139" customFormat="1" ht="21.6" customHeight="1" x14ac:dyDescent="0.25">
      <c r="D644" s="222"/>
      <c r="E644" s="222"/>
      <c r="F644" s="633"/>
      <c r="G644" s="647"/>
      <c r="H644" s="652"/>
      <c r="I644" s="297"/>
      <c r="J644" s="657"/>
      <c r="K644" s="802"/>
      <c r="L644" s="140"/>
      <c r="M644" s="140"/>
      <c r="N644" s="140"/>
      <c r="O644" s="297"/>
      <c r="P644" s="297"/>
      <c r="Q644" s="297"/>
      <c r="R644" s="658"/>
      <c r="S644" s="297"/>
      <c r="AA644" s="647"/>
      <c r="AB644" s="647"/>
      <c r="AC644" s="95"/>
      <c r="AD644" s="95"/>
      <c r="AE644" s="95"/>
      <c r="AF644" s="647"/>
      <c r="AG644" s="647"/>
      <c r="AH644" s="95"/>
      <c r="AI644" s="95"/>
      <c r="AJ644" s="95"/>
      <c r="AK644" s="647"/>
      <c r="AL644" s="618"/>
      <c r="AM644" s="618"/>
    </row>
    <row r="645" spans="4:39" s="139" customFormat="1" ht="21.6" customHeight="1" x14ac:dyDescent="0.25">
      <c r="D645" s="222"/>
      <c r="E645" s="222"/>
      <c r="F645" s="633"/>
      <c r="G645" s="647"/>
      <c r="H645" s="652"/>
      <c r="I645" s="297"/>
      <c r="J645" s="657"/>
      <c r="K645" s="802"/>
      <c r="L645" s="140"/>
      <c r="M645" s="140"/>
      <c r="N645" s="140"/>
      <c r="O645" s="297"/>
      <c r="P645" s="297"/>
      <c r="Q645" s="297"/>
      <c r="R645" s="658"/>
      <c r="S645" s="297"/>
      <c r="AA645" s="647"/>
      <c r="AB645" s="647"/>
      <c r="AC645" s="95"/>
      <c r="AD645" s="95"/>
      <c r="AE645" s="95"/>
      <c r="AF645" s="647"/>
      <c r="AG645" s="647"/>
      <c r="AH645" s="95"/>
      <c r="AI645" s="95"/>
      <c r="AJ645" s="95"/>
      <c r="AK645" s="647"/>
      <c r="AL645" s="618"/>
      <c r="AM645" s="618"/>
    </row>
    <row r="646" spans="4:39" s="139" customFormat="1" ht="21.6" customHeight="1" x14ac:dyDescent="0.25">
      <c r="D646" s="222"/>
      <c r="E646" s="222"/>
      <c r="F646" s="633"/>
      <c r="G646" s="647"/>
      <c r="H646" s="652"/>
      <c r="I646" s="297"/>
      <c r="J646" s="657"/>
      <c r="K646" s="802"/>
      <c r="L646" s="140"/>
      <c r="M646" s="140"/>
      <c r="N646" s="140"/>
      <c r="O646" s="297"/>
      <c r="P646" s="297"/>
      <c r="Q646" s="297"/>
      <c r="R646" s="658"/>
      <c r="S646" s="297"/>
      <c r="AA646" s="647"/>
      <c r="AB646" s="647"/>
      <c r="AC646" s="95"/>
      <c r="AD646" s="95"/>
      <c r="AE646" s="95"/>
      <c r="AF646" s="647"/>
      <c r="AG646" s="647"/>
      <c r="AH646" s="95"/>
      <c r="AI646" s="95"/>
      <c r="AJ646" s="95"/>
      <c r="AK646" s="647"/>
      <c r="AL646" s="618"/>
      <c r="AM646" s="618"/>
    </row>
    <row r="647" spans="4:39" s="139" customFormat="1" ht="21.6" customHeight="1" x14ac:dyDescent="0.25">
      <c r="D647" s="222"/>
      <c r="E647" s="222"/>
      <c r="F647" s="633"/>
      <c r="G647" s="647"/>
      <c r="H647" s="652"/>
      <c r="I647" s="297"/>
      <c r="J647" s="657"/>
      <c r="K647" s="802"/>
      <c r="L647" s="140"/>
      <c r="M647" s="140"/>
      <c r="N647" s="140"/>
      <c r="O647" s="297"/>
      <c r="P647" s="297"/>
      <c r="Q647" s="297"/>
      <c r="R647" s="658"/>
      <c r="S647" s="297"/>
      <c r="AA647" s="647"/>
      <c r="AB647" s="647"/>
      <c r="AC647" s="95"/>
      <c r="AD647" s="95"/>
      <c r="AE647" s="95"/>
      <c r="AF647" s="647"/>
      <c r="AG647" s="647"/>
      <c r="AH647" s="95"/>
      <c r="AI647" s="95"/>
      <c r="AJ647" s="95"/>
      <c r="AK647" s="647"/>
      <c r="AL647" s="618"/>
      <c r="AM647" s="618"/>
    </row>
    <row r="648" spans="4:39" s="139" customFormat="1" ht="21.6" customHeight="1" x14ac:dyDescent="0.25">
      <c r="D648" s="222"/>
      <c r="E648" s="222"/>
      <c r="F648" s="633"/>
      <c r="G648" s="647"/>
      <c r="H648" s="652"/>
      <c r="I648" s="297"/>
      <c r="J648" s="657"/>
      <c r="K648" s="802"/>
      <c r="L648" s="140"/>
      <c r="M648" s="140"/>
      <c r="N648" s="140"/>
      <c r="O648" s="297"/>
      <c r="P648" s="297"/>
      <c r="Q648" s="297"/>
      <c r="R648" s="658"/>
      <c r="S648" s="297"/>
      <c r="AA648" s="647"/>
      <c r="AB648" s="647"/>
      <c r="AC648" s="95"/>
      <c r="AD648" s="95"/>
      <c r="AE648" s="95"/>
      <c r="AF648" s="647"/>
      <c r="AG648" s="647"/>
      <c r="AH648" s="95"/>
      <c r="AI648" s="95"/>
      <c r="AJ648" s="95"/>
      <c r="AK648" s="647"/>
      <c r="AL648" s="618"/>
      <c r="AM648" s="618"/>
    </row>
    <row r="649" spans="4:39" s="139" customFormat="1" ht="21.6" customHeight="1" x14ac:dyDescent="0.25">
      <c r="D649" s="222"/>
      <c r="E649" s="222"/>
      <c r="F649" s="633"/>
      <c r="G649" s="647"/>
      <c r="H649" s="652"/>
      <c r="I649" s="297"/>
      <c r="J649" s="657"/>
      <c r="K649" s="802"/>
      <c r="L649" s="140"/>
      <c r="M649" s="140"/>
      <c r="N649" s="140"/>
      <c r="O649" s="297"/>
      <c r="P649" s="297"/>
      <c r="Q649" s="297"/>
      <c r="R649" s="658"/>
      <c r="S649" s="297"/>
      <c r="AA649" s="647"/>
      <c r="AB649" s="647"/>
      <c r="AC649" s="95"/>
      <c r="AD649" s="95"/>
      <c r="AE649" s="95"/>
      <c r="AF649" s="647"/>
      <c r="AG649" s="647"/>
      <c r="AH649" s="95"/>
      <c r="AI649" s="95"/>
      <c r="AJ649" s="95"/>
      <c r="AK649" s="647"/>
      <c r="AL649" s="618"/>
      <c r="AM649" s="618"/>
    </row>
    <row r="650" spans="4:39" s="139" customFormat="1" ht="21.6" customHeight="1" x14ac:dyDescent="0.25">
      <c r="D650" s="222"/>
      <c r="E650" s="222"/>
      <c r="F650" s="633"/>
      <c r="G650" s="647"/>
      <c r="H650" s="652"/>
      <c r="I650" s="297"/>
      <c r="J650" s="657"/>
      <c r="K650" s="802"/>
      <c r="L650" s="140"/>
      <c r="M650" s="140"/>
      <c r="N650" s="140"/>
      <c r="O650" s="297"/>
      <c r="P650" s="297"/>
      <c r="Q650" s="297"/>
      <c r="R650" s="658"/>
      <c r="S650" s="297"/>
      <c r="AA650" s="647"/>
      <c r="AB650" s="647"/>
      <c r="AC650" s="95"/>
      <c r="AD650" s="95"/>
      <c r="AE650" s="95"/>
      <c r="AF650" s="647"/>
      <c r="AG650" s="647"/>
      <c r="AH650" s="95"/>
      <c r="AI650" s="95"/>
      <c r="AJ650" s="95"/>
      <c r="AK650" s="647"/>
      <c r="AL650" s="618"/>
      <c r="AM650" s="618"/>
    </row>
    <row r="651" spans="4:39" s="139" customFormat="1" ht="21.6" customHeight="1" x14ac:dyDescent="0.25">
      <c r="D651" s="222"/>
      <c r="E651" s="222"/>
      <c r="F651" s="633"/>
      <c r="G651" s="647"/>
      <c r="H651" s="652"/>
      <c r="I651" s="297"/>
      <c r="J651" s="657"/>
      <c r="K651" s="802"/>
      <c r="L651" s="140"/>
      <c r="M651" s="140"/>
      <c r="N651" s="140"/>
      <c r="O651" s="297"/>
      <c r="P651" s="297"/>
      <c r="Q651" s="297"/>
      <c r="R651" s="658"/>
      <c r="S651" s="297"/>
      <c r="AA651" s="647"/>
      <c r="AB651" s="647"/>
      <c r="AC651" s="95"/>
      <c r="AD651" s="95"/>
      <c r="AE651" s="95"/>
      <c r="AF651" s="647"/>
      <c r="AG651" s="647"/>
      <c r="AH651" s="95"/>
      <c r="AI651" s="95"/>
      <c r="AJ651" s="95"/>
      <c r="AK651" s="647"/>
      <c r="AL651" s="618"/>
      <c r="AM651" s="618"/>
    </row>
    <row r="652" spans="4:39" s="139" customFormat="1" ht="21.6" customHeight="1" x14ac:dyDescent="0.25">
      <c r="D652" s="222"/>
      <c r="E652" s="222"/>
      <c r="F652" s="633"/>
      <c r="G652" s="647"/>
      <c r="H652" s="652"/>
      <c r="I652" s="297"/>
      <c r="J652" s="657"/>
      <c r="K652" s="802"/>
      <c r="L652" s="140"/>
      <c r="M652" s="140"/>
      <c r="N652" s="140"/>
      <c r="O652" s="297"/>
      <c r="P652" s="297"/>
      <c r="Q652" s="297"/>
      <c r="R652" s="658"/>
      <c r="S652" s="297"/>
      <c r="AA652" s="647"/>
      <c r="AB652" s="647"/>
      <c r="AC652" s="95"/>
      <c r="AD652" s="95"/>
      <c r="AE652" s="95"/>
      <c r="AF652" s="647"/>
      <c r="AG652" s="647"/>
      <c r="AH652" s="95"/>
      <c r="AI652" s="95"/>
      <c r="AJ652" s="95"/>
      <c r="AK652" s="647"/>
      <c r="AL652" s="618"/>
      <c r="AM652" s="618"/>
    </row>
    <row r="653" spans="4:39" s="139" customFormat="1" ht="21.6" customHeight="1" x14ac:dyDescent="0.25">
      <c r="D653" s="222"/>
      <c r="E653" s="222"/>
      <c r="F653" s="633"/>
      <c r="G653" s="647"/>
      <c r="H653" s="652"/>
      <c r="I653" s="297"/>
      <c r="J653" s="657"/>
      <c r="K653" s="802"/>
      <c r="L653" s="140"/>
      <c r="M653" s="140"/>
      <c r="N653" s="140"/>
      <c r="O653" s="297"/>
      <c r="P653" s="297"/>
      <c r="Q653" s="297"/>
      <c r="R653" s="658"/>
      <c r="S653" s="297"/>
      <c r="AA653" s="647"/>
      <c r="AB653" s="647"/>
      <c r="AC653" s="95"/>
      <c r="AD653" s="95"/>
      <c r="AE653" s="95"/>
      <c r="AF653" s="647"/>
      <c r="AG653" s="647"/>
      <c r="AH653" s="95"/>
      <c r="AI653" s="95"/>
      <c r="AJ653" s="95"/>
      <c r="AK653" s="647"/>
      <c r="AL653" s="618"/>
      <c r="AM653" s="618"/>
    </row>
    <row r="654" spans="4:39" s="139" customFormat="1" ht="21.6" customHeight="1" x14ac:dyDescent="0.25">
      <c r="D654" s="222"/>
      <c r="E654" s="222"/>
      <c r="F654" s="633"/>
      <c r="G654" s="647"/>
      <c r="H654" s="652"/>
      <c r="I654" s="297"/>
      <c r="J654" s="657"/>
      <c r="K654" s="802"/>
      <c r="L654" s="140"/>
      <c r="M654" s="140"/>
      <c r="N654" s="140"/>
      <c r="O654" s="297"/>
      <c r="P654" s="297"/>
      <c r="Q654" s="297"/>
      <c r="R654" s="658"/>
      <c r="S654" s="297"/>
      <c r="AA654" s="647"/>
      <c r="AB654" s="647"/>
      <c r="AC654" s="95"/>
      <c r="AD654" s="95"/>
      <c r="AE654" s="95"/>
      <c r="AF654" s="647"/>
      <c r="AG654" s="647"/>
      <c r="AH654" s="95"/>
      <c r="AI654" s="95"/>
      <c r="AJ654" s="95"/>
      <c r="AK654" s="647"/>
      <c r="AL654" s="618"/>
      <c r="AM654" s="618"/>
    </row>
    <row r="655" spans="4:39" s="139" customFormat="1" ht="21.6" customHeight="1" x14ac:dyDescent="0.25">
      <c r="D655" s="222"/>
      <c r="E655" s="222"/>
      <c r="F655" s="633"/>
      <c r="G655" s="647"/>
      <c r="H655" s="652"/>
      <c r="I655" s="297"/>
      <c r="J655" s="657"/>
      <c r="K655" s="802"/>
      <c r="L655" s="140"/>
      <c r="M655" s="140"/>
      <c r="N655" s="140"/>
      <c r="O655" s="297"/>
      <c r="P655" s="297"/>
      <c r="Q655" s="297"/>
      <c r="R655" s="658"/>
      <c r="S655" s="297"/>
      <c r="AA655" s="647"/>
      <c r="AB655" s="647"/>
      <c r="AC655" s="95"/>
      <c r="AD655" s="95"/>
      <c r="AE655" s="95"/>
      <c r="AF655" s="647"/>
      <c r="AG655" s="647"/>
      <c r="AH655" s="95"/>
      <c r="AI655" s="95"/>
      <c r="AJ655" s="95"/>
      <c r="AK655" s="647"/>
      <c r="AL655" s="618"/>
      <c r="AM655" s="618"/>
    </row>
    <row r="656" spans="4:39" s="139" customFormat="1" ht="21.6" customHeight="1" x14ac:dyDescent="0.25">
      <c r="D656" s="222"/>
      <c r="E656" s="222"/>
      <c r="F656" s="633"/>
      <c r="G656" s="647"/>
      <c r="H656" s="652"/>
      <c r="I656" s="297"/>
      <c r="J656" s="657"/>
      <c r="K656" s="802"/>
      <c r="L656" s="140"/>
      <c r="M656" s="140"/>
      <c r="N656" s="140"/>
      <c r="O656" s="297"/>
      <c r="P656" s="297"/>
      <c r="Q656" s="297"/>
      <c r="R656" s="658"/>
      <c r="S656" s="297"/>
      <c r="AA656" s="647"/>
      <c r="AB656" s="647"/>
      <c r="AC656" s="95"/>
      <c r="AD656" s="95"/>
      <c r="AE656" s="95"/>
      <c r="AF656" s="647"/>
      <c r="AG656" s="647"/>
      <c r="AH656" s="95"/>
      <c r="AI656" s="95"/>
      <c r="AJ656" s="95"/>
      <c r="AK656" s="647"/>
      <c r="AL656" s="618"/>
      <c r="AM656" s="618"/>
    </row>
    <row r="657" spans="4:39" s="139" customFormat="1" ht="21.6" customHeight="1" x14ac:dyDescent="0.25">
      <c r="D657" s="222"/>
      <c r="E657" s="222"/>
      <c r="F657" s="633"/>
      <c r="G657" s="647"/>
      <c r="H657" s="652"/>
      <c r="I657" s="297"/>
      <c r="J657" s="657"/>
      <c r="K657" s="802"/>
      <c r="L657" s="140"/>
      <c r="M657" s="140"/>
      <c r="N657" s="140"/>
      <c r="O657" s="297"/>
      <c r="P657" s="297"/>
      <c r="Q657" s="297"/>
      <c r="R657" s="658"/>
      <c r="S657" s="297"/>
      <c r="AA657" s="647"/>
      <c r="AB657" s="647"/>
      <c r="AC657" s="95"/>
      <c r="AD657" s="95"/>
      <c r="AE657" s="95"/>
      <c r="AF657" s="647"/>
      <c r="AG657" s="647"/>
      <c r="AH657" s="95"/>
      <c r="AI657" s="95"/>
      <c r="AJ657" s="95"/>
      <c r="AK657" s="647"/>
      <c r="AL657" s="618"/>
      <c r="AM657" s="618"/>
    </row>
    <row r="658" spans="4:39" s="139" customFormat="1" ht="21.6" customHeight="1" x14ac:dyDescent="0.25">
      <c r="D658" s="222"/>
      <c r="E658" s="222"/>
      <c r="F658" s="633"/>
      <c r="G658" s="647"/>
      <c r="H658" s="652"/>
      <c r="I658" s="297"/>
      <c r="J658" s="657"/>
      <c r="K658" s="802"/>
      <c r="L658" s="140"/>
      <c r="M658" s="140"/>
      <c r="N658" s="140"/>
      <c r="O658" s="297"/>
      <c r="P658" s="297"/>
      <c r="Q658" s="297"/>
      <c r="R658" s="658"/>
      <c r="S658" s="297"/>
      <c r="AA658" s="647"/>
      <c r="AB658" s="647"/>
      <c r="AC658" s="95"/>
      <c r="AD658" s="95"/>
      <c r="AE658" s="95"/>
      <c r="AF658" s="647"/>
      <c r="AG658" s="647"/>
      <c r="AH658" s="95"/>
      <c r="AI658" s="95"/>
      <c r="AJ658" s="95"/>
      <c r="AK658" s="647"/>
      <c r="AL658" s="618"/>
      <c r="AM658" s="618"/>
    </row>
    <row r="659" spans="4:39" s="139" customFormat="1" ht="21.6" customHeight="1" x14ac:dyDescent="0.25">
      <c r="D659" s="222"/>
      <c r="E659" s="222"/>
      <c r="F659" s="633"/>
      <c r="G659" s="647"/>
      <c r="H659" s="652"/>
      <c r="I659" s="297"/>
      <c r="J659" s="657"/>
      <c r="K659" s="802"/>
      <c r="L659" s="140"/>
      <c r="M659" s="140"/>
      <c r="N659" s="140"/>
      <c r="O659" s="297"/>
      <c r="P659" s="297"/>
      <c r="Q659" s="297"/>
      <c r="R659" s="658"/>
      <c r="S659" s="297"/>
      <c r="AA659" s="647"/>
      <c r="AB659" s="647"/>
      <c r="AC659" s="95"/>
      <c r="AD659" s="95"/>
      <c r="AE659" s="95"/>
      <c r="AF659" s="647"/>
      <c r="AG659" s="647"/>
      <c r="AH659" s="95"/>
      <c r="AI659" s="95"/>
      <c r="AJ659" s="95"/>
      <c r="AK659" s="647"/>
      <c r="AL659" s="618"/>
      <c r="AM659" s="618"/>
    </row>
    <row r="660" spans="4:39" s="139" customFormat="1" ht="21.6" customHeight="1" x14ac:dyDescent="0.25">
      <c r="D660" s="222"/>
      <c r="E660" s="222"/>
      <c r="F660" s="633"/>
      <c r="G660" s="647"/>
      <c r="H660" s="652"/>
      <c r="I660" s="297"/>
      <c r="J660" s="657"/>
      <c r="K660" s="802"/>
      <c r="L660" s="140"/>
      <c r="M660" s="140"/>
      <c r="N660" s="140"/>
      <c r="O660" s="297"/>
      <c r="P660" s="297"/>
      <c r="Q660" s="297"/>
      <c r="R660" s="658"/>
      <c r="S660" s="297"/>
      <c r="AA660" s="647"/>
      <c r="AB660" s="647"/>
      <c r="AC660" s="95"/>
      <c r="AD660" s="95"/>
      <c r="AE660" s="95"/>
      <c r="AF660" s="647"/>
      <c r="AG660" s="647"/>
      <c r="AH660" s="95"/>
      <c r="AI660" s="95"/>
      <c r="AJ660" s="95"/>
      <c r="AK660" s="647"/>
      <c r="AL660" s="618"/>
      <c r="AM660" s="618"/>
    </row>
    <row r="661" spans="4:39" s="139" customFormat="1" ht="21.6" customHeight="1" x14ac:dyDescent="0.25">
      <c r="D661" s="222"/>
      <c r="E661" s="222"/>
      <c r="F661" s="633"/>
      <c r="G661" s="647"/>
      <c r="H661" s="652"/>
      <c r="I661" s="297"/>
      <c r="J661" s="657"/>
      <c r="K661" s="802"/>
      <c r="L661" s="140"/>
      <c r="M661" s="140"/>
      <c r="N661" s="140"/>
      <c r="O661" s="297"/>
      <c r="P661" s="297"/>
      <c r="Q661" s="297"/>
      <c r="R661" s="658"/>
      <c r="S661" s="297"/>
      <c r="AA661" s="647"/>
      <c r="AB661" s="647"/>
      <c r="AC661" s="95"/>
      <c r="AD661" s="95"/>
      <c r="AE661" s="95"/>
      <c r="AF661" s="647"/>
      <c r="AG661" s="647"/>
      <c r="AH661" s="95"/>
      <c r="AI661" s="95"/>
      <c r="AJ661" s="95"/>
      <c r="AK661" s="647"/>
      <c r="AL661" s="618"/>
      <c r="AM661" s="618"/>
    </row>
    <row r="662" spans="4:39" s="139" customFormat="1" ht="21.6" customHeight="1" x14ac:dyDescent="0.25">
      <c r="D662" s="222"/>
      <c r="E662" s="222"/>
      <c r="F662" s="633"/>
      <c r="G662" s="647"/>
      <c r="H662" s="652"/>
      <c r="I662" s="297"/>
      <c r="J662" s="657"/>
      <c r="K662" s="802"/>
      <c r="L662" s="140"/>
      <c r="M662" s="140"/>
      <c r="N662" s="140"/>
      <c r="O662" s="297"/>
      <c r="P662" s="297"/>
      <c r="Q662" s="297"/>
      <c r="R662" s="658"/>
      <c r="S662" s="297"/>
      <c r="AA662" s="647"/>
      <c r="AB662" s="647"/>
      <c r="AC662" s="95"/>
      <c r="AD662" s="95"/>
      <c r="AE662" s="95"/>
      <c r="AF662" s="647"/>
      <c r="AG662" s="647"/>
      <c r="AH662" s="95"/>
      <c r="AI662" s="95"/>
      <c r="AJ662" s="95"/>
      <c r="AK662" s="647"/>
      <c r="AL662" s="618"/>
      <c r="AM662" s="618"/>
    </row>
    <row r="663" spans="4:39" s="139" customFormat="1" ht="21.6" customHeight="1" x14ac:dyDescent="0.25">
      <c r="D663" s="222"/>
      <c r="E663" s="222"/>
      <c r="F663" s="633"/>
      <c r="G663" s="647"/>
      <c r="H663" s="652"/>
      <c r="I663" s="297"/>
      <c r="J663" s="657"/>
      <c r="K663" s="802"/>
      <c r="L663" s="140"/>
      <c r="M663" s="140"/>
      <c r="N663" s="140"/>
      <c r="O663" s="297"/>
      <c r="P663" s="297"/>
      <c r="Q663" s="297"/>
      <c r="R663" s="658"/>
      <c r="S663" s="297"/>
      <c r="AA663" s="647"/>
      <c r="AB663" s="647"/>
      <c r="AC663" s="95"/>
      <c r="AD663" s="95"/>
      <c r="AE663" s="95"/>
      <c r="AF663" s="647"/>
      <c r="AG663" s="647"/>
      <c r="AH663" s="95"/>
      <c r="AI663" s="95"/>
      <c r="AJ663" s="95"/>
      <c r="AK663" s="647"/>
      <c r="AL663" s="618"/>
      <c r="AM663" s="618"/>
    </row>
    <row r="664" spans="4:39" s="139" customFormat="1" ht="21.6" customHeight="1" x14ac:dyDescent="0.25">
      <c r="D664" s="222"/>
      <c r="E664" s="222"/>
      <c r="F664" s="633"/>
      <c r="G664" s="647"/>
      <c r="H664" s="652"/>
      <c r="I664" s="297"/>
      <c r="J664" s="657"/>
      <c r="K664" s="802"/>
      <c r="L664" s="140"/>
      <c r="M664" s="140"/>
      <c r="N664" s="140"/>
      <c r="O664" s="297"/>
      <c r="P664" s="297"/>
      <c r="Q664" s="297"/>
      <c r="R664" s="658"/>
      <c r="S664" s="297"/>
      <c r="AA664" s="647"/>
      <c r="AB664" s="647"/>
      <c r="AC664" s="95"/>
      <c r="AD664" s="95"/>
      <c r="AE664" s="95"/>
      <c r="AF664" s="647"/>
      <c r="AG664" s="647"/>
      <c r="AH664" s="95"/>
      <c r="AI664" s="95"/>
      <c r="AJ664" s="95"/>
      <c r="AK664" s="647"/>
      <c r="AL664" s="618"/>
      <c r="AM664" s="618"/>
    </row>
    <row r="665" spans="4:39" s="139" customFormat="1" ht="21.6" customHeight="1" x14ac:dyDescent="0.25">
      <c r="D665" s="222"/>
      <c r="E665" s="222"/>
      <c r="F665" s="633"/>
      <c r="G665" s="647"/>
      <c r="H665" s="652"/>
      <c r="I665" s="297"/>
      <c r="J665" s="657"/>
      <c r="K665" s="802"/>
      <c r="L665" s="140"/>
      <c r="M665" s="140"/>
      <c r="N665" s="140"/>
      <c r="O665" s="297"/>
      <c r="P665" s="297"/>
      <c r="Q665" s="297"/>
      <c r="R665" s="658"/>
      <c r="S665" s="297"/>
      <c r="AA665" s="647"/>
      <c r="AB665" s="647"/>
      <c r="AC665" s="95"/>
      <c r="AD665" s="95"/>
      <c r="AE665" s="95"/>
      <c r="AF665" s="647"/>
      <c r="AG665" s="647"/>
      <c r="AH665" s="95"/>
      <c r="AI665" s="95"/>
      <c r="AJ665" s="95"/>
      <c r="AK665" s="647"/>
      <c r="AL665" s="618"/>
      <c r="AM665" s="618"/>
    </row>
    <row r="666" spans="4:39" s="139" customFormat="1" ht="21.6" customHeight="1" x14ac:dyDescent="0.25">
      <c r="D666" s="222"/>
      <c r="E666" s="222"/>
      <c r="F666" s="633"/>
      <c r="G666" s="647"/>
      <c r="H666" s="652"/>
      <c r="I666" s="297"/>
      <c r="J666" s="657"/>
      <c r="K666" s="802"/>
      <c r="L666" s="140"/>
      <c r="M666" s="140"/>
      <c r="N666" s="140"/>
      <c r="O666" s="297"/>
      <c r="P666" s="297"/>
      <c r="Q666" s="297"/>
      <c r="R666" s="658"/>
      <c r="S666" s="297"/>
      <c r="AA666" s="647"/>
      <c r="AB666" s="647"/>
      <c r="AC666" s="95"/>
      <c r="AD666" s="95"/>
      <c r="AE666" s="95"/>
      <c r="AF666" s="647"/>
      <c r="AG666" s="647"/>
      <c r="AH666" s="95"/>
      <c r="AI666" s="95"/>
      <c r="AJ666" s="95"/>
      <c r="AK666" s="647"/>
      <c r="AL666" s="618"/>
      <c r="AM666" s="618"/>
    </row>
    <row r="667" spans="4:39" s="139" customFormat="1" ht="21.6" customHeight="1" x14ac:dyDescent="0.25">
      <c r="D667" s="222"/>
      <c r="E667" s="222"/>
      <c r="F667" s="633"/>
      <c r="G667" s="647"/>
      <c r="H667" s="652"/>
      <c r="I667" s="297"/>
      <c r="J667" s="657"/>
      <c r="K667" s="802"/>
      <c r="L667" s="140"/>
      <c r="M667" s="140"/>
      <c r="N667" s="140"/>
      <c r="O667" s="297"/>
      <c r="P667" s="297"/>
      <c r="Q667" s="297"/>
      <c r="R667" s="658"/>
      <c r="S667" s="297"/>
      <c r="AA667" s="647"/>
      <c r="AB667" s="647"/>
      <c r="AC667" s="95"/>
      <c r="AD667" s="95"/>
      <c r="AE667" s="95"/>
      <c r="AF667" s="647"/>
      <c r="AG667" s="647"/>
      <c r="AH667" s="95"/>
      <c r="AI667" s="95"/>
      <c r="AJ667" s="95"/>
      <c r="AK667" s="647"/>
      <c r="AL667" s="618"/>
      <c r="AM667" s="618"/>
    </row>
    <row r="668" spans="4:39" s="139" customFormat="1" ht="21.6" customHeight="1" x14ac:dyDescent="0.25">
      <c r="D668" s="222"/>
      <c r="E668" s="222"/>
      <c r="F668" s="633"/>
      <c r="G668" s="647"/>
      <c r="H668" s="652"/>
      <c r="I668" s="297"/>
      <c r="J668" s="657"/>
      <c r="K668" s="802"/>
      <c r="L668" s="140"/>
      <c r="M668" s="140"/>
      <c r="N668" s="140"/>
      <c r="O668" s="297"/>
      <c r="P668" s="297"/>
      <c r="Q668" s="297"/>
      <c r="R668" s="658"/>
      <c r="S668" s="297"/>
      <c r="AA668" s="647"/>
      <c r="AB668" s="647"/>
      <c r="AC668" s="95"/>
      <c r="AD668" s="95"/>
      <c r="AE668" s="95"/>
      <c r="AF668" s="647"/>
      <c r="AG668" s="647"/>
      <c r="AH668" s="95"/>
      <c r="AI668" s="95"/>
      <c r="AJ668" s="95"/>
      <c r="AK668" s="647"/>
      <c r="AL668" s="618"/>
      <c r="AM668" s="618"/>
    </row>
    <row r="669" spans="4:39" s="139" customFormat="1" ht="21.6" customHeight="1" x14ac:dyDescent="0.25">
      <c r="D669" s="222"/>
      <c r="E669" s="222"/>
      <c r="F669" s="633"/>
      <c r="G669" s="647"/>
      <c r="H669" s="652"/>
      <c r="I669" s="297"/>
      <c r="J669" s="657"/>
      <c r="K669" s="802"/>
      <c r="L669" s="140"/>
      <c r="M669" s="140"/>
      <c r="N669" s="140"/>
      <c r="O669" s="297"/>
      <c r="P669" s="297"/>
      <c r="Q669" s="297"/>
      <c r="R669" s="658"/>
      <c r="S669" s="297"/>
      <c r="AA669" s="647"/>
      <c r="AB669" s="647"/>
      <c r="AC669" s="95"/>
      <c r="AD669" s="95"/>
      <c r="AE669" s="95"/>
      <c r="AF669" s="647"/>
      <c r="AG669" s="647"/>
      <c r="AH669" s="95"/>
      <c r="AI669" s="95"/>
      <c r="AJ669" s="95"/>
      <c r="AK669" s="647"/>
      <c r="AL669" s="618"/>
      <c r="AM669" s="618"/>
    </row>
    <row r="670" spans="4:39" s="139" customFormat="1" ht="21.6" customHeight="1" x14ac:dyDescent="0.25">
      <c r="D670" s="222"/>
      <c r="E670" s="222"/>
      <c r="F670" s="633"/>
      <c r="G670" s="647"/>
      <c r="H670" s="652"/>
      <c r="I670" s="297"/>
      <c r="J670" s="657"/>
      <c r="K670" s="802"/>
      <c r="L670" s="140"/>
      <c r="M670" s="140"/>
      <c r="N670" s="140"/>
      <c r="O670" s="297"/>
      <c r="P670" s="297"/>
      <c r="Q670" s="297"/>
      <c r="R670" s="658"/>
      <c r="S670" s="297"/>
      <c r="AA670" s="647"/>
      <c r="AB670" s="647"/>
      <c r="AC670" s="95"/>
      <c r="AD670" s="95"/>
      <c r="AE670" s="95"/>
      <c r="AF670" s="647"/>
      <c r="AG670" s="647"/>
      <c r="AH670" s="95"/>
      <c r="AI670" s="95"/>
      <c r="AJ670" s="95"/>
      <c r="AK670" s="647"/>
      <c r="AL670" s="618"/>
      <c r="AM670" s="618"/>
    </row>
    <row r="671" spans="4:39" s="139" customFormat="1" ht="21.6" customHeight="1" x14ac:dyDescent="0.25">
      <c r="D671" s="222"/>
      <c r="E671" s="222"/>
      <c r="F671" s="633"/>
      <c r="G671" s="647"/>
      <c r="H671" s="652"/>
      <c r="I671" s="297"/>
      <c r="J671" s="657"/>
      <c r="K671" s="802"/>
      <c r="L671" s="140"/>
      <c r="M671" s="140"/>
      <c r="N671" s="140"/>
      <c r="O671" s="297"/>
      <c r="P671" s="297"/>
      <c r="Q671" s="297"/>
      <c r="R671" s="658"/>
      <c r="S671" s="297"/>
      <c r="AA671" s="647"/>
      <c r="AB671" s="647"/>
      <c r="AC671" s="95"/>
      <c r="AD671" s="95"/>
      <c r="AE671" s="95"/>
      <c r="AF671" s="647"/>
      <c r="AG671" s="647"/>
      <c r="AH671" s="95"/>
      <c r="AI671" s="95"/>
      <c r="AJ671" s="95"/>
      <c r="AK671" s="647"/>
      <c r="AL671" s="618"/>
      <c r="AM671" s="618"/>
    </row>
    <row r="672" spans="4:39" s="139" customFormat="1" ht="21.6" customHeight="1" x14ac:dyDescent="0.25">
      <c r="D672" s="222"/>
      <c r="E672" s="222"/>
      <c r="F672" s="633"/>
      <c r="G672" s="647"/>
      <c r="H672" s="652"/>
      <c r="I672" s="297"/>
      <c r="J672" s="657"/>
      <c r="K672" s="802"/>
      <c r="L672" s="140"/>
      <c r="M672" s="140"/>
      <c r="N672" s="140"/>
      <c r="O672" s="297"/>
      <c r="P672" s="297"/>
      <c r="Q672" s="297"/>
      <c r="R672" s="658"/>
      <c r="S672" s="297"/>
      <c r="AA672" s="647"/>
      <c r="AB672" s="647"/>
      <c r="AC672" s="95"/>
      <c r="AD672" s="95"/>
      <c r="AE672" s="95"/>
      <c r="AF672" s="647"/>
      <c r="AG672" s="647"/>
      <c r="AH672" s="95"/>
      <c r="AI672" s="95"/>
      <c r="AJ672" s="95"/>
      <c r="AK672" s="647"/>
      <c r="AL672" s="618"/>
      <c r="AM672" s="618"/>
    </row>
    <row r="673" spans="4:39" s="139" customFormat="1" ht="21.6" customHeight="1" x14ac:dyDescent="0.25">
      <c r="D673" s="222"/>
      <c r="E673" s="222"/>
      <c r="F673" s="633"/>
      <c r="G673" s="647"/>
      <c r="H673" s="652"/>
      <c r="I673" s="297"/>
      <c r="J673" s="657"/>
      <c r="K673" s="802"/>
      <c r="L673" s="140"/>
      <c r="M673" s="140"/>
      <c r="N673" s="140"/>
      <c r="O673" s="297"/>
      <c r="P673" s="297"/>
      <c r="Q673" s="297"/>
      <c r="R673" s="658"/>
      <c r="S673" s="297"/>
      <c r="AA673" s="647"/>
      <c r="AB673" s="647"/>
      <c r="AC673" s="95"/>
      <c r="AD673" s="95"/>
      <c r="AE673" s="95"/>
      <c r="AF673" s="647"/>
      <c r="AG673" s="647"/>
      <c r="AH673" s="95"/>
      <c r="AI673" s="95"/>
      <c r="AJ673" s="95"/>
      <c r="AK673" s="647"/>
      <c r="AL673" s="618"/>
      <c r="AM673" s="618"/>
    </row>
    <row r="674" spans="4:39" s="139" customFormat="1" ht="21.6" customHeight="1" x14ac:dyDescent="0.25">
      <c r="D674" s="222"/>
      <c r="E674" s="222"/>
      <c r="F674" s="633"/>
      <c r="G674" s="647"/>
      <c r="H674" s="652"/>
      <c r="I674" s="297"/>
      <c r="J674" s="657"/>
      <c r="K674" s="802"/>
      <c r="L674" s="140"/>
      <c r="M674" s="140"/>
      <c r="N674" s="140"/>
      <c r="O674" s="297"/>
      <c r="P674" s="297"/>
      <c r="Q674" s="297"/>
      <c r="R674" s="658"/>
      <c r="S674" s="297"/>
      <c r="AA674" s="647"/>
      <c r="AB674" s="647"/>
      <c r="AC674" s="95"/>
      <c r="AD674" s="95"/>
      <c r="AE674" s="95"/>
      <c r="AF674" s="647"/>
      <c r="AG674" s="647"/>
      <c r="AH674" s="95"/>
      <c r="AI674" s="95"/>
      <c r="AJ674" s="95"/>
      <c r="AK674" s="647"/>
      <c r="AL674" s="618"/>
      <c r="AM674" s="618"/>
    </row>
    <row r="675" spans="4:39" s="139" customFormat="1" ht="21.6" customHeight="1" x14ac:dyDescent="0.25">
      <c r="D675" s="222"/>
      <c r="E675" s="222"/>
      <c r="F675" s="633"/>
      <c r="G675" s="647"/>
      <c r="H675" s="652"/>
      <c r="I675" s="297"/>
      <c r="J675" s="657"/>
      <c r="K675" s="802"/>
      <c r="L675" s="140"/>
      <c r="M675" s="140"/>
      <c r="N675" s="140"/>
      <c r="O675" s="297"/>
      <c r="P675" s="297"/>
      <c r="Q675" s="297"/>
      <c r="R675" s="658"/>
      <c r="S675" s="297"/>
      <c r="AA675" s="647"/>
      <c r="AB675" s="647"/>
      <c r="AC675" s="95"/>
      <c r="AD675" s="95"/>
      <c r="AE675" s="95"/>
      <c r="AF675" s="647"/>
      <c r="AG675" s="647"/>
      <c r="AH675" s="95"/>
      <c r="AI675" s="95"/>
      <c r="AJ675" s="95"/>
      <c r="AK675" s="647"/>
      <c r="AL675" s="618"/>
      <c r="AM675" s="618"/>
    </row>
    <row r="676" spans="4:39" s="139" customFormat="1" ht="21.6" customHeight="1" x14ac:dyDescent="0.25">
      <c r="D676" s="222"/>
      <c r="E676" s="222"/>
      <c r="F676" s="633"/>
      <c r="G676" s="647"/>
      <c r="H676" s="652"/>
      <c r="I676" s="297"/>
      <c r="J676" s="657"/>
      <c r="K676" s="802"/>
      <c r="L676" s="140"/>
      <c r="M676" s="140"/>
      <c r="N676" s="140"/>
      <c r="O676" s="297"/>
      <c r="P676" s="297"/>
      <c r="Q676" s="297"/>
      <c r="R676" s="658"/>
      <c r="S676" s="297"/>
      <c r="AA676" s="647"/>
      <c r="AB676" s="647"/>
      <c r="AC676" s="95"/>
      <c r="AD676" s="95"/>
      <c r="AE676" s="95"/>
      <c r="AF676" s="647"/>
      <c r="AG676" s="647"/>
      <c r="AH676" s="95"/>
      <c r="AI676" s="95"/>
      <c r="AJ676" s="95"/>
      <c r="AK676" s="647"/>
      <c r="AL676" s="618"/>
      <c r="AM676" s="618"/>
    </row>
    <row r="677" spans="4:39" s="139" customFormat="1" ht="21.6" customHeight="1" x14ac:dyDescent="0.25">
      <c r="D677" s="222"/>
      <c r="E677" s="222"/>
      <c r="F677" s="633"/>
      <c r="G677" s="647"/>
      <c r="H677" s="652"/>
      <c r="I677" s="297"/>
      <c r="J677" s="657"/>
      <c r="K677" s="802"/>
      <c r="L677" s="140"/>
      <c r="M677" s="140"/>
      <c r="N677" s="140"/>
      <c r="O677" s="297"/>
      <c r="P677" s="297"/>
      <c r="Q677" s="297"/>
      <c r="R677" s="658"/>
      <c r="S677" s="297"/>
      <c r="AA677" s="647"/>
      <c r="AB677" s="647"/>
      <c r="AC677" s="95"/>
      <c r="AD677" s="95"/>
      <c r="AE677" s="95"/>
      <c r="AF677" s="647"/>
      <c r="AG677" s="647"/>
      <c r="AH677" s="95"/>
      <c r="AI677" s="95"/>
      <c r="AJ677" s="95"/>
      <c r="AK677" s="647"/>
      <c r="AL677" s="618"/>
      <c r="AM677" s="618"/>
    </row>
    <row r="678" spans="4:39" s="139" customFormat="1" ht="21.6" customHeight="1" x14ac:dyDescent="0.25">
      <c r="D678" s="222"/>
      <c r="E678" s="222"/>
      <c r="F678" s="633"/>
      <c r="G678" s="647"/>
      <c r="H678" s="652"/>
      <c r="I678" s="297"/>
      <c r="J678" s="657"/>
      <c r="K678" s="802"/>
      <c r="L678" s="140"/>
      <c r="M678" s="140"/>
      <c r="N678" s="140"/>
      <c r="O678" s="297"/>
      <c r="P678" s="297"/>
      <c r="Q678" s="297"/>
      <c r="R678" s="658"/>
      <c r="S678" s="297"/>
      <c r="AA678" s="647"/>
      <c r="AB678" s="647"/>
      <c r="AC678" s="95"/>
      <c r="AD678" s="95"/>
      <c r="AE678" s="95"/>
      <c r="AF678" s="647"/>
      <c r="AG678" s="647"/>
      <c r="AH678" s="95"/>
      <c r="AI678" s="95"/>
      <c r="AJ678" s="95"/>
      <c r="AK678" s="647"/>
      <c r="AL678" s="618"/>
      <c r="AM678" s="618"/>
    </row>
    <row r="679" spans="4:39" s="139" customFormat="1" ht="21.6" customHeight="1" x14ac:dyDescent="0.25">
      <c r="D679" s="222"/>
      <c r="E679" s="222"/>
      <c r="F679" s="633"/>
      <c r="G679" s="647"/>
      <c r="H679" s="652"/>
      <c r="I679" s="297"/>
      <c r="J679" s="657"/>
      <c r="K679" s="802"/>
      <c r="L679" s="140"/>
      <c r="M679" s="140"/>
      <c r="N679" s="140"/>
      <c r="O679" s="297"/>
      <c r="P679" s="297"/>
      <c r="Q679" s="297"/>
      <c r="R679" s="658"/>
      <c r="S679" s="297"/>
      <c r="AA679" s="647"/>
      <c r="AB679" s="647"/>
      <c r="AC679" s="95"/>
      <c r="AD679" s="95"/>
      <c r="AE679" s="95"/>
      <c r="AF679" s="647"/>
      <c r="AG679" s="647"/>
      <c r="AH679" s="95"/>
      <c r="AI679" s="95"/>
      <c r="AJ679" s="95"/>
      <c r="AK679" s="647"/>
      <c r="AL679" s="618"/>
      <c r="AM679" s="618"/>
    </row>
    <row r="680" spans="4:39" s="139" customFormat="1" ht="21.6" customHeight="1" x14ac:dyDescent="0.25">
      <c r="D680" s="222"/>
      <c r="E680" s="222"/>
      <c r="F680" s="633"/>
      <c r="G680" s="647"/>
      <c r="H680" s="652"/>
      <c r="I680" s="297"/>
      <c r="J680" s="657"/>
      <c r="K680" s="802"/>
      <c r="L680" s="140"/>
      <c r="M680" s="140"/>
      <c r="N680" s="140"/>
      <c r="O680" s="297"/>
      <c r="P680" s="297"/>
      <c r="Q680" s="297"/>
      <c r="R680" s="658"/>
      <c r="S680" s="297"/>
      <c r="AA680" s="647"/>
      <c r="AB680" s="647"/>
      <c r="AC680" s="95"/>
      <c r="AD680" s="95"/>
      <c r="AE680" s="95"/>
      <c r="AF680" s="647"/>
      <c r="AG680" s="647"/>
      <c r="AH680" s="95"/>
      <c r="AI680" s="95"/>
      <c r="AJ680" s="95"/>
      <c r="AK680" s="647"/>
      <c r="AL680" s="618"/>
      <c r="AM680" s="618"/>
    </row>
    <row r="681" spans="4:39" s="139" customFormat="1" ht="21.6" customHeight="1" x14ac:dyDescent="0.25">
      <c r="D681" s="222"/>
      <c r="E681" s="222"/>
      <c r="F681" s="633"/>
      <c r="G681" s="647"/>
      <c r="H681" s="652"/>
      <c r="I681" s="297"/>
      <c r="J681" s="657"/>
      <c r="K681" s="802"/>
      <c r="L681" s="140"/>
      <c r="M681" s="140"/>
      <c r="N681" s="140"/>
      <c r="O681" s="297"/>
      <c r="P681" s="297"/>
      <c r="Q681" s="297"/>
      <c r="R681" s="658"/>
      <c r="S681" s="297"/>
      <c r="AA681" s="647"/>
      <c r="AB681" s="647"/>
      <c r="AC681" s="95"/>
      <c r="AD681" s="95"/>
      <c r="AE681" s="95"/>
      <c r="AF681" s="647"/>
      <c r="AG681" s="647"/>
      <c r="AH681" s="95"/>
      <c r="AI681" s="95"/>
      <c r="AJ681" s="95"/>
      <c r="AK681" s="647"/>
      <c r="AL681" s="618"/>
      <c r="AM681" s="618"/>
    </row>
    <row r="682" spans="4:39" s="139" customFormat="1" ht="21.6" customHeight="1" x14ac:dyDescent="0.25">
      <c r="D682" s="222"/>
      <c r="E682" s="222"/>
      <c r="F682" s="633"/>
      <c r="G682" s="647"/>
      <c r="H682" s="652"/>
      <c r="I682" s="297"/>
      <c r="J682" s="657"/>
      <c r="K682" s="802"/>
      <c r="L682" s="140"/>
      <c r="M682" s="140"/>
      <c r="N682" s="140"/>
      <c r="O682" s="297"/>
      <c r="P682" s="297"/>
      <c r="Q682" s="297"/>
      <c r="R682" s="658"/>
      <c r="S682" s="297"/>
      <c r="AA682" s="647"/>
      <c r="AB682" s="647"/>
      <c r="AC682" s="95"/>
      <c r="AD682" s="95"/>
      <c r="AE682" s="95"/>
      <c r="AF682" s="647"/>
      <c r="AG682" s="647"/>
      <c r="AH682" s="95"/>
      <c r="AI682" s="95"/>
      <c r="AJ682" s="95"/>
      <c r="AK682" s="647"/>
      <c r="AL682" s="618"/>
      <c r="AM682" s="618"/>
    </row>
    <row r="683" spans="4:39" s="139" customFormat="1" ht="21.6" customHeight="1" x14ac:dyDescent="0.25">
      <c r="D683" s="222"/>
      <c r="E683" s="222"/>
      <c r="F683" s="633"/>
      <c r="G683" s="647"/>
      <c r="H683" s="652"/>
      <c r="I683" s="297"/>
      <c r="J683" s="657"/>
      <c r="K683" s="802"/>
      <c r="L683" s="140"/>
      <c r="M683" s="140"/>
      <c r="N683" s="140"/>
      <c r="O683" s="297"/>
      <c r="P683" s="297"/>
      <c r="Q683" s="297"/>
      <c r="R683" s="658"/>
      <c r="S683" s="297"/>
      <c r="AA683" s="647"/>
      <c r="AB683" s="647"/>
      <c r="AC683" s="95"/>
      <c r="AD683" s="95"/>
      <c r="AE683" s="95"/>
      <c r="AF683" s="647"/>
      <c r="AG683" s="647"/>
      <c r="AH683" s="95"/>
      <c r="AI683" s="95"/>
      <c r="AJ683" s="95"/>
      <c r="AK683" s="647"/>
      <c r="AL683" s="618"/>
      <c r="AM683" s="618"/>
    </row>
    <row r="684" spans="4:39" s="139" customFormat="1" ht="21.6" customHeight="1" x14ac:dyDescent="0.25">
      <c r="D684" s="222"/>
      <c r="E684" s="222"/>
      <c r="F684" s="633"/>
      <c r="G684" s="647"/>
      <c r="H684" s="652"/>
      <c r="I684" s="297"/>
      <c r="J684" s="657"/>
      <c r="K684" s="802"/>
      <c r="L684" s="140"/>
      <c r="M684" s="140"/>
      <c r="N684" s="140"/>
      <c r="O684" s="297"/>
      <c r="P684" s="297"/>
      <c r="Q684" s="297"/>
      <c r="R684" s="658"/>
      <c r="S684" s="297"/>
      <c r="AA684" s="647"/>
      <c r="AB684" s="647"/>
      <c r="AC684" s="95"/>
      <c r="AD684" s="95"/>
      <c r="AE684" s="95"/>
      <c r="AF684" s="647"/>
      <c r="AG684" s="647"/>
      <c r="AH684" s="95"/>
      <c r="AI684" s="95"/>
      <c r="AJ684" s="95"/>
      <c r="AK684" s="647"/>
      <c r="AL684" s="618"/>
      <c r="AM684" s="618"/>
    </row>
    <row r="685" spans="4:39" s="139" customFormat="1" ht="21.6" customHeight="1" x14ac:dyDescent="0.25">
      <c r="D685" s="222"/>
      <c r="E685" s="222"/>
      <c r="F685" s="633"/>
      <c r="G685" s="647"/>
      <c r="H685" s="652"/>
      <c r="I685" s="297"/>
      <c r="J685" s="657"/>
      <c r="K685" s="802"/>
      <c r="L685" s="140"/>
      <c r="M685" s="140"/>
      <c r="N685" s="140"/>
      <c r="O685" s="297"/>
      <c r="P685" s="297"/>
      <c r="Q685" s="297"/>
      <c r="R685" s="658"/>
      <c r="S685" s="297"/>
      <c r="AA685" s="647"/>
      <c r="AB685" s="647"/>
      <c r="AC685" s="95"/>
      <c r="AD685" s="95"/>
      <c r="AE685" s="95"/>
      <c r="AF685" s="647"/>
      <c r="AG685" s="647"/>
      <c r="AH685" s="95"/>
      <c r="AI685" s="95"/>
      <c r="AJ685" s="95"/>
      <c r="AK685" s="647"/>
      <c r="AL685" s="618"/>
      <c r="AM685" s="618"/>
    </row>
    <row r="686" spans="4:39" s="139" customFormat="1" ht="21.6" customHeight="1" x14ac:dyDescent="0.25">
      <c r="D686" s="222"/>
      <c r="E686" s="222"/>
      <c r="F686" s="633"/>
      <c r="G686" s="647"/>
      <c r="H686" s="652"/>
      <c r="I686" s="297"/>
      <c r="J686" s="657"/>
      <c r="K686" s="802"/>
      <c r="L686" s="140"/>
      <c r="M686" s="140"/>
      <c r="N686" s="140"/>
      <c r="O686" s="297"/>
      <c r="P686" s="297"/>
      <c r="Q686" s="297"/>
      <c r="R686" s="658"/>
      <c r="S686" s="297"/>
      <c r="AA686" s="647"/>
      <c r="AB686" s="647"/>
      <c r="AC686" s="95"/>
      <c r="AD686" s="95"/>
      <c r="AE686" s="95"/>
      <c r="AF686" s="647"/>
      <c r="AG686" s="647"/>
      <c r="AH686" s="95"/>
      <c r="AI686" s="95"/>
      <c r="AJ686" s="95"/>
      <c r="AK686" s="647"/>
      <c r="AL686" s="618"/>
      <c r="AM686" s="618"/>
    </row>
    <row r="687" spans="4:39" s="139" customFormat="1" ht="21.6" customHeight="1" x14ac:dyDescent="0.25">
      <c r="D687" s="222"/>
      <c r="E687" s="222"/>
      <c r="F687" s="633"/>
      <c r="G687" s="647"/>
      <c r="H687" s="652"/>
      <c r="I687" s="297"/>
      <c r="J687" s="657"/>
      <c r="K687" s="802"/>
      <c r="L687" s="140"/>
      <c r="M687" s="140"/>
      <c r="N687" s="140"/>
      <c r="O687" s="297"/>
      <c r="P687" s="297"/>
      <c r="Q687" s="297"/>
      <c r="R687" s="658"/>
      <c r="S687" s="297"/>
      <c r="AA687" s="647"/>
      <c r="AB687" s="647"/>
      <c r="AC687" s="95"/>
      <c r="AD687" s="95"/>
      <c r="AE687" s="95"/>
      <c r="AF687" s="647"/>
      <c r="AG687" s="647"/>
      <c r="AH687" s="95"/>
      <c r="AI687" s="95"/>
      <c r="AJ687" s="95"/>
      <c r="AK687" s="647"/>
      <c r="AL687" s="618"/>
      <c r="AM687" s="618"/>
    </row>
    <row r="688" spans="4:39" s="139" customFormat="1" ht="21.6" customHeight="1" x14ac:dyDescent="0.25">
      <c r="D688" s="222"/>
      <c r="E688" s="222"/>
      <c r="F688" s="633"/>
      <c r="G688" s="647"/>
      <c r="H688" s="652"/>
      <c r="I688" s="297"/>
      <c r="J688" s="657"/>
      <c r="K688" s="802"/>
      <c r="L688" s="140"/>
      <c r="M688" s="140"/>
      <c r="N688" s="140"/>
      <c r="O688" s="297"/>
      <c r="P688" s="297"/>
      <c r="Q688" s="297"/>
      <c r="R688" s="658"/>
      <c r="S688" s="297"/>
      <c r="AA688" s="647"/>
      <c r="AB688" s="647"/>
      <c r="AC688" s="95"/>
      <c r="AD688" s="95"/>
      <c r="AE688" s="95"/>
      <c r="AF688" s="647"/>
      <c r="AG688" s="647"/>
      <c r="AH688" s="95"/>
      <c r="AI688" s="95"/>
      <c r="AJ688" s="95"/>
      <c r="AK688" s="647"/>
      <c r="AL688" s="618"/>
      <c r="AM688" s="618"/>
    </row>
    <row r="689" spans="4:39" s="139" customFormat="1" ht="21.6" customHeight="1" x14ac:dyDescent="0.25">
      <c r="D689" s="222"/>
      <c r="E689" s="222"/>
      <c r="F689" s="633"/>
      <c r="G689" s="647"/>
      <c r="H689" s="652"/>
      <c r="I689" s="297"/>
      <c r="J689" s="657"/>
      <c r="K689" s="802"/>
      <c r="L689" s="140"/>
      <c r="M689" s="140"/>
      <c r="N689" s="140"/>
      <c r="O689" s="297"/>
      <c r="P689" s="297"/>
      <c r="Q689" s="297"/>
      <c r="R689" s="658"/>
      <c r="S689" s="297"/>
      <c r="AA689" s="647"/>
      <c r="AB689" s="647"/>
      <c r="AC689" s="95"/>
      <c r="AD689" s="95"/>
      <c r="AE689" s="95"/>
      <c r="AF689" s="647"/>
      <c r="AG689" s="647"/>
      <c r="AH689" s="95"/>
      <c r="AI689" s="95"/>
      <c r="AJ689" s="95"/>
      <c r="AK689" s="647"/>
      <c r="AL689" s="618"/>
      <c r="AM689" s="618"/>
    </row>
    <row r="690" spans="4:39" s="139" customFormat="1" ht="21.6" customHeight="1" x14ac:dyDescent="0.25">
      <c r="D690" s="222"/>
      <c r="E690" s="222"/>
      <c r="F690" s="633"/>
      <c r="G690" s="647"/>
      <c r="H690" s="652"/>
      <c r="I690" s="297"/>
      <c r="J690" s="657"/>
      <c r="K690" s="802"/>
      <c r="L690" s="140"/>
      <c r="M690" s="140"/>
      <c r="N690" s="140"/>
      <c r="O690" s="297"/>
      <c r="P690" s="297"/>
      <c r="Q690" s="297"/>
      <c r="R690" s="658"/>
      <c r="S690" s="297"/>
      <c r="AA690" s="647"/>
      <c r="AB690" s="647"/>
      <c r="AC690" s="95"/>
      <c r="AD690" s="95"/>
      <c r="AE690" s="95"/>
      <c r="AF690" s="647"/>
      <c r="AG690" s="647"/>
      <c r="AH690" s="95"/>
      <c r="AI690" s="95"/>
      <c r="AJ690" s="95"/>
      <c r="AK690" s="647"/>
      <c r="AL690" s="618"/>
      <c r="AM690" s="618"/>
    </row>
    <row r="691" spans="4:39" s="139" customFormat="1" ht="21.6" customHeight="1" x14ac:dyDescent="0.25">
      <c r="D691" s="222"/>
      <c r="E691" s="222"/>
      <c r="F691" s="633"/>
      <c r="G691" s="647"/>
      <c r="H691" s="652"/>
      <c r="I691" s="297"/>
      <c r="J691" s="657"/>
      <c r="K691" s="802"/>
      <c r="L691" s="140"/>
      <c r="M691" s="140"/>
      <c r="N691" s="140"/>
      <c r="O691" s="297"/>
      <c r="P691" s="297"/>
      <c r="Q691" s="297"/>
      <c r="R691" s="658"/>
      <c r="S691" s="297"/>
      <c r="AA691" s="647"/>
      <c r="AB691" s="647"/>
      <c r="AC691" s="95"/>
      <c r="AD691" s="95"/>
      <c r="AE691" s="95"/>
      <c r="AF691" s="647"/>
      <c r="AG691" s="647"/>
      <c r="AH691" s="95"/>
      <c r="AI691" s="95"/>
      <c r="AJ691" s="95"/>
      <c r="AK691" s="647"/>
      <c r="AL691" s="618"/>
      <c r="AM691" s="618"/>
    </row>
    <row r="692" spans="4:39" s="139" customFormat="1" ht="21.6" customHeight="1" x14ac:dyDescent="0.25">
      <c r="D692" s="222"/>
      <c r="E692" s="222"/>
      <c r="F692" s="633"/>
      <c r="G692" s="647"/>
      <c r="H692" s="652"/>
      <c r="I692" s="297"/>
      <c r="J692" s="657"/>
      <c r="K692" s="802"/>
      <c r="L692" s="140"/>
      <c r="M692" s="140"/>
      <c r="N692" s="140"/>
      <c r="O692" s="297"/>
      <c r="P692" s="297"/>
      <c r="Q692" s="297"/>
      <c r="R692" s="658"/>
      <c r="S692" s="297"/>
      <c r="AA692" s="647"/>
      <c r="AB692" s="647"/>
      <c r="AC692" s="95"/>
      <c r="AD692" s="95"/>
      <c r="AE692" s="95"/>
      <c r="AF692" s="647"/>
      <c r="AG692" s="647"/>
      <c r="AH692" s="95"/>
      <c r="AI692" s="95"/>
      <c r="AJ692" s="95"/>
      <c r="AK692" s="647"/>
      <c r="AL692" s="618"/>
      <c r="AM692" s="618"/>
    </row>
    <row r="693" spans="4:39" s="139" customFormat="1" ht="21.6" customHeight="1" x14ac:dyDescent="0.25">
      <c r="D693" s="222"/>
      <c r="E693" s="222"/>
      <c r="F693" s="633"/>
      <c r="G693" s="647"/>
      <c r="H693" s="652"/>
      <c r="I693" s="297"/>
      <c r="J693" s="657"/>
      <c r="K693" s="802"/>
      <c r="L693" s="140"/>
      <c r="M693" s="140"/>
      <c r="N693" s="140"/>
      <c r="O693" s="297"/>
      <c r="P693" s="297"/>
      <c r="Q693" s="297"/>
      <c r="R693" s="658"/>
      <c r="S693" s="297"/>
      <c r="AA693" s="647"/>
      <c r="AB693" s="647"/>
      <c r="AC693" s="95"/>
      <c r="AD693" s="95"/>
      <c r="AE693" s="95"/>
      <c r="AF693" s="647"/>
      <c r="AG693" s="647"/>
      <c r="AH693" s="95"/>
      <c r="AI693" s="95"/>
      <c r="AJ693" s="95"/>
      <c r="AK693" s="647"/>
      <c r="AL693" s="618"/>
      <c r="AM693" s="618"/>
    </row>
    <row r="694" spans="4:39" s="139" customFormat="1" ht="21.6" customHeight="1" x14ac:dyDescent="0.25">
      <c r="D694" s="222"/>
      <c r="E694" s="222"/>
      <c r="F694" s="633"/>
      <c r="G694" s="647"/>
      <c r="H694" s="652"/>
      <c r="I694" s="297"/>
      <c r="J694" s="657"/>
      <c r="K694" s="802"/>
      <c r="L694" s="140"/>
      <c r="M694" s="140"/>
      <c r="N694" s="140"/>
      <c r="O694" s="297"/>
      <c r="P694" s="297"/>
      <c r="Q694" s="297"/>
      <c r="R694" s="658"/>
      <c r="S694" s="297"/>
      <c r="AA694" s="647"/>
      <c r="AB694" s="647"/>
      <c r="AC694" s="95"/>
      <c r="AD694" s="95"/>
      <c r="AE694" s="95"/>
      <c r="AF694" s="647"/>
      <c r="AG694" s="647"/>
      <c r="AH694" s="95"/>
      <c r="AI694" s="95"/>
      <c r="AJ694" s="95"/>
      <c r="AK694" s="647"/>
      <c r="AL694" s="618"/>
      <c r="AM694" s="618"/>
    </row>
    <row r="695" spans="4:39" s="139" customFormat="1" ht="21.6" customHeight="1" x14ac:dyDescent="0.25">
      <c r="D695" s="222"/>
      <c r="E695" s="222"/>
      <c r="F695" s="633"/>
      <c r="G695" s="647"/>
      <c r="H695" s="652"/>
      <c r="I695" s="297"/>
      <c r="J695" s="657"/>
      <c r="K695" s="802"/>
      <c r="L695" s="140"/>
      <c r="M695" s="140"/>
      <c r="N695" s="140"/>
      <c r="O695" s="297"/>
      <c r="P695" s="297"/>
      <c r="Q695" s="297"/>
      <c r="R695" s="658"/>
      <c r="S695" s="297"/>
      <c r="AA695" s="647"/>
      <c r="AB695" s="647"/>
      <c r="AC695" s="95"/>
      <c r="AD695" s="95"/>
      <c r="AE695" s="95"/>
      <c r="AF695" s="647"/>
      <c r="AG695" s="647"/>
      <c r="AH695" s="95"/>
      <c r="AI695" s="95"/>
      <c r="AJ695" s="95"/>
      <c r="AK695" s="647"/>
      <c r="AL695" s="618"/>
      <c r="AM695" s="618"/>
    </row>
    <row r="696" spans="4:39" s="139" customFormat="1" ht="21.6" customHeight="1" x14ac:dyDescent="0.25">
      <c r="D696" s="222"/>
      <c r="E696" s="222"/>
      <c r="F696" s="633"/>
      <c r="G696" s="647"/>
      <c r="H696" s="652"/>
      <c r="I696" s="297"/>
      <c r="J696" s="657"/>
      <c r="K696" s="802"/>
      <c r="L696" s="140"/>
      <c r="M696" s="140"/>
      <c r="N696" s="140"/>
      <c r="O696" s="297"/>
      <c r="P696" s="297"/>
      <c r="Q696" s="297"/>
      <c r="R696" s="658"/>
      <c r="S696" s="297"/>
      <c r="AA696" s="647"/>
      <c r="AB696" s="647"/>
      <c r="AC696" s="95"/>
      <c r="AD696" s="95"/>
      <c r="AE696" s="95"/>
      <c r="AF696" s="647"/>
      <c r="AG696" s="647"/>
      <c r="AH696" s="95"/>
      <c r="AI696" s="95"/>
      <c r="AJ696" s="95"/>
      <c r="AK696" s="647"/>
      <c r="AL696" s="618"/>
      <c r="AM696" s="618"/>
    </row>
    <row r="697" spans="4:39" s="139" customFormat="1" ht="21.6" customHeight="1" x14ac:dyDescent="0.25">
      <c r="D697" s="222"/>
      <c r="E697" s="222"/>
      <c r="F697" s="633"/>
      <c r="G697" s="647"/>
      <c r="H697" s="652"/>
      <c r="I697" s="297"/>
      <c r="J697" s="657"/>
      <c r="K697" s="802"/>
      <c r="L697" s="140"/>
      <c r="M697" s="140"/>
      <c r="N697" s="140"/>
      <c r="O697" s="297"/>
      <c r="P697" s="297"/>
      <c r="Q697" s="297"/>
      <c r="R697" s="658"/>
      <c r="S697" s="297"/>
      <c r="AA697" s="647"/>
      <c r="AB697" s="647"/>
      <c r="AC697" s="95"/>
      <c r="AD697" s="95"/>
      <c r="AE697" s="95"/>
      <c r="AF697" s="647"/>
      <c r="AG697" s="647"/>
      <c r="AH697" s="95"/>
      <c r="AI697" s="95"/>
      <c r="AJ697" s="95"/>
      <c r="AK697" s="647"/>
      <c r="AL697" s="618"/>
      <c r="AM697" s="618"/>
    </row>
    <row r="698" spans="4:39" s="139" customFormat="1" ht="21.6" customHeight="1" x14ac:dyDescent="0.25">
      <c r="D698" s="222"/>
      <c r="E698" s="222"/>
      <c r="F698" s="633"/>
      <c r="G698" s="647"/>
      <c r="H698" s="652"/>
      <c r="I698" s="297"/>
      <c r="J698" s="657"/>
      <c r="K698" s="802"/>
      <c r="L698" s="140"/>
      <c r="M698" s="140"/>
      <c r="N698" s="140"/>
      <c r="O698" s="297"/>
      <c r="P698" s="297"/>
      <c r="Q698" s="297"/>
      <c r="R698" s="658"/>
      <c r="S698" s="297"/>
      <c r="AA698" s="647"/>
      <c r="AB698" s="647"/>
      <c r="AC698" s="95"/>
      <c r="AD698" s="95"/>
      <c r="AE698" s="95"/>
      <c r="AF698" s="647"/>
      <c r="AG698" s="647"/>
      <c r="AH698" s="95"/>
      <c r="AI698" s="95"/>
      <c r="AJ698" s="95"/>
      <c r="AK698" s="647"/>
      <c r="AL698" s="618"/>
      <c r="AM698" s="618"/>
    </row>
    <row r="699" spans="4:39" s="139" customFormat="1" ht="21.6" customHeight="1" x14ac:dyDescent="0.25">
      <c r="D699" s="222"/>
      <c r="E699" s="222"/>
      <c r="F699" s="633"/>
      <c r="G699" s="647"/>
      <c r="H699" s="652"/>
      <c r="I699" s="297"/>
      <c r="J699" s="657"/>
      <c r="K699" s="802"/>
      <c r="L699" s="140"/>
      <c r="M699" s="140"/>
      <c r="N699" s="140"/>
      <c r="O699" s="297"/>
      <c r="P699" s="297"/>
      <c r="Q699" s="297"/>
      <c r="R699" s="658"/>
      <c r="S699" s="297"/>
      <c r="AA699" s="647"/>
      <c r="AB699" s="647"/>
      <c r="AC699" s="95"/>
      <c r="AD699" s="95"/>
      <c r="AE699" s="95"/>
      <c r="AF699" s="647"/>
      <c r="AG699" s="647"/>
      <c r="AH699" s="95"/>
      <c r="AI699" s="95"/>
      <c r="AJ699" s="95"/>
      <c r="AK699" s="647"/>
      <c r="AL699" s="618"/>
      <c r="AM699" s="618"/>
    </row>
    <row r="700" spans="4:39" s="139" customFormat="1" ht="21.6" customHeight="1" x14ac:dyDescent="0.25">
      <c r="D700" s="222"/>
      <c r="E700" s="222"/>
      <c r="F700" s="633"/>
      <c r="G700" s="647"/>
      <c r="H700" s="652"/>
      <c r="I700" s="297"/>
      <c r="J700" s="657"/>
      <c r="K700" s="802"/>
      <c r="L700" s="140"/>
      <c r="M700" s="140"/>
      <c r="N700" s="140"/>
      <c r="O700" s="297"/>
      <c r="P700" s="297"/>
      <c r="Q700" s="297"/>
      <c r="R700" s="658"/>
      <c r="S700" s="297"/>
      <c r="AA700" s="647"/>
      <c r="AB700" s="647"/>
      <c r="AC700" s="95"/>
      <c r="AD700" s="95"/>
      <c r="AE700" s="95"/>
      <c r="AF700" s="647"/>
      <c r="AG700" s="647"/>
      <c r="AH700" s="95"/>
      <c r="AI700" s="95"/>
      <c r="AJ700" s="95"/>
      <c r="AK700" s="647"/>
      <c r="AL700" s="618"/>
      <c r="AM700" s="618"/>
    </row>
    <row r="701" spans="4:39" s="139" customFormat="1" ht="21.6" customHeight="1" x14ac:dyDescent="0.25">
      <c r="D701" s="222"/>
      <c r="E701" s="222"/>
      <c r="F701" s="633"/>
      <c r="G701" s="647"/>
      <c r="H701" s="652"/>
      <c r="I701" s="297"/>
      <c r="J701" s="657"/>
      <c r="K701" s="802"/>
      <c r="L701" s="140"/>
      <c r="M701" s="140"/>
      <c r="N701" s="140"/>
      <c r="O701" s="297"/>
      <c r="P701" s="297"/>
      <c r="Q701" s="297"/>
      <c r="R701" s="658"/>
      <c r="S701" s="297"/>
      <c r="AA701" s="647"/>
      <c r="AB701" s="647"/>
      <c r="AC701" s="95"/>
      <c r="AD701" s="95"/>
      <c r="AE701" s="95"/>
      <c r="AF701" s="647"/>
      <c r="AG701" s="647"/>
      <c r="AH701" s="95"/>
      <c r="AI701" s="95"/>
      <c r="AJ701" s="95"/>
      <c r="AK701" s="647"/>
      <c r="AL701" s="618"/>
      <c r="AM701" s="618"/>
    </row>
    <row r="702" spans="4:39" s="139" customFormat="1" ht="21.6" customHeight="1" x14ac:dyDescent="0.25">
      <c r="D702" s="222"/>
      <c r="E702" s="222"/>
      <c r="F702" s="633"/>
      <c r="G702" s="647"/>
      <c r="H702" s="652"/>
      <c r="I702" s="297"/>
      <c r="J702" s="657"/>
      <c r="K702" s="802"/>
      <c r="L702" s="140"/>
      <c r="M702" s="140"/>
      <c r="N702" s="140"/>
      <c r="O702" s="297"/>
      <c r="P702" s="297"/>
      <c r="Q702" s="297"/>
      <c r="R702" s="658"/>
      <c r="S702" s="297"/>
      <c r="AA702" s="647"/>
      <c r="AB702" s="647"/>
      <c r="AC702" s="95"/>
      <c r="AD702" s="95"/>
      <c r="AE702" s="95"/>
      <c r="AF702" s="647"/>
      <c r="AG702" s="647"/>
      <c r="AH702" s="95"/>
      <c r="AI702" s="95"/>
      <c r="AJ702" s="95"/>
      <c r="AK702" s="647"/>
      <c r="AL702" s="618"/>
      <c r="AM702" s="618"/>
    </row>
    <row r="703" spans="4:39" s="139" customFormat="1" ht="21.6" customHeight="1" x14ac:dyDescent="0.25">
      <c r="D703" s="222"/>
      <c r="E703" s="222"/>
      <c r="F703" s="633"/>
      <c r="G703" s="647"/>
      <c r="H703" s="652"/>
      <c r="I703" s="297"/>
      <c r="J703" s="657"/>
      <c r="K703" s="802"/>
      <c r="L703" s="140"/>
      <c r="M703" s="140"/>
      <c r="N703" s="140"/>
      <c r="O703" s="297"/>
      <c r="P703" s="297"/>
      <c r="Q703" s="297"/>
      <c r="R703" s="658"/>
      <c r="S703" s="297"/>
      <c r="AA703" s="647"/>
      <c r="AB703" s="647"/>
      <c r="AC703" s="95"/>
      <c r="AD703" s="95"/>
      <c r="AE703" s="95"/>
      <c r="AF703" s="647"/>
      <c r="AG703" s="647"/>
      <c r="AH703" s="95"/>
      <c r="AI703" s="95"/>
      <c r="AJ703" s="95"/>
      <c r="AK703" s="647"/>
      <c r="AL703" s="618"/>
      <c r="AM703" s="618"/>
    </row>
    <row r="704" spans="4:39" s="139" customFormat="1" ht="21.6" customHeight="1" x14ac:dyDescent="0.25">
      <c r="D704" s="222"/>
      <c r="E704" s="222"/>
      <c r="F704" s="633"/>
      <c r="G704" s="647"/>
      <c r="H704" s="652"/>
      <c r="I704" s="297"/>
      <c r="J704" s="657"/>
      <c r="K704" s="802"/>
      <c r="L704" s="140"/>
      <c r="M704" s="140"/>
      <c r="N704" s="140"/>
      <c r="O704" s="297"/>
      <c r="P704" s="297"/>
      <c r="Q704" s="297"/>
      <c r="R704" s="658"/>
      <c r="S704" s="297"/>
      <c r="AA704" s="647"/>
      <c r="AB704" s="647"/>
      <c r="AC704" s="95"/>
      <c r="AD704" s="95"/>
      <c r="AE704" s="95"/>
      <c r="AF704" s="647"/>
      <c r="AG704" s="647"/>
      <c r="AH704" s="95"/>
      <c r="AI704" s="95"/>
      <c r="AJ704" s="95"/>
      <c r="AK704" s="647"/>
      <c r="AL704" s="618"/>
      <c r="AM704" s="618"/>
    </row>
    <row r="705" spans="4:39" s="139" customFormat="1" ht="21.6" customHeight="1" x14ac:dyDescent="0.25">
      <c r="D705" s="222"/>
      <c r="E705" s="222"/>
      <c r="F705" s="633"/>
      <c r="G705" s="647"/>
      <c r="H705" s="652"/>
      <c r="I705" s="297"/>
      <c r="J705" s="657"/>
      <c r="K705" s="802"/>
      <c r="L705" s="140"/>
      <c r="M705" s="140"/>
      <c r="N705" s="140"/>
      <c r="O705" s="297"/>
      <c r="P705" s="297"/>
      <c r="Q705" s="297"/>
      <c r="R705" s="658"/>
      <c r="S705" s="297"/>
      <c r="AA705" s="647"/>
      <c r="AB705" s="647"/>
      <c r="AC705" s="95"/>
      <c r="AD705" s="95"/>
      <c r="AE705" s="95"/>
      <c r="AF705" s="647"/>
      <c r="AG705" s="647"/>
      <c r="AH705" s="95"/>
      <c r="AI705" s="95"/>
      <c r="AJ705" s="95"/>
      <c r="AK705" s="647"/>
      <c r="AL705" s="618"/>
      <c r="AM705" s="618"/>
    </row>
    <row r="706" spans="4:39" s="139" customFormat="1" ht="21.6" customHeight="1" x14ac:dyDescent="0.25">
      <c r="D706" s="222"/>
      <c r="E706" s="222"/>
      <c r="F706" s="633"/>
      <c r="G706" s="647"/>
      <c r="H706" s="652"/>
      <c r="I706" s="297"/>
      <c r="J706" s="657"/>
      <c r="K706" s="802"/>
      <c r="L706" s="140"/>
      <c r="M706" s="140"/>
      <c r="N706" s="140"/>
      <c r="O706" s="297"/>
      <c r="P706" s="297"/>
      <c r="Q706" s="297"/>
      <c r="R706" s="658"/>
      <c r="S706" s="297"/>
      <c r="AA706" s="647"/>
      <c r="AB706" s="647"/>
      <c r="AC706" s="95"/>
      <c r="AD706" s="95"/>
      <c r="AE706" s="95"/>
      <c r="AF706" s="647"/>
      <c r="AG706" s="647"/>
      <c r="AH706" s="95"/>
      <c r="AI706" s="95"/>
      <c r="AJ706" s="95"/>
      <c r="AK706" s="647"/>
      <c r="AL706" s="618"/>
      <c r="AM706" s="618"/>
    </row>
    <row r="707" spans="4:39" s="139" customFormat="1" ht="21.6" customHeight="1" x14ac:dyDescent="0.25">
      <c r="D707" s="222"/>
      <c r="E707" s="222"/>
      <c r="F707" s="633"/>
      <c r="G707" s="647"/>
      <c r="H707" s="652"/>
      <c r="I707" s="297"/>
      <c r="J707" s="657"/>
      <c r="K707" s="802"/>
      <c r="L707" s="140"/>
      <c r="M707" s="140"/>
      <c r="N707" s="140"/>
      <c r="O707" s="297"/>
      <c r="P707" s="297"/>
      <c r="Q707" s="297"/>
      <c r="R707" s="658"/>
      <c r="S707" s="297"/>
      <c r="AA707" s="647"/>
      <c r="AB707" s="647"/>
      <c r="AC707" s="95"/>
      <c r="AD707" s="95"/>
      <c r="AE707" s="95"/>
      <c r="AF707" s="647"/>
      <c r="AG707" s="647"/>
      <c r="AH707" s="95"/>
      <c r="AI707" s="95"/>
      <c r="AJ707" s="95"/>
      <c r="AK707" s="647"/>
      <c r="AL707" s="618"/>
      <c r="AM707" s="618"/>
    </row>
    <row r="708" spans="4:39" s="139" customFormat="1" ht="21.6" customHeight="1" x14ac:dyDescent="0.25">
      <c r="D708" s="222"/>
      <c r="E708" s="222"/>
      <c r="F708" s="633"/>
      <c r="G708" s="647"/>
      <c r="H708" s="652"/>
      <c r="I708" s="297"/>
      <c r="J708" s="657"/>
      <c r="K708" s="802"/>
      <c r="L708" s="140"/>
      <c r="M708" s="140"/>
      <c r="N708" s="140"/>
      <c r="O708" s="297"/>
      <c r="P708" s="297"/>
      <c r="Q708" s="297"/>
      <c r="R708" s="658"/>
      <c r="S708" s="297"/>
      <c r="AA708" s="647"/>
      <c r="AB708" s="647"/>
      <c r="AC708" s="95"/>
      <c r="AD708" s="95"/>
      <c r="AE708" s="95"/>
      <c r="AF708" s="647"/>
      <c r="AG708" s="647"/>
      <c r="AH708" s="95"/>
      <c r="AI708" s="95"/>
      <c r="AJ708" s="95"/>
      <c r="AK708" s="647"/>
      <c r="AL708" s="618"/>
      <c r="AM708" s="618"/>
    </row>
    <row r="709" spans="4:39" s="139" customFormat="1" ht="21.6" customHeight="1" x14ac:dyDescent="0.25">
      <c r="D709" s="222"/>
      <c r="E709" s="222"/>
      <c r="F709" s="633"/>
      <c r="G709" s="647"/>
      <c r="H709" s="652"/>
      <c r="I709" s="297"/>
      <c r="J709" s="657"/>
      <c r="K709" s="802"/>
      <c r="L709" s="140"/>
      <c r="M709" s="140"/>
      <c r="N709" s="140"/>
      <c r="O709" s="297"/>
      <c r="P709" s="297"/>
      <c r="Q709" s="297"/>
      <c r="R709" s="658"/>
      <c r="S709" s="297"/>
      <c r="AA709" s="647"/>
      <c r="AB709" s="647"/>
      <c r="AC709" s="95"/>
      <c r="AD709" s="95"/>
      <c r="AE709" s="95"/>
      <c r="AF709" s="647"/>
      <c r="AG709" s="647"/>
      <c r="AH709" s="95"/>
      <c r="AI709" s="95"/>
      <c r="AJ709" s="95"/>
      <c r="AK709" s="647"/>
      <c r="AL709" s="618"/>
      <c r="AM709" s="618"/>
    </row>
    <row r="710" spans="4:39" s="139" customFormat="1" ht="21.6" customHeight="1" x14ac:dyDescent="0.25">
      <c r="D710" s="222"/>
      <c r="E710" s="222"/>
      <c r="F710" s="633"/>
      <c r="G710" s="647"/>
      <c r="H710" s="652"/>
      <c r="I710" s="297"/>
      <c r="J710" s="657"/>
      <c r="K710" s="802"/>
      <c r="L710" s="140"/>
      <c r="M710" s="140"/>
      <c r="N710" s="140"/>
      <c r="O710" s="297"/>
      <c r="P710" s="297"/>
      <c r="Q710" s="297"/>
      <c r="R710" s="658"/>
      <c r="S710" s="297"/>
      <c r="AA710" s="647"/>
      <c r="AB710" s="647"/>
      <c r="AC710" s="95"/>
      <c r="AD710" s="95"/>
      <c r="AE710" s="95"/>
      <c r="AF710" s="647"/>
      <c r="AG710" s="647"/>
      <c r="AH710" s="95"/>
      <c r="AI710" s="95"/>
      <c r="AJ710" s="95"/>
      <c r="AK710" s="647"/>
      <c r="AL710" s="618"/>
      <c r="AM710" s="618"/>
    </row>
    <row r="711" spans="4:39" s="139" customFormat="1" ht="21.6" customHeight="1" x14ac:dyDescent="0.25">
      <c r="D711" s="222"/>
      <c r="E711" s="222"/>
      <c r="F711" s="633"/>
      <c r="G711" s="647"/>
      <c r="H711" s="652"/>
      <c r="I711" s="297"/>
      <c r="J711" s="657"/>
      <c r="K711" s="802"/>
      <c r="L711" s="140"/>
      <c r="M711" s="140"/>
      <c r="N711" s="140"/>
      <c r="O711" s="297"/>
      <c r="P711" s="297"/>
      <c r="Q711" s="297"/>
      <c r="R711" s="658"/>
      <c r="S711" s="297"/>
      <c r="AA711" s="647"/>
      <c r="AB711" s="647"/>
      <c r="AC711" s="95"/>
      <c r="AD711" s="95"/>
      <c r="AE711" s="95"/>
      <c r="AF711" s="647"/>
      <c r="AG711" s="647"/>
      <c r="AH711" s="95"/>
      <c r="AI711" s="95"/>
      <c r="AJ711" s="95"/>
      <c r="AK711" s="647"/>
      <c r="AL711" s="618"/>
      <c r="AM711" s="618"/>
    </row>
    <row r="712" spans="4:39" s="139" customFormat="1" ht="21.6" customHeight="1" x14ac:dyDescent="0.25">
      <c r="D712" s="222"/>
      <c r="E712" s="222"/>
      <c r="F712" s="633"/>
      <c r="G712" s="647"/>
      <c r="H712" s="652"/>
      <c r="I712" s="297"/>
      <c r="J712" s="657"/>
      <c r="K712" s="802"/>
      <c r="L712" s="140"/>
      <c r="M712" s="140"/>
      <c r="N712" s="140"/>
      <c r="O712" s="297"/>
      <c r="P712" s="297"/>
      <c r="Q712" s="297"/>
      <c r="R712" s="658"/>
      <c r="S712" s="297"/>
      <c r="AA712" s="647"/>
      <c r="AB712" s="647"/>
      <c r="AC712" s="95"/>
      <c r="AD712" s="95"/>
      <c r="AE712" s="95"/>
      <c r="AF712" s="647"/>
      <c r="AG712" s="647"/>
      <c r="AH712" s="95"/>
      <c r="AI712" s="95"/>
      <c r="AJ712" s="95"/>
      <c r="AK712" s="647"/>
      <c r="AL712" s="618"/>
      <c r="AM712" s="618"/>
    </row>
    <row r="713" spans="4:39" s="139" customFormat="1" ht="21.6" customHeight="1" x14ac:dyDescent="0.25">
      <c r="D713" s="222"/>
      <c r="E713" s="222"/>
      <c r="F713" s="633"/>
      <c r="G713" s="647"/>
      <c r="H713" s="652"/>
      <c r="I713" s="297"/>
      <c r="J713" s="657"/>
      <c r="K713" s="802"/>
      <c r="L713" s="140"/>
      <c r="M713" s="140"/>
      <c r="N713" s="140"/>
      <c r="O713" s="297"/>
      <c r="P713" s="297"/>
      <c r="Q713" s="297"/>
      <c r="R713" s="658"/>
      <c r="S713" s="297"/>
      <c r="AA713" s="647"/>
      <c r="AB713" s="647"/>
      <c r="AC713" s="95"/>
      <c r="AD713" s="95"/>
      <c r="AE713" s="95"/>
      <c r="AF713" s="647"/>
      <c r="AG713" s="647"/>
      <c r="AH713" s="95"/>
      <c r="AI713" s="95"/>
      <c r="AJ713" s="95"/>
      <c r="AK713" s="647"/>
      <c r="AL713" s="618"/>
      <c r="AM713" s="618"/>
    </row>
    <row r="714" spans="4:39" s="139" customFormat="1" ht="21.6" customHeight="1" x14ac:dyDescent="0.25">
      <c r="D714" s="222"/>
      <c r="E714" s="222"/>
      <c r="F714" s="633"/>
      <c r="G714" s="647"/>
      <c r="H714" s="652"/>
      <c r="I714" s="297"/>
      <c r="J714" s="657"/>
      <c r="K714" s="802"/>
      <c r="L714" s="140"/>
      <c r="M714" s="140"/>
      <c r="N714" s="140"/>
      <c r="O714" s="297"/>
      <c r="P714" s="297"/>
      <c r="Q714" s="297"/>
      <c r="R714" s="658"/>
      <c r="S714" s="297"/>
      <c r="AA714" s="647"/>
      <c r="AB714" s="647"/>
      <c r="AC714" s="95"/>
      <c r="AD714" s="95"/>
      <c r="AE714" s="95"/>
      <c r="AF714" s="647"/>
      <c r="AG714" s="647"/>
      <c r="AH714" s="95"/>
      <c r="AI714" s="95"/>
      <c r="AJ714" s="95"/>
      <c r="AK714" s="647"/>
      <c r="AL714" s="618"/>
      <c r="AM714" s="618"/>
    </row>
    <row r="715" spans="4:39" s="139" customFormat="1" ht="21.6" customHeight="1" x14ac:dyDescent="0.25">
      <c r="D715" s="222"/>
      <c r="E715" s="222"/>
      <c r="F715" s="633"/>
      <c r="G715" s="647"/>
      <c r="H715" s="652"/>
      <c r="I715" s="297"/>
      <c r="J715" s="657"/>
      <c r="K715" s="802"/>
      <c r="L715" s="140"/>
      <c r="M715" s="140"/>
      <c r="N715" s="140"/>
      <c r="O715" s="297"/>
      <c r="P715" s="297"/>
      <c r="Q715" s="297"/>
      <c r="R715" s="658"/>
      <c r="S715" s="297"/>
      <c r="AA715" s="647"/>
      <c r="AB715" s="647"/>
      <c r="AC715" s="95"/>
      <c r="AD715" s="95"/>
      <c r="AE715" s="95"/>
      <c r="AF715" s="647"/>
      <c r="AG715" s="647"/>
      <c r="AH715" s="95"/>
      <c r="AI715" s="95"/>
      <c r="AJ715" s="95"/>
      <c r="AK715" s="647"/>
      <c r="AL715" s="618"/>
      <c r="AM715" s="618"/>
    </row>
    <row r="716" spans="4:39" s="139" customFormat="1" ht="21.6" customHeight="1" x14ac:dyDescent="0.25">
      <c r="D716" s="222"/>
      <c r="E716" s="222"/>
      <c r="F716" s="633"/>
      <c r="G716" s="647"/>
      <c r="H716" s="652"/>
      <c r="I716" s="297"/>
      <c r="J716" s="657"/>
      <c r="K716" s="802"/>
      <c r="L716" s="140"/>
      <c r="M716" s="140"/>
      <c r="N716" s="140"/>
      <c r="O716" s="297"/>
      <c r="P716" s="297"/>
      <c r="Q716" s="297"/>
      <c r="R716" s="658"/>
      <c r="S716" s="297"/>
      <c r="AA716" s="647"/>
      <c r="AB716" s="647"/>
      <c r="AC716" s="95"/>
      <c r="AD716" s="95"/>
      <c r="AE716" s="95"/>
      <c r="AF716" s="647"/>
      <c r="AG716" s="647"/>
      <c r="AH716" s="95"/>
      <c r="AI716" s="95"/>
      <c r="AJ716" s="95"/>
      <c r="AK716" s="647"/>
      <c r="AL716" s="618"/>
      <c r="AM716" s="618"/>
    </row>
    <row r="717" spans="4:39" s="139" customFormat="1" ht="21.6" customHeight="1" x14ac:dyDescent="0.25">
      <c r="D717" s="222"/>
      <c r="E717" s="222"/>
      <c r="F717" s="633"/>
      <c r="G717" s="647"/>
      <c r="H717" s="652"/>
      <c r="I717" s="297"/>
      <c r="J717" s="657"/>
      <c r="K717" s="802"/>
      <c r="L717" s="140"/>
      <c r="M717" s="140"/>
      <c r="N717" s="140"/>
      <c r="O717" s="297"/>
      <c r="P717" s="297"/>
      <c r="Q717" s="297"/>
      <c r="R717" s="658"/>
      <c r="S717" s="297"/>
      <c r="AA717" s="647"/>
      <c r="AB717" s="647"/>
      <c r="AC717" s="95"/>
      <c r="AD717" s="95"/>
      <c r="AE717" s="95"/>
      <c r="AF717" s="647"/>
      <c r="AG717" s="647"/>
      <c r="AH717" s="95"/>
      <c r="AI717" s="95"/>
      <c r="AJ717" s="95"/>
      <c r="AK717" s="647"/>
      <c r="AL717" s="618"/>
      <c r="AM717" s="618"/>
    </row>
    <row r="718" spans="4:39" s="139" customFormat="1" ht="21.6" customHeight="1" x14ac:dyDescent="0.25">
      <c r="D718" s="222"/>
      <c r="E718" s="222"/>
      <c r="F718" s="633"/>
      <c r="G718" s="647"/>
      <c r="H718" s="652"/>
      <c r="I718" s="297"/>
      <c r="J718" s="657"/>
      <c r="K718" s="802"/>
      <c r="L718" s="140"/>
      <c r="M718" s="140"/>
      <c r="N718" s="140"/>
      <c r="O718" s="297"/>
      <c r="P718" s="297"/>
      <c r="Q718" s="297"/>
      <c r="R718" s="658"/>
      <c r="S718" s="297"/>
      <c r="AA718" s="647"/>
      <c r="AB718" s="647"/>
      <c r="AC718" s="95"/>
      <c r="AD718" s="95"/>
      <c r="AE718" s="95"/>
      <c r="AF718" s="647"/>
      <c r="AG718" s="647"/>
      <c r="AH718" s="95"/>
      <c r="AI718" s="95"/>
      <c r="AJ718" s="95"/>
      <c r="AK718" s="647"/>
      <c r="AL718" s="618"/>
      <c r="AM718" s="618"/>
    </row>
    <row r="719" spans="4:39" s="139" customFormat="1" ht="21.6" customHeight="1" x14ac:dyDescent="0.25">
      <c r="D719" s="222"/>
      <c r="E719" s="222"/>
      <c r="F719" s="633"/>
      <c r="G719" s="647"/>
      <c r="H719" s="652"/>
      <c r="I719" s="297"/>
      <c r="J719" s="657"/>
      <c r="K719" s="802"/>
      <c r="L719" s="140"/>
      <c r="M719" s="140"/>
      <c r="N719" s="140"/>
      <c r="O719" s="297"/>
      <c r="P719" s="297"/>
      <c r="Q719" s="297"/>
      <c r="R719" s="658"/>
      <c r="S719" s="297"/>
      <c r="AA719" s="647"/>
      <c r="AB719" s="647"/>
      <c r="AC719" s="95"/>
      <c r="AD719" s="95"/>
      <c r="AE719" s="95"/>
      <c r="AF719" s="647"/>
      <c r="AG719" s="647"/>
      <c r="AH719" s="95"/>
      <c r="AI719" s="95"/>
      <c r="AJ719" s="95"/>
      <c r="AK719" s="647"/>
      <c r="AL719" s="618"/>
      <c r="AM719" s="618"/>
    </row>
    <row r="720" spans="4:39" s="139" customFormat="1" ht="21.6" customHeight="1" x14ac:dyDescent="0.25">
      <c r="D720" s="222"/>
      <c r="E720" s="222"/>
      <c r="F720" s="633"/>
      <c r="G720" s="647"/>
      <c r="H720" s="652"/>
      <c r="I720" s="297"/>
      <c r="J720" s="657"/>
      <c r="K720" s="802"/>
      <c r="L720" s="140"/>
      <c r="M720" s="140"/>
      <c r="N720" s="140"/>
      <c r="O720" s="297"/>
      <c r="P720" s="297"/>
      <c r="Q720" s="297"/>
      <c r="R720" s="658"/>
      <c r="S720" s="297"/>
      <c r="AA720" s="647"/>
      <c r="AB720" s="647"/>
      <c r="AC720" s="95"/>
      <c r="AD720" s="95"/>
      <c r="AE720" s="95"/>
      <c r="AF720" s="647"/>
      <c r="AG720" s="647"/>
      <c r="AH720" s="95"/>
      <c r="AI720" s="95"/>
      <c r="AJ720" s="95"/>
      <c r="AK720" s="647"/>
      <c r="AL720" s="618"/>
      <c r="AM720" s="618"/>
    </row>
    <row r="721" spans="4:39" s="139" customFormat="1" ht="21.6" customHeight="1" x14ac:dyDescent="0.25">
      <c r="D721" s="222"/>
      <c r="E721" s="222"/>
      <c r="F721" s="633"/>
      <c r="G721" s="647"/>
      <c r="H721" s="652"/>
      <c r="I721" s="297"/>
      <c r="J721" s="657"/>
      <c r="K721" s="802"/>
      <c r="L721" s="140"/>
      <c r="M721" s="140"/>
      <c r="N721" s="140"/>
      <c r="O721" s="297"/>
      <c r="P721" s="297"/>
      <c r="Q721" s="297"/>
      <c r="R721" s="658"/>
      <c r="S721" s="297"/>
      <c r="AA721" s="647"/>
      <c r="AB721" s="647"/>
      <c r="AC721" s="95"/>
      <c r="AD721" s="95"/>
      <c r="AE721" s="95"/>
      <c r="AF721" s="647"/>
      <c r="AG721" s="647"/>
      <c r="AH721" s="95"/>
      <c r="AI721" s="95"/>
      <c r="AJ721" s="95"/>
      <c r="AK721" s="647"/>
      <c r="AL721" s="618"/>
      <c r="AM721" s="618"/>
    </row>
    <row r="722" spans="4:39" s="139" customFormat="1" ht="21.6" customHeight="1" x14ac:dyDescent="0.25">
      <c r="D722" s="222"/>
      <c r="E722" s="222"/>
      <c r="F722" s="633"/>
      <c r="G722" s="647"/>
      <c r="H722" s="652"/>
      <c r="I722" s="297"/>
      <c r="J722" s="657"/>
      <c r="K722" s="802"/>
      <c r="L722" s="140"/>
      <c r="M722" s="140"/>
      <c r="N722" s="140"/>
      <c r="O722" s="297"/>
      <c r="P722" s="297"/>
      <c r="Q722" s="297"/>
      <c r="R722" s="658"/>
      <c r="S722" s="297"/>
      <c r="AA722" s="647"/>
      <c r="AB722" s="647"/>
      <c r="AC722" s="95"/>
      <c r="AD722" s="95"/>
      <c r="AE722" s="95"/>
      <c r="AF722" s="647"/>
      <c r="AG722" s="647"/>
      <c r="AH722" s="95"/>
      <c r="AI722" s="95"/>
      <c r="AJ722" s="95"/>
      <c r="AK722" s="647"/>
      <c r="AL722" s="618"/>
      <c r="AM722" s="618"/>
    </row>
    <row r="723" spans="4:39" s="139" customFormat="1" ht="21.6" customHeight="1" x14ac:dyDescent="0.25">
      <c r="D723" s="222"/>
      <c r="E723" s="222"/>
      <c r="F723" s="633"/>
      <c r="G723" s="647"/>
      <c r="H723" s="652"/>
      <c r="I723" s="297"/>
      <c r="J723" s="657"/>
      <c r="K723" s="802"/>
      <c r="L723" s="140"/>
      <c r="M723" s="140"/>
      <c r="N723" s="140"/>
      <c r="O723" s="297"/>
      <c r="P723" s="297"/>
      <c r="Q723" s="297"/>
      <c r="R723" s="658"/>
      <c r="S723" s="297"/>
      <c r="AA723" s="647"/>
      <c r="AB723" s="647"/>
      <c r="AC723" s="95"/>
      <c r="AD723" s="95"/>
      <c r="AE723" s="95"/>
      <c r="AF723" s="647"/>
      <c r="AG723" s="647"/>
      <c r="AH723" s="95"/>
      <c r="AI723" s="95"/>
      <c r="AJ723" s="95"/>
      <c r="AK723" s="647"/>
      <c r="AL723" s="618"/>
      <c r="AM723" s="618"/>
    </row>
    <row r="724" spans="4:39" s="139" customFormat="1" ht="21.6" customHeight="1" x14ac:dyDescent="0.25">
      <c r="D724" s="222"/>
      <c r="E724" s="222"/>
      <c r="F724" s="633"/>
      <c r="G724" s="647"/>
      <c r="H724" s="652"/>
      <c r="I724" s="297"/>
      <c r="J724" s="657"/>
      <c r="K724" s="802"/>
      <c r="L724" s="140"/>
      <c r="M724" s="140"/>
      <c r="N724" s="140"/>
      <c r="O724" s="297"/>
      <c r="P724" s="297"/>
      <c r="Q724" s="297"/>
      <c r="R724" s="658"/>
      <c r="S724" s="297"/>
      <c r="AA724" s="647"/>
      <c r="AB724" s="647"/>
      <c r="AC724" s="95"/>
      <c r="AD724" s="95"/>
      <c r="AE724" s="95"/>
      <c r="AF724" s="647"/>
      <c r="AG724" s="647"/>
      <c r="AH724" s="95"/>
      <c r="AI724" s="95"/>
      <c r="AJ724" s="95"/>
      <c r="AK724" s="647"/>
      <c r="AL724" s="618"/>
      <c r="AM724" s="618"/>
    </row>
    <row r="725" spans="4:39" s="139" customFormat="1" ht="21.6" customHeight="1" x14ac:dyDescent="0.25">
      <c r="D725" s="222"/>
      <c r="E725" s="222"/>
      <c r="F725" s="633"/>
      <c r="G725" s="647"/>
      <c r="H725" s="652"/>
      <c r="I725" s="297"/>
      <c r="J725" s="657"/>
      <c r="K725" s="802"/>
      <c r="L725" s="140"/>
      <c r="M725" s="140"/>
      <c r="N725" s="140"/>
      <c r="O725" s="297"/>
      <c r="P725" s="297"/>
      <c r="Q725" s="297"/>
      <c r="R725" s="658"/>
      <c r="S725" s="297"/>
      <c r="AA725" s="647"/>
      <c r="AB725" s="647"/>
      <c r="AC725" s="95"/>
      <c r="AD725" s="95"/>
      <c r="AE725" s="95"/>
      <c r="AF725" s="647"/>
      <c r="AG725" s="647"/>
      <c r="AH725" s="95"/>
      <c r="AI725" s="95"/>
      <c r="AJ725" s="95"/>
      <c r="AK725" s="647"/>
      <c r="AL725" s="618"/>
      <c r="AM725" s="618"/>
    </row>
    <row r="726" spans="4:39" s="139" customFormat="1" ht="21.6" customHeight="1" x14ac:dyDescent="0.25">
      <c r="D726" s="222"/>
      <c r="E726" s="222"/>
      <c r="F726" s="633"/>
      <c r="G726" s="647"/>
      <c r="H726" s="652"/>
      <c r="I726" s="297"/>
      <c r="J726" s="657"/>
      <c r="K726" s="802"/>
      <c r="L726" s="140"/>
      <c r="M726" s="140"/>
      <c r="N726" s="140"/>
      <c r="O726" s="297"/>
      <c r="P726" s="297"/>
      <c r="Q726" s="297"/>
      <c r="R726" s="658"/>
      <c r="S726" s="297"/>
      <c r="AA726" s="647"/>
      <c r="AB726" s="647"/>
      <c r="AC726" s="95"/>
      <c r="AD726" s="95"/>
      <c r="AE726" s="95"/>
      <c r="AF726" s="647"/>
      <c r="AG726" s="647"/>
      <c r="AH726" s="95"/>
      <c r="AI726" s="95"/>
      <c r="AJ726" s="95"/>
      <c r="AK726" s="647"/>
      <c r="AL726" s="618"/>
      <c r="AM726" s="618"/>
    </row>
    <row r="727" spans="4:39" s="139" customFormat="1" ht="21.6" customHeight="1" x14ac:dyDescent="0.25">
      <c r="D727" s="222"/>
      <c r="E727" s="222"/>
      <c r="F727" s="633"/>
      <c r="G727" s="647"/>
      <c r="H727" s="652"/>
      <c r="I727" s="297"/>
      <c r="J727" s="657"/>
      <c r="K727" s="802"/>
      <c r="L727" s="140"/>
      <c r="M727" s="140"/>
      <c r="N727" s="140"/>
      <c r="O727" s="297"/>
      <c r="P727" s="297"/>
      <c r="Q727" s="297"/>
      <c r="R727" s="658"/>
      <c r="S727" s="297"/>
      <c r="AA727" s="647"/>
      <c r="AB727" s="647"/>
      <c r="AC727" s="95"/>
      <c r="AD727" s="95"/>
      <c r="AE727" s="95"/>
      <c r="AF727" s="647"/>
      <c r="AG727" s="647"/>
      <c r="AH727" s="95"/>
      <c r="AI727" s="95"/>
      <c r="AJ727" s="95"/>
      <c r="AK727" s="647"/>
      <c r="AL727" s="618"/>
      <c r="AM727" s="618"/>
    </row>
    <row r="728" spans="4:39" s="139" customFormat="1" ht="21.6" customHeight="1" x14ac:dyDescent="0.25">
      <c r="D728" s="222"/>
      <c r="E728" s="222"/>
      <c r="F728" s="633"/>
      <c r="G728" s="647"/>
      <c r="H728" s="652"/>
      <c r="I728" s="297"/>
      <c r="J728" s="657"/>
      <c r="K728" s="802"/>
      <c r="L728" s="140"/>
      <c r="M728" s="140"/>
      <c r="N728" s="140"/>
      <c r="O728" s="297"/>
      <c r="P728" s="297"/>
      <c r="Q728" s="297"/>
      <c r="R728" s="658"/>
      <c r="S728" s="297"/>
      <c r="AA728" s="647"/>
      <c r="AB728" s="647"/>
      <c r="AC728" s="95"/>
      <c r="AD728" s="95"/>
      <c r="AE728" s="95"/>
      <c r="AF728" s="647"/>
      <c r="AG728" s="647"/>
      <c r="AH728" s="95"/>
      <c r="AI728" s="95"/>
      <c r="AJ728" s="95"/>
      <c r="AK728" s="647"/>
      <c r="AL728" s="618"/>
      <c r="AM728" s="618"/>
    </row>
    <row r="729" spans="4:39" s="139" customFormat="1" ht="21.6" customHeight="1" x14ac:dyDescent="0.25">
      <c r="D729" s="222"/>
      <c r="E729" s="222"/>
      <c r="F729" s="633"/>
      <c r="G729" s="647"/>
      <c r="H729" s="652"/>
      <c r="I729" s="297"/>
      <c r="J729" s="657"/>
      <c r="K729" s="802"/>
      <c r="L729" s="140"/>
      <c r="M729" s="140"/>
      <c r="N729" s="140"/>
      <c r="O729" s="297"/>
      <c r="P729" s="297"/>
      <c r="Q729" s="297"/>
      <c r="R729" s="658"/>
      <c r="S729" s="297"/>
      <c r="AA729" s="647"/>
      <c r="AB729" s="647"/>
      <c r="AC729" s="95"/>
      <c r="AD729" s="95"/>
      <c r="AE729" s="95"/>
      <c r="AF729" s="647"/>
      <c r="AG729" s="647"/>
      <c r="AH729" s="95"/>
      <c r="AI729" s="95"/>
      <c r="AJ729" s="95"/>
      <c r="AK729" s="647"/>
      <c r="AL729" s="618"/>
      <c r="AM729" s="618"/>
    </row>
    <row r="730" spans="4:39" s="139" customFormat="1" ht="21.6" customHeight="1" x14ac:dyDescent="0.25">
      <c r="D730" s="222"/>
      <c r="E730" s="222"/>
      <c r="F730" s="633"/>
      <c r="G730" s="647"/>
      <c r="H730" s="652"/>
      <c r="I730" s="297"/>
      <c r="J730" s="657"/>
      <c r="K730" s="802"/>
      <c r="L730" s="140"/>
      <c r="M730" s="140"/>
      <c r="N730" s="140"/>
      <c r="O730" s="297"/>
      <c r="P730" s="297"/>
      <c r="Q730" s="297"/>
      <c r="R730" s="658"/>
      <c r="S730" s="297"/>
      <c r="AA730" s="647"/>
      <c r="AB730" s="647"/>
      <c r="AC730" s="95"/>
      <c r="AD730" s="95"/>
      <c r="AE730" s="95"/>
      <c r="AF730" s="647"/>
      <c r="AG730" s="647"/>
      <c r="AH730" s="95"/>
      <c r="AI730" s="95"/>
      <c r="AJ730" s="95"/>
      <c r="AK730" s="647"/>
      <c r="AL730" s="618"/>
      <c r="AM730" s="618"/>
    </row>
    <row r="731" spans="4:39" s="139" customFormat="1" ht="21.6" customHeight="1" x14ac:dyDescent="0.25">
      <c r="D731" s="222"/>
      <c r="E731" s="222"/>
      <c r="F731" s="633"/>
      <c r="G731" s="647"/>
      <c r="H731" s="652"/>
      <c r="I731" s="297"/>
      <c r="J731" s="657"/>
      <c r="K731" s="802"/>
      <c r="L731" s="140"/>
      <c r="M731" s="140"/>
      <c r="N731" s="140"/>
      <c r="O731" s="297"/>
      <c r="P731" s="297"/>
      <c r="Q731" s="297"/>
      <c r="R731" s="658"/>
      <c r="S731" s="297"/>
      <c r="AA731" s="647"/>
      <c r="AB731" s="647"/>
      <c r="AC731" s="95"/>
      <c r="AD731" s="95"/>
      <c r="AE731" s="95"/>
      <c r="AF731" s="647"/>
      <c r="AG731" s="647"/>
      <c r="AH731" s="95"/>
      <c r="AI731" s="95"/>
      <c r="AJ731" s="95"/>
      <c r="AK731" s="647"/>
      <c r="AL731" s="618"/>
      <c r="AM731" s="618"/>
    </row>
    <row r="732" spans="4:39" s="139" customFormat="1" ht="21.6" customHeight="1" x14ac:dyDescent="0.25">
      <c r="D732" s="222"/>
      <c r="E732" s="222"/>
      <c r="F732" s="633"/>
      <c r="G732" s="647"/>
      <c r="H732" s="652"/>
      <c r="I732" s="297"/>
      <c r="J732" s="657"/>
      <c r="K732" s="802"/>
      <c r="L732" s="140"/>
      <c r="M732" s="140"/>
      <c r="N732" s="140"/>
      <c r="O732" s="297"/>
      <c r="P732" s="297"/>
      <c r="Q732" s="297"/>
      <c r="R732" s="658"/>
      <c r="S732" s="297"/>
      <c r="AA732" s="647"/>
      <c r="AB732" s="647"/>
      <c r="AC732" s="95"/>
      <c r="AD732" s="95"/>
      <c r="AE732" s="95"/>
      <c r="AF732" s="647"/>
      <c r="AG732" s="647"/>
      <c r="AH732" s="95"/>
      <c r="AI732" s="95"/>
      <c r="AJ732" s="95"/>
      <c r="AK732" s="647"/>
      <c r="AL732" s="618"/>
      <c r="AM732" s="618"/>
    </row>
    <row r="733" spans="4:39" s="139" customFormat="1" ht="21.6" customHeight="1" x14ac:dyDescent="0.25">
      <c r="D733" s="222"/>
      <c r="E733" s="222"/>
      <c r="F733" s="633"/>
      <c r="G733" s="647"/>
      <c r="H733" s="652"/>
      <c r="I733" s="297"/>
      <c r="J733" s="657"/>
      <c r="K733" s="802"/>
      <c r="L733" s="140"/>
      <c r="M733" s="140"/>
      <c r="N733" s="140"/>
      <c r="O733" s="297"/>
      <c r="P733" s="297"/>
      <c r="Q733" s="297"/>
      <c r="R733" s="658"/>
      <c r="S733" s="297"/>
      <c r="AA733" s="647"/>
      <c r="AB733" s="647"/>
      <c r="AC733" s="95"/>
      <c r="AD733" s="95"/>
      <c r="AE733" s="95"/>
      <c r="AF733" s="647"/>
      <c r="AG733" s="647"/>
      <c r="AH733" s="95"/>
      <c r="AI733" s="95"/>
      <c r="AJ733" s="95"/>
      <c r="AK733" s="647"/>
      <c r="AL733" s="618"/>
      <c r="AM733" s="618"/>
    </row>
    <row r="734" spans="4:39" s="139" customFormat="1" ht="21.6" customHeight="1" x14ac:dyDescent="0.25">
      <c r="D734" s="222"/>
      <c r="E734" s="222"/>
      <c r="F734" s="633"/>
      <c r="G734" s="647"/>
      <c r="H734" s="652"/>
      <c r="I734" s="297"/>
      <c r="J734" s="657"/>
      <c r="K734" s="802"/>
      <c r="L734" s="140"/>
      <c r="M734" s="140"/>
      <c r="N734" s="140"/>
      <c r="O734" s="297"/>
      <c r="P734" s="297"/>
      <c r="Q734" s="297"/>
      <c r="R734" s="658"/>
      <c r="S734" s="297"/>
      <c r="AA734" s="647"/>
      <c r="AB734" s="647"/>
      <c r="AC734" s="95"/>
      <c r="AD734" s="95"/>
      <c r="AE734" s="95"/>
      <c r="AF734" s="647"/>
      <c r="AG734" s="647"/>
      <c r="AH734" s="95"/>
      <c r="AI734" s="95"/>
      <c r="AJ734" s="95"/>
      <c r="AK734" s="647"/>
      <c r="AL734" s="618"/>
      <c r="AM734" s="618"/>
    </row>
    <row r="735" spans="4:39" s="139" customFormat="1" ht="21.6" customHeight="1" x14ac:dyDescent="0.25">
      <c r="D735" s="222"/>
      <c r="E735" s="222"/>
      <c r="F735" s="633"/>
      <c r="G735" s="647"/>
      <c r="H735" s="652"/>
      <c r="I735" s="297"/>
      <c r="J735" s="657"/>
      <c r="K735" s="802"/>
      <c r="L735" s="140"/>
      <c r="M735" s="140"/>
      <c r="N735" s="140"/>
      <c r="O735" s="297"/>
      <c r="P735" s="297"/>
      <c r="Q735" s="297"/>
      <c r="R735" s="658"/>
      <c r="S735" s="297"/>
      <c r="AA735" s="647"/>
      <c r="AB735" s="647"/>
      <c r="AC735" s="95"/>
      <c r="AD735" s="95"/>
      <c r="AE735" s="95"/>
      <c r="AF735" s="647"/>
      <c r="AG735" s="647"/>
      <c r="AH735" s="95"/>
      <c r="AI735" s="95"/>
      <c r="AJ735" s="95"/>
      <c r="AK735" s="647"/>
      <c r="AL735" s="618"/>
      <c r="AM735" s="618"/>
    </row>
    <row r="736" spans="4:39" s="139" customFormat="1" ht="21.6" customHeight="1" x14ac:dyDescent="0.25">
      <c r="D736" s="222"/>
      <c r="E736" s="222"/>
      <c r="F736" s="633"/>
      <c r="G736" s="647"/>
      <c r="H736" s="652"/>
      <c r="I736" s="297"/>
      <c r="J736" s="657"/>
      <c r="K736" s="802"/>
      <c r="L736" s="140"/>
      <c r="M736" s="140"/>
      <c r="N736" s="140"/>
      <c r="O736" s="297"/>
      <c r="P736" s="297"/>
      <c r="Q736" s="297"/>
      <c r="R736" s="658"/>
      <c r="S736" s="297"/>
      <c r="AA736" s="647"/>
      <c r="AB736" s="647"/>
      <c r="AC736" s="95"/>
      <c r="AD736" s="95"/>
      <c r="AE736" s="95"/>
      <c r="AF736" s="647"/>
      <c r="AG736" s="647"/>
      <c r="AH736" s="95"/>
      <c r="AI736" s="95"/>
      <c r="AJ736" s="95"/>
      <c r="AK736" s="647"/>
      <c r="AL736" s="618"/>
      <c r="AM736" s="618"/>
    </row>
    <row r="737" spans="4:39" s="139" customFormat="1" ht="21.6" customHeight="1" x14ac:dyDescent="0.25">
      <c r="D737" s="222"/>
      <c r="E737" s="222"/>
      <c r="F737" s="633"/>
      <c r="G737" s="647"/>
      <c r="H737" s="652"/>
      <c r="I737" s="297"/>
      <c r="J737" s="657"/>
      <c r="K737" s="802"/>
      <c r="L737" s="140"/>
      <c r="M737" s="140"/>
      <c r="N737" s="140"/>
      <c r="O737" s="297"/>
      <c r="P737" s="297"/>
      <c r="Q737" s="297"/>
      <c r="R737" s="658"/>
      <c r="S737" s="297"/>
      <c r="AA737" s="647"/>
      <c r="AB737" s="647"/>
      <c r="AC737" s="95"/>
      <c r="AD737" s="95"/>
      <c r="AE737" s="95"/>
      <c r="AF737" s="647"/>
      <c r="AG737" s="647"/>
      <c r="AH737" s="95"/>
      <c r="AI737" s="95"/>
      <c r="AJ737" s="95"/>
      <c r="AK737" s="647"/>
      <c r="AL737" s="618"/>
      <c r="AM737" s="618"/>
    </row>
    <row r="738" spans="4:39" s="139" customFormat="1" ht="21.6" customHeight="1" x14ac:dyDescent="0.25">
      <c r="D738" s="222"/>
      <c r="E738" s="222"/>
      <c r="F738" s="633"/>
      <c r="G738" s="647"/>
      <c r="H738" s="652"/>
      <c r="I738" s="297"/>
      <c r="J738" s="657"/>
      <c r="K738" s="802"/>
      <c r="L738" s="140"/>
      <c r="M738" s="140"/>
      <c r="N738" s="140"/>
      <c r="O738" s="297"/>
      <c r="P738" s="297"/>
      <c r="Q738" s="297"/>
      <c r="R738" s="658"/>
      <c r="S738" s="297"/>
      <c r="AA738" s="647"/>
      <c r="AB738" s="647"/>
      <c r="AC738" s="95"/>
      <c r="AD738" s="95"/>
      <c r="AE738" s="95"/>
      <c r="AF738" s="647"/>
      <c r="AG738" s="647"/>
      <c r="AH738" s="95"/>
      <c r="AI738" s="95"/>
      <c r="AJ738" s="95"/>
      <c r="AK738" s="647"/>
      <c r="AL738" s="618"/>
      <c r="AM738" s="618"/>
    </row>
    <row r="739" spans="4:39" s="139" customFormat="1" ht="21.6" customHeight="1" x14ac:dyDescent="0.25">
      <c r="D739" s="222"/>
      <c r="E739" s="222"/>
      <c r="F739" s="633"/>
      <c r="G739" s="647"/>
      <c r="H739" s="652"/>
      <c r="I739" s="297"/>
      <c r="J739" s="657"/>
      <c r="K739" s="802"/>
      <c r="L739" s="140"/>
      <c r="M739" s="140"/>
      <c r="N739" s="140"/>
      <c r="O739" s="297"/>
      <c r="P739" s="297"/>
      <c r="Q739" s="297"/>
      <c r="R739" s="658"/>
      <c r="S739" s="297"/>
      <c r="AA739" s="647"/>
      <c r="AB739" s="647"/>
      <c r="AC739" s="95"/>
      <c r="AD739" s="95"/>
      <c r="AE739" s="95"/>
      <c r="AF739" s="647"/>
      <c r="AG739" s="647"/>
      <c r="AH739" s="95"/>
      <c r="AI739" s="95"/>
      <c r="AJ739" s="95"/>
      <c r="AK739" s="647"/>
      <c r="AL739" s="618"/>
      <c r="AM739" s="618"/>
    </row>
    <row r="740" spans="4:39" s="139" customFormat="1" ht="21.6" customHeight="1" x14ac:dyDescent="0.25">
      <c r="D740" s="222"/>
      <c r="E740" s="222"/>
      <c r="F740" s="633"/>
      <c r="G740" s="647"/>
      <c r="H740" s="652"/>
      <c r="I740" s="297"/>
      <c r="J740" s="657"/>
      <c r="K740" s="802"/>
      <c r="L740" s="140"/>
      <c r="M740" s="140"/>
      <c r="N740" s="140"/>
      <c r="O740" s="297"/>
      <c r="P740" s="297"/>
      <c r="Q740" s="297"/>
      <c r="R740" s="658"/>
      <c r="S740" s="297"/>
      <c r="AA740" s="647"/>
      <c r="AB740" s="647"/>
      <c r="AC740" s="95"/>
      <c r="AD740" s="95"/>
      <c r="AE740" s="95"/>
      <c r="AF740" s="647"/>
      <c r="AG740" s="647"/>
      <c r="AH740" s="95"/>
      <c r="AI740" s="95"/>
      <c r="AJ740" s="95"/>
      <c r="AK740" s="647"/>
      <c r="AL740" s="618"/>
      <c r="AM740" s="618"/>
    </row>
    <row r="741" spans="4:39" s="139" customFormat="1" ht="21.6" customHeight="1" x14ac:dyDescent="0.25">
      <c r="D741" s="222"/>
      <c r="E741" s="222"/>
      <c r="F741" s="633"/>
      <c r="G741" s="647"/>
      <c r="H741" s="652"/>
      <c r="I741" s="297"/>
      <c r="J741" s="657"/>
      <c r="K741" s="802"/>
      <c r="L741" s="140"/>
      <c r="M741" s="140"/>
      <c r="N741" s="140"/>
      <c r="O741" s="297"/>
      <c r="P741" s="297"/>
      <c r="Q741" s="297"/>
      <c r="R741" s="658"/>
      <c r="S741" s="297"/>
      <c r="AA741" s="647"/>
      <c r="AB741" s="647"/>
      <c r="AC741" s="95"/>
      <c r="AD741" s="95"/>
      <c r="AE741" s="95"/>
      <c r="AF741" s="647"/>
      <c r="AG741" s="647"/>
      <c r="AH741" s="95"/>
      <c r="AI741" s="95"/>
      <c r="AJ741" s="95"/>
      <c r="AK741" s="647"/>
      <c r="AL741" s="618"/>
      <c r="AM741" s="618"/>
    </row>
    <row r="742" spans="4:39" s="139" customFormat="1" ht="21.6" customHeight="1" x14ac:dyDescent="0.25">
      <c r="D742" s="222"/>
      <c r="E742" s="222"/>
      <c r="F742" s="633"/>
      <c r="G742" s="647"/>
      <c r="H742" s="652"/>
      <c r="I742" s="297"/>
      <c r="J742" s="657"/>
      <c r="K742" s="802"/>
      <c r="L742" s="140"/>
      <c r="M742" s="140"/>
      <c r="N742" s="140"/>
      <c r="O742" s="297"/>
      <c r="P742" s="297"/>
      <c r="Q742" s="297"/>
      <c r="R742" s="658"/>
      <c r="S742" s="297"/>
      <c r="AA742" s="647"/>
      <c r="AB742" s="647"/>
      <c r="AC742" s="95"/>
      <c r="AD742" s="95"/>
      <c r="AE742" s="95"/>
      <c r="AF742" s="647"/>
      <c r="AG742" s="647"/>
      <c r="AH742" s="95"/>
      <c r="AI742" s="95"/>
      <c r="AJ742" s="95"/>
      <c r="AK742" s="647"/>
      <c r="AL742" s="618"/>
      <c r="AM742" s="618"/>
    </row>
    <row r="743" spans="4:39" s="139" customFormat="1" ht="21.6" customHeight="1" x14ac:dyDescent="0.25">
      <c r="D743" s="222"/>
      <c r="E743" s="222"/>
      <c r="F743" s="633"/>
      <c r="G743" s="647"/>
      <c r="H743" s="652"/>
      <c r="I743" s="297"/>
      <c r="J743" s="657"/>
      <c r="K743" s="802"/>
      <c r="L743" s="140"/>
      <c r="M743" s="140"/>
      <c r="N743" s="140"/>
      <c r="O743" s="297"/>
      <c r="P743" s="297"/>
      <c r="Q743" s="297"/>
      <c r="R743" s="658"/>
      <c r="S743" s="297"/>
      <c r="AA743" s="647"/>
      <c r="AB743" s="647"/>
      <c r="AC743" s="95"/>
      <c r="AD743" s="95"/>
      <c r="AE743" s="95"/>
      <c r="AF743" s="647"/>
      <c r="AG743" s="647"/>
      <c r="AH743" s="95"/>
      <c r="AI743" s="95"/>
      <c r="AJ743" s="95"/>
      <c r="AK743" s="647"/>
      <c r="AL743" s="618"/>
      <c r="AM743" s="618"/>
    </row>
    <row r="744" spans="4:39" s="139" customFormat="1" ht="21.6" customHeight="1" x14ac:dyDescent="0.25">
      <c r="D744" s="222"/>
      <c r="E744" s="222"/>
      <c r="F744" s="633"/>
      <c r="G744" s="647"/>
      <c r="H744" s="652"/>
      <c r="I744" s="297"/>
      <c r="J744" s="657"/>
      <c r="K744" s="802"/>
      <c r="L744" s="140"/>
      <c r="M744" s="140"/>
      <c r="N744" s="140"/>
      <c r="O744" s="297"/>
      <c r="P744" s="297"/>
      <c r="Q744" s="297"/>
      <c r="R744" s="658"/>
      <c r="S744" s="297"/>
      <c r="AA744" s="647"/>
      <c r="AB744" s="647"/>
      <c r="AC744" s="95"/>
      <c r="AD744" s="95"/>
      <c r="AE744" s="95"/>
      <c r="AF744" s="647"/>
      <c r="AG744" s="647"/>
      <c r="AH744" s="95"/>
      <c r="AI744" s="95"/>
      <c r="AJ744" s="95"/>
      <c r="AK744" s="647"/>
      <c r="AL744" s="618"/>
      <c r="AM744" s="618"/>
    </row>
    <row r="745" spans="4:39" s="139" customFormat="1" ht="21.6" customHeight="1" x14ac:dyDescent="0.25">
      <c r="D745" s="222"/>
      <c r="E745" s="222"/>
      <c r="F745" s="633"/>
      <c r="G745" s="647"/>
      <c r="H745" s="652"/>
      <c r="I745" s="297"/>
      <c r="J745" s="657"/>
      <c r="K745" s="802"/>
      <c r="L745" s="140"/>
      <c r="M745" s="140"/>
      <c r="N745" s="140"/>
      <c r="O745" s="297"/>
      <c r="P745" s="297"/>
      <c r="Q745" s="297"/>
      <c r="R745" s="658"/>
      <c r="S745" s="297"/>
      <c r="AA745" s="647"/>
      <c r="AB745" s="647"/>
      <c r="AC745" s="95"/>
      <c r="AD745" s="95"/>
      <c r="AE745" s="95"/>
      <c r="AF745" s="647"/>
      <c r="AG745" s="647"/>
      <c r="AH745" s="95"/>
      <c r="AI745" s="95"/>
      <c r="AJ745" s="95"/>
      <c r="AK745" s="647"/>
      <c r="AL745" s="618"/>
      <c r="AM745" s="618"/>
    </row>
    <row r="746" spans="4:39" s="139" customFormat="1" ht="21.6" customHeight="1" x14ac:dyDescent="0.25">
      <c r="D746" s="222"/>
      <c r="E746" s="222"/>
      <c r="F746" s="633"/>
      <c r="G746" s="647"/>
      <c r="H746" s="652"/>
      <c r="I746" s="297"/>
      <c r="J746" s="657"/>
      <c r="K746" s="802"/>
      <c r="L746" s="140"/>
      <c r="M746" s="140"/>
      <c r="N746" s="140"/>
      <c r="O746" s="297"/>
      <c r="P746" s="297"/>
      <c r="Q746" s="297"/>
      <c r="R746" s="658"/>
      <c r="S746" s="297"/>
      <c r="AA746" s="647"/>
      <c r="AB746" s="647"/>
      <c r="AC746" s="95"/>
      <c r="AD746" s="95"/>
      <c r="AE746" s="95"/>
      <c r="AF746" s="647"/>
      <c r="AG746" s="647"/>
      <c r="AH746" s="95"/>
      <c r="AI746" s="95"/>
      <c r="AJ746" s="95"/>
      <c r="AK746" s="647"/>
      <c r="AL746" s="618"/>
      <c r="AM746" s="618"/>
    </row>
    <row r="747" spans="4:39" s="139" customFormat="1" ht="21.6" customHeight="1" x14ac:dyDescent="0.25">
      <c r="D747" s="222"/>
      <c r="E747" s="222"/>
      <c r="F747" s="633"/>
      <c r="G747" s="647"/>
      <c r="H747" s="652"/>
      <c r="I747" s="297"/>
      <c r="J747" s="657"/>
      <c r="K747" s="802"/>
      <c r="L747" s="140"/>
      <c r="M747" s="140"/>
      <c r="N747" s="140"/>
      <c r="O747" s="297"/>
      <c r="P747" s="297"/>
      <c r="Q747" s="297"/>
      <c r="R747" s="658"/>
      <c r="S747" s="297"/>
      <c r="AA747" s="647"/>
      <c r="AB747" s="647"/>
      <c r="AC747" s="95"/>
      <c r="AD747" s="95"/>
      <c r="AE747" s="95"/>
      <c r="AF747" s="647"/>
      <c r="AG747" s="647"/>
      <c r="AH747" s="95"/>
      <c r="AI747" s="95"/>
      <c r="AJ747" s="95"/>
      <c r="AK747" s="647"/>
      <c r="AL747" s="618"/>
      <c r="AM747" s="618"/>
    </row>
    <row r="748" spans="4:39" s="139" customFormat="1" ht="21.6" customHeight="1" x14ac:dyDescent="0.25">
      <c r="D748" s="222"/>
      <c r="E748" s="222"/>
      <c r="F748" s="633"/>
      <c r="G748" s="647"/>
      <c r="H748" s="652"/>
      <c r="I748" s="297"/>
      <c r="J748" s="657"/>
      <c r="K748" s="802"/>
      <c r="L748" s="140"/>
      <c r="M748" s="140"/>
      <c r="N748" s="140"/>
      <c r="O748" s="297"/>
      <c r="P748" s="297"/>
      <c r="Q748" s="297"/>
      <c r="R748" s="658"/>
      <c r="S748" s="297"/>
      <c r="AA748" s="647"/>
      <c r="AB748" s="647"/>
      <c r="AC748" s="95"/>
      <c r="AD748" s="95"/>
      <c r="AE748" s="95"/>
      <c r="AF748" s="647"/>
      <c r="AG748" s="647"/>
      <c r="AH748" s="95"/>
      <c r="AI748" s="95"/>
      <c r="AJ748" s="95"/>
      <c r="AK748" s="647"/>
      <c r="AL748" s="618"/>
      <c r="AM748" s="618"/>
    </row>
    <row r="749" spans="4:39" s="139" customFormat="1" ht="21.6" customHeight="1" x14ac:dyDescent="0.25">
      <c r="D749" s="222"/>
      <c r="E749" s="222"/>
      <c r="F749" s="633"/>
      <c r="G749" s="647"/>
      <c r="H749" s="652"/>
      <c r="I749" s="297"/>
      <c r="J749" s="657"/>
      <c r="K749" s="802"/>
      <c r="L749" s="140"/>
      <c r="M749" s="140"/>
      <c r="N749" s="140"/>
      <c r="O749" s="297"/>
      <c r="P749" s="297"/>
      <c r="Q749" s="297"/>
      <c r="R749" s="658"/>
      <c r="S749" s="297"/>
      <c r="AA749" s="647"/>
      <c r="AB749" s="647"/>
      <c r="AC749" s="95"/>
      <c r="AD749" s="95"/>
      <c r="AE749" s="95"/>
      <c r="AF749" s="647"/>
      <c r="AG749" s="647"/>
      <c r="AH749" s="95"/>
      <c r="AI749" s="95"/>
      <c r="AJ749" s="95"/>
      <c r="AK749" s="647"/>
      <c r="AL749" s="618"/>
      <c r="AM749" s="618"/>
    </row>
    <row r="750" spans="4:39" s="139" customFormat="1" ht="21.6" customHeight="1" x14ac:dyDescent="0.25">
      <c r="D750" s="222"/>
      <c r="E750" s="222"/>
      <c r="F750" s="633"/>
      <c r="G750" s="647"/>
      <c r="H750" s="652"/>
      <c r="I750" s="297"/>
      <c r="J750" s="657"/>
      <c r="K750" s="802"/>
      <c r="L750" s="140"/>
      <c r="M750" s="140"/>
      <c r="N750" s="140"/>
      <c r="O750" s="297"/>
      <c r="P750" s="297"/>
      <c r="Q750" s="297"/>
      <c r="R750" s="658"/>
      <c r="S750" s="297"/>
      <c r="AA750" s="647"/>
      <c r="AB750" s="647"/>
      <c r="AC750" s="95"/>
      <c r="AD750" s="95"/>
      <c r="AE750" s="95"/>
      <c r="AF750" s="647"/>
      <c r="AG750" s="647"/>
      <c r="AH750" s="95"/>
      <c r="AI750" s="95"/>
      <c r="AJ750" s="95"/>
      <c r="AK750" s="647"/>
      <c r="AL750" s="618"/>
      <c r="AM750" s="618"/>
    </row>
    <row r="751" spans="4:39" s="139" customFormat="1" ht="21.6" customHeight="1" x14ac:dyDescent="0.25">
      <c r="D751" s="222"/>
      <c r="E751" s="222"/>
      <c r="F751" s="633"/>
      <c r="G751" s="647"/>
      <c r="H751" s="652"/>
      <c r="I751" s="297"/>
      <c r="J751" s="657"/>
      <c r="K751" s="802"/>
      <c r="L751" s="140"/>
      <c r="M751" s="140"/>
      <c r="N751" s="140"/>
      <c r="O751" s="297"/>
      <c r="P751" s="297"/>
      <c r="Q751" s="297"/>
      <c r="R751" s="658"/>
      <c r="S751" s="297"/>
      <c r="AA751" s="647"/>
      <c r="AB751" s="647"/>
      <c r="AC751" s="95"/>
      <c r="AD751" s="95"/>
      <c r="AE751" s="95"/>
      <c r="AF751" s="647"/>
      <c r="AG751" s="647"/>
      <c r="AH751" s="95"/>
      <c r="AI751" s="95"/>
      <c r="AJ751" s="95"/>
      <c r="AK751" s="647"/>
      <c r="AL751" s="618"/>
      <c r="AM751" s="618"/>
    </row>
    <row r="752" spans="4:39" s="139" customFormat="1" ht="21.6" customHeight="1" x14ac:dyDescent="0.25">
      <c r="D752" s="222"/>
      <c r="E752" s="222"/>
      <c r="F752" s="633"/>
      <c r="G752" s="647"/>
      <c r="H752" s="652"/>
      <c r="I752" s="297"/>
      <c r="J752" s="657"/>
      <c r="K752" s="802"/>
      <c r="L752" s="140"/>
      <c r="M752" s="140"/>
      <c r="N752" s="140"/>
      <c r="O752" s="297"/>
      <c r="P752" s="297"/>
      <c r="Q752" s="297"/>
      <c r="R752" s="658"/>
      <c r="S752" s="297"/>
      <c r="AA752" s="647"/>
      <c r="AB752" s="647"/>
      <c r="AC752" s="95"/>
      <c r="AD752" s="95"/>
      <c r="AE752" s="95"/>
      <c r="AF752" s="647"/>
      <c r="AG752" s="647"/>
      <c r="AH752" s="95"/>
      <c r="AI752" s="95"/>
      <c r="AJ752" s="95"/>
      <c r="AK752" s="647"/>
      <c r="AL752" s="618"/>
      <c r="AM752" s="618"/>
    </row>
    <row r="753" spans="4:39" s="139" customFormat="1" ht="21.6" customHeight="1" x14ac:dyDescent="0.25">
      <c r="D753" s="222"/>
      <c r="E753" s="222"/>
      <c r="F753" s="633"/>
      <c r="G753" s="647"/>
      <c r="H753" s="652"/>
      <c r="I753" s="297"/>
      <c r="J753" s="657"/>
      <c r="K753" s="802"/>
      <c r="L753" s="140"/>
      <c r="M753" s="140"/>
      <c r="N753" s="140"/>
      <c r="O753" s="297"/>
      <c r="P753" s="297"/>
      <c r="Q753" s="297"/>
      <c r="R753" s="658"/>
      <c r="S753" s="297"/>
      <c r="AA753" s="647"/>
      <c r="AB753" s="647"/>
      <c r="AC753" s="95"/>
      <c r="AD753" s="95"/>
      <c r="AE753" s="95"/>
      <c r="AF753" s="647"/>
      <c r="AG753" s="647"/>
      <c r="AH753" s="95"/>
      <c r="AI753" s="95"/>
      <c r="AJ753" s="95"/>
      <c r="AK753" s="647"/>
      <c r="AL753" s="618"/>
      <c r="AM753" s="618"/>
    </row>
    <row r="754" spans="4:39" s="139" customFormat="1" ht="21.6" customHeight="1" x14ac:dyDescent="0.25">
      <c r="D754" s="222"/>
      <c r="E754" s="222"/>
      <c r="F754" s="633"/>
      <c r="G754" s="647"/>
      <c r="H754" s="652"/>
      <c r="I754" s="297"/>
      <c r="J754" s="657"/>
      <c r="K754" s="802"/>
      <c r="L754" s="140"/>
      <c r="M754" s="140"/>
      <c r="N754" s="140"/>
      <c r="O754" s="297"/>
      <c r="P754" s="297"/>
      <c r="Q754" s="297"/>
      <c r="R754" s="658"/>
      <c r="S754" s="297"/>
      <c r="AA754" s="647"/>
      <c r="AB754" s="647"/>
      <c r="AC754" s="95"/>
      <c r="AD754" s="95"/>
      <c r="AE754" s="95"/>
      <c r="AF754" s="647"/>
      <c r="AG754" s="647"/>
      <c r="AH754" s="95"/>
      <c r="AI754" s="95"/>
      <c r="AJ754" s="95"/>
      <c r="AK754" s="647"/>
      <c r="AL754" s="618"/>
      <c r="AM754" s="618"/>
    </row>
    <row r="755" spans="4:39" s="139" customFormat="1" ht="21.6" customHeight="1" x14ac:dyDescent="0.25">
      <c r="D755" s="222"/>
      <c r="E755" s="222"/>
      <c r="F755" s="633"/>
      <c r="G755" s="647"/>
      <c r="H755" s="652"/>
      <c r="I755" s="297"/>
      <c r="J755" s="657"/>
      <c r="K755" s="802"/>
      <c r="L755" s="140"/>
      <c r="M755" s="140"/>
      <c r="N755" s="140"/>
      <c r="O755" s="297"/>
      <c r="P755" s="297"/>
      <c r="Q755" s="297"/>
      <c r="R755" s="658"/>
      <c r="S755" s="297"/>
      <c r="AA755" s="647"/>
      <c r="AB755" s="647"/>
      <c r="AC755" s="95"/>
      <c r="AD755" s="95"/>
      <c r="AE755" s="95"/>
      <c r="AF755" s="647"/>
      <c r="AG755" s="647"/>
      <c r="AH755" s="95"/>
      <c r="AI755" s="95"/>
      <c r="AJ755" s="95"/>
      <c r="AK755" s="647"/>
      <c r="AL755" s="618"/>
      <c r="AM755" s="618"/>
    </row>
    <row r="756" spans="4:39" s="139" customFormat="1" ht="21.6" customHeight="1" x14ac:dyDescent="0.25">
      <c r="D756" s="222"/>
      <c r="E756" s="222"/>
      <c r="F756" s="633"/>
      <c r="G756" s="647"/>
      <c r="H756" s="652"/>
      <c r="I756" s="297"/>
      <c r="J756" s="657"/>
      <c r="K756" s="802"/>
      <c r="L756" s="140"/>
      <c r="M756" s="140"/>
      <c r="N756" s="140"/>
      <c r="O756" s="297"/>
      <c r="P756" s="297"/>
      <c r="Q756" s="297"/>
      <c r="R756" s="658"/>
      <c r="S756" s="297"/>
      <c r="AA756" s="647"/>
      <c r="AB756" s="647"/>
      <c r="AC756" s="95"/>
      <c r="AD756" s="95"/>
      <c r="AE756" s="95"/>
      <c r="AF756" s="647"/>
      <c r="AG756" s="647"/>
      <c r="AH756" s="95"/>
      <c r="AI756" s="95"/>
      <c r="AJ756" s="95"/>
      <c r="AK756" s="647"/>
      <c r="AL756" s="618"/>
      <c r="AM756" s="618"/>
    </row>
    <row r="757" spans="4:39" s="139" customFormat="1" ht="21.6" customHeight="1" x14ac:dyDescent="0.25">
      <c r="D757" s="222"/>
      <c r="E757" s="222"/>
      <c r="F757" s="633"/>
      <c r="G757" s="647"/>
      <c r="H757" s="652"/>
      <c r="I757" s="297"/>
      <c r="J757" s="657"/>
      <c r="K757" s="802"/>
      <c r="L757" s="140"/>
      <c r="M757" s="140"/>
      <c r="N757" s="140"/>
      <c r="O757" s="297"/>
      <c r="P757" s="297"/>
      <c r="Q757" s="297"/>
      <c r="R757" s="658"/>
      <c r="S757" s="297"/>
      <c r="AA757" s="647"/>
      <c r="AB757" s="647"/>
      <c r="AC757" s="95"/>
      <c r="AD757" s="95"/>
      <c r="AE757" s="95"/>
      <c r="AF757" s="647"/>
      <c r="AG757" s="647"/>
      <c r="AH757" s="95"/>
      <c r="AI757" s="95"/>
      <c r="AJ757" s="95"/>
      <c r="AK757" s="647"/>
      <c r="AL757" s="618"/>
      <c r="AM757" s="618"/>
    </row>
    <row r="758" spans="4:39" s="139" customFormat="1" ht="21.6" customHeight="1" x14ac:dyDescent="0.25">
      <c r="D758" s="222"/>
      <c r="E758" s="222"/>
      <c r="F758" s="633"/>
      <c r="G758" s="647"/>
      <c r="H758" s="652"/>
      <c r="I758" s="297"/>
      <c r="J758" s="657"/>
      <c r="K758" s="802"/>
      <c r="L758" s="140"/>
      <c r="M758" s="140"/>
      <c r="N758" s="140"/>
      <c r="O758" s="297"/>
      <c r="P758" s="297"/>
      <c r="Q758" s="297"/>
      <c r="R758" s="658"/>
      <c r="S758" s="297"/>
      <c r="AA758" s="647"/>
      <c r="AB758" s="647"/>
      <c r="AC758" s="95"/>
      <c r="AD758" s="95"/>
      <c r="AE758" s="95"/>
      <c r="AF758" s="647"/>
      <c r="AG758" s="647"/>
      <c r="AH758" s="95"/>
      <c r="AI758" s="95"/>
      <c r="AJ758" s="95"/>
      <c r="AK758" s="647"/>
      <c r="AL758" s="618"/>
      <c r="AM758" s="618"/>
    </row>
    <row r="759" spans="4:39" s="139" customFormat="1" ht="21.6" customHeight="1" x14ac:dyDescent="0.25">
      <c r="D759" s="222"/>
      <c r="E759" s="222"/>
      <c r="F759" s="633"/>
      <c r="G759" s="647"/>
      <c r="H759" s="652"/>
      <c r="I759" s="297"/>
      <c r="J759" s="657"/>
      <c r="K759" s="802"/>
      <c r="L759" s="140"/>
      <c r="M759" s="140"/>
      <c r="N759" s="140"/>
      <c r="O759" s="297"/>
      <c r="P759" s="297"/>
      <c r="Q759" s="297"/>
      <c r="R759" s="658"/>
      <c r="S759" s="297"/>
      <c r="AA759" s="647"/>
      <c r="AB759" s="647"/>
      <c r="AC759" s="95"/>
      <c r="AD759" s="95"/>
      <c r="AE759" s="95"/>
      <c r="AF759" s="647"/>
      <c r="AG759" s="647"/>
      <c r="AH759" s="95"/>
      <c r="AI759" s="95"/>
      <c r="AJ759" s="95"/>
      <c r="AK759" s="647"/>
      <c r="AL759" s="618"/>
      <c r="AM759" s="618"/>
    </row>
    <row r="760" spans="4:39" s="139" customFormat="1" ht="21.6" customHeight="1" x14ac:dyDescent="0.25">
      <c r="D760" s="222"/>
      <c r="E760" s="222"/>
      <c r="F760" s="633"/>
      <c r="G760" s="647"/>
      <c r="H760" s="652"/>
      <c r="I760" s="297"/>
      <c r="J760" s="657"/>
      <c r="K760" s="802"/>
      <c r="L760" s="140"/>
      <c r="M760" s="140"/>
      <c r="N760" s="140"/>
      <c r="O760" s="297"/>
      <c r="P760" s="297"/>
      <c r="Q760" s="297"/>
      <c r="R760" s="658"/>
      <c r="S760" s="297"/>
      <c r="AA760" s="647"/>
      <c r="AB760" s="647"/>
      <c r="AC760" s="95"/>
      <c r="AD760" s="95"/>
      <c r="AE760" s="95"/>
      <c r="AF760" s="647"/>
      <c r="AG760" s="647"/>
      <c r="AH760" s="95"/>
      <c r="AI760" s="95"/>
      <c r="AJ760" s="95"/>
      <c r="AK760" s="647"/>
      <c r="AL760" s="618"/>
      <c r="AM760" s="618"/>
    </row>
    <row r="761" spans="4:39" s="139" customFormat="1" ht="21.6" customHeight="1" x14ac:dyDescent="0.25">
      <c r="D761" s="222"/>
      <c r="E761" s="222"/>
      <c r="F761" s="633"/>
      <c r="G761" s="647"/>
      <c r="H761" s="652"/>
      <c r="I761" s="297"/>
      <c r="J761" s="657"/>
      <c r="K761" s="802"/>
      <c r="L761" s="140"/>
      <c r="M761" s="140"/>
      <c r="N761" s="140"/>
      <c r="O761" s="297"/>
      <c r="P761" s="297"/>
      <c r="Q761" s="297"/>
      <c r="R761" s="658"/>
      <c r="S761" s="297"/>
      <c r="AA761" s="647"/>
      <c r="AB761" s="647"/>
      <c r="AC761" s="95"/>
      <c r="AD761" s="95"/>
      <c r="AE761" s="95"/>
      <c r="AF761" s="647"/>
      <c r="AG761" s="647"/>
      <c r="AH761" s="95"/>
      <c r="AI761" s="95"/>
      <c r="AJ761" s="95"/>
      <c r="AK761" s="647"/>
      <c r="AL761" s="618"/>
      <c r="AM761" s="618"/>
    </row>
    <row r="762" spans="4:39" s="139" customFormat="1" ht="21.6" customHeight="1" x14ac:dyDescent="0.25">
      <c r="D762" s="222"/>
      <c r="E762" s="222"/>
      <c r="F762" s="633"/>
      <c r="G762" s="647"/>
      <c r="H762" s="652"/>
      <c r="I762" s="297"/>
      <c r="J762" s="657"/>
      <c r="K762" s="802"/>
      <c r="L762" s="140"/>
      <c r="M762" s="140"/>
      <c r="N762" s="140"/>
      <c r="O762" s="297"/>
      <c r="P762" s="297"/>
      <c r="Q762" s="297"/>
      <c r="R762" s="658"/>
      <c r="S762" s="297"/>
      <c r="AA762" s="647"/>
      <c r="AB762" s="647"/>
      <c r="AC762" s="95"/>
      <c r="AD762" s="95"/>
      <c r="AE762" s="95"/>
      <c r="AF762" s="647"/>
      <c r="AG762" s="647"/>
      <c r="AH762" s="95"/>
      <c r="AI762" s="95"/>
      <c r="AJ762" s="95"/>
      <c r="AK762" s="647"/>
      <c r="AL762" s="618"/>
      <c r="AM762" s="618"/>
    </row>
    <row r="763" spans="4:39" s="139" customFormat="1" ht="21.6" customHeight="1" x14ac:dyDescent="0.25">
      <c r="D763" s="222"/>
      <c r="E763" s="222"/>
      <c r="F763" s="633"/>
      <c r="G763" s="647"/>
      <c r="H763" s="652"/>
      <c r="I763" s="297"/>
      <c r="J763" s="657"/>
      <c r="K763" s="802"/>
      <c r="L763" s="140"/>
      <c r="M763" s="140"/>
      <c r="N763" s="140"/>
      <c r="O763" s="297"/>
      <c r="P763" s="297"/>
      <c r="Q763" s="297"/>
      <c r="R763" s="658"/>
      <c r="S763" s="297"/>
      <c r="AA763" s="647"/>
      <c r="AB763" s="647"/>
      <c r="AC763" s="95"/>
      <c r="AD763" s="95"/>
      <c r="AE763" s="95"/>
      <c r="AF763" s="647"/>
      <c r="AG763" s="647"/>
      <c r="AH763" s="95"/>
      <c r="AI763" s="95"/>
      <c r="AJ763" s="95"/>
      <c r="AK763" s="647"/>
      <c r="AL763" s="618"/>
      <c r="AM763" s="618"/>
    </row>
    <row r="764" spans="4:39" s="139" customFormat="1" ht="21.6" customHeight="1" x14ac:dyDescent="0.25">
      <c r="D764" s="222"/>
      <c r="E764" s="222"/>
      <c r="F764" s="633"/>
      <c r="G764" s="647"/>
      <c r="H764" s="652"/>
      <c r="I764" s="297"/>
      <c r="J764" s="657"/>
      <c r="K764" s="802"/>
      <c r="L764" s="140"/>
      <c r="M764" s="140"/>
      <c r="N764" s="140"/>
      <c r="O764" s="297"/>
      <c r="P764" s="297"/>
      <c r="Q764" s="297"/>
      <c r="R764" s="658"/>
      <c r="S764" s="297"/>
      <c r="AA764" s="647"/>
      <c r="AB764" s="647"/>
      <c r="AC764" s="95"/>
      <c r="AD764" s="95"/>
      <c r="AE764" s="95"/>
      <c r="AF764" s="647"/>
      <c r="AG764" s="647"/>
      <c r="AH764" s="95"/>
      <c r="AI764" s="95"/>
      <c r="AJ764" s="95"/>
      <c r="AK764" s="647"/>
      <c r="AL764" s="618"/>
      <c r="AM764" s="618"/>
    </row>
    <row r="765" spans="4:39" s="139" customFormat="1" ht="21.6" customHeight="1" x14ac:dyDescent="0.25">
      <c r="D765" s="222"/>
      <c r="E765" s="222"/>
      <c r="F765" s="633"/>
      <c r="G765" s="647"/>
      <c r="H765" s="652"/>
      <c r="I765" s="297"/>
      <c r="J765" s="657"/>
      <c r="K765" s="802"/>
      <c r="L765" s="140"/>
      <c r="M765" s="140"/>
      <c r="N765" s="140"/>
      <c r="O765" s="297"/>
      <c r="P765" s="297"/>
      <c r="Q765" s="297"/>
      <c r="R765" s="658"/>
      <c r="S765" s="297"/>
      <c r="AA765" s="647"/>
      <c r="AB765" s="647"/>
      <c r="AC765" s="95"/>
      <c r="AD765" s="95"/>
      <c r="AE765" s="95"/>
      <c r="AF765" s="647"/>
      <c r="AG765" s="647"/>
      <c r="AH765" s="95"/>
      <c r="AI765" s="95"/>
      <c r="AJ765" s="95"/>
      <c r="AK765" s="647"/>
      <c r="AL765" s="618"/>
      <c r="AM765" s="618"/>
    </row>
    <row r="766" spans="4:39" s="139" customFormat="1" ht="21.6" customHeight="1" x14ac:dyDescent="0.25">
      <c r="D766" s="222"/>
      <c r="E766" s="222"/>
      <c r="F766" s="633"/>
      <c r="G766" s="647"/>
      <c r="H766" s="652"/>
      <c r="I766" s="297"/>
      <c r="J766" s="657"/>
      <c r="K766" s="802"/>
      <c r="L766" s="140"/>
      <c r="M766" s="140"/>
      <c r="N766" s="140"/>
      <c r="O766" s="297"/>
      <c r="P766" s="297"/>
      <c r="Q766" s="297"/>
      <c r="R766" s="658"/>
      <c r="S766" s="297"/>
      <c r="AA766" s="647"/>
      <c r="AB766" s="647"/>
      <c r="AC766" s="95"/>
      <c r="AD766" s="95"/>
      <c r="AE766" s="95"/>
      <c r="AF766" s="647"/>
      <c r="AG766" s="647"/>
      <c r="AH766" s="95"/>
      <c r="AI766" s="95"/>
      <c r="AJ766" s="95"/>
      <c r="AK766" s="647"/>
      <c r="AL766" s="618"/>
      <c r="AM766" s="618"/>
    </row>
    <row r="767" spans="4:39" s="139" customFormat="1" ht="21.6" customHeight="1" x14ac:dyDescent="0.25">
      <c r="D767" s="222"/>
      <c r="E767" s="222"/>
      <c r="F767" s="633"/>
      <c r="G767" s="647"/>
      <c r="H767" s="652"/>
      <c r="I767" s="297"/>
      <c r="J767" s="657"/>
      <c r="K767" s="802"/>
      <c r="L767" s="140"/>
      <c r="M767" s="140"/>
      <c r="N767" s="140"/>
      <c r="O767" s="297"/>
      <c r="P767" s="297"/>
      <c r="Q767" s="297"/>
      <c r="R767" s="658"/>
      <c r="S767" s="297"/>
      <c r="AA767" s="647"/>
      <c r="AB767" s="647"/>
      <c r="AC767" s="95"/>
      <c r="AD767" s="95"/>
      <c r="AE767" s="95"/>
      <c r="AF767" s="647"/>
      <c r="AG767" s="647"/>
      <c r="AH767" s="95"/>
      <c r="AI767" s="95"/>
      <c r="AJ767" s="95"/>
      <c r="AK767" s="647"/>
      <c r="AL767" s="618"/>
      <c r="AM767" s="618"/>
    </row>
    <row r="768" spans="4:39" s="139" customFormat="1" ht="21.6" customHeight="1" x14ac:dyDescent="0.25">
      <c r="D768" s="222"/>
      <c r="E768" s="222"/>
      <c r="F768" s="633"/>
      <c r="G768" s="647"/>
      <c r="H768" s="652"/>
      <c r="I768" s="297"/>
      <c r="J768" s="657"/>
      <c r="K768" s="802"/>
      <c r="L768" s="140"/>
      <c r="M768" s="140"/>
      <c r="N768" s="140"/>
      <c r="O768" s="297"/>
      <c r="P768" s="297"/>
      <c r="Q768" s="297"/>
      <c r="R768" s="658"/>
      <c r="S768" s="297"/>
      <c r="AA768" s="647"/>
      <c r="AB768" s="647"/>
      <c r="AC768" s="95"/>
      <c r="AD768" s="95"/>
      <c r="AE768" s="95"/>
      <c r="AF768" s="647"/>
      <c r="AG768" s="647"/>
      <c r="AH768" s="95"/>
      <c r="AI768" s="95"/>
      <c r="AJ768" s="95"/>
      <c r="AK768" s="647"/>
      <c r="AL768" s="618"/>
      <c r="AM768" s="618"/>
    </row>
    <row r="769" spans="4:39" s="139" customFormat="1" ht="21.6" customHeight="1" x14ac:dyDescent="0.25">
      <c r="D769" s="222"/>
      <c r="E769" s="222"/>
      <c r="F769" s="633"/>
      <c r="G769" s="647"/>
      <c r="H769" s="652"/>
      <c r="I769" s="297"/>
      <c r="J769" s="657"/>
      <c r="K769" s="802"/>
      <c r="L769" s="140"/>
      <c r="M769" s="140"/>
      <c r="N769" s="140"/>
      <c r="O769" s="297"/>
      <c r="P769" s="297"/>
      <c r="Q769" s="297"/>
      <c r="R769" s="658"/>
      <c r="S769" s="297"/>
      <c r="AA769" s="647"/>
      <c r="AB769" s="647"/>
      <c r="AC769" s="95"/>
      <c r="AD769" s="95"/>
      <c r="AE769" s="95"/>
      <c r="AF769" s="647"/>
      <c r="AG769" s="647"/>
      <c r="AH769" s="95"/>
      <c r="AI769" s="95"/>
      <c r="AJ769" s="95"/>
      <c r="AK769" s="647"/>
      <c r="AL769" s="618"/>
      <c r="AM769" s="618"/>
    </row>
    <row r="770" spans="4:39" s="139" customFormat="1" ht="21.6" customHeight="1" x14ac:dyDescent="0.25">
      <c r="D770" s="222"/>
      <c r="E770" s="222"/>
      <c r="F770" s="633"/>
      <c r="G770" s="647"/>
      <c r="H770" s="652"/>
      <c r="I770" s="297"/>
      <c r="J770" s="657"/>
      <c r="K770" s="802"/>
      <c r="L770" s="140"/>
      <c r="M770" s="140"/>
      <c r="N770" s="140"/>
      <c r="O770" s="297"/>
      <c r="P770" s="297"/>
      <c r="Q770" s="297"/>
      <c r="R770" s="658"/>
      <c r="S770" s="297"/>
      <c r="AA770" s="647"/>
      <c r="AB770" s="647"/>
      <c r="AC770" s="95"/>
      <c r="AD770" s="95"/>
      <c r="AE770" s="95"/>
      <c r="AF770" s="647"/>
      <c r="AG770" s="647"/>
      <c r="AH770" s="95"/>
      <c r="AI770" s="95"/>
      <c r="AJ770" s="95"/>
      <c r="AK770" s="647"/>
      <c r="AL770" s="618"/>
      <c r="AM770" s="618"/>
    </row>
    <row r="771" spans="4:39" s="139" customFormat="1" ht="21.6" customHeight="1" x14ac:dyDescent="0.25">
      <c r="D771" s="222"/>
      <c r="E771" s="222"/>
      <c r="F771" s="633"/>
      <c r="G771" s="647"/>
      <c r="H771" s="652"/>
      <c r="I771" s="297"/>
      <c r="J771" s="657"/>
      <c r="K771" s="802"/>
      <c r="L771" s="140"/>
      <c r="M771" s="140"/>
      <c r="N771" s="140"/>
      <c r="O771" s="297"/>
      <c r="P771" s="297"/>
      <c r="Q771" s="297"/>
      <c r="R771" s="658"/>
      <c r="S771" s="297"/>
      <c r="AA771" s="647"/>
      <c r="AB771" s="647"/>
      <c r="AC771" s="95"/>
      <c r="AD771" s="95"/>
      <c r="AE771" s="95"/>
      <c r="AF771" s="647"/>
      <c r="AG771" s="647"/>
      <c r="AH771" s="95"/>
      <c r="AI771" s="95"/>
      <c r="AJ771" s="95"/>
      <c r="AK771" s="647"/>
      <c r="AL771" s="618"/>
      <c r="AM771" s="618"/>
    </row>
    <row r="772" spans="4:39" s="139" customFormat="1" ht="21.6" customHeight="1" x14ac:dyDescent="0.25">
      <c r="D772" s="222"/>
      <c r="E772" s="222"/>
      <c r="F772" s="633"/>
      <c r="G772" s="647"/>
      <c r="H772" s="652"/>
      <c r="I772" s="297"/>
      <c r="J772" s="657"/>
      <c r="K772" s="802"/>
      <c r="L772" s="140"/>
      <c r="M772" s="140"/>
      <c r="N772" s="140"/>
      <c r="O772" s="297"/>
      <c r="P772" s="297"/>
      <c r="Q772" s="297"/>
      <c r="R772" s="658"/>
      <c r="S772" s="297"/>
      <c r="AA772" s="647"/>
      <c r="AB772" s="647"/>
      <c r="AC772" s="95"/>
      <c r="AD772" s="95"/>
      <c r="AE772" s="95"/>
      <c r="AF772" s="647"/>
      <c r="AG772" s="647"/>
      <c r="AH772" s="95"/>
      <c r="AI772" s="95"/>
      <c r="AJ772" s="95"/>
      <c r="AK772" s="647"/>
      <c r="AL772" s="618"/>
      <c r="AM772" s="618"/>
    </row>
    <row r="773" spans="4:39" s="139" customFormat="1" ht="21.6" customHeight="1" x14ac:dyDescent="0.25">
      <c r="D773" s="222"/>
      <c r="E773" s="222"/>
      <c r="F773" s="633"/>
      <c r="G773" s="647"/>
      <c r="H773" s="652"/>
      <c r="I773" s="297"/>
      <c r="J773" s="657"/>
      <c r="K773" s="802"/>
      <c r="L773" s="140"/>
      <c r="M773" s="140"/>
      <c r="N773" s="140"/>
      <c r="O773" s="297"/>
      <c r="P773" s="297"/>
      <c r="Q773" s="297"/>
      <c r="R773" s="658"/>
      <c r="S773" s="297"/>
      <c r="AA773" s="647"/>
      <c r="AB773" s="647"/>
      <c r="AC773" s="95"/>
      <c r="AD773" s="95"/>
      <c r="AE773" s="95"/>
      <c r="AF773" s="647"/>
      <c r="AG773" s="647"/>
      <c r="AH773" s="95"/>
      <c r="AI773" s="95"/>
      <c r="AJ773" s="95"/>
      <c r="AK773" s="647"/>
      <c r="AL773" s="618"/>
      <c r="AM773" s="618"/>
    </row>
    <row r="774" spans="4:39" s="139" customFormat="1" ht="21.6" customHeight="1" x14ac:dyDescent="0.25">
      <c r="D774" s="222"/>
      <c r="E774" s="222"/>
      <c r="F774" s="633"/>
      <c r="G774" s="647"/>
      <c r="H774" s="652"/>
      <c r="I774" s="297"/>
      <c r="J774" s="657"/>
      <c r="K774" s="802"/>
      <c r="L774" s="140"/>
      <c r="M774" s="140"/>
      <c r="N774" s="140"/>
      <c r="O774" s="297"/>
      <c r="P774" s="297"/>
      <c r="Q774" s="297"/>
      <c r="R774" s="658"/>
      <c r="S774" s="297"/>
      <c r="AA774" s="647"/>
      <c r="AB774" s="647"/>
      <c r="AC774" s="95"/>
      <c r="AD774" s="95"/>
      <c r="AE774" s="95"/>
      <c r="AF774" s="647"/>
      <c r="AG774" s="647"/>
      <c r="AH774" s="95"/>
      <c r="AI774" s="95"/>
      <c r="AJ774" s="95"/>
      <c r="AK774" s="647"/>
      <c r="AL774" s="618"/>
      <c r="AM774" s="618"/>
    </row>
    <row r="775" spans="4:39" s="139" customFormat="1" ht="21.6" customHeight="1" x14ac:dyDescent="0.25">
      <c r="D775" s="222"/>
      <c r="E775" s="222"/>
      <c r="F775" s="633"/>
      <c r="G775" s="647"/>
      <c r="H775" s="652"/>
      <c r="I775" s="297"/>
      <c r="J775" s="657"/>
      <c r="K775" s="802"/>
      <c r="L775" s="140"/>
      <c r="M775" s="140"/>
      <c r="N775" s="140"/>
      <c r="O775" s="297"/>
      <c r="P775" s="297"/>
      <c r="Q775" s="297"/>
      <c r="R775" s="658"/>
      <c r="S775" s="297"/>
      <c r="AA775" s="647"/>
      <c r="AB775" s="647"/>
      <c r="AC775" s="95"/>
      <c r="AD775" s="95"/>
      <c r="AE775" s="95"/>
      <c r="AF775" s="647"/>
      <c r="AG775" s="647"/>
      <c r="AH775" s="95"/>
      <c r="AI775" s="95"/>
      <c r="AJ775" s="95"/>
      <c r="AK775" s="647"/>
      <c r="AL775" s="618"/>
      <c r="AM775" s="618"/>
    </row>
    <row r="776" spans="4:39" s="139" customFormat="1" ht="21.6" customHeight="1" x14ac:dyDescent="0.25">
      <c r="D776" s="222"/>
      <c r="E776" s="222"/>
      <c r="F776" s="633"/>
      <c r="G776" s="647"/>
      <c r="H776" s="652"/>
      <c r="I776" s="297"/>
      <c r="J776" s="657"/>
      <c r="K776" s="802"/>
      <c r="L776" s="140"/>
      <c r="M776" s="140"/>
      <c r="N776" s="140"/>
      <c r="O776" s="297"/>
      <c r="P776" s="297"/>
      <c r="Q776" s="297"/>
      <c r="R776" s="658"/>
      <c r="S776" s="297"/>
      <c r="AA776" s="647"/>
      <c r="AB776" s="647"/>
      <c r="AC776" s="95"/>
      <c r="AD776" s="95"/>
      <c r="AE776" s="95"/>
      <c r="AF776" s="647"/>
      <c r="AG776" s="647"/>
      <c r="AH776" s="95"/>
      <c r="AI776" s="95"/>
      <c r="AJ776" s="95"/>
      <c r="AK776" s="647"/>
      <c r="AL776" s="618"/>
      <c r="AM776" s="618"/>
    </row>
    <row r="777" spans="4:39" s="139" customFormat="1" ht="21.6" customHeight="1" x14ac:dyDescent="0.25">
      <c r="D777" s="222"/>
      <c r="E777" s="222"/>
      <c r="F777" s="633"/>
      <c r="G777" s="647"/>
      <c r="H777" s="652"/>
      <c r="I777" s="297"/>
      <c r="J777" s="657"/>
      <c r="K777" s="802"/>
      <c r="L777" s="140"/>
      <c r="M777" s="140"/>
      <c r="N777" s="140"/>
      <c r="O777" s="297"/>
      <c r="P777" s="297"/>
      <c r="Q777" s="297"/>
      <c r="R777" s="658"/>
      <c r="S777" s="297"/>
      <c r="AA777" s="647"/>
      <c r="AB777" s="647"/>
      <c r="AC777" s="95"/>
      <c r="AD777" s="95"/>
      <c r="AE777" s="95"/>
      <c r="AF777" s="647"/>
      <c r="AG777" s="647"/>
      <c r="AH777" s="95"/>
      <c r="AI777" s="95"/>
      <c r="AJ777" s="95"/>
      <c r="AK777" s="647"/>
      <c r="AL777" s="618"/>
      <c r="AM777" s="618"/>
    </row>
    <row r="778" spans="4:39" s="139" customFormat="1" ht="21.6" customHeight="1" x14ac:dyDescent="0.25">
      <c r="D778" s="222"/>
      <c r="E778" s="222"/>
      <c r="F778" s="633"/>
      <c r="G778" s="647"/>
      <c r="H778" s="652"/>
      <c r="I778" s="297"/>
      <c r="J778" s="657"/>
      <c r="K778" s="802"/>
      <c r="L778" s="140"/>
      <c r="M778" s="140"/>
      <c r="N778" s="140"/>
      <c r="O778" s="297"/>
      <c r="P778" s="297"/>
      <c r="Q778" s="297"/>
      <c r="R778" s="658"/>
      <c r="S778" s="297"/>
      <c r="AA778" s="647"/>
      <c r="AB778" s="647"/>
      <c r="AC778" s="95"/>
      <c r="AD778" s="95"/>
      <c r="AE778" s="95"/>
      <c r="AF778" s="647"/>
      <c r="AG778" s="647"/>
      <c r="AH778" s="95"/>
      <c r="AI778" s="95"/>
      <c r="AJ778" s="95"/>
      <c r="AK778" s="647"/>
      <c r="AL778" s="618"/>
      <c r="AM778" s="618"/>
    </row>
    <row r="779" spans="4:39" s="139" customFormat="1" ht="21.6" customHeight="1" x14ac:dyDescent="0.25">
      <c r="D779" s="222"/>
      <c r="E779" s="222"/>
      <c r="F779" s="633"/>
      <c r="G779" s="647"/>
      <c r="H779" s="652"/>
      <c r="I779" s="297"/>
      <c r="J779" s="657"/>
      <c r="K779" s="802"/>
      <c r="L779" s="140"/>
      <c r="M779" s="140"/>
      <c r="N779" s="140"/>
      <c r="O779" s="297"/>
      <c r="P779" s="297"/>
      <c r="Q779" s="297"/>
      <c r="R779" s="658"/>
      <c r="S779" s="297"/>
      <c r="AA779" s="647"/>
      <c r="AB779" s="647"/>
      <c r="AC779" s="95"/>
      <c r="AD779" s="95"/>
      <c r="AE779" s="95"/>
      <c r="AF779" s="647"/>
      <c r="AG779" s="647"/>
      <c r="AH779" s="95"/>
      <c r="AI779" s="95"/>
      <c r="AJ779" s="95"/>
      <c r="AK779" s="647"/>
      <c r="AL779" s="618"/>
      <c r="AM779" s="618"/>
    </row>
    <row r="780" spans="4:39" s="139" customFormat="1" ht="21.6" customHeight="1" x14ac:dyDescent="0.25">
      <c r="D780" s="222"/>
      <c r="E780" s="222"/>
      <c r="F780" s="633"/>
      <c r="G780" s="647"/>
      <c r="H780" s="652"/>
      <c r="I780" s="297"/>
      <c r="J780" s="657"/>
      <c r="K780" s="802"/>
      <c r="L780" s="140"/>
      <c r="M780" s="140"/>
      <c r="N780" s="140"/>
      <c r="O780" s="297"/>
      <c r="P780" s="297"/>
      <c r="Q780" s="297"/>
      <c r="R780" s="658"/>
      <c r="S780" s="297"/>
      <c r="AA780" s="647"/>
      <c r="AB780" s="647"/>
      <c r="AC780" s="95"/>
      <c r="AD780" s="95"/>
      <c r="AE780" s="95"/>
      <c r="AF780" s="647"/>
      <c r="AG780" s="647"/>
      <c r="AH780" s="95"/>
      <c r="AI780" s="95"/>
      <c r="AJ780" s="95"/>
      <c r="AK780" s="647"/>
      <c r="AL780" s="618"/>
      <c r="AM780" s="618"/>
    </row>
    <row r="781" spans="4:39" s="139" customFormat="1" ht="21.6" customHeight="1" x14ac:dyDescent="0.25">
      <c r="D781" s="222"/>
      <c r="E781" s="222"/>
      <c r="F781" s="633"/>
      <c r="G781" s="647"/>
      <c r="H781" s="652"/>
      <c r="I781" s="297"/>
      <c r="J781" s="657"/>
      <c r="K781" s="802"/>
      <c r="L781" s="140"/>
      <c r="M781" s="140"/>
      <c r="N781" s="140"/>
      <c r="O781" s="297"/>
      <c r="P781" s="297"/>
      <c r="Q781" s="297"/>
      <c r="R781" s="658"/>
      <c r="S781" s="297"/>
      <c r="AA781" s="647"/>
      <c r="AB781" s="647"/>
      <c r="AC781" s="95"/>
      <c r="AD781" s="95"/>
      <c r="AE781" s="95"/>
      <c r="AF781" s="647"/>
      <c r="AG781" s="647"/>
      <c r="AH781" s="95"/>
      <c r="AI781" s="95"/>
      <c r="AJ781" s="95"/>
      <c r="AK781" s="647"/>
      <c r="AL781" s="618"/>
      <c r="AM781" s="618"/>
    </row>
    <row r="782" spans="4:39" s="139" customFormat="1" ht="21.6" customHeight="1" x14ac:dyDescent="0.25">
      <c r="D782" s="222"/>
      <c r="E782" s="222"/>
      <c r="F782" s="633"/>
      <c r="G782" s="647"/>
      <c r="H782" s="652"/>
      <c r="I782" s="297"/>
      <c r="J782" s="657"/>
      <c r="K782" s="802"/>
      <c r="L782" s="140"/>
      <c r="M782" s="140"/>
      <c r="N782" s="140"/>
      <c r="O782" s="297"/>
      <c r="P782" s="297"/>
      <c r="Q782" s="297"/>
      <c r="R782" s="658"/>
      <c r="S782" s="297"/>
      <c r="AA782" s="647"/>
      <c r="AB782" s="647"/>
      <c r="AC782" s="95"/>
      <c r="AD782" s="95"/>
      <c r="AE782" s="95"/>
      <c r="AF782" s="647"/>
      <c r="AG782" s="647"/>
      <c r="AH782" s="95"/>
      <c r="AI782" s="95"/>
      <c r="AJ782" s="95"/>
      <c r="AK782" s="647"/>
      <c r="AL782" s="618"/>
      <c r="AM782" s="618"/>
    </row>
    <row r="783" spans="4:39" s="139" customFormat="1" ht="21.6" customHeight="1" x14ac:dyDescent="0.25">
      <c r="D783" s="222"/>
      <c r="E783" s="222"/>
      <c r="F783" s="633"/>
      <c r="G783" s="647"/>
      <c r="H783" s="652"/>
      <c r="I783" s="297"/>
      <c r="J783" s="657"/>
      <c r="K783" s="802"/>
      <c r="L783" s="140"/>
      <c r="M783" s="140"/>
      <c r="N783" s="140"/>
      <c r="O783" s="297"/>
      <c r="P783" s="297"/>
      <c r="Q783" s="297"/>
      <c r="R783" s="658"/>
      <c r="S783" s="297"/>
      <c r="AA783" s="647"/>
      <c r="AB783" s="647"/>
      <c r="AC783" s="95"/>
      <c r="AD783" s="95"/>
      <c r="AE783" s="95"/>
      <c r="AF783" s="647"/>
      <c r="AG783" s="647"/>
      <c r="AH783" s="95"/>
      <c r="AI783" s="95"/>
      <c r="AJ783" s="95"/>
      <c r="AK783" s="647"/>
      <c r="AL783" s="618"/>
      <c r="AM783" s="618"/>
    </row>
    <row r="784" spans="4:39" s="139" customFormat="1" ht="21.6" customHeight="1" x14ac:dyDescent="0.25">
      <c r="D784" s="222"/>
      <c r="E784" s="222"/>
      <c r="F784" s="633"/>
      <c r="G784" s="647"/>
      <c r="H784" s="652"/>
      <c r="I784" s="297"/>
      <c r="J784" s="657"/>
      <c r="K784" s="802"/>
      <c r="L784" s="140"/>
      <c r="M784" s="140"/>
      <c r="N784" s="140"/>
      <c r="O784" s="297"/>
      <c r="P784" s="297"/>
      <c r="Q784" s="297"/>
      <c r="R784" s="658"/>
      <c r="S784" s="297"/>
      <c r="AA784" s="647"/>
      <c r="AB784" s="647"/>
      <c r="AC784" s="95"/>
      <c r="AD784" s="95"/>
      <c r="AE784" s="95"/>
      <c r="AF784" s="647"/>
      <c r="AG784" s="647"/>
      <c r="AH784" s="95"/>
      <c r="AI784" s="95"/>
      <c r="AJ784" s="95"/>
      <c r="AK784" s="647"/>
      <c r="AL784" s="618"/>
      <c r="AM784" s="618"/>
    </row>
    <row r="785" spans="4:39" s="139" customFormat="1" ht="21.6" customHeight="1" x14ac:dyDescent="0.25">
      <c r="D785" s="222"/>
      <c r="E785" s="222"/>
      <c r="F785" s="633"/>
      <c r="G785" s="647"/>
      <c r="H785" s="652"/>
      <c r="I785" s="297"/>
      <c r="J785" s="657"/>
      <c r="K785" s="802"/>
      <c r="L785" s="140"/>
      <c r="M785" s="140"/>
      <c r="N785" s="140"/>
      <c r="O785" s="297"/>
      <c r="P785" s="297"/>
      <c r="Q785" s="297"/>
      <c r="R785" s="658"/>
      <c r="S785" s="297"/>
      <c r="AA785" s="647"/>
      <c r="AB785" s="647"/>
      <c r="AC785" s="95"/>
      <c r="AD785" s="95"/>
      <c r="AE785" s="95"/>
      <c r="AF785" s="647"/>
      <c r="AG785" s="647"/>
      <c r="AH785" s="95"/>
      <c r="AI785" s="95"/>
      <c r="AJ785" s="95"/>
      <c r="AK785" s="647"/>
      <c r="AL785" s="618"/>
      <c r="AM785" s="618"/>
    </row>
    <row r="786" spans="4:39" s="139" customFormat="1" ht="21.6" customHeight="1" x14ac:dyDescent="0.25">
      <c r="D786" s="222"/>
      <c r="E786" s="222"/>
      <c r="F786" s="633"/>
      <c r="G786" s="647"/>
      <c r="H786" s="652"/>
      <c r="I786" s="297"/>
      <c r="J786" s="657"/>
      <c r="K786" s="802"/>
      <c r="L786" s="140"/>
      <c r="M786" s="140"/>
      <c r="N786" s="140"/>
      <c r="O786" s="297"/>
      <c r="P786" s="297"/>
      <c r="Q786" s="297"/>
      <c r="R786" s="658"/>
      <c r="S786" s="297"/>
      <c r="AA786" s="647"/>
      <c r="AB786" s="647"/>
      <c r="AC786" s="95"/>
      <c r="AD786" s="95"/>
      <c r="AE786" s="95"/>
      <c r="AF786" s="647"/>
      <c r="AG786" s="647"/>
      <c r="AH786" s="95"/>
      <c r="AI786" s="95"/>
      <c r="AJ786" s="95"/>
      <c r="AK786" s="647"/>
      <c r="AL786" s="618"/>
      <c r="AM786" s="618"/>
    </row>
    <row r="787" spans="4:39" s="139" customFormat="1" ht="21.6" customHeight="1" x14ac:dyDescent="0.25">
      <c r="D787" s="222"/>
      <c r="E787" s="222"/>
      <c r="F787" s="633"/>
      <c r="G787" s="647"/>
      <c r="H787" s="652"/>
      <c r="I787" s="297"/>
      <c r="J787" s="657"/>
      <c r="K787" s="802"/>
      <c r="L787" s="140"/>
      <c r="M787" s="140"/>
      <c r="N787" s="140"/>
      <c r="O787" s="297"/>
      <c r="P787" s="297"/>
      <c r="Q787" s="297"/>
      <c r="R787" s="658"/>
      <c r="S787" s="297"/>
      <c r="AA787" s="647"/>
      <c r="AB787" s="647"/>
      <c r="AC787" s="95"/>
      <c r="AD787" s="95"/>
      <c r="AE787" s="95"/>
      <c r="AF787" s="647"/>
      <c r="AG787" s="647"/>
      <c r="AH787" s="95"/>
      <c r="AI787" s="95"/>
      <c r="AJ787" s="95"/>
      <c r="AK787" s="647"/>
      <c r="AL787" s="618"/>
      <c r="AM787" s="618"/>
    </row>
    <row r="788" spans="4:39" s="139" customFormat="1" ht="21.6" customHeight="1" x14ac:dyDescent="0.25">
      <c r="D788" s="222"/>
      <c r="E788" s="222"/>
      <c r="F788" s="633"/>
      <c r="G788" s="647"/>
      <c r="H788" s="652"/>
      <c r="I788" s="297"/>
      <c r="J788" s="657"/>
      <c r="K788" s="802"/>
      <c r="L788" s="140"/>
      <c r="M788" s="140"/>
      <c r="N788" s="140"/>
      <c r="O788" s="297"/>
      <c r="P788" s="297"/>
      <c r="Q788" s="297"/>
      <c r="R788" s="658"/>
      <c r="S788" s="297"/>
      <c r="AA788" s="647"/>
      <c r="AB788" s="647"/>
      <c r="AC788" s="95"/>
      <c r="AD788" s="95"/>
      <c r="AE788" s="95"/>
      <c r="AF788" s="647"/>
      <c r="AG788" s="647"/>
      <c r="AH788" s="95"/>
      <c r="AI788" s="95"/>
      <c r="AJ788" s="95"/>
      <c r="AK788" s="647"/>
      <c r="AL788" s="618"/>
      <c r="AM788" s="618"/>
    </row>
    <row r="789" spans="4:39" s="139" customFormat="1" ht="21.6" customHeight="1" x14ac:dyDescent="0.25">
      <c r="D789" s="222"/>
      <c r="E789" s="222"/>
      <c r="F789" s="633"/>
      <c r="G789" s="647"/>
      <c r="H789" s="652"/>
      <c r="I789" s="297"/>
      <c r="J789" s="657"/>
      <c r="K789" s="802"/>
      <c r="L789" s="140"/>
      <c r="M789" s="140"/>
      <c r="N789" s="140"/>
      <c r="O789" s="297"/>
      <c r="P789" s="297"/>
      <c r="Q789" s="297"/>
      <c r="R789" s="658"/>
      <c r="S789" s="297"/>
      <c r="AA789" s="647"/>
      <c r="AB789" s="647"/>
      <c r="AC789" s="95"/>
      <c r="AD789" s="95"/>
      <c r="AE789" s="95"/>
      <c r="AF789" s="647"/>
      <c r="AG789" s="647"/>
      <c r="AH789" s="95"/>
      <c r="AI789" s="95"/>
      <c r="AJ789" s="95"/>
      <c r="AK789" s="647"/>
      <c r="AL789" s="618"/>
      <c r="AM789" s="618"/>
    </row>
    <row r="790" spans="4:39" s="139" customFormat="1" ht="21.6" customHeight="1" x14ac:dyDescent="0.25">
      <c r="D790" s="222"/>
      <c r="E790" s="222"/>
      <c r="F790" s="633"/>
      <c r="G790" s="647"/>
      <c r="H790" s="652"/>
      <c r="I790" s="297"/>
      <c r="J790" s="657"/>
      <c r="K790" s="802"/>
      <c r="L790" s="140"/>
      <c r="M790" s="140"/>
      <c r="N790" s="140"/>
      <c r="O790" s="297"/>
      <c r="P790" s="297"/>
      <c r="Q790" s="297"/>
      <c r="R790" s="658"/>
      <c r="S790" s="297"/>
      <c r="AA790" s="647"/>
      <c r="AB790" s="647"/>
      <c r="AC790" s="95"/>
      <c r="AD790" s="95"/>
      <c r="AE790" s="95"/>
      <c r="AF790" s="647"/>
      <c r="AG790" s="647"/>
      <c r="AH790" s="95"/>
      <c r="AI790" s="95"/>
      <c r="AJ790" s="95"/>
      <c r="AK790" s="647"/>
      <c r="AL790" s="618"/>
      <c r="AM790" s="618"/>
    </row>
    <row r="791" spans="4:39" s="139" customFormat="1" ht="21.6" customHeight="1" x14ac:dyDescent="0.25">
      <c r="D791" s="222"/>
      <c r="E791" s="222"/>
      <c r="F791" s="633"/>
      <c r="G791" s="647"/>
      <c r="H791" s="652"/>
      <c r="I791" s="297"/>
      <c r="J791" s="657"/>
      <c r="K791" s="802"/>
      <c r="L791" s="140"/>
      <c r="M791" s="140"/>
      <c r="N791" s="140"/>
      <c r="O791" s="297"/>
      <c r="P791" s="297"/>
      <c r="Q791" s="297"/>
      <c r="R791" s="658"/>
      <c r="S791" s="297"/>
      <c r="AA791" s="647"/>
      <c r="AB791" s="647"/>
      <c r="AC791" s="95"/>
      <c r="AD791" s="95"/>
      <c r="AE791" s="95"/>
      <c r="AF791" s="647"/>
      <c r="AG791" s="647"/>
      <c r="AH791" s="95"/>
      <c r="AI791" s="95"/>
      <c r="AJ791" s="95"/>
      <c r="AK791" s="647"/>
      <c r="AL791" s="618"/>
      <c r="AM791" s="618"/>
    </row>
    <row r="792" spans="4:39" s="139" customFormat="1" ht="21.6" customHeight="1" x14ac:dyDescent="0.25">
      <c r="D792" s="222"/>
      <c r="E792" s="222"/>
      <c r="F792" s="633"/>
      <c r="G792" s="647"/>
      <c r="H792" s="652"/>
      <c r="I792" s="297"/>
      <c r="J792" s="657"/>
      <c r="K792" s="802"/>
      <c r="L792" s="140"/>
      <c r="M792" s="140"/>
      <c r="N792" s="140"/>
      <c r="O792" s="297"/>
      <c r="P792" s="297"/>
      <c r="Q792" s="297"/>
      <c r="R792" s="658"/>
      <c r="S792" s="297"/>
      <c r="AA792" s="647"/>
      <c r="AB792" s="647"/>
      <c r="AC792" s="95"/>
      <c r="AD792" s="95"/>
      <c r="AE792" s="95"/>
      <c r="AF792" s="647"/>
      <c r="AG792" s="647"/>
      <c r="AH792" s="95"/>
      <c r="AI792" s="95"/>
      <c r="AJ792" s="95"/>
      <c r="AK792" s="647"/>
      <c r="AL792" s="618"/>
      <c r="AM792" s="618"/>
    </row>
    <row r="793" spans="4:39" s="139" customFormat="1" ht="21.6" customHeight="1" x14ac:dyDescent="0.25">
      <c r="D793" s="222"/>
      <c r="E793" s="222"/>
      <c r="F793" s="633"/>
      <c r="G793" s="647"/>
      <c r="H793" s="652"/>
      <c r="I793" s="297"/>
      <c r="J793" s="657"/>
      <c r="K793" s="802"/>
      <c r="L793" s="140"/>
      <c r="M793" s="140"/>
      <c r="N793" s="140"/>
      <c r="O793" s="297"/>
      <c r="P793" s="297"/>
      <c r="Q793" s="297"/>
      <c r="R793" s="658"/>
      <c r="S793" s="297"/>
      <c r="AA793" s="647"/>
      <c r="AB793" s="647"/>
      <c r="AC793" s="95"/>
      <c r="AD793" s="95"/>
      <c r="AE793" s="95"/>
      <c r="AF793" s="647"/>
      <c r="AG793" s="647"/>
      <c r="AH793" s="95"/>
      <c r="AI793" s="95"/>
      <c r="AJ793" s="95"/>
      <c r="AK793" s="647"/>
      <c r="AL793" s="618"/>
      <c r="AM793" s="618"/>
    </row>
    <row r="794" spans="4:39" s="139" customFormat="1" ht="21.6" customHeight="1" x14ac:dyDescent="0.25">
      <c r="D794" s="222"/>
      <c r="E794" s="222"/>
      <c r="F794" s="633"/>
      <c r="G794" s="647"/>
      <c r="H794" s="652"/>
      <c r="I794" s="297"/>
      <c r="J794" s="657"/>
      <c r="K794" s="802"/>
      <c r="L794" s="140"/>
      <c r="M794" s="140"/>
      <c r="N794" s="140"/>
      <c r="O794" s="297"/>
      <c r="P794" s="297"/>
      <c r="Q794" s="297"/>
      <c r="R794" s="658"/>
      <c r="S794" s="297"/>
      <c r="AA794" s="647"/>
      <c r="AB794" s="647"/>
      <c r="AC794" s="95"/>
      <c r="AD794" s="95"/>
      <c r="AE794" s="95"/>
      <c r="AF794" s="647"/>
      <c r="AG794" s="647"/>
      <c r="AH794" s="95"/>
      <c r="AI794" s="95"/>
      <c r="AJ794" s="95"/>
      <c r="AK794" s="647"/>
      <c r="AL794" s="618"/>
      <c r="AM794" s="618"/>
    </row>
    <row r="795" spans="4:39" s="139" customFormat="1" ht="21.6" customHeight="1" x14ac:dyDescent="0.25">
      <c r="D795" s="222"/>
      <c r="E795" s="222"/>
      <c r="F795" s="633"/>
      <c r="G795" s="647"/>
      <c r="H795" s="652"/>
      <c r="I795" s="297"/>
      <c r="J795" s="657"/>
      <c r="K795" s="802"/>
      <c r="L795" s="140"/>
      <c r="M795" s="140"/>
      <c r="N795" s="140"/>
      <c r="O795" s="297"/>
      <c r="P795" s="297"/>
      <c r="Q795" s="297"/>
      <c r="R795" s="658"/>
      <c r="S795" s="297"/>
      <c r="AA795" s="647"/>
      <c r="AB795" s="647"/>
      <c r="AC795" s="95"/>
      <c r="AD795" s="95"/>
      <c r="AE795" s="95"/>
      <c r="AF795" s="647"/>
      <c r="AG795" s="647"/>
      <c r="AH795" s="95"/>
      <c r="AI795" s="95"/>
      <c r="AJ795" s="95"/>
      <c r="AK795" s="647"/>
      <c r="AL795" s="618"/>
      <c r="AM795" s="618"/>
    </row>
    <row r="796" spans="4:39" s="139" customFormat="1" ht="21.6" customHeight="1" x14ac:dyDescent="0.25">
      <c r="D796" s="222"/>
      <c r="E796" s="222"/>
      <c r="F796" s="633"/>
      <c r="G796" s="647"/>
      <c r="H796" s="652"/>
      <c r="I796" s="297"/>
      <c r="J796" s="657"/>
      <c r="K796" s="802"/>
      <c r="L796" s="140"/>
      <c r="M796" s="140"/>
      <c r="N796" s="140"/>
      <c r="O796" s="297"/>
      <c r="P796" s="297"/>
      <c r="Q796" s="297"/>
      <c r="R796" s="658"/>
      <c r="S796" s="297"/>
      <c r="AA796" s="647"/>
      <c r="AB796" s="647"/>
      <c r="AC796" s="95"/>
      <c r="AD796" s="95"/>
      <c r="AE796" s="95"/>
      <c r="AF796" s="647"/>
      <c r="AG796" s="647"/>
      <c r="AH796" s="95"/>
      <c r="AI796" s="95"/>
      <c r="AJ796" s="95"/>
      <c r="AK796" s="647"/>
      <c r="AL796" s="618"/>
      <c r="AM796" s="618"/>
    </row>
    <row r="797" spans="4:39" s="139" customFormat="1" ht="21.6" customHeight="1" x14ac:dyDescent="0.25">
      <c r="D797" s="222"/>
      <c r="E797" s="222"/>
      <c r="F797" s="633"/>
      <c r="G797" s="647"/>
      <c r="H797" s="652"/>
      <c r="I797" s="297"/>
      <c r="J797" s="657"/>
      <c r="K797" s="802"/>
      <c r="L797" s="140"/>
      <c r="M797" s="140"/>
      <c r="N797" s="140"/>
      <c r="O797" s="297"/>
      <c r="P797" s="297"/>
      <c r="Q797" s="297"/>
      <c r="R797" s="658"/>
      <c r="S797" s="297"/>
      <c r="AA797" s="647"/>
      <c r="AB797" s="647"/>
      <c r="AC797" s="95"/>
      <c r="AD797" s="95"/>
      <c r="AE797" s="95"/>
      <c r="AF797" s="647"/>
      <c r="AG797" s="647"/>
      <c r="AH797" s="95"/>
      <c r="AI797" s="95"/>
      <c r="AJ797" s="95"/>
      <c r="AK797" s="647"/>
      <c r="AL797" s="618"/>
      <c r="AM797" s="618"/>
    </row>
    <row r="798" spans="4:39" s="139" customFormat="1" ht="21.6" customHeight="1" x14ac:dyDescent="0.25">
      <c r="D798" s="222"/>
      <c r="E798" s="222"/>
      <c r="F798" s="633"/>
      <c r="G798" s="647"/>
      <c r="H798" s="652"/>
      <c r="I798" s="297"/>
      <c r="J798" s="657"/>
      <c r="K798" s="802"/>
      <c r="L798" s="140"/>
      <c r="M798" s="140"/>
      <c r="N798" s="140"/>
      <c r="O798" s="297"/>
      <c r="P798" s="297"/>
      <c r="Q798" s="297"/>
      <c r="R798" s="658"/>
      <c r="S798" s="297"/>
      <c r="AA798" s="647"/>
      <c r="AB798" s="647"/>
      <c r="AC798" s="95"/>
      <c r="AD798" s="95"/>
      <c r="AE798" s="95"/>
      <c r="AF798" s="647"/>
      <c r="AG798" s="647"/>
      <c r="AH798" s="95"/>
      <c r="AI798" s="95"/>
      <c r="AJ798" s="95"/>
      <c r="AK798" s="647"/>
      <c r="AL798" s="618"/>
      <c r="AM798" s="618"/>
    </row>
    <row r="799" spans="4:39" s="139" customFormat="1" ht="21.6" customHeight="1" x14ac:dyDescent="0.25">
      <c r="D799" s="222"/>
      <c r="E799" s="222"/>
      <c r="F799" s="633"/>
      <c r="G799" s="647"/>
      <c r="H799" s="652"/>
      <c r="I799" s="297"/>
      <c r="J799" s="657"/>
      <c r="K799" s="802"/>
      <c r="L799" s="140"/>
      <c r="M799" s="140"/>
      <c r="N799" s="140"/>
      <c r="O799" s="297"/>
      <c r="P799" s="297"/>
      <c r="Q799" s="297"/>
      <c r="R799" s="658"/>
      <c r="S799" s="297"/>
      <c r="AA799" s="647"/>
      <c r="AB799" s="647"/>
      <c r="AC799" s="95"/>
      <c r="AD799" s="95"/>
      <c r="AE799" s="95"/>
      <c r="AF799" s="647"/>
      <c r="AG799" s="647"/>
      <c r="AH799" s="95"/>
      <c r="AI799" s="95"/>
      <c r="AJ799" s="95"/>
      <c r="AK799" s="647"/>
      <c r="AL799" s="618"/>
      <c r="AM799" s="618"/>
    </row>
    <row r="800" spans="4:39" s="139" customFormat="1" ht="21.6" customHeight="1" x14ac:dyDescent="0.25">
      <c r="D800" s="222"/>
      <c r="E800" s="222"/>
      <c r="F800" s="633"/>
      <c r="G800" s="647"/>
      <c r="H800" s="652"/>
      <c r="I800" s="297"/>
      <c r="J800" s="657"/>
      <c r="K800" s="802"/>
      <c r="L800" s="140"/>
      <c r="M800" s="140"/>
      <c r="N800" s="140"/>
      <c r="O800" s="297"/>
      <c r="P800" s="297"/>
      <c r="Q800" s="297"/>
      <c r="R800" s="658"/>
      <c r="S800" s="297"/>
      <c r="AA800" s="647"/>
      <c r="AB800" s="647"/>
      <c r="AC800" s="95"/>
      <c r="AD800" s="95"/>
      <c r="AE800" s="95"/>
      <c r="AF800" s="647"/>
      <c r="AG800" s="647"/>
      <c r="AH800" s="95"/>
      <c r="AI800" s="95"/>
      <c r="AJ800" s="95"/>
      <c r="AK800" s="647"/>
      <c r="AL800" s="618"/>
      <c r="AM800" s="618"/>
    </row>
    <row r="801" spans="4:39" s="139" customFormat="1" ht="21.6" customHeight="1" x14ac:dyDescent="0.25">
      <c r="D801" s="222"/>
      <c r="E801" s="222"/>
      <c r="F801" s="633"/>
      <c r="G801" s="647"/>
      <c r="H801" s="652"/>
      <c r="I801" s="297"/>
      <c r="J801" s="657"/>
      <c r="K801" s="802"/>
      <c r="L801" s="140"/>
      <c r="M801" s="140"/>
      <c r="N801" s="140"/>
      <c r="O801" s="297"/>
      <c r="P801" s="297"/>
      <c r="Q801" s="297"/>
      <c r="R801" s="658"/>
      <c r="S801" s="297"/>
      <c r="AA801" s="647"/>
      <c r="AB801" s="647"/>
      <c r="AC801" s="95"/>
      <c r="AD801" s="95"/>
      <c r="AE801" s="95"/>
      <c r="AF801" s="647"/>
      <c r="AG801" s="647"/>
      <c r="AH801" s="95"/>
      <c r="AI801" s="95"/>
      <c r="AJ801" s="95"/>
      <c r="AK801" s="647"/>
      <c r="AL801" s="618"/>
      <c r="AM801" s="618"/>
    </row>
    <row r="802" spans="4:39" s="139" customFormat="1" ht="21.6" customHeight="1" x14ac:dyDescent="0.25">
      <c r="D802" s="222"/>
      <c r="E802" s="222"/>
      <c r="F802" s="633"/>
      <c r="G802" s="647"/>
      <c r="H802" s="652"/>
      <c r="I802" s="297"/>
      <c r="J802" s="657"/>
      <c r="K802" s="802"/>
      <c r="L802" s="140"/>
      <c r="M802" s="140"/>
      <c r="N802" s="140"/>
      <c r="O802" s="297"/>
      <c r="P802" s="297"/>
      <c r="Q802" s="297"/>
      <c r="R802" s="658"/>
      <c r="S802" s="297"/>
      <c r="AA802" s="647"/>
      <c r="AB802" s="647"/>
      <c r="AC802" s="95"/>
      <c r="AD802" s="95"/>
      <c r="AE802" s="95"/>
      <c r="AF802" s="647"/>
      <c r="AG802" s="647"/>
      <c r="AH802" s="95"/>
      <c r="AI802" s="95"/>
      <c r="AJ802" s="95"/>
      <c r="AK802" s="647"/>
      <c r="AL802" s="618"/>
      <c r="AM802" s="618"/>
    </row>
    <row r="803" spans="4:39" s="139" customFormat="1" ht="21.6" customHeight="1" x14ac:dyDescent="0.25">
      <c r="D803" s="222"/>
      <c r="E803" s="222"/>
      <c r="F803" s="633"/>
      <c r="G803" s="647"/>
      <c r="H803" s="652"/>
      <c r="I803" s="297"/>
      <c r="J803" s="657"/>
      <c r="K803" s="802"/>
      <c r="L803" s="140"/>
      <c r="M803" s="140"/>
      <c r="N803" s="140"/>
      <c r="O803" s="297"/>
      <c r="P803" s="297"/>
      <c r="Q803" s="297"/>
      <c r="R803" s="658"/>
      <c r="S803" s="297"/>
      <c r="AA803" s="647"/>
      <c r="AB803" s="647"/>
      <c r="AC803" s="95"/>
      <c r="AD803" s="95"/>
      <c r="AE803" s="95"/>
      <c r="AF803" s="647"/>
      <c r="AG803" s="647"/>
      <c r="AH803" s="95"/>
      <c r="AI803" s="95"/>
      <c r="AJ803" s="95"/>
      <c r="AK803" s="647"/>
      <c r="AL803" s="618"/>
      <c r="AM803" s="618"/>
    </row>
    <row r="804" spans="4:39" s="139" customFormat="1" ht="21.6" customHeight="1" x14ac:dyDescent="0.25">
      <c r="D804" s="222"/>
      <c r="E804" s="222"/>
      <c r="F804" s="633"/>
      <c r="G804" s="647"/>
      <c r="H804" s="652"/>
      <c r="I804" s="297"/>
      <c r="J804" s="657"/>
      <c r="K804" s="802"/>
      <c r="L804" s="140"/>
      <c r="M804" s="140"/>
      <c r="N804" s="140"/>
      <c r="O804" s="297"/>
      <c r="P804" s="297"/>
      <c r="Q804" s="297"/>
      <c r="R804" s="658"/>
      <c r="S804" s="297"/>
      <c r="AA804" s="647"/>
      <c r="AB804" s="647"/>
      <c r="AC804" s="95"/>
      <c r="AD804" s="95"/>
      <c r="AE804" s="95"/>
      <c r="AF804" s="647"/>
      <c r="AG804" s="647"/>
      <c r="AH804" s="95"/>
      <c r="AI804" s="95"/>
      <c r="AJ804" s="95"/>
      <c r="AK804" s="647"/>
      <c r="AL804" s="618"/>
      <c r="AM804" s="618"/>
    </row>
    <row r="805" spans="4:39" s="139" customFormat="1" ht="21.6" customHeight="1" x14ac:dyDescent="0.25">
      <c r="D805" s="222"/>
      <c r="E805" s="222"/>
      <c r="F805" s="633"/>
      <c r="G805" s="647"/>
      <c r="H805" s="652"/>
      <c r="I805" s="297"/>
      <c r="J805" s="657"/>
      <c r="K805" s="802"/>
      <c r="L805" s="140"/>
      <c r="M805" s="140"/>
      <c r="N805" s="140"/>
      <c r="O805" s="297"/>
      <c r="P805" s="297"/>
      <c r="Q805" s="297"/>
      <c r="R805" s="658"/>
      <c r="S805" s="297"/>
      <c r="AA805" s="647"/>
      <c r="AB805" s="647"/>
      <c r="AC805" s="95"/>
      <c r="AD805" s="95"/>
      <c r="AE805" s="95"/>
      <c r="AF805" s="647"/>
      <c r="AG805" s="647"/>
      <c r="AH805" s="95"/>
      <c r="AI805" s="95"/>
      <c r="AJ805" s="95"/>
      <c r="AK805" s="647"/>
      <c r="AL805" s="618"/>
      <c r="AM805" s="618"/>
    </row>
    <row r="806" spans="4:39" s="139" customFormat="1" ht="21.6" customHeight="1" x14ac:dyDescent="0.25">
      <c r="D806" s="222"/>
      <c r="E806" s="222"/>
      <c r="F806" s="633"/>
      <c r="G806" s="647"/>
      <c r="H806" s="652"/>
      <c r="I806" s="297"/>
      <c r="J806" s="657"/>
      <c r="K806" s="802"/>
      <c r="L806" s="140"/>
      <c r="M806" s="140"/>
      <c r="N806" s="140"/>
      <c r="O806" s="297"/>
      <c r="P806" s="297"/>
      <c r="Q806" s="297"/>
      <c r="R806" s="658"/>
      <c r="S806" s="297"/>
      <c r="AA806" s="647"/>
      <c r="AB806" s="647"/>
      <c r="AC806" s="95"/>
      <c r="AD806" s="95"/>
      <c r="AE806" s="95"/>
      <c r="AF806" s="647"/>
      <c r="AG806" s="647"/>
      <c r="AH806" s="95"/>
      <c r="AI806" s="95"/>
      <c r="AJ806" s="95"/>
      <c r="AK806" s="647"/>
      <c r="AL806" s="618"/>
      <c r="AM806" s="618"/>
    </row>
    <row r="807" spans="4:39" s="139" customFormat="1" ht="21.6" customHeight="1" x14ac:dyDescent="0.25">
      <c r="D807" s="222"/>
      <c r="E807" s="222"/>
      <c r="F807" s="633"/>
      <c r="G807" s="647"/>
      <c r="H807" s="652"/>
      <c r="I807" s="297"/>
      <c r="J807" s="657"/>
      <c r="K807" s="802"/>
      <c r="L807" s="140"/>
      <c r="M807" s="140"/>
      <c r="N807" s="140"/>
      <c r="O807" s="297"/>
      <c r="P807" s="297"/>
      <c r="Q807" s="297"/>
      <c r="R807" s="658"/>
      <c r="S807" s="297"/>
      <c r="AA807" s="647"/>
      <c r="AB807" s="647"/>
      <c r="AC807" s="95"/>
      <c r="AD807" s="95"/>
      <c r="AE807" s="95"/>
      <c r="AF807" s="647"/>
      <c r="AG807" s="647"/>
      <c r="AH807" s="95"/>
      <c r="AI807" s="95"/>
      <c r="AJ807" s="95"/>
      <c r="AK807" s="647"/>
      <c r="AL807" s="618"/>
      <c r="AM807" s="618"/>
    </row>
    <row r="808" spans="4:39" s="139" customFormat="1" ht="21.6" customHeight="1" x14ac:dyDescent="0.25">
      <c r="D808" s="222"/>
      <c r="E808" s="222"/>
      <c r="F808" s="633"/>
      <c r="G808" s="647"/>
      <c r="H808" s="652"/>
      <c r="I808" s="297"/>
      <c r="J808" s="657"/>
      <c r="K808" s="802"/>
      <c r="L808" s="140"/>
      <c r="M808" s="140"/>
      <c r="N808" s="140"/>
      <c r="O808" s="297"/>
      <c r="P808" s="297"/>
      <c r="Q808" s="297"/>
      <c r="R808" s="658"/>
      <c r="S808" s="297"/>
      <c r="AA808" s="647"/>
      <c r="AB808" s="647"/>
      <c r="AC808" s="95"/>
      <c r="AD808" s="95"/>
      <c r="AE808" s="95"/>
      <c r="AF808" s="647"/>
      <c r="AG808" s="647"/>
      <c r="AH808" s="95"/>
      <c r="AI808" s="95"/>
      <c r="AJ808" s="95"/>
      <c r="AK808" s="647"/>
      <c r="AL808" s="618"/>
      <c r="AM808" s="618"/>
    </row>
    <row r="809" spans="4:39" s="139" customFormat="1" ht="21.6" customHeight="1" x14ac:dyDescent="0.25">
      <c r="D809" s="222"/>
      <c r="E809" s="222"/>
      <c r="F809" s="633"/>
      <c r="G809" s="647"/>
      <c r="H809" s="652"/>
      <c r="I809" s="297"/>
      <c r="J809" s="657"/>
      <c r="K809" s="802"/>
      <c r="L809" s="140"/>
      <c r="M809" s="140"/>
      <c r="N809" s="140"/>
      <c r="O809" s="297"/>
      <c r="P809" s="297"/>
      <c r="Q809" s="297"/>
      <c r="R809" s="658"/>
      <c r="S809" s="297"/>
      <c r="AA809" s="647"/>
      <c r="AB809" s="647"/>
      <c r="AC809" s="95"/>
      <c r="AD809" s="95"/>
      <c r="AE809" s="95"/>
      <c r="AF809" s="647"/>
      <c r="AG809" s="647"/>
      <c r="AH809" s="95"/>
      <c r="AI809" s="95"/>
      <c r="AJ809" s="95"/>
      <c r="AK809" s="647"/>
      <c r="AL809" s="618"/>
      <c r="AM809" s="618"/>
    </row>
    <row r="810" spans="4:39" s="139" customFormat="1" ht="21.6" customHeight="1" x14ac:dyDescent="0.25">
      <c r="D810" s="222"/>
      <c r="E810" s="222"/>
      <c r="F810" s="633"/>
      <c r="G810" s="647"/>
      <c r="H810" s="652"/>
      <c r="I810" s="297"/>
      <c r="J810" s="657"/>
      <c r="K810" s="802"/>
      <c r="L810" s="140"/>
      <c r="M810" s="140"/>
      <c r="N810" s="140"/>
      <c r="O810" s="297"/>
      <c r="P810" s="297"/>
      <c r="Q810" s="297"/>
      <c r="R810" s="658"/>
      <c r="S810" s="297"/>
      <c r="AA810" s="647"/>
      <c r="AB810" s="647"/>
      <c r="AC810" s="95"/>
      <c r="AD810" s="95"/>
      <c r="AE810" s="95"/>
      <c r="AF810" s="647"/>
      <c r="AG810" s="647"/>
      <c r="AH810" s="95"/>
      <c r="AI810" s="95"/>
      <c r="AJ810" s="95"/>
      <c r="AK810" s="647"/>
      <c r="AL810" s="618"/>
      <c r="AM810" s="618"/>
    </row>
    <row r="811" spans="4:39" s="139" customFormat="1" ht="21.6" customHeight="1" x14ac:dyDescent="0.25">
      <c r="D811" s="222"/>
      <c r="E811" s="222"/>
      <c r="F811" s="633"/>
      <c r="G811" s="647"/>
      <c r="H811" s="652"/>
      <c r="I811" s="297"/>
      <c r="J811" s="657"/>
      <c r="K811" s="802"/>
      <c r="L811" s="140"/>
      <c r="M811" s="140"/>
      <c r="N811" s="140"/>
      <c r="O811" s="297"/>
      <c r="P811" s="297"/>
      <c r="Q811" s="297"/>
      <c r="R811" s="658"/>
      <c r="S811" s="297"/>
      <c r="AA811" s="647"/>
      <c r="AB811" s="647"/>
      <c r="AC811" s="95"/>
      <c r="AD811" s="95"/>
      <c r="AE811" s="95"/>
      <c r="AF811" s="647"/>
      <c r="AG811" s="647"/>
      <c r="AH811" s="95"/>
      <c r="AI811" s="95"/>
      <c r="AJ811" s="95"/>
      <c r="AK811" s="647"/>
      <c r="AL811" s="618"/>
      <c r="AM811" s="618"/>
    </row>
    <row r="812" spans="4:39" s="139" customFormat="1" ht="21.6" customHeight="1" x14ac:dyDescent="0.25">
      <c r="D812" s="222"/>
      <c r="E812" s="222"/>
      <c r="F812" s="633"/>
      <c r="G812" s="647"/>
      <c r="H812" s="652"/>
      <c r="I812" s="297"/>
      <c r="J812" s="657"/>
      <c r="K812" s="802"/>
      <c r="L812" s="140"/>
      <c r="M812" s="140"/>
      <c r="N812" s="140"/>
      <c r="O812" s="297"/>
      <c r="P812" s="297"/>
      <c r="Q812" s="297"/>
      <c r="R812" s="658"/>
      <c r="S812" s="297"/>
      <c r="AA812" s="647"/>
      <c r="AB812" s="647"/>
      <c r="AC812" s="95"/>
      <c r="AD812" s="95"/>
      <c r="AE812" s="95"/>
      <c r="AF812" s="647"/>
      <c r="AG812" s="647"/>
      <c r="AH812" s="95"/>
      <c r="AI812" s="95"/>
      <c r="AJ812" s="95"/>
      <c r="AK812" s="647"/>
      <c r="AL812" s="618"/>
      <c r="AM812" s="618"/>
    </row>
    <row r="813" spans="4:39" s="139" customFormat="1" ht="21.6" customHeight="1" x14ac:dyDescent="0.25">
      <c r="D813" s="222"/>
      <c r="E813" s="222"/>
      <c r="F813" s="633"/>
      <c r="G813" s="647"/>
      <c r="H813" s="652"/>
      <c r="I813" s="297"/>
      <c r="J813" s="657"/>
      <c r="K813" s="802"/>
      <c r="L813" s="140"/>
      <c r="M813" s="140"/>
      <c r="N813" s="140"/>
      <c r="O813" s="297"/>
      <c r="P813" s="297"/>
      <c r="Q813" s="297"/>
      <c r="R813" s="658"/>
      <c r="S813" s="297"/>
      <c r="AA813" s="647"/>
      <c r="AB813" s="647"/>
      <c r="AC813" s="95"/>
      <c r="AD813" s="95"/>
      <c r="AE813" s="95"/>
      <c r="AF813" s="647"/>
      <c r="AG813" s="647"/>
      <c r="AH813" s="95"/>
      <c r="AI813" s="95"/>
      <c r="AJ813" s="95"/>
      <c r="AK813" s="647"/>
      <c r="AL813" s="618"/>
      <c r="AM813" s="618"/>
    </row>
    <row r="814" spans="4:39" s="139" customFormat="1" ht="21.6" customHeight="1" x14ac:dyDescent="0.25">
      <c r="D814" s="222"/>
      <c r="E814" s="222"/>
      <c r="F814" s="633"/>
      <c r="G814" s="647"/>
      <c r="H814" s="652"/>
      <c r="I814" s="297"/>
      <c r="J814" s="657"/>
      <c r="K814" s="802"/>
      <c r="L814" s="140"/>
      <c r="M814" s="140"/>
      <c r="N814" s="140"/>
      <c r="O814" s="297"/>
      <c r="P814" s="297"/>
      <c r="Q814" s="297"/>
      <c r="R814" s="658"/>
      <c r="S814" s="297"/>
      <c r="AA814" s="647"/>
      <c r="AB814" s="647"/>
      <c r="AC814" s="95"/>
      <c r="AD814" s="95"/>
      <c r="AE814" s="95"/>
      <c r="AF814" s="647"/>
      <c r="AG814" s="647"/>
      <c r="AH814" s="95"/>
      <c r="AI814" s="95"/>
      <c r="AJ814" s="95"/>
      <c r="AK814" s="647"/>
      <c r="AL814" s="618"/>
      <c r="AM814" s="618"/>
    </row>
    <row r="815" spans="4:39" s="139" customFormat="1" ht="21.6" customHeight="1" x14ac:dyDescent="0.25">
      <c r="D815" s="222"/>
      <c r="E815" s="222"/>
      <c r="F815" s="633"/>
      <c r="G815" s="647"/>
      <c r="H815" s="652"/>
      <c r="I815" s="297"/>
      <c r="J815" s="657"/>
      <c r="K815" s="802"/>
      <c r="L815" s="140"/>
      <c r="M815" s="140"/>
      <c r="N815" s="140"/>
      <c r="O815" s="297"/>
      <c r="P815" s="297"/>
      <c r="Q815" s="297"/>
      <c r="R815" s="658"/>
      <c r="S815" s="297"/>
      <c r="AA815" s="647"/>
      <c r="AB815" s="647"/>
      <c r="AC815" s="95"/>
      <c r="AD815" s="95"/>
      <c r="AE815" s="95"/>
      <c r="AF815" s="647"/>
      <c r="AG815" s="647"/>
      <c r="AH815" s="95"/>
      <c r="AI815" s="95"/>
      <c r="AJ815" s="95"/>
      <c r="AK815" s="647"/>
      <c r="AL815" s="618"/>
      <c r="AM815" s="618"/>
    </row>
    <row r="816" spans="4:39" s="139" customFormat="1" ht="21.6" customHeight="1" x14ac:dyDescent="0.25">
      <c r="D816" s="222"/>
      <c r="E816" s="222"/>
      <c r="F816" s="633"/>
      <c r="G816" s="647"/>
      <c r="H816" s="652"/>
      <c r="I816" s="297"/>
      <c r="J816" s="657"/>
      <c r="K816" s="802"/>
      <c r="L816" s="140"/>
      <c r="M816" s="140"/>
      <c r="N816" s="140"/>
      <c r="O816" s="297"/>
      <c r="P816" s="297"/>
      <c r="Q816" s="297"/>
      <c r="R816" s="658"/>
      <c r="S816" s="297"/>
      <c r="AA816" s="647"/>
      <c r="AB816" s="647"/>
      <c r="AC816" s="95"/>
      <c r="AD816" s="95"/>
      <c r="AE816" s="95"/>
      <c r="AF816" s="647"/>
      <c r="AG816" s="647"/>
      <c r="AH816" s="95"/>
      <c r="AI816" s="95"/>
      <c r="AJ816" s="95"/>
      <c r="AK816" s="647"/>
      <c r="AL816" s="618"/>
      <c r="AM816" s="618"/>
    </row>
    <row r="817" spans="4:39" s="139" customFormat="1" ht="21.6" customHeight="1" x14ac:dyDescent="0.25">
      <c r="D817" s="222"/>
      <c r="E817" s="222"/>
      <c r="F817" s="633"/>
      <c r="G817" s="647"/>
      <c r="H817" s="652"/>
      <c r="I817" s="297"/>
      <c r="J817" s="657"/>
      <c r="K817" s="802"/>
      <c r="L817" s="140"/>
      <c r="M817" s="140"/>
      <c r="N817" s="140"/>
      <c r="O817" s="297"/>
      <c r="P817" s="297"/>
      <c r="Q817" s="297"/>
      <c r="R817" s="658"/>
      <c r="S817" s="297"/>
      <c r="AA817" s="647"/>
      <c r="AB817" s="647"/>
      <c r="AC817" s="95"/>
      <c r="AD817" s="95"/>
      <c r="AE817" s="95"/>
      <c r="AF817" s="647"/>
      <c r="AG817" s="647"/>
      <c r="AH817" s="95"/>
      <c r="AI817" s="95"/>
      <c r="AJ817" s="95"/>
      <c r="AK817" s="647"/>
      <c r="AL817" s="618"/>
      <c r="AM817" s="618"/>
    </row>
    <row r="818" spans="4:39" s="139" customFormat="1" ht="21.6" customHeight="1" x14ac:dyDescent="0.25">
      <c r="D818" s="222"/>
      <c r="E818" s="222"/>
      <c r="F818" s="633"/>
      <c r="G818" s="647"/>
      <c r="H818" s="652"/>
      <c r="I818" s="297"/>
      <c r="J818" s="657"/>
      <c r="K818" s="802"/>
      <c r="L818" s="140"/>
      <c r="M818" s="140"/>
      <c r="N818" s="140"/>
      <c r="O818" s="297"/>
      <c r="P818" s="297"/>
      <c r="Q818" s="297"/>
      <c r="R818" s="658"/>
      <c r="S818" s="297"/>
      <c r="AA818" s="647"/>
      <c r="AB818" s="647"/>
      <c r="AC818" s="95"/>
      <c r="AD818" s="95"/>
      <c r="AE818" s="95"/>
      <c r="AF818" s="647"/>
      <c r="AG818" s="647"/>
      <c r="AH818" s="95"/>
      <c r="AI818" s="95"/>
      <c r="AJ818" s="95"/>
      <c r="AK818" s="647"/>
      <c r="AL818" s="618"/>
      <c r="AM818" s="618"/>
    </row>
    <row r="819" spans="4:39" s="139" customFormat="1" ht="21.6" customHeight="1" x14ac:dyDescent="0.25">
      <c r="D819" s="222"/>
      <c r="E819" s="222"/>
      <c r="F819" s="633"/>
      <c r="G819" s="647"/>
      <c r="H819" s="652"/>
      <c r="I819" s="297"/>
      <c r="J819" s="657"/>
      <c r="K819" s="802"/>
      <c r="L819" s="140"/>
      <c r="M819" s="140"/>
      <c r="N819" s="140"/>
      <c r="O819" s="297"/>
      <c r="P819" s="297"/>
      <c r="Q819" s="297"/>
      <c r="R819" s="658"/>
      <c r="S819" s="297"/>
      <c r="AA819" s="647"/>
      <c r="AB819" s="647"/>
      <c r="AC819" s="95"/>
      <c r="AD819" s="95"/>
      <c r="AE819" s="95"/>
      <c r="AF819" s="647"/>
      <c r="AG819" s="647"/>
      <c r="AH819" s="95"/>
      <c r="AI819" s="95"/>
      <c r="AJ819" s="95"/>
      <c r="AK819" s="647"/>
      <c r="AL819" s="618"/>
      <c r="AM819" s="618"/>
    </row>
    <row r="820" spans="4:39" s="139" customFormat="1" ht="21.6" customHeight="1" x14ac:dyDescent="0.25">
      <c r="D820" s="222"/>
      <c r="E820" s="222"/>
      <c r="F820" s="633"/>
      <c r="G820" s="647"/>
      <c r="H820" s="652"/>
      <c r="I820" s="297"/>
      <c r="J820" s="657"/>
      <c r="K820" s="802"/>
      <c r="L820" s="140"/>
      <c r="M820" s="140"/>
      <c r="N820" s="140"/>
      <c r="O820" s="297"/>
      <c r="P820" s="297"/>
      <c r="Q820" s="297"/>
      <c r="R820" s="658"/>
      <c r="S820" s="297"/>
      <c r="AA820" s="647"/>
      <c r="AB820" s="647"/>
      <c r="AC820" s="95"/>
      <c r="AD820" s="95"/>
      <c r="AE820" s="95"/>
      <c r="AF820" s="647"/>
      <c r="AG820" s="647"/>
      <c r="AH820" s="95"/>
      <c r="AI820" s="95"/>
      <c r="AJ820" s="95"/>
      <c r="AK820" s="647"/>
      <c r="AL820" s="618"/>
      <c r="AM820" s="618"/>
    </row>
    <row r="821" spans="4:39" s="139" customFormat="1" ht="21.6" customHeight="1" x14ac:dyDescent="0.25">
      <c r="D821" s="222"/>
      <c r="E821" s="222"/>
      <c r="F821" s="633"/>
      <c r="G821" s="647"/>
      <c r="H821" s="652"/>
      <c r="I821" s="297"/>
      <c r="J821" s="657"/>
      <c r="K821" s="802"/>
      <c r="L821" s="140"/>
      <c r="M821" s="140"/>
      <c r="N821" s="140"/>
      <c r="O821" s="297"/>
      <c r="P821" s="297"/>
      <c r="Q821" s="297"/>
      <c r="R821" s="658"/>
      <c r="S821" s="297"/>
      <c r="AA821" s="647"/>
      <c r="AB821" s="647"/>
      <c r="AC821" s="95"/>
      <c r="AD821" s="95"/>
      <c r="AE821" s="95"/>
      <c r="AF821" s="647"/>
      <c r="AG821" s="647"/>
      <c r="AH821" s="95"/>
      <c r="AI821" s="95"/>
      <c r="AJ821" s="95"/>
      <c r="AK821" s="647"/>
      <c r="AL821" s="618"/>
      <c r="AM821" s="618"/>
    </row>
    <row r="822" spans="4:39" s="139" customFormat="1" ht="21.6" customHeight="1" x14ac:dyDescent="0.25">
      <c r="D822" s="222"/>
      <c r="E822" s="222"/>
      <c r="F822" s="633"/>
      <c r="G822" s="647"/>
      <c r="H822" s="652"/>
      <c r="I822" s="297"/>
      <c r="J822" s="657"/>
      <c r="K822" s="802"/>
      <c r="L822" s="140"/>
      <c r="M822" s="140"/>
      <c r="N822" s="140"/>
      <c r="O822" s="297"/>
      <c r="P822" s="297"/>
      <c r="Q822" s="297"/>
      <c r="R822" s="658"/>
      <c r="S822" s="297"/>
      <c r="AA822" s="647"/>
      <c r="AB822" s="647"/>
      <c r="AC822" s="95"/>
      <c r="AD822" s="95"/>
      <c r="AE822" s="95"/>
      <c r="AF822" s="647"/>
      <c r="AG822" s="647"/>
      <c r="AH822" s="95"/>
      <c r="AI822" s="95"/>
      <c r="AJ822" s="95"/>
      <c r="AK822" s="647"/>
      <c r="AL822" s="618"/>
      <c r="AM822" s="618"/>
    </row>
    <row r="823" spans="4:39" s="139" customFormat="1" ht="21.6" customHeight="1" x14ac:dyDescent="0.25">
      <c r="D823" s="222"/>
      <c r="E823" s="222"/>
      <c r="F823" s="633"/>
      <c r="G823" s="647"/>
      <c r="H823" s="652"/>
      <c r="I823" s="297"/>
      <c r="J823" s="657"/>
      <c r="K823" s="802"/>
      <c r="L823" s="140"/>
      <c r="M823" s="140"/>
      <c r="N823" s="140"/>
      <c r="O823" s="297"/>
      <c r="P823" s="297"/>
      <c r="Q823" s="297"/>
      <c r="R823" s="658"/>
      <c r="S823" s="297"/>
      <c r="AA823" s="647"/>
      <c r="AB823" s="647"/>
      <c r="AC823" s="95"/>
      <c r="AD823" s="95"/>
      <c r="AE823" s="95"/>
      <c r="AF823" s="647"/>
      <c r="AG823" s="647"/>
      <c r="AH823" s="95"/>
      <c r="AI823" s="95"/>
      <c r="AJ823" s="95"/>
      <c r="AK823" s="647"/>
      <c r="AL823" s="618"/>
      <c r="AM823" s="618"/>
    </row>
    <row r="824" spans="4:39" s="139" customFormat="1" ht="21.6" customHeight="1" x14ac:dyDescent="0.25">
      <c r="D824" s="222"/>
      <c r="E824" s="222"/>
      <c r="F824" s="633"/>
      <c r="G824" s="647"/>
      <c r="H824" s="652"/>
      <c r="I824" s="297"/>
      <c r="J824" s="657"/>
      <c r="K824" s="802"/>
      <c r="L824" s="140"/>
      <c r="M824" s="140"/>
      <c r="N824" s="140"/>
      <c r="O824" s="297"/>
      <c r="P824" s="297"/>
      <c r="Q824" s="297"/>
      <c r="R824" s="658"/>
      <c r="S824" s="297"/>
      <c r="AA824" s="647"/>
      <c r="AB824" s="647"/>
      <c r="AC824" s="95"/>
      <c r="AD824" s="95"/>
      <c r="AE824" s="95"/>
      <c r="AF824" s="647"/>
      <c r="AG824" s="647"/>
      <c r="AH824" s="95"/>
      <c r="AI824" s="95"/>
      <c r="AJ824" s="95"/>
      <c r="AK824" s="647"/>
      <c r="AL824" s="618"/>
      <c r="AM824" s="618"/>
    </row>
    <row r="825" spans="4:39" s="139" customFormat="1" ht="21.6" customHeight="1" x14ac:dyDescent="0.25">
      <c r="D825" s="222"/>
      <c r="E825" s="222"/>
      <c r="F825" s="633"/>
      <c r="G825" s="647"/>
      <c r="H825" s="652"/>
      <c r="I825" s="297"/>
      <c r="J825" s="657"/>
      <c r="K825" s="802"/>
      <c r="L825" s="140"/>
      <c r="M825" s="140"/>
      <c r="N825" s="140"/>
      <c r="O825" s="297"/>
      <c r="P825" s="297"/>
      <c r="Q825" s="297"/>
      <c r="R825" s="658"/>
      <c r="S825" s="297"/>
      <c r="AA825" s="647"/>
      <c r="AB825" s="647"/>
      <c r="AC825" s="95"/>
      <c r="AD825" s="95"/>
      <c r="AE825" s="95"/>
      <c r="AF825" s="647"/>
      <c r="AG825" s="647"/>
      <c r="AH825" s="95"/>
      <c r="AI825" s="95"/>
      <c r="AJ825" s="95"/>
      <c r="AK825" s="647"/>
      <c r="AL825" s="618"/>
      <c r="AM825" s="618"/>
    </row>
    <row r="826" spans="4:39" s="139" customFormat="1" ht="21.6" customHeight="1" x14ac:dyDescent="0.25">
      <c r="D826" s="222"/>
      <c r="E826" s="222"/>
      <c r="F826" s="633"/>
      <c r="G826" s="647"/>
      <c r="H826" s="652"/>
      <c r="I826" s="297"/>
      <c r="J826" s="657"/>
      <c r="K826" s="802"/>
      <c r="L826" s="140"/>
      <c r="M826" s="140"/>
      <c r="N826" s="140"/>
      <c r="O826" s="297"/>
      <c r="P826" s="297"/>
      <c r="Q826" s="297"/>
      <c r="R826" s="658"/>
      <c r="S826" s="297"/>
      <c r="AA826" s="647"/>
      <c r="AB826" s="647"/>
      <c r="AC826" s="95"/>
      <c r="AD826" s="95"/>
      <c r="AE826" s="95"/>
      <c r="AF826" s="647"/>
      <c r="AG826" s="647"/>
      <c r="AH826" s="95"/>
      <c r="AI826" s="95"/>
      <c r="AJ826" s="95"/>
      <c r="AK826" s="647"/>
      <c r="AL826" s="618"/>
      <c r="AM826" s="618"/>
    </row>
    <row r="827" spans="4:39" s="139" customFormat="1" ht="21.6" customHeight="1" x14ac:dyDescent="0.25">
      <c r="D827" s="222"/>
      <c r="E827" s="222"/>
      <c r="F827" s="633"/>
      <c r="G827" s="647"/>
      <c r="H827" s="652"/>
      <c r="I827" s="297"/>
      <c r="J827" s="657"/>
      <c r="K827" s="802"/>
      <c r="L827" s="140"/>
      <c r="M827" s="140"/>
      <c r="N827" s="140"/>
      <c r="O827" s="297"/>
      <c r="P827" s="297"/>
      <c r="Q827" s="297"/>
      <c r="R827" s="658"/>
      <c r="S827" s="297"/>
      <c r="AA827" s="647"/>
      <c r="AB827" s="647"/>
      <c r="AC827" s="95"/>
      <c r="AD827" s="95"/>
      <c r="AE827" s="95"/>
      <c r="AF827" s="647"/>
      <c r="AG827" s="647"/>
      <c r="AH827" s="95"/>
      <c r="AI827" s="95"/>
      <c r="AJ827" s="95"/>
      <c r="AK827" s="647"/>
      <c r="AL827" s="618"/>
      <c r="AM827" s="618"/>
    </row>
    <row r="828" spans="4:39" s="139" customFormat="1" ht="21.6" customHeight="1" x14ac:dyDescent="0.25">
      <c r="D828" s="222"/>
      <c r="E828" s="222"/>
      <c r="F828" s="633"/>
      <c r="G828" s="647"/>
      <c r="H828" s="652"/>
      <c r="I828" s="297"/>
      <c r="J828" s="657"/>
      <c r="K828" s="802"/>
      <c r="L828" s="140"/>
      <c r="M828" s="140"/>
      <c r="N828" s="140"/>
      <c r="O828" s="297"/>
      <c r="P828" s="297"/>
      <c r="Q828" s="297"/>
      <c r="R828" s="658"/>
      <c r="S828" s="297"/>
      <c r="AA828" s="647"/>
      <c r="AB828" s="647"/>
      <c r="AC828" s="95"/>
      <c r="AD828" s="95"/>
      <c r="AE828" s="95"/>
      <c r="AF828" s="647"/>
      <c r="AG828" s="647"/>
      <c r="AH828" s="95"/>
      <c r="AI828" s="95"/>
      <c r="AJ828" s="95"/>
      <c r="AK828" s="647"/>
      <c r="AL828" s="618"/>
      <c r="AM828" s="618"/>
    </row>
    <row r="829" spans="4:39" s="139" customFormat="1" ht="21.6" customHeight="1" x14ac:dyDescent="0.25">
      <c r="D829" s="222"/>
      <c r="E829" s="222"/>
      <c r="F829" s="633"/>
      <c r="G829" s="647"/>
      <c r="H829" s="652"/>
      <c r="I829" s="297"/>
      <c r="J829" s="657"/>
      <c r="K829" s="802"/>
      <c r="L829" s="140"/>
      <c r="M829" s="140"/>
      <c r="N829" s="140"/>
      <c r="O829" s="297"/>
      <c r="P829" s="297"/>
      <c r="Q829" s="297"/>
      <c r="R829" s="658"/>
      <c r="S829" s="297"/>
      <c r="AA829" s="647"/>
      <c r="AB829" s="647"/>
      <c r="AC829" s="95"/>
      <c r="AD829" s="95"/>
      <c r="AE829" s="95"/>
      <c r="AF829" s="647"/>
      <c r="AG829" s="647"/>
      <c r="AH829" s="95"/>
      <c r="AI829" s="95"/>
      <c r="AJ829" s="95"/>
      <c r="AK829" s="647"/>
      <c r="AL829" s="618"/>
      <c r="AM829" s="618"/>
    </row>
    <row r="830" spans="4:39" s="139" customFormat="1" ht="21.6" customHeight="1" x14ac:dyDescent="0.25">
      <c r="D830" s="222"/>
      <c r="E830" s="222"/>
      <c r="F830" s="633"/>
      <c r="G830" s="647"/>
      <c r="H830" s="652"/>
      <c r="I830" s="297"/>
      <c r="J830" s="657"/>
      <c r="K830" s="802"/>
      <c r="L830" s="140"/>
      <c r="M830" s="140"/>
      <c r="N830" s="140"/>
      <c r="O830" s="297"/>
      <c r="P830" s="297"/>
      <c r="Q830" s="297"/>
      <c r="R830" s="658"/>
      <c r="S830" s="297"/>
      <c r="AA830" s="647"/>
      <c r="AB830" s="647"/>
      <c r="AC830" s="95"/>
      <c r="AD830" s="95"/>
      <c r="AE830" s="95"/>
      <c r="AF830" s="647"/>
      <c r="AG830" s="647"/>
      <c r="AH830" s="95"/>
      <c r="AI830" s="95"/>
      <c r="AJ830" s="95"/>
      <c r="AK830" s="647"/>
      <c r="AL830" s="618"/>
      <c r="AM830" s="618"/>
    </row>
    <row r="831" spans="4:39" s="139" customFormat="1" ht="21.6" customHeight="1" x14ac:dyDescent="0.25">
      <c r="D831" s="222"/>
      <c r="E831" s="222"/>
      <c r="F831" s="633"/>
      <c r="G831" s="647"/>
      <c r="H831" s="652"/>
      <c r="I831" s="297"/>
      <c r="J831" s="657"/>
      <c r="K831" s="802"/>
      <c r="L831" s="140"/>
      <c r="M831" s="140"/>
      <c r="N831" s="140"/>
      <c r="O831" s="297"/>
      <c r="P831" s="297"/>
      <c r="Q831" s="297"/>
      <c r="R831" s="658"/>
      <c r="S831" s="297"/>
      <c r="AA831" s="647"/>
      <c r="AB831" s="647"/>
      <c r="AC831" s="95"/>
      <c r="AD831" s="95"/>
      <c r="AE831" s="95"/>
      <c r="AF831" s="647"/>
      <c r="AG831" s="647"/>
      <c r="AH831" s="95"/>
      <c r="AI831" s="95"/>
      <c r="AJ831" s="95"/>
      <c r="AK831" s="647"/>
      <c r="AL831" s="618"/>
      <c r="AM831" s="618"/>
    </row>
    <row r="832" spans="4:39" s="139" customFormat="1" ht="21.6" customHeight="1" x14ac:dyDescent="0.25">
      <c r="D832" s="222"/>
      <c r="E832" s="222"/>
      <c r="F832" s="633"/>
      <c r="G832" s="647"/>
      <c r="H832" s="652"/>
      <c r="I832" s="297"/>
      <c r="J832" s="657"/>
      <c r="K832" s="802"/>
      <c r="L832" s="140"/>
      <c r="M832" s="140"/>
      <c r="N832" s="140"/>
      <c r="O832" s="297"/>
      <c r="P832" s="297"/>
      <c r="Q832" s="297"/>
      <c r="R832" s="658"/>
      <c r="S832" s="297"/>
      <c r="AA832" s="647"/>
      <c r="AB832" s="647"/>
      <c r="AC832" s="95"/>
      <c r="AD832" s="95"/>
      <c r="AE832" s="95"/>
      <c r="AF832" s="647"/>
      <c r="AG832" s="647"/>
      <c r="AH832" s="95"/>
      <c r="AI832" s="95"/>
      <c r="AJ832" s="95"/>
      <c r="AK832" s="647"/>
      <c r="AL832" s="618"/>
      <c r="AM832" s="618"/>
    </row>
    <row r="833" spans="4:39" s="139" customFormat="1" ht="21.6" customHeight="1" x14ac:dyDescent="0.25">
      <c r="D833" s="222"/>
      <c r="E833" s="222"/>
      <c r="F833" s="633"/>
      <c r="G833" s="647"/>
      <c r="H833" s="652"/>
      <c r="I833" s="297"/>
      <c r="J833" s="657"/>
      <c r="K833" s="802"/>
      <c r="L833" s="140"/>
      <c r="M833" s="140"/>
      <c r="N833" s="140"/>
      <c r="O833" s="297"/>
      <c r="P833" s="297"/>
      <c r="Q833" s="297"/>
      <c r="R833" s="658"/>
      <c r="S833" s="297"/>
      <c r="AA833" s="647"/>
      <c r="AB833" s="647"/>
      <c r="AC833" s="95"/>
      <c r="AD833" s="95"/>
      <c r="AE833" s="95"/>
      <c r="AF833" s="647"/>
      <c r="AG833" s="647"/>
      <c r="AH833" s="95"/>
      <c r="AI833" s="95"/>
      <c r="AJ833" s="95"/>
      <c r="AK833" s="647"/>
      <c r="AL833" s="618"/>
      <c r="AM833" s="618"/>
    </row>
    <row r="834" spans="4:39" s="139" customFormat="1" ht="21.6" customHeight="1" x14ac:dyDescent="0.25">
      <c r="D834" s="222"/>
      <c r="E834" s="222"/>
      <c r="F834" s="633"/>
      <c r="G834" s="647"/>
      <c r="H834" s="652"/>
      <c r="I834" s="297"/>
      <c r="J834" s="657"/>
      <c r="K834" s="802"/>
      <c r="L834" s="140"/>
      <c r="M834" s="140"/>
      <c r="N834" s="140"/>
      <c r="O834" s="297"/>
      <c r="P834" s="297"/>
      <c r="Q834" s="297"/>
      <c r="R834" s="658"/>
      <c r="S834" s="297"/>
      <c r="AA834" s="647"/>
      <c r="AB834" s="647"/>
      <c r="AC834" s="95"/>
      <c r="AD834" s="95"/>
      <c r="AE834" s="95"/>
      <c r="AF834" s="647"/>
      <c r="AG834" s="647"/>
      <c r="AH834" s="95"/>
      <c r="AI834" s="95"/>
      <c r="AJ834" s="95"/>
      <c r="AK834" s="647"/>
      <c r="AL834" s="618"/>
      <c r="AM834" s="618"/>
    </row>
    <row r="835" spans="4:39" s="139" customFormat="1" ht="21.6" customHeight="1" x14ac:dyDescent="0.25">
      <c r="D835" s="222"/>
      <c r="E835" s="222"/>
      <c r="F835" s="633"/>
      <c r="G835" s="647"/>
      <c r="H835" s="652"/>
      <c r="I835" s="297"/>
      <c r="J835" s="657"/>
      <c r="K835" s="802"/>
      <c r="L835" s="140"/>
      <c r="M835" s="140"/>
      <c r="N835" s="140"/>
      <c r="O835" s="297"/>
      <c r="P835" s="297"/>
      <c r="Q835" s="297"/>
      <c r="R835" s="658"/>
      <c r="S835" s="297"/>
      <c r="AA835" s="647"/>
      <c r="AB835" s="647"/>
      <c r="AC835" s="95"/>
      <c r="AD835" s="95"/>
      <c r="AE835" s="95"/>
      <c r="AF835" s="647"/>
      <c r="AG835" s="647"/>
      <c r="AH835" s="95"/>
      <c r="AI835" s="95"/>
      <c r="AJ835" s="95"/>
      <c r="AK835" s="647"/>
      <c r="AL835" s="618"/>
      <c r="AM835" s="618"/>
    </row>
    <row r="836" spans="4:39" s="139" customFormat="1" ht="21.6" customHeight="1" x14ac:dyDescent="0.25">
      <c r="D836" s="222"/>
      <c r="E836" s="222"/>
      <c r="F836" s="633"/>
      <c r="G836" s="647"/>
      <c r="H836" s="652"/>
      <c r="I836" s="297"/>
      <c r="J836" s="657"/>
      <c r="K836" s="802"/>
      <c r="L836" s="140"/>
      <c r="M836" s="140"/>
      <c r="N836" s="140"/>
      <c r="O836" s="297"/>
      <c r="P836" s="297"/>
      <c r="Q836" s="297"/>
      <c r="R836" s="658"/>
      <c r="S836" s="297"/>
      <c r="AA836" s="647"/>
      <c r="AB836" s="647"/>
      <c r="AC836" s="95"/>
      <c r="AD836" s="95"/>
      <c r="AE836" s="95"/>
      <c r="AF836" s="647"/>
      <c r="AG836" s="647"/>
      <c r="AH836" s="95"/>
      <c r="AI836" s="95"/>
      <c r="AJ836" s="95"/>
      <c r="AK836" s="647"/>
      <c r="AL836" s="618"/>
      <c r="AM836" s="618"/>
    </row>
    <row r="837" spans="4:39" s="139" customFormat="1" ht="21.6" customHeight="1" x14ac:dyDescent="0.25">
      <c r="D837" s="222"/>
      <c r="E837" s="222"/>
      <c r="F837" s="633"/>
      <c r="G837" s="647"/>
      <c r="H837" s="652"/>
      <c r="I837" s="297"/>
      <c r="J837" s="657"/>
      <c r="K837" s="802"/>
      <c r="L837" s="140"/>
      <c r="M837" s="140"/>
      <c r="N837" s="140"/>
      <c r="O837" s="297"/>
      <c r="P837" s="297"/>
      <c r="Q837" s="297"/>
      <c r="R837" s="658"/>
      <c r="S837" s="297"/>
      <c r="AA837" s="647"/>
      <c r="AB837" s="647"/>
      <c r="AC837" s="95"/>
      <c r="AD837" s="95"/>
      <c r="AE837" s="95"/>
      <c r="AF837" s="647"/>
      <c r="AG837" s="647"/>
      <c r="AH837" s="95"/>
      <c r="AI837" s="95"/>
      <c r="AJ837" s="95"/>
      <c r="AK837" s="647"/>
      <c r="AL837" s="618"/>
      <c r="AM837" s="618"/>
    </row>
    <row r="838" spans="4:39" s="139" customFormat="1" ht="21.6" customHeight="1" x14ac:dyDescent="0.25">
      <c r="D838" s="222"/>
      <c r="E838" s="222"/>
      <c r="F838" s="633"/>
      <c r="G838" s="647"/>
      <c r="H838" s="652"/>
      <c r="I838" s="297"/>
      <c r="J838" s="657"/>
      <c r="K838" s="802"/>
      <c r="L838" s="140"/>
      <c r="M838" s="140"/>
      <c r="N838" s="140"/>
      <c r="O838" s="297"/>
      <c r="P838" s="297"/>
      <c r="Q838" s="297"/>
      <c r="R838" s="658"/>
      <c r="S838" s="297"/>
      <c r="AA838" s="647"/>
      <c r="AB838" s="647"/>
      <c r="AC838" s="95"/>
      <c r="AD838" s="95"/>
      <c r="AE838" s="95"/>
      <c r="AF838" s="647"/>
      <c r="AG838" s="647"/>
      <c r="AH838" s="95"/>
      <c r="AI838" s="95"/>
      <c r="AJ838" s="95"/>
      <c r="AK838" s="647"/>
      <c r="AL838" s="618"/>
      <c r="AM838" s="618"/>
    </row>
    <row r="839" spans="4:39" s="139" customFormat="1" ht="21.6" customHeight="1" x14ac:dyDescent="0.25">
      <c r="D839" s="222"/>
      <c r="E839" s="222"/>
      <c r="F839" s="633"/>
      <c r="G839" s="647"/>
      <c r="H839" s="652"/>
      <c r="I839" s="297"/>
      <c r="J839" s="657"/>
      <c r="K839" s="802"/>
      <c r="L839" s="140"/>
      <c r="M839" s="140"/>
      <c r="N839" s="140"/>
      <c r="O839" s="297"/>
      <c r="P839" s="297"/>
      <c r="Q839" s="297"/>
      <c r="R839" s="658"/>
      <c r="S839" s="297"/>
      <c r="AA839" s="647"/>
      <c r="AB839" s="647"/>
      <c r="AC839" s="95"/>
      <c r="AD839" s="95"/>
      <c r="AE839" s="95"/>
      <c r="AF839" s="647"/>
      <c r="AG839" s="647"/>
      <c r="AH839" s="95"/>
      <c r="AI839" s="95"/>
      <c r="AJ839" s="95"/>
      <c r="AK839" s="647"/>
      <c r="AL839" s="618"/>
      <c r="AM839" s="618"/>
    </row>
    <row r="840" spans="4:39" s="139" customFormat="1" ht="21.6" customHeight="1" x14ac:dyDescent="0.25">
      <c r="D840" s="222"/>
      <c r="E840" s="222"/>
      <c r="F840" s="633"/>
      <c r="G840" s="647"/>
      <c r="H840" s="652"/>
      <c r="I840" s="297"/>
      <c r="J840" s="657"/>
      <c r="K840" s="802"/>
      <c r="L840" s="140"/>
      <c r="M840" s="140"/>
      <c r="N840" s="140"/>
      <c r="O840" s="297"/>
      <c r="P840" s="297"/>
      <c r="Q840" s="297"/>
      <c r="R840" s="658"/>
      <c r="S840" s="297"/>
      <c r="AA840" s="647"/>
      <c r="AB840" s="647"/>
      <c r="AC840" s="95"/>
      <c r="AD840" s="95"/>
      <c r="AE840" s="95"/>
      <c r="AF840" s="647"/>
      <c r="AG840" s="647"/>
      <c r="AH840" s="95"/>
      <c r="AI840" s="95"/>
      <c r="AJ840" s="95"/>
      <c r="AK840" s="647"/>
      <c r="AL840" s="618"/>
      <c r="AM840" s="618"/>
    </row>
    <row r="841" spans="4:39" s="139" customFormat="1" ht="21.6" customHeight="1" x14ac:dyDescent="0.25">
      <c r="D841" s="222"/>
      <c r="E841" s="222"/>
      <c r="F841" s="633"/>
      <c r="G841" s="647"/>
      <c r="H841" s="652"/>
      <c r="I841" s="297"/>
      <c r="J841" s="657"/>
      <c r="K841" s="802"/>
      <c r="L841" s="140"/>
      <c r="M841" s="140"/>
      <c r="N841" s="140"/>
      <c r="O841" s="297"/>
      <c r="P841" s="297"/>
      <c r="Q841" s="297"/>
      <c r="R841" s="658"/>
      <c r="S841" s="297"/>
      <c r="AA841" s="647"/>
      <c r="AB841" s="647"/>
      <c r="AC841" s="95"/>
      <c r="AD841" s="95"/>
      <c r="AE841" s="95"/>
      <c r="AF841" s="647"/>
      <c r="AG841" s="647"/>
      <c r="AH841" s="95"/>
      <c r="AI841" s="95"/>
      <c r="AJ841" s="95"/>
      <c r="AK841" s="647"/>
      <c r="AL841" s="618"/>
      <c r="AM841" s="618"/>
    </row>
    <row r="842" spans="4:39" s="139" customFormat="1" ht="21.6" customHeight="1" x14ac:dyDescent="0.25">
      <c r="D842" s="222"/>
      <c r="E842" s="222"/>
      <c r="F842" s="633"/>
      <c r="G842" s="647"/>
      <c r="H842" s="652"/>
      <c r="I842" s="297"/>
      <c r="J842" s="657"/>
      <c r="K842" s="802"/>
      <c r="L842" s="140"/>
      <c r="M842" s="140"/>
      <c r="N842" s="140"/>
      <c r="O842" s="297"/>
      <c r="P842" s="297"/>
      <c r="Q842" s="297"/>
      <c r="R842" s="658"/>
      <c r="S842" s="297"/>
      <c r="AA842" s="647"/>
      <c r="AB842" s="647"/>
      <c r="AC842" s="95"/>
      <c r="AD842" s="95"/>
      <c r="AE842" s="95"/>
      <c r="AF842" s="647"/>
      <c r="AG842" s="647"/>
      <c r="AH842" s="95"/>
      <c r="AI842" s="95"/>
      <c r="AJ842" s="95"/>
      <c r="AK842" s="647"/>
      <c r="AL842" s="618"/>
      <c r="AM842" s="618"/>
    </row>
    <row r="843" spans="4:39" s="139" customFormat="1" ht="21.6" customHeight="1" x14ac:dyDescent="0.25">
      <c r="D843" s="222"/>
      <c r="E843" s="222"/>
      <c r="F843" s="633"/>
      <c r="G843" s="647"/>
      <c r="H843" s="652"/>
      <c r="I843" s="297"/>
      <c r="J843" s="657"/>
      <c r="K843" s="802"/>
      <c r="L843" s="140"/>
      <c r="M843" s="140"/>
      <c r="N843" s="140"/>
      <c r="O843" s="297"/>
      <c r="P843" s="297"/>
      <c r="Q843" s="297"/>
      <c r="R843" s="658"/>
      <c r="S843" s="297"/>
      <c r="AA843" s="647"/>
      <c r="AB843" s="647"/>
      <c r="AC843" s="95"/>
      <c r="AD843" s="95"/>
      <c r="AE843" s="95"/>
      <c r="AF843" s="647"/>
      <c r="AG843" s="647"/>
      <c r="AH843" s="95"/>
      <c r="AI843" s="95"/>
      <c r="AJ843" s="95"/>
      <c r="AK843" s="647"/>
      <c r="AL843" s="618"/>
      <c r="AM843" s="618"/>
    </row>
    <row r="844" spans="4:39" s="139" customFormat="1" ht="21.6" customHeight="1" x14ac:dyDescent="0.25">
      <c r="D844" s="222"/>
      <c r="E844" s="222"/>
      <c r="F844" s="633"/>
      <c r="G844" s="647"/>
      <c r="H844" s="652"/>
      <c r="I844" s="297"/>
      <c r="J844" s="657"/>
      <c r="K844" s="802"/>
      <c r="L844" s="140"/>
      <c r="M844" s="140"/>
      <c r="N844" s="140"/>
      <c r="O844" s="297"/>
      <c r="P844" s="297"/>
      <c r="Q844" s="297"/>
      <c r="R844" s="658"/>
      <c r="S844" s="297"/>
      <c r="AA844" s="647"/>
      <c r="AB844" s="647"/>
      <c r="AC844" s="95"/>
      <c r="AD844" s="95"/>
      <c r="AE844" s="95"/>
      <c r="AF844" s="647"/>
      <c r="AG844" s="647"/>
      <c r="AH844" s="95"/>
      <c r="AI844" s="95"/>
      <c r="AJ844" s="95"/>
      <c r="AK844" s="647"/>
      <c r="AL844" s="618"/>
      <c r="AM844" s="618"/>
    </row>
    <row r="845" spans="4:39" s="139" customFormat="1" ht="21.6" customHeight="1" x14ac:dyDescent="0.25">
      <c r="D845" s="222"/>
      <c r="E845" s="222"/>
      <c r="F845" s="633"/>
      <c r="G845" s="647"/>
      <c r="H845" s="652"/>
      <c r="I845" s="297"/>
      <c r="J845" s="657"/>
      <c r="K845" s="802"/>
      <c r="L845" s="140"/>
      <c r="M845" s="140"/>
      <c r="N845" s="140"/>
      <c r="O845" s="297"/>
      <c r="P845" s="297"/>
      <c r="Q845" s="297"/>
      <c r="R845" s="658"/>
      <c r="S845" s="297"/>
      <c r="AA845" s="647"/>
      <c r="AB845" s="647"/>
      <c r="AC845" s="95"/>
      <c r="AD845" s="95"/>
      <c r="AE845" s="95"/>
      <c r="AF845" s="647"/>
      <c r="AG845" s="647"/>
      <c r="AH845" s="95"/>
      <c r="AI845" s="95"/>
      <c r="AJ845" s="95"/>
      <c r="AK845" s="647"/>
      <c r="AL845" s="618"/>
      <c r="AM845" s="618"/>
    </row>
    <row r="846" spans="4:39" s="139" customFormat="1" ht="21.6" customHeight="1" x14ac:dyDescent="0.25">
      <c r="D846" s="222"/>
      <c r="E846" s="222"/>
      <c r="F846" s="633"/>
      <c r="G846" s="647"/>
      <c r="H846" s="652"/>
      <c r="I846" s="297"/>
      <c r="J846" s="657"/>
      <c r="K846" s="802"/>
      <c r="L846" s="140"/>
      <c r="M846" s="140"/>
      <c r="N846" s="140"/>
      <c r="O846" s="297"/>
      <c r="P846" s="297"/>
      <c r="Q846" s="297"/>
      <c r="R846" s="658"/>
      <c r="S846" s="297"/>
      <c r="AA846" s="647"/>
      <c r="AB846" s="647"/>
      <c r="AC846" s="95"/>
      <c r="AD846" s="95"/>
      <c r="AE846" s="95"/>
      <c r="AF846" s="647"/>
      <c r="AG846" s="647"/>
      <c r="AH846" s="95"/>
      <c r="AI846" s="95"/>
      <c r="AJ846" s="95"/>
      <c r="AK846" s="647"/>
      <c r="AL846" s="618"/>
      <c r="AM846" s="618"/>
    </row>
    <row r="847" spans="4:39" s="139" customFormat="1" ht="21.6" customHeight="1" x14ac:dyDescent="0.25">
      <c r="D847" s="222"/>
      <c r="E847" s="222"/>
      <c r="F847" s="633"/>
      <c r="G847" s="647"/>
      <c r="H847" s="652"/>
      <c r="I847" s="297"/>
      <c r="J847" s="657"/>
      <c r="K847" s="802"/>
      <c r="L847" s="140"/>
      <c r="M847" s="140"/>
      <c r="N847" s="140"/>
      <c r="O847" s="297"/>
      <c r="P847" s="297"/>
      <c r="Q847" s="297"/>
      <c r="R847" s="658"/>
      <c r="S847" s="297"/>
      <c r="AA847" s="647"/>
      <c r="AB847" s="647"/>
      <c r="AC847" s="95"/>
      <c r="AD847" s="95"/>
      <c r="AE847" s="95"/>
      <c r="AF847" s="647"/>
      <c r="AG847" s="647"/>
      <c r="AH847" s="95"/>
      <c r="AI847" s="95"/>
      <c r="AJ847" s="95"/>
      <c r="AK847" s="647"/>
      <c r="AL847" s="618"/>
      <c r="AM847" s="618"/>
    </row>
    <row r="848" spans="4:39" s="139" customFormat="1" ht="21.6" customHeight="1" x14ac:dyDescent="0.25">
      <c r="D848" s="222"/>
      <c r="E848" s="222"/>
      <c r="F848" s="633"/>
      <c r="G848" s="647"/>
      <c r="H848" s="652"/>
      <c r="I848" s="297"/>
      <c r="J848" s="657"/>
      <c r="K848" s="802"/>
      <c r="L848" s="140"/>
      <c r="M848" s="140"/>
      <c r="N848" s="140"/>
      <c r="O848" s="297"/>
      <c r="P848" s="297"/>
      <c r="Q848" s="297"/>
      <c r="R848" s="658"/>
      <c r="S848" s="297"/>
      <c r="AA848" s="647"/>
      <c r="AB848" s="647"/>
      <c r="AC848" s="95"/>
      <c r="AD848" s="95"/>
      <c r="AE848" s="95"/>
      <c r="AF848" s="647"/>
      <c r="AG848" s="647"/>
      <c r="AH848" s="95"/>
      <c r="AI848" s="95"/>
      <c r="AJ848" s="95"/>
      <c r="AK848" s="647"/>
      <c r="AL848" s="618"/>
      <c r="AM848" s="618"/>
    </row>
    <row r="849" spans="4:39" s="139" customFormat="1" ht="21.6" customHeight="1" x14ac:dyDescent="0.25">
      <c r="D849" s="222"/>
      <c r="E849" s="222"/>
      <c r="F849" s="633"/>
      <c r="G849" s="647"/>
      <c r="H849" s="652"/>
      <c r="I849" s="297"/>
      <c r="J849" s="657"/>
      <c r="K849" s="802"/>
      <c r="L849" s="140"/>
      <c r="M849" s="140"/>
      <c r="N849" s="140"/>
      <c r="O849" s="297"/>
      <c r="P849" s="297"/>
      <c r="Q849" s="297"/>
      <c r="R849" s="658"/>
      <c r="S849" s="297"/>
      <c r="AA849" s="647"/>
      <c r="AB849" s="647"/>
      <c r="AC849" s="95"/>
      <c r="AD849" s="95"/>
      <c r="AE849" s="95"/>
      <c r="AF849" s="647"/>
      <c r="AG849" s="647"/>
      <c r="AH849" s="95"/>
      <c r="AI849" s="95"/>
      <c r="AJ849" s="95"/>
      <c r="AK849" s="647"/>
      <c r="AL849" s="618"/>
      <c r="AM849" s="618"/>
    </row>
    <row r="850" spans="4:39" s="139" customFormat="1" ht="21.6" customHeight="1" x14ac:dyDescent="0.25">
      <c r="D850" s="222"/>
      <c r="E850" s="222"/>
      <c r="F850" s="633"/>
      <c r="G850" s="647"/>
      <c r="H850" s="652"/>
      <c r="I850" s="297"/>
      <c r="J850" s="657"/>
      <c r="K850" s="802"/>
      <c r="L850" s="140"/>
      <c r="M850" s="140"/>
      <c r="N850" s="140"/>
      <c r="O850" s="297"/>
      <c r="P850" s="297"/>
      <c r="Q850" s="297"/>
      <c r="R850" s="658"/>
      <c r="S850" s="297"/>
      <c r="AA850" s="647"/>
      <c r="AB850" s="647"/>
      <c r="AC850" s="95"/>
      <c r="AD850" s="95"/>
      <c r="AE850" s="95"/>
      <c r="AF850" s="647"/>
      <c r="AG850" s="647"/>
      <c r="AH850" s="95"/>
      <c r="AI850" s="95"/>
      <c r="AJ850" s="95"/>
      <c r="AK850" s="647"/>
      <c r="AL850" s="618"/>
      <c r="AM850" s="618"/>
    </row>
    <row r="851" spans="4:39" s="139" customFormat="1" ht="21.6" customHeight="1" x14ac:dyDescent="0.25">
      <c r="D851" s="222"/>
      <c r="E851" s="222"/>
      <c r="F851" s="633"/>
      <c r="G851" s="647"/>
      <c r="H851" s="652"/>
      <c r="I851" s="297"/>
      <c r="J851" s="657"/>
      <c r="K851" s="802"/>
      <c r="L851" s="140"/>
      <c r="M851" s="140"/>
      <c r="N851" s="140"/>
      <c r="O851" s="297"/>
      <c r="P851" s="297"/>
      <c r="Q851" s="297"/>
      <c r="R851" s="658"/>
      <c r="S851" s="297"/>
      <c r="AA851" s="647"/>
      <c r="AB851" s="647"/>
      <c r="AC851" s="95"/>
      <c r="AD851" s="95"/>
      <c r="AE851" s="95"/>
      <c r="AF851" s="647"/>
      <c r="AG851" s="647"/>
      <c r="AH851" s="95"/>
      <c r="AI851" s="95"/>
      <c r="AJ851" s="95"/>
      <c r="AK851" s="647"/>
      <c r="AL851" s="618"/>
      <c r="AM851" s="618"/>
    </row>
    <row r="852" spans="4:39" s="139" customFormat="1" ht="21.6" customHeight="1" x14ac:dyDescent="0.25">
      <c r="D852" s="222"/>
      <c r="E852" s="222"/>
      <c r="F852" s="633"/>
      <c r="G852" s="647"/>
      <c r="H852" s="652"/>
      <c r="I852" s="297"/>
      <c r="J852" s="657"/>
      <c r="K852" s="802"/>
      <c r="L852" s="140"/>
      <c r="M852" s="140"/>
      <c r="N852" s="140"/>
      <c r="O852" s="297"/>
      <c r="P852" s="297"/>
      <c r="Q852" s="297"/>
      <c r="R852" s="658"/>
      <c r="S852" s="297"/>
      <c r="AA852" s="647"/>
      <c r="AB852" s="647"/>
      <c r="AC852" s="95"/>
      <c r="AD852" s="95"/>
      <c r="AE852" s="95"/>
      <c r="AF852" s="647"/>
      <c r="AG852" s="647"/>
      <c r="AH852" s="95"/>
      <c r="AI852" s="95"/>
      <c r="AJ852" s="95"/>
      <c r="AK852" s="647"/>
      <c r="AL852" s="618"/>
      <c r="AM852" s="618"/>
    </row>
    <row r="853" spans="4:39" s="139" customFormat="1" ht="21.6" customHeight="1" x14ac:dyDescent="0.25">
      <c r="D853" s="222"/>
      <c r="E853" s="222"/>
      <c r="F853" s="633"/>
      <c r="G853" s="647"/>
      <c r="H853" s="652"/>
      <c r="I853" s="297"/>
      <c r="J853" s="657"/>
      <c r="K853" s="802"/>
      <c r="L853" s="140"/>
      <c r="M853" s="140"/>
      <c r="N853" s="140"/>
      <c r="O853" s="297"/>
      <c r="P853" s="297"/>
      <c r="Q853" s="297"/>
      <c r="R853" s="658"/>
      <c r="S853" s="297"/>
      <c r="AA853" s="647"/>
      <c r="AB853" s="647"/>
      <c r="AC853" s="95"/>
      <c r="AD853" s="95"/>
      <c r="AE853" s="95"/>
      <c r="AF853" s="647"/>
      <c r="AG853" s="647"/>
      <c r="AH853" s="95"/>
      <c r="AI853" s="95"/>
      <c r="AJ853" s="95"/>
      <c r="AK853" s="647"/>
      <c r="AL853" s="618"/>
      <c r="AM853" s="618"/>
    </row>
    <row r="854" spans="4:39" s="139" customFormat="1" ht="21.6" customHeight="1" x14ac:dyDescent="0.25">
      <c r="D854" s="222"/>
      <c r="E854" s="222"/>
      <c r="F854" s="633"/>
      <c r="G854" s="647"/>
      <c r="H854" s="652"/>
      <c r="I854" s="297"/>
      <c r="J854" s="657"/>
      <c r="K854" s="802"/>
      <c r="L854" s="140"/>
      <c r="M854" s="140"/>
      <c r="N854" s="140"/>
      <c r="O854" s="297"/>
      <c r="P854" s="297"/>
      <c r="Q854" s="297"/>
      <c r="R854" s="658"/>
      <c r="S854" s="297"/>
      <c r="AA854" s="647"/>
      <c r="AB854" s="647"/>
      <c r="AC854" s="95"/>
      <c r="AD854" s="95"/>
      <c r="AE854" s="95"/>
      <c r="AF854" s="647"/>
      <c r="AG854" s="647"/>
      <c r="AH854" s="95"/>
      <c r="AI854" s="95"/>
      <c r="AJ854" s="95"/>
      <c r="AK854" s="647"/>
      <c r="AL854" s="618"/>
      <c r="AM854" s="618"/>
    </row>
    <row r="855" spans="4:39" s="139" customFormat="1" ht="21.6" customHeight="1" x14ac:dyDescent="0.25">
      <c r="D855" s="222"/>
      <c r="E855" s="222"/>
      <c r="F855" s="633"/>
      <c r="G855" s="647"/>
      <c r="H855" s="652"/>
      <c r="I855" s="297"/>
      <c r="J855" s="657"/>
      <c r="K855" s="802"/>
      <c r="L855" s="140"/>
      <c r="M855" s="140"/>
      <c r="N855" s="140"/>
      <c r="O855" s="297"/>
      <c r="P855" s="297"/>
      <c r="Q855" s="297"/>
      <c r="R855" s="658"/>
      <c r="S855" s="297"/>
      <c r="AA855" s="647"/>
      <c r="AB855" s="647"/>
      <c r="AC855" s="95"/>
      <c r="AD855" s="95"/>
      <c r="AE855" s="95"/>
      <c r="AF855" s="647"/>
      <c r="AG855" s="647"/>
      <c r="AH855" s="95"/>
      <c r="AI855" s="95"/>
      <c r="AJ855" s="95"/>
      <c r="AK855" s="647"/>
      <c r="AL855" s="618"/>
      <c r="AM855" s="618"/>
    </row>
    <row r="856" spans="4:39" s="139" customFormat="1" ht="21.6" customHeight="1" x14ac:dyDescent="0.25">
      <c r="D856" s="222"/>
      <c r="E856" s="222"/>
      <c r="F856" s="633"/>
      <c r="G856" s="647"/>
      <c r="H856" s="652"/>
      <c r="I856" s="297"/>
      <c r="J856" s="657"/>
      <c r="K856" s="802"/>
      <c r="L856" s="140"/>
      <c r="M856" s="140"/>
      <c r="N856" s="140"/>
      <c r="O856" s="297"/>
      <c r="P856" s="297"/>
      <c r="Q856" s="297"/>
      <c r="R856" s="658"/>
      <c r="S856" s="297"/>
      <c r="AA856" s="647"/>
      <c r="AB856" s="647"/>
      <c r="AC856" s="95"/>
      <c r="AD856" s="95"/>
      <c r="AE856" s="95"/>
      <c r="AF856" s="647"/>
      <c r="AG856" s="647"/>
      <c r="AH856" s="95"/>
      <c r="AI856" s="95"/>
      <c r="AJ856" s="95"/>
      <c r="AK856" s="647"/>
      <c r="AL856" s="618"/>
      <c r="AM856" s="618"/>
    </row>
    <row r="857" spans="4:39" s="139" customFormat="1" ht="21.6" customHeight="1" x14ac:dyDescent="0.25">
      <c r="D857" s="222"/>
      <c r="E857" s="222"/>
      <c r="F857" s="633"/>
      <c r="G857" s="647"/>
      <c r="H857" s="652"/>
      <c r="I857" s="297"/>
      <c r="J857" s="657"/>
      <c r="K857" s="802"/>
      <c r="L857" s="140"/>
      <c r="M857" s="140"/>
      <c r="N857" s="140"/>
      <c r="O857" s="297"/>
      <c r="P857" s="297"/>
      <c r="Q857" s="297"/>
      <c r="R857" s="658"/>
      <c r="S857" s="297"/>
      <c r="AA857" s="647"/>
      <c r="AB857" s="647"/>
      <c r="AC857" s="95"/>
      <c r="AD857" s="95"/>
      <c r="AE857" s="95"/>
      <c r="AF857" s="647"/>
      <c r="AG857" s="647"/>
      <c r="AH857" s="95"/>
      <c r="AI857" s="95"/>
      <c r="AJ857" s="95"/>
      <c r="AK857" s="647"/>
      <c r="AL857" s="618"/>
      <c r="AM857" s="618"/>
    </row>
    <row r="858" spans="4:39" s="139" customFormat="1" ht="21.6" customHeight="1" x14ac:dyDescent="0.25">
      <c r="D858" s="222"/>
      <c r="E858" s="222"/>
      <c r="F858" s="633"/>
      <c r="G858" s="647"/>
      <c r="H858" s="652"/>
      <c r="I858" s="297"/>
      <c r="J858" s="657"/>
      <c r="K858" s="802"/>
      <c r="L858" s="140"/>
      <c r="M858" s="140"/>
      <c r="N858" s="140"/>
      <c r="O858" s="297"/>
      <c r="P858" s="297"/>
      <c r="Q858" s="297"/>
      <c r="R858" s="658"/>
      <c r="S858" s="297"/>
      <c r="AA858" s="647"/>
      <c r="AB858" s="647"/>
      <c r="AC858" s="95"/>
      <c r="AD858" s="95"/>
      <c r="AE858" s="95"/>
      <c r="AF858" s="647"/>
      <c r="AG858" s="647"/>
      <c r="AH858" s="95"/>
      <c r="AI858" s="95"/>
      <c r="AJ858" s="95"/>
      <c r="AK858" s="647"/>
      <c r="AL858" s="618"/>
      <c r="AM858" s="618"/>
    </row>
    <row r="859" spans="4:39" s="139" customFormat="1" ht="21.6" customHeight="1" x14ac:dyDescent="0.25">
      <c r="D859" s="222"/>
      <c r="E859" s="222"/>
      <c r="F859" s="633"/>
      <c r="G859" s="647"/>
      <c r="H859" s="652"/>
      <c r="I859" s="297"/>
      <c r="J859" s="657"/>
      <c r="K859" s="802"/>
      <c r="L859" s="140"/>
      <c r="M859" s="140"/>
      <c r="N859" s="140"/>
      <c r="O859" s="297"/>
      <c r="P859" s="297"/>
      <c r="Q859" s="297"/>
      <c r="R859" s="658"/>
      <c r="S859" s="297"/>
      <c r="AA859" s="647"/>
      <c r="AB859" s="647"/>
      <c r="AC859" s="95"/>
      <c r="AD859" s="95"/>
      <c r="AE859" s="95"/>
      <c r="AF859" s="647"/>
      <c r="AG859" s="647"/>
      <c r="AH859" s="95"/>
      <c r="AI859" s="95"/>
      <c r="AJ859" s="95"/>
      <c r="AK859" s="647"/>
      <c r="AL859" s="618"/>
      <c r="AM859" s="618"/>
    </row>
    <row r="860" spans="4:39" s="139" customFormat="1" ht="21.6" customHeight="1" x14ac:dyDescent="0.25">
      <c r="D860" s="222"/>
      <c r="E860" s="222"/>
      <c r="F860" s="633"/>
      <c r="G860" s="647"/>
      <c r="H860" s="652"/>
      <c r="I860" s="297"/>
      <c r="J860" s="657"/>
      <c r="K860" s="802"/>
      <c r="L860" s="140"/>
      <c r="M860" s="140"/>
      <c r="N860" s="140"/>
      <c r="O860" s="297"/>
      <c r="P860" s="297"/>
      <c r="Q860" s="297"/>
      <c r="R860" s="658"/>
      <c r="S860" s="297"/>
      <c r="AA860" s="647"/>
      <c r="AB860" s="647"/>
      <c r="AC860" s="95"/>
      <c r="AD860" s="95"/>
      <c r="AE860" s="95"/>
      <c r="AF860" s="647"/>
      <c r="AG860" s="647"/>
      <c r="AH860" s="95"/>
      <c r="AI860" s="95"/>
      <c r="AJ860" s="95"/>
      <c r="AK860" s="647"/>
      <c r="AL860" s="618"/>
      <c r="AM860" s="618"/>
    </row>
    <row r="861" spans="4:39" s="139" customFormat="1" ht="21.6" customHeight="1" x14ac:dyDescent="0.25">
      <c r="D861" s="222"/>
      <c r="E861" s="222"/>
      <c r="F861" s="633"/>
      <c r="G861" s="647"/>
      <c r="H861" s="652"/>
      <c r="I861" s="297"/>
      <c r="J861" s="657"/>
      <c r="K861" s="802"/>
      <c r="L861" s="140"/>
      <c r="M861" s="140"/>
      <c r="N861" s="140"/>
      <c r="O861" s="297"/>
      <c r="P861" s="297"/>
      <c r="Q861" s="297"/>
      <c r="R861" s="658"/>
      <c r="S861" s="297"/>
      <c r="AA861" s="647"/>
      <c r="AB861" s="647"/>
      <c r="AC861" s="95"/>
      <c r="AD861" s="95"/>
      <c r="AE861" s="95"/>
      <c r="AF861" s="647"/>
      <c r="AG861" s="647"/>
      <c r="AH861" s="95"/>
      <c r="AI861" s="95"/>
      <c r="AJ861" s="95"/>
      <c r="AK861" s="647"/>
      <c r="AL861" s="618"/>
      <c r="AM861" s="618"/>
    </row>
    <row r="862" spans="4:39" s="139" customFormat="1" ht="21.6" customHeight="1" x14ac:dyDescent="0.25">
      <c r="D862" s="222"/>
      <c r="E862" s="222"/>
      <c r="F862" s="633"/>
      <c r="G862" s="647"/>
      <c r="H862" s="652"/>
      <c r="I862" s="297"/>
      <c r="J862" s="657"/>
      <c r="K862" s="802"/>
      <c r="L862" s="140"/>
      <c r="M862" s="140"/>
      <c r="N862" s="140"/>
      <c r="O862" s="297"/>
      <c r="P862" s="297"/>
      <c r="Q862" s="297"/>
      <c r="R862" s="658"/>
      <c r="S862" s="297"/>
      <c r="AA862" s="647"/>
      <c r="AB862" s="647"/>
      <c r="AC862" s="95"/>
      <c r="AD862" s="95"/>
      <c r="AE862" s="95"/>
      <c r="AF862" s="647"/>
      <c r="AG862" s="647"/>
      <c r="AH862" s="95"/>
      <c r="AI862" s="95"/>
      <c r="AJ862" s="95"/>
      <c r="AK862" s="647"/>
      <c r="AL862" s="618"/>
      <c r="AM862" s="618"/>
    </row>
    <row r="863" spans="4:39" s="139" customFormat="1" ht="21.6" customHeight="1" x14ac:dyDescent="0.25">
      <c r="D863" s="222"/>
      <c r="E863" s="222"/>
      <c r="F863" s="633"/>
      <c r="G863" s="647"/>
      <c r="H863" s="652"/>
      <c r="I863" s="297"/>
      <c r="J863" s="657"/>
      <c r="K863" s="802"/>
      <c r="L863" s="140"/>
      <c r="M863" s="140"/>
      <c r="N863" s="140"/>
      <c r="O863" s="297"/>
      <c r="P863" s="297"/>
      <c r="Q863" s="297"/>
      <c r="R863" s="658"/>
      <c r="S863" s="297"/>
      <c r="AA863" s="647"/>
      <c r="AB863" s="647"/>
      <c r="AC863" s="95"/>
      <c r="AD863" s="95"/>
      <c r="AE863" s="95"/>
      <c r="AF863" s="647"/>
      <c r="AG863" s="647"/>
      <c r="AH863" s="95"/>
      <c r="AI863" s="95"/>
      <c r="AJ863" s="95"/>
      <c r="AK863" s="647"/>
      <c r="AL863" s="618"/>
      <c r="AM863" s="618"/>
    </row>
    <row r="864" spans="4:39" s="139" customFormat="1" ht="21.6" customHeight="1" x14ac:dyDescent="0.25">
      <c r="D864" s="222"/>
      <c r="E864" s="222"/>
      <c r="F864" s="633"/>
      <c r="G864" s="647"/>
      <c r="H864" s="652"/>
      <c r="I864" s="297"/>
      <c r="J864" s="657"/>
      <c r="K864" s="802"/>
      <c r="L864" s="140"/>
      <c r="M864" s="140"/>
      <c r="N864" s="140"/>
      <c r="O864" s="297"/>
      <c r="P864" s="297"/>
      <c r="Q864" s="297"/>
      <c r="R864" s="658"/>
      <c r="S864" s="297"/>
      <c r="AA864" s="647"/>
      <c r="AB864" s="647"/>
      <c r="AC864" s="95"/>
      <c r="AD864" s="95"/>
      <c r="AE864" s="95"/>
      <c r="AF864" s="647"/>
      <c r="AG864" s="647"/>
      <c r="AH864" s="95"/>
      <c r="AI864" s="95"/>
      <c r="AJ864" s="95"/>
      <c r="AK864" s="647"/>
      <c r="AL864" s="618"/>
      <c r="AM864" s="618"/>
    </row>
    <row r="865" spans="4:39" s="139" customFormat="1" ht="21.6" customHeight="1" x14ac:dyDescent="0.25">
      <c r="D865" s="222"/>
      <c r="E865" s="222"/>
      <c r="F865" s="633"/>
      <c r="G865" s="647"/>
      <c r="H865" s="652"/>
      <c r="I865" s="297"/>
      <c r="J865" s="657"/>
      <c r="K865" s="802"/>
      <c r="L865" s="140"/>
      <c r="M865" s="140"/>
      <c r="N865" s="140"/>
      <c r="O865" s="297"/>
      <c r="P865" s="297"/>
      <c r="Q865" s="297"/>
      <c r="R865" s="658"/>
      <c r="S865" s="297"/>
      <c r="AA865" s="647"/>
      <c r="AB865" s="647"/>
      <c r="AC865" s="95"/>
      <c r="AD865" s="95"/>
      <c r="AE865" s="95"/>
      <c r="AF865" s="647"/>
      <c r="AG865" s="647"/>
      <c r="AH865" s="95"/>
      <c r="AI865" s="95"/>
      <c r="AJ865" s="95"/>
      <c r="AK865" s="647"/>
      <c r="AL865" s="618"/>
      <c r="AM865" s="618"/>
    </row>
    <row r="866" spans="4:39" s="139" customFormat="1" ht="21.6" customHeight="1" x14ac:dyDescent="0.25">
      <c r="D866" s="222"/>
      <c r="E866" s="222"/>
      <c r="F866" s="633"/>
      <c r="G866" s="647"/>
      <c r="H866" s="652"/>
      <c r="I866" s="297"/>
      <c r="J866" s="657"/>
      <c r="K866" s="802"/>
      <c r="L866" s="140"/>
      <c r="M866" s="140"/>
      <c r="N866" s="140"/>
      <c r="O866" s="297"/>
      <c r="P866" s="297"/>
      <c r="Q866" s="297"/>
      <c r="R866" s="658"/>
      <c r="S866" s="297"/>
      <c r="AA866" s="647"/>
      <c r="AB866" s="647"/>
      <c r="AC866" s="95"/>
      <c r="AD866" s="95"/>
      <c r="AE866" s="95"/>
      <c r="AF866" s="647"/>
      <c r="AG866" s="647"/>
      <c r="AH866" s="95"/>
      <c r="AI866" s="95"/>
      <c r="AJ866" s="95"/>
      <c r="AK866" s="647"/>
      <c r="AL866" s="618"/>
      <c r="AM866" s="618"/>
    </row>
    <row r="867" spans="4:39" s="139" customFormat="1" ht="21.6" customHeight="1" x14ac:dyDescent="0.25">
      <c r="D867" s="222"/>
      <c r="E867" s="222"/>
      <c r="F867" s="633"/>
      <c r="G867" s="647"/>
      <c r="H867" s="652"/>
      <c r="I867" s="297"/>
      <c r="J867" s="657"/>
      <c r="K867" s="802"/>
      <c r="L867" s="140"/>
      <c r="M867" s="140"/>
      <c r="N867" s="140"/>
      <c r="O867" s="297"/>
      <c r="P867" s="297"/>
      <c r="Q867" s="297"/>
      <c r="R867" s="658"/>
      <c r="S867" s="297"/>
      <c r="AA867" s="647"/>
      <c r="AB867" s="647"/>
      <c r="AC867" s="95"/>
      <c r="AD867" s="95"/>
      <c r="AE867" s="95"/>
      <c r="AF867" s="647"/>
      <c r="AG867" s="647"/>
      <c r="AH867" s="95"/>
      <c r="AI867" s="95"/>
      <c r="AJ867" s="95"/>
      <c r="AK867" s="647"/>
      <c r="AL867" s="618"/>
      <c r="AM867" s="618"/>
    </row>
    <row r="868" spans="4:39" s="139" customFormat="1" ht="21.6" customHeight="1" x14ac:dyDescent="0.25">
      <c r="D868" s="222"/>
      <c r="E868" s="222"/>
      <c r="F868" s="633"/>
      <c r="G868" s="647"/>
      <c r="H868" s="652"/>
      <c r="I868" s="297"/>
      <c r="J868" s="657"/>
      <c r="K868" s="802"/>
      <c r="L868" s="140"/>
      <c r="M868" s="140"/>
      <c r="N868" s="140"/>
      <c r="O868" s="297"/>
      <c r="P868" s="297"/>
      <c r="Q868" s="297"/>
      <c r="R868" s="658"/>
      <c r="S868" s="297"/>
      <c r="AA868" s="647"/>
      <c r="AB868" s="647"/>
      <c r="AC868" s="95"/>
      <c r="AD868" s="95"/>
      <c r="AE868" s="95"/>
      <c r="AF868" s="647"/>
      <c r="AG868" s="647"/>
      <c r="AH868" s="95"/>
      <c r="AI868" s="95"/>
      <c r="AJ868" s="95"/>
      <c r="AK868" s="647"/>
      <c r="AL868" s="618"/>
      <c r="AM868" s="618"/>
    </row>
    <row r="869" spans="4:39" s="139" customFormat="1" ht="21.6" customHeight="1" x14ac:dyDescent="0.25">
      <c r="D869" s="222"/>
      <c r="E869" s="222"/>
      <c r="F869" s="633"/>
      <c r="G869" s="647"/>
      <c r="H869" s="652"/>
      <c r="I869" s="297"/>
      <c r="J869" s="657"/>
      <c r="K869" s="802"/>
      <c r="L869" s="140"/>
      <c r="M869" s="140"/>
      <c r="N869" s="140"/>
      <c r="O869" s="297"/>
      <c r="P869" s="297"/>
      <c r="Q869" s="297"/>
      <c r="R869" s="658"/>
      <c r="S869" s="297"/>
      <c r="AA869" s="647"/>
      <c r="AB869" s="647"/>
      <c r="AC869" s="95"/>
      <c r="AD869" s="95"/>
      <c r="AE869" s="95"/>
      <c r="AF869" s="647"/>
      <c r="AG869" s="647"/>
      <c r="AH869" s="95"/>
      <c r="AI869" s="95"/>
      <c r="AJ869" s="95"/>
      <c r="AK869" s="647"/>
      <c r="AL869" s="618"/>
      <c r="AM869" s="618"/>
    </row>
    <row r="870" spans="4:39" s="139" customFormat="1" ht="21.6" customHeight="1" x14ac:dyDescent="0.25">
      <c r="D870" s="222"/>
      <c r="E870" s="222"/>
      <c r="F870" s="633"/>
      <c r="G870" s="647"/>
      <c r="H870" s="652"/>
      <c r="I870" s="297"/>
      <c r="J870" s="657"/>
      <c r="K870" s="802"/>
      <c r="L870" s="140"/>
      <c r="M870" s="140"/>
      <c r="N870" s="140"/>
      <c r="O870" s="297"/>
      <c r="P870" s="297"/>
      <c r="Q870" s="297"/>
      <c r="R870" s="658"/>
      <c r="S870" s="297"/>
      <c r="AA870" s="647"/>
      <c r="AB870" s="647"/>
      <c r="AC870" s="95"/>
      <c r="AD870" s="95"/>
      <c r="AE870" s="95"/>
      <c r="AF870" s="647"/>
      <c r="AG870" s="647"/>
      <c r="AH870" s="95"/>
      <c r="AI870" s="95"/>
      <c r="AJ870" s="95"/>
      <c r="AK870" s="647"/>
      <c r="AL870" s="618"/>
      <c r="AM870" s="618"/>
    </row>
    <row r="871" spans="4:39" s="139" customFormat="1" ht="21.6" customHeight="1" x14ac:dyDescent="0.25">
      <c r="D871" s="222"/>
      <c r="E871" s="222"/>
      <c r="F871" s="633"/>
      <c r="G871" s="647"/>
      <c r="H871" s="652"/>
      <c r="I871" s="297"/>
      <c r="J871" s="657"/>
      <c r="K871" s="802"/>
      <c r="L871" s="140"/>
      <c r="M871" s="140"/>
      <c r="N871" s="140"/>
      <c r="O871" s="297"/>
      <c r="P871" s="297"/>
      <c r="Q871" s="297"/>
      <c r="R871" s="658"/>
      <c r="S871" s="297"/>
      <c r="AA871" s="647"/>
      <c r="AB871" s="647"/>
      <c r="AC871" s="95"/>
      <c r="AD871" s="95"/>
      <c r="AE871" s="95"/>
      <c r="AF871" s="647"/>
      <c r="AG871" s="647"/>
      <c r="AH871" s="95"/>
      <c r="AI871" s="95"/>
      <c r="AJ871" s="95"/>
      <c r="AK871" s="647"/>
      <c r="AL871" s="618"/>
      <c r="AM871" s="618"/>
    </row>
    <row r="872" spans="4:39" s="139" customFormat="1" ht="21.6" customHeight="1" x14ac:dyDescent="0.25">
      <c r="D872" s="222"/>
      <c r="E872" s="222"/>
      <c r="F872" s="633"/>
      <c r="G872" s="647"/>
      <c r="H872" s="652"/>
      <c r="I872" s="297"/>
      <c r="J872" s="657"/>
      <c r="K872" s="802"/>
      <c r="L872" s="140"/>
      <c r="M872" s="140"/>
      <c r="N872" s="140"/>
      <c r="O872" s="297"/>
      <c r="P872" s="297"/>
      <c r="Q872" s="297"/>
      <c r="R872" s="658"/>
      <c r="S872" s="297"/>
      <c r="AA872" s="647"/>
      <c r="AB872" s="647"/>
      <c r="AC872" s="95"/>
      <c r="AD872" s="95"/>
      <c r="AE872" s="95"/>
      <c r="AF872" s="647"/>
      <c r="AG872" s="647"/>
      <c r="AH872" s="95"/>
      <c r="AI872" s="95"/>
      <c r="AJ872" s="95"/>
      <c r="AK872" s="647"/>
      <c r="AL872" s="618"/>
      <c r="AM872" s="618"/>
    </row>
    <row r="873" spans="4:39" s="139" customFormat="1" ht="21.6" customHeight="1" x14ac:dyDescent="0.25">
      <c r="D873" s="222"/>
      <c r="E873" s="222"/>
      <c r="F873" s="633"/>
      <c r="G873" s="647"/>
      <c r="H873" s="652"/>
      <c r="I873" s="297"/>
      <c r="J873" s="657"/>
      <c r="K873" s="802"/>
      <c r="L873" s="140"/>
      <c r="M873" s="140"/>
      <c r="N873" s="140"/>
      <c r="O873" s="297"/>
      <c r="P873" s="297"/>
      <c r="Q873" s="297"/>
      <c r="R873" s="658"/>
      <c r="S873" s="297"/>
      <c r="AA873" s="647"/>
      <c r="AB873" s="647"/>
      <c r="AC873" s="95"/>
      <c r="AD873" s="95"/>
      <c r="AE873" s="95"/>
      <c r="AF873" s="647"/>
      <c r="AG873" s="647"/>
      <c r="AH873" s="95"/>
      <c r="AI873" s="95"/>
      <c r="AJ873" s="95"/>
      <c r="AK873" s="647"/>
      <c r="AL873" s="618"/>
      <c r="AM873" s="618"/>
    </row>
    <row r="874" spans="4:39" s="139" customFormat="1" ht="21.6" customHeight="1" x14ac:dyDescent="0.25">
      <c r="D874" s="222"/>
      <c r="E874" s="222"/>
      <c r="F874" s="633"/>
      <c r="G874" s="647"/>
      <c r="H874" s="652"/>
      <c r="I874" s="297"/>
      <c r="J874" s="657"/>
      <c r="K874" s="802"/>
      <c r="L874" s="140"/>
      <c r="M874" s="140"/>
      <c r="N874" s="140"/>
      <c r="O874" s="297"/>
      <c r="P874" s="297"/>
      <c r="Q874" s="297"/>
      <c r="R874" s="658"/>
      <c r="S874" s="297"/>
      <c r="AA874" s="647"/>
      <c r="AB874" s="647"/>
      <c r="AC874" s="95"/>
      <c r="AD874" s="95"/>
      <c r="AE874" s="95"/>
      <c r="AF874" s="647"/>
      <c r="AG874" s="647"/>
      <c r="AH874" s="95"/>
      <c r="AI874" s="95"/>
      <c r="AJ874" s="95"/>
      <c r="AK874" s="647"/>
      <c r="AL874" s="618"/>
      <c r="AM874" s="618"/>
    </row>
    <row r="875" spans="4:39" s="139" customFormat="1" ht="21.6" customHeight="1" x14ac:dyDescent="0.25">
      <c r="D875" s="222"/>
      <c r="E875" s="222"/>
      <c r="F875" s="633"/>
      <c r="G875" s="647"/>
      <c r="H875" s="652"/>
      <c r="I875" s="297"/>
      <c r="J875" s="657"/>
      <c r="K875" s="802"/>
      <c r="L875" s="140"/>
      <c r="M875" s="140"/>
      <c r="N875" s="140"/>
      <c r="O875" s="297"/>
      <c r="P875" s="297"/>
      <c r="Q875" s="297"/>
      <c r="R875" s="658"/>
      <c r="S875" s="297"/>
      <c r="AA875" s="647"/>
      <c r="AB875" s="647"/>
      <c r="AC875" s="95"/>
      <c r="AD875" s="95"/>
      <c r="AE875" s="95"/>
      <c r="AF875" s="647"/>
      <c r="AG875" s="647"/>
      <c r="AH875" s="95"/>
      <c r="AI875" s="95"/>
      <c r="AJ875" s="95"/>
      <c r="AK875" s="647"/>
      <c r="AL875" s="618"/>
      <c r="AM875" s="618"/>
    </row>
    <row r="876" spans="4:39" s="139" customFormat="1" ht="21.6" customHeight="1" x14ac:dyDescent="0.25">
      <c r="D876" s="222"/>
      <c r="E876" s="222"/>
      <c r="F876" s="633"/>
      <c r="G876" s="647"/>
      <c r="H876" s="652"/>
      <c r="I876" s="297"/>
      <c r="J876" s="657"/>
      <c r="K876" s="802"/>
      <c r="L876" s="140"/>
      <c r="M876" s="140"/>
      <c r="N876" s="140"/>
      <c r="O876" s="297"/>
      <c r="P876" s="297"/>
      <c r="Q876" s="297"/>
      <c r="R876" s="658"/>
      <c r="S876" s="297"/>
      <c r="AA876" s="647"/>
      <c r="AB876" s="647"/>
      <c r="AC876" s="95"/>
      <c r="AD876" s="95"/>
      <c r="AE876" s="95"/>
      <c r="AF876" s="647"/>
      <c r="AG876" s="647"/>
      <c r="AH876" s="95"/>
      <c r="AI876" s="95"/>
      <c r="AJ876" s="95"/>
      <c r="AK876" s="647"/>
      <c r="AL876" s="618"/>
      <c r="AM876" s="618"/>
    </row>
    <row r="877" spans="4:39" s="139" customFormat="1" ht="21.6" customHeight="1" x14ac:dyDescent="0.25">
      <c r="D877" s="222"/>
      <c r="E877" s="222"/>
      <c r="F877" s="633"/>
      <c r="G877" s="647"/>
      <c r="H877" s="652"/>
      <c r="I877" s="297"/>
      <c r="J877" s="657"/>
      <c r="K877" s="802"/>
      <c r="L877" s="140"/>
      <c r="M877" s="140"/>
      <c r="N877" s="140"/>
      <c r="O877" s="297"/>
      <c r="P877" s="297"/>
      <c r="Q877" s="297"/>
      <c r="R877" s="658"/>
      <c r="S877" s="297"/>
      <c r="AA877" s="647"/>
      <c r="AB877" s="647"/>
      <c r="AC877" s="95"/>
      <c r="AD877" s="95"/>
      <c r="AE877" s="95"/>
      <c r="AF877" s="647"/>
      <c r="AG877" s="647"/>
      <c r="AH877" s="95"/>
      <c r="AI877" s="95"/>
      <c r="AJ877" s="95"/>
      <c r="AK877" s="647"/>
      <c r="AL877" s="618"/>
      <c r="AM877" s="618"/>
    </row>
    <row r="878" spans="4:39" s="139" customFormat="1" ht="21.6" customHeight="1" x14ac:dyDescent="0.25">
      <c r="D878" s="222"/>
      <c r="E878" s="222"/>
      <c r="F878" s="633"/>
      <c r="G878" s="647"/>
      <c r="H878" s="652"/>
      <c r="I878" s="297"/>
      <c r="J878" s="657"/>
      <c r="K878" s="802"/>
      <c r="L878" s="140"/>
      <c r="M878" s="140"/>
      <c r="N878" s="140"/>
      <c r="O878" s="297"/>
      <c r="P878" s="297"/>
      <c r="Q878" s="297"/>
      <c r="R878" s="658"/>
      <c r="S878" s="297"/>
      <c r="AA878" s="647"/>
      <c r="AB878" s="647"/>
      <c r="AC878" s="95"/>
      <c r="AD878" s="95"/>
      <c r="AE878" s="95"/>
      <c r="AF878" s="647"/>
      <c r="AG878" s="647"/>
      <c r="AH878" s="95"/>
      <c r="AI878" s="95"/>
      <c r="AJ878" s="95"/>
      <c r="AK878" s="647"/>
      <c r="AL878" s="618"/>
      <c r="AM878" s="618"/>
    </row>
    <row r="879" spans="4:39" s="139" customFormat="1" ht="21.6" customHeight="1" x14ac:dyDescent="0.25">
      <c r="D879" s="222"/>
      <c r="E879" s="222"/>
      <c r="F879" s="633"/>
      <c r="G879" s="647"/>
      <c r="H879" s="652"/>
      <c r="I879" s="297"/>
      <c r="J879" s="657"/>
      <c r="K879" s="802"/>
      <c r="L879" s="140"/>
      <c r="M879" s="140"/>
      <c r="N879" s="140"/>
      <c r="O879" s="297"/>
      <c r="P879" s="297"/>
      <c r="Q879" s="297"/>
      <c r="R879" s="658"/>
      <c r="S879" s="297"/>
      <c r="AA879" s="647"/>
      <c r="AB879" s="647"/>
      <c r="AC879" s="95"/>
      <c r="AD879" s="95"/>
      <c r="AE879" s="95"/>
      <c r="AF879" s="647"/>
      <c r="AG879" s="647"/>
      <c r="AH879" s="95"/>
      <c r="AI879" s="95"/>
      <c r="AJ879" s="95"/>
      <c r="AK879" s="647"/>
      <c r="AL879" s="618"/>
      <c r="AM879" s="618"/>
    </row>
    <row r="880" spans="4:39" s="139" customFormat="1" ht="21.6" customHeight="1" x14ac:dyDescent="0.25">
      <c r="D880" s="222"/>
      <c r="E880" s="222"/>
      <c r="F880" s="633"/>
      <c r="G880" s="647"/>
      <c r="H880" s="652"/>
      <c r="I880" s="297"/>
      <c r="J880" s="657"/>
      <c r="K880" s="802"/>
      <c r="L880" s="140"/>
      <c r="M880" s="140"/>
      <c r="N880" s="140"/>
      <c r="O880" s="297"/>
      <c r="P880" s="297"/>
      <c r="Q880" s="297"/>
      <c r="R880" s="658"/>
      <c r="S880" s="297"/>
      <c r="AA880" s="647"/>
      <c r="AB880" s="647"/>
      <c r="AC880" s="95"/>
      <c r="AD880" s="95"/>
      <c r="AE880" s="95"/>
      <c r="AF880" s="647"/>
      <c r="AG880" s="647"/>
      <c r="AH880" s="95"/>
      <c r="AI880" s="95"/>
      <c r="AJ880" s="95"/>
      <c r="AK880" s="647"/>
      <c r="AL880" s="618"/>
      <c r="AM880" s="618"/>
    </row>
    <row r="881" spans="4:39" s="139" customFormat="1" ht="21.6" customHeight="1" x14ac:dyDescent="0.25">
      <c r="D881" s="222"/>
      <c r="E881" s="222"/>
      <c r="F881" s="633"/>
      <c r="G881" s="647"/>
      <c r="H881" s="652"/>
      <c r="I881" s="297"/>
      <c r="J881" s="657"/>
      <c r="K881" s="802"/>
      <c r="L881" s="140"/>
      <c r="M881" s="140"/>
      <c r="N881" s="140"/>
      <c r="O881" s="297"/>
      <c r="P881" s="297"/>
      <c r="Q881" s="297"/>
      <c r="R881" s="658"/>
      <c r="S881" s="297"/>
      <c r="AA881" s="647"/>
      <c r="AB881" s="647"/>
      <c r="AC881" s="95"/>
      <c r="AD881" s="95"/>
      <c r="AE881" s="95"/>
      <c r="AF881" s="647"/>
      <c r="AG881" s="647"/>
      <c r="AH881" s="95"/>
      <c r="AI881" s="95"/>
      <c r="AJ881" s="95"/>
      <c r="AK881" s="647"/>
      <c r="AL881" s="618"/>
      <c r="AM881" s="618"/>
    </row>
    <row r="882" spans="4:39" s="139" customFormat="1" ht="21.6" customHeight="1" x14ac:dyDescent="0.25">
      <c r="D882" s="222"/>
      <c r="E882" s="222"/>
      <c r="F882" s="633"/>
      <c r="G882" s="647"/>
      <c r="H882" s="652"/>
      <c r="I882" s="297"/>
      <c r="J882" s="657"/>
      <c r="K882" s="802"/>
      <c r="L882" s="140"/>
      <c r="M882" s="140"/>
      <c r="N882" s="140"/>
      <c r="O882" s="297"/>
      <c r="P882" s="297"/>
      <c r="Q882" s="297"/>
      <c r="R882" s="658"/>
      <c r="S882" s="297"/>
      <c r="AA882" s="647"/>
      <c r="AB882" s="647"/>
      <c r="AC882" s="95"/>
      <c r="AD882" s="95"/>
      <c r="AE882" s="95"/>
      <c r="AF882" s="647"/>
      <c r="AG882" s="647"/>
      <c r="AH882" s="95"/>
      <c r="AI882" s="95"/>
      <c r="AJ882" s="95"/>
      <c r="AK882" s="647"/>
      <c r="AL882" s="618"/>
      <c r="AM882" s="618"/>
    </row>
    <row r="883" spans="4:39" s="139" customFormat="1" ht="21.6" customHeight="1" x14ac:dyDescent="0.25">
      <c r="D883" s="222"/>
      <c r="E883" s="222"/>
      <c r="F883" s="633"/>
      <c r="G883" s="647"/>
      <c r="H883" s="652"/>
      <c r="I883" s="297"/>
      <c r="J883" s="657"/>
      <c r="K883" s="802"/>
      <c r="L883" s="140"/>
      <c r="M883" s="140"/>
      <c r="N883" s="140"/>
      <c r="O883" s="297"/>
      <c r="P883" s="297"/>
      <c r="Q883" s="297"/>
      <c r="R883" s="658"/>
      <c r="S883" s="297"/>
      <c r="AA883" s="647"/>
      <c r="AB883" s="647"/>
      <c r="AC883" s="95"/>
      <c r="AD883" s="95"/>
      <c r="AE883" s="95"/>
      <c r="AF883" s="647"/>
      <c r="AG883" s="647"/>
      <c r="AH883" s="95"/>
      <c r="AI883" s="95"/>
      <c r="AJ883" s="95"/>
      <c r="AK883" s="647"/>
      <c r="AL883" s="618"/>
      <c r="AM883" s="618"/>
    </row>
    <row r="884" spans="4:39" s="139" customFormat="1" ht="21.6" customHeight="1" x14ac:dyDescent="0.25">
      <c r="D884" s="222"/>
      <c r="E884" s="222"/>
      <c r="F884" s="633"/>
      <c r="G884" s="647"/>
      <c r="H884" s="652"/>
      <c r="I884" s="297"/>
      <c r="J884" s="657"/>
      <c r="K884" s="802"/>
      <c r="L884" s="140"/>
      <c r="M884" s="140"/>
      <c r="N884" s="140"/>
      <c r="O884" s="297"/>
      <c r="P884" s="297"/>
      <c r="Q884" s="297"/>
      <c r="R884" s="658"/>
      <c r="S884" s="297"/>
      <c r="AA884" s="647"/>
      <c r="AB884" s="647"/>
      <c r="AC884" s="95"/>
      <c r="AD884" s="95"/>
      <c r="AE884" s="95"/>
      <c r="AF884" s="647"/>
      <c r="AG884" s="647"/>
      <c r="AH884" s="95"/>
      <c r="AI884" s="95"/>
      <c r="AJ884" s="95"/>
      <c r="AK884" s="647"/>
      <c r="AL884" s="618"/>
      <c r="AM884" s="618"/>
    </row>
  </sheetData>
  <sortState ref="A188:ET228">
    <sortCondition ref="F188:F228"/>
  </sortState>
  <mergeCells count="23">
    <mergeCell ref="G3:G5"/>
    <mergeCell ref="Y3:AA4"/>
    <mergeCell ref="AC3:AK3"/>
    <mergeCell ref="AG4:AI4"/>
    <mergeCell ref="AJ4:AK4"/>
    <mergeCell ref="AG5:AH5"/>
    <mergeCell ref="AC4:AF4"/>
    <mergeCell ref="AN2:AP2"/>
    <mergeCell ref="A2:X2"/>
    <mergeCell ref="O5:Q5"/>
    <mergeCell ref="V3:X4"/>
    <mergeCell ref="H3:H5"/>
    <mergeCell ref="I3:I5"/>
    <mergeCell ref="J3:K5"/>
    <mergeCell ref="L3:Q4"/>
    <mergeCell ref="S3:U4"/>
    <mergeCell ref="AB3:AB4"/>
    <mergeCell ref="AN3:AP3"/>
    <mergeCell ref="A3:A5"/>
    <mergeCell ref="E3:E5"/>
    <mergeCell ref="F3:F5"/>
    <mergeCell ref="AL3:AM3"/>
    <mergeCell ref="L5:N5"/>
  </mergeCells>
  <pageMargins left="0.5" right="0.25" top="0.5" bottom="0.25" header="0.3" footer="0.3"/>
  <pageSetup paperSize="14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GM513"/>
  <sheetViews>
    <sheetView zoomScaleNormal="100" workbookViewId="0">
      <pane xSplit="12" ySplit="10" topLeftCell="M11" activePane="bottomRight" state="frozen"/>
      <selection activeCell="B1" sqref="B1"/>
      <selection pane="topRight" activeCell="N1" sqref="N1"/>
      <selection pane="bottomLeft" activeCell="B10" sqref="B10"/>
      <selection pane="bottomRight" activeCell="U13" sqref="U13"/>
    </sheetView>
  </sheetViews>
  <sheetFormatPr defaultColWidth="8.85546875" defaultRowHeight="21.6" customHeight="1" x14ac:dyDescent="0.25"/>
  <cols>
    <col min="1" max="1" width="2.7109375" style="139" customWidth="1"/>
    <col min="2" max="2" width="2.85546875" style="139" customWidth="1"/>
    <col min="3" max="3" width="17.28515625" style="44" customWidth="1"/>
    <col min="4" max="4" width="3.42578125" style="312" customWidth="1"/>
    <col min="5" max="5" width="18.7109375" style="8" customWidth="1"/>
    <col min="6" max="6" width="10.5703125" style="44" hidden="1" customWidth="1"/>
    <col min="7" max="7" width="9.5703125" style="44" hidden="1" customWidth="1"/>
    <col min="8" max="8" width="10.5703125" style="44" hidden="1" customWidth="1"/>
    <col min="9" max="10" width="10.42578125" style="44" hidden="1" customWidth="1"/>
    <col min="11" max="11" width="10.5703125" style="44" hidden="1" customWidth="1"/>
    <col min="12" max="12" width="5.5703125" style="44" customWidth="1"/>
    <col min="13" max="13" width="5.28515625" style="313" customWidth="1"/>
    <col min="14" max="14" width="6.7109375" style="314" customWidth="1"/>
    <col min="15" max="15" width="7.42578125" style="315" customWidth="1"/>
    <col min="16" max="18" width="4.28515625" style="272" customWidth="1"/>
    <col min="19" max="19" width="10.28515625" style="272" customWidth="1"/>
    <col min="20" max="20" width="8.85546875" style="316" customWidth="1"/>
    <col min="21" max="22" width="9.140625" style="316" customWidth="1"/>
    <col min="23" max="23" width="9.140625" style="317" customWidth="1"/>
    <col min="24" max="24" width="10.7109375" style="317" customWidth="1"/>
    <col min="25" max="25" width="9.140625" style="318" customWidth="1"/>
    <col min="26" max="26" width="3.85546875" style="315" customWidth="1"/>
    <col min="27" max="29" width="9.140625" style="319" customWidth="1"/>
    <col min="30" max="30" width="9.140625" style="320" customWidth="1"/>
    <col min="31" max="31" width="9.7109375" style="320" customWidth="1"/>
    <col min="32" max="32" width="9.140625" style="320" customWidth="1"/>
    <col min="33" max="33" width="3" style="170" customWidth="1"/>
    <col min="34" max="34" width="11.140625" style="318" customWidth="1"/>
    <col min="35" max="35" width="11.28515625" style="318" customWidth="1"/>
    <col min="36" max="36" width="10.7109375" style="320" customWidth="1"/>
    <col min="37" max="37" width="9" style="320" customWidth="1"/>
    <col min="38" max="38" width="9" style="323" customWidth="1"/>
    <col min="39" max="39" width="11" style="491" customWidth="1"/>
    <col min="40" max="40" width="8.5703125" style="491" customWidth="1"/>
    <col min="41" max="41" width="8.85546875" style="323" customWidth="1"/>
    <col min="42" max="42" width="9.5703125" style="491" customWidth="1"/>
    <col min="43" max="43" width="8.5703125" style="491" customWidth="1"/>
    <col min="44" max="44" width="8.5703125" style="323" customWidth="1"/>
    <col min="45" max="45" width="9" style="321" customWidth="1"/>
    <col min="46" max="46" width="8.7109375" style="322" customWidth="1"/>
    <col min="47" max="47" width="9.28515625" style="491" customWidth="1"/>
    <col min="48" max="48" width="11.28515625" style="491" customWidth="1"/>
    <col min="49" max="49" width="13" style="323" customWidth="1"/>
    <col min="50" max="50" width="4.5703125" style="321" customWidth="1"/>
    <col min="51" max="51" width="11.28515625" style="320" customWidth="1"/>
    <col min="52" max="52" width="9.42578125" style="320" customWidth="1"/>
    <col min="53" max="53" width="8.85546875" style="323" customWidth="1"/>
    <col min="54" max="54" width="10.28515625" style="491" customWidth="1"/>
    <col min="55" max="55" width="9.28515625" style="323" customWidth="1"/>
    <col min="56" max="56" width="9" style="323" customWidth="1"/>
    <col min="57" max="57" width="8.85546875" style="320" customWidth="1"/>
    <col min="58" max="58" width="8.85546875" style="323" customWidth="1"/>
    <col min="59" max="59" width="8.85546875" style="491" customWidth="1"/>
    <col min="60" max="60" width="8.85546875" style="323" customWidth="1"/>
    <col min="61" max="61" width="8.85546875" style="491" customWidth="1"/>
    <col min="62" max="62" width="8.85546875" style="323" customWidth="1"/>
    <col min="63" max="63" width="10.5703125" style="323" customWidth="1"/>
    <col min="64" max="64" width="11.42578125" style="323" customWidth="1"/>
    <col min="65" max="65" width="11.140625" style="318" customWidth="1"/>
    <col min="66" max="66" width="9.28515625" style="318" customWidth="1"/>
    <col min="67" max="67" width="11.140625" style="320" customWidth="1"/>
    <col min="68" max="68" width="9.42578125" style="320" customWidth="1"/>
    <col min="69" max="69" width="9.28515625" style="323" customWidth="1"/>
    <col min="70" max="70" width="11.140625" style="491" customWidth="1"/>
    <col min="71" max="71" width="9.28515625" style="491" customWidth="1"/>
    <col min="72" max="72" width="9.7109375" style="323" customWidth="1"/>
    <col min="73" max="73" width="10.28515625" style="325" customWidth="1"/>
    <col min="74" max="74" width="9" style="325" customWidth="1"/>
    <col min="75" max="75" width="9.42578125" style="324" customWidth="1"/>
    <col min="76" max="76" width="10.5703125" style="321" customWidth="1"/>
    <col min="77" max="77" width="10.140625" style="322" customWidth="1"/>
    <col min="78" max="78" width="10" style="322" customWidth="1"/>
    <col min="79" max="79" width="6.5703125" style="321" customWidth="1"/>
    <col min="80" max="81" width="4.28515625" style="272" customWidth="1"/>
    <col min="82" max="82" width="10.28515625" style="272" customWidth="1"/>
    <col min="83" max="84" width="8.140625" style="491" customWidth="1"/>
    <col min="85" max="85" width="7.85546875" style="491" customWidth="1"/>
    <col min="86" max="88" width="8.140625" style="491" customWidth="1"/>
    <col min="89" max="89" width="9" style="324" customWidth="1"/>
    <col min="90" max="90" width="9.28515625" style="324" customWidth="1"/>
    <col min="91" max="91" width="7.28515625" style="324" customWidth="1"/>
    <col min="92" max="92" width="9.7109375" style="491" customWidth="1"/>
    <col min="93" max="93" width="9.42578125" style="491" customWidth="1"/>
    <col min="94" max="94" width="11.7109375" style="323" customWidth="1"/>
    <col min="95" max="95" width="4" style="322" customWidth="1"/>
    <col min="96" max="97" width="8.140625" style="491" customWidth="1"/>
    <col min="98" max="98" width="7.85546875" style="491" customWidth="1"/>
    <col min="99" max="101" width="8.140625" style="491" customWidth="1"/>
    <col min="102" max="103" width="10.140625" style="325" customWidth="1"/>
    <col min="104" max="104" width="10.140625" style="324" customWidth="1"/>
    <col min="105" max="105" width="9.42578125" style="491" customWidth="1"/>
    <col min="106" max="106" width="9.5703125" style="491" customWidth="1"/>
    <col min="107" max="107" width="9.5703125" style="323" customWidth="1"/>
    <col min="108" max="108" width="32.5703125" style="30" customWidth="1"/>
    <col min="109" max="109" width="17.42578125" style="44" customWidth="1"/>
    <col min="110" max="110" width="4.5703125" style="322" customWidth="1"/>
    <col min="111" max="111" width="14.140625" style="322" customWidth="1"/>
    <col min="112" max="112" width="14.42578125" style="322" customWidth="1"/>
    <col min="113" max="113" width="4" style="322" customWidth="1"/>
    <col min="114" max="115" width="9.5703125" style="323" customWidth="1"/>
    <col min="116" max="116" width="11.28515625" style="323" customWidth="1"/>
    <col min="117" max="117" width="9.5703125" style="323" customWidth="1"/>
    <col min="118" max="121" width="10.42578125" style="322" customWidth="1"/>
    <col min="122" max="122" width="5.7109375" style="44" customWidth="1"/>
    <col min="123" max="123" width="13.28515625" style="45" customWidth="1"/>
    <col min="124" max="124" width="13.140625" style="45" customWidth="1"/>
    <col min="125" max="130" width="8.85546875" style="45"/>
    <col min="131" max="16384" width="8.85546875" style="44"/>
  </cols>
  <sheetData>
    <row r="1" spans="1:195" s="798" customFormat="1" ht="12.75" customHeight="1" x14ac:dyDescent="0.25">
      <c r="A1" s="792"/>
      <c r="B1" s="792"/>
      <c r="C1" s="792"/>
      <c r="D1" s="792"/>
      <c r="E1" s="792"/>
      <c r="F1" s="792"/>
      <c r="G1" s="792"/>
      <c r="H1" s="792"/>
      <c r="I1" s="792"/>
      <c r="J1" s="792"/>
      <c r="K1" s="792"/>
      <c r="L1" s="792"/>
      <c r="M1" s="792"/>
      <c r="N1" s="792"/>
      <c r="O1" s="792"/>
      <c r="P1" s="792"/>
      <c r="Q1" s="792"/>
      <c r="R1" s="792"/>
      <c r="S1" s="792"/>
      <c r="T1" s="792"/>
      <c r="U1" s="792"/>
      <c r="V1" s="792"/>
      <c r="W1" s="792"/>
      <c r="X1" s="792"/>
      <c r="Y1" s="792"/>
      <c r="Z1" s="792"/>
      <c r="AA1" s="792"/>
      <c r="AB1" s="792"/>
      <c r="AC1" s="792">
        <v>712</v>
      </c>
      <c r="AD1" s="792"/>
      <c r="AE1" s="792"/>
      <c r="AF1" s="792"/>
      <c r="AG1" s="793"/>
      <c r="AH1" s="793"/>
      <c r="AI1" s="793"/>
      <c r="AJ1" s="794"/>
      <c r="AK1" s="794"/>
      <c r="AL1" s="793"/>
      <c r="AM1" s="793"/>
      <c r="AN1" s="793"/>
      <c r="AO1" s="793"/>
      <c r="AP1" s="793"/>
      <c r="AQ1" s="793"/>
      <c r="AR1" s="793"/>
      <c r="AS1" s="793"/>
      <c r="AT1" s="793"/>
      <c r="AU1" s="793"/>
      <c r="AV1" s="793"/>
      <c r="AW1" s="793">
        <f>1200-718</f>
        <v>482</v>
      </c>
      <c r="AX1" s="793"/>
      <c r="AY1" s="793"/>
      <c r="AZ1" s="793"/>
      <c r="BA1" s="793"/>
      <c r="BB1" s="793"/>
      <c r="BC1" s="793"/>
      <c r="BD1" s="793"/>
      <c r="BE1" s="793"/>
      <c r="BF1" s="793"/>
      <c r="BG1" s="793"/>
      <c r="BH1" s="793"/>
      <c r="BI1" s="795"/>
      <c r="BJ1" s="793"/>
      <c r="BK1" s="793"/>
      <c r="BL1" s="793"/>
      <c r="BM1" s="793"/>
      <c r="BN1" s="793"/>
      <c r="BO1" s="794"/>
      <c r="BP1" s="794"/>
      <c r="BQ1" s="794"/>
      <c r="BR1" s="794"/>
      <c r="BS1" s="794"/>
      <c r="BT1" s="794"/>
      <c r="BU1" s="793"/>
      <c r="BV1" s="793"/>
      <c r="BW1" s="793"/>
      <c r="BX1" s="793"/>
      <c r="BY1" s="793"/>
      <c r="BZ1" s="793"/>
      <c r="CA1" s="793"/>
      <c r="CB1" s="793"/>
      <c r="CC1" s="793"/>
      <c r="CD1" s="793"/>
      <c r="CE1" s="794"/>
      <c r="CF1" s="794"/>
      <c r="CG1" s="794"/>
      <c r="CH1" s="794"/>
      <c r="CI1" s="794"/>
      <c r="CJ1" s="794"/>
      <c r="CK1" s="793"/>
      <c r="CL1" s="793"/>
      <c r="CM1" s="793"/>
      <c r="CN1" s="795"/>
      <c r="CO1" s="796"/>
      <c r="CP1" s="797"/>
      <c r="CQ1" s="793"/>
      <c r="CR1" s="794"/>
      <c r="CS1" s="794"/>
      <c r="CT1" s="794"/>
      <c r="CU1" s="794"/>
      <c r="CV1" s="794"/>
      <c r="CW1" s="794"/>
      <c r="CX1" s="796"/>
      <c r="CY1" s="796"/>
      <c r="CZ1" s="797"/>
      <c r="DA1" s="794"/>
      <c r="DB1" s="794"/>
      <c r="DC1" s="794"/>
      <c r="DD1" s="799"/>
      <c r="DF1" s="793"/>
      <c r="DG1" s="793"/>
      <c r="DH1" s="793"/>
      <c r="DI1" s="793"/>
      <c r="DJ1" s="794"/>
      <c r="DK1" s="794"/>
      <c r="DL1" s="794">
        <v>712</v>
      </c>
      <c r="DM1" s="794">
        <v>712</v>
      </c>
      <c r="DN1" s="793"/>
      <c r="DO1" s="793"/>
      <c r="DP1" s="793"/>
      <c r="DQ1" s="793"/>
    </row>
    <row r="2" spans="1:195" s="337" customFormat="1" ht="21.6" customHeight="1" x14ac:dyDescent="0.25">
      <c r="A2" s="411"/>
      <c r="B2" s="411"/>
      <c r="C2" s="335"/>
      <c r="D2" s="1521" t="s">
        <v>430</v>
      </c>
      <c r="E2" s="1522" t="s">
        <v>4</v>
      </c>
      <c r="F2" s="1523"/>
      <c r="G2" s="1523" t="s">
        <v>5</v>
      </c>
      <c r="H2" s="1523" t="s">
        <v>6</v>
      </c>
      <c r="I2" s="1523" t="s">
        <v>7</v>
      </c>
      <c r="J2" s="1523"/>
      <c r="K2" s="1523" t="s">
        <v>6</v>
      </c>
      <c r="L2" s="413"/>
      <c r="M2" s="1523"/>
      <c r="N2" s="1524" t="s">
        <v>266</v>
      </c>
      <c r="O2" s="1525" t="s">
        <v>272</v>
      </c>
      <c r="P2" s="1526" t="s">
        <v>274</v>
      </c>
      <c r="Q2" s="1526"/>
      <c r="R2" s="1526"/>
      <c r="S2" s="1526"/>
      <c r="T2" s="1504" t="s">
        <v>270</v>
      </c>
      <c r="U2" s="1504"/>
      <c r="V2" s="1504"/>
      <c r="W2" s="1504"/>
      <c r="X2" s="1504"/>
      <c r="Y2" s="1504"/>
      <c r="Z2" s="336"/>
      <c r="AA2" s="1500" t="s">
        <v>423</v>
      </c>
      <c r="AB2" s="1500"/>
      <c r="AC2" s="1500"/>
      <c r="AD2" s="1500"/>
      <c r="AE2" s="1500"/>
      <c r="AF2" s="1500"/>
      <c r="AG2" s="470"/>
      <c r="AH2" s="1594" t="s">
        <v>679</v>
      </c>
      <c r="AI2" s="1595"/>
      <c r="AJ2" s="1595"/>
      <c r="AK2" s="1595"/>
      <c r="AL2" s="1595"/>
      <c r="AM2" s="1595"/>
      <c r="AN2" s="1595"/>
      <c r="AO2" s="1595"/>
      <c r="AP2" s="1595"/>
      <c r="AQ2" s="1595"/>
      <c r="AR2" s="1595"/>
      <c r="AS2" s="1595"/>
      <c r="AT2" s="1595"/>
      <c r="AU2" s="1595"/>
      <c r="AV2" s="1595"/>
      <c r="AW2" s="1596"/>
      <c r="AX2" s="505"/>
      <c r="AY2" s="1595" t="s">
        <v>684</v>
      </c>
      <c r="AZ2" s="1595"/>
      <c r="BA2" s="1595"/>
      <c r="BB2" s="1595"/>
      <c r="BC2" s="1595"/>
      <c r="BD2" s="1596"/>
      <c r="BE2" s="1594" t="s">
        <v>663</v>
      </c>
      <c r="BF2" s="1595"/>
      <c r="BG2" s="1595"/>
      <c r="BH2" s="1595"/>
      <c r="BI2" s="1595"/>
      <c r="BJ2" s="1595"/>
      <c r="BK2" s="1595"/>
      <c r="BL2" s="1596"/>
      <c r="BM2" s="1545" t="s">
        <v>899</v>
      </c>
      <c r="BN2" s="1546"/>
      <c r="BO2" s="1546"/>
      <c r="BP2" s="1546"/>
      <c r="BQ2" s="1546"/>
      <c r="BR2" s="1546"/>
      <c r="BS2" s="1546"/>
      <c r="BT2" s="1546"/>
      <c r="BU2" s="1546"/>
      <c r="BV2" s="1546"/>
      <c r="BW2" s="1546"/>
      <c r="BX2" s="1546"/>
      <c r="BY2" s="1546"/>
      <c r="BZ2" s="1547"/>
      <c r="CA2" s="532"/>
      <c r="CB2" s="1538" t="s">
        <v>687</v>
      </c>
      <c r="CC2" s="1539"/>
      <c r="CD2" s="1539"/>
      <c r="CE2" s="1539"/>
      <c r="CF2" s="1539"/>
      <c r="CG2" s="1539"/>
      <c r="CH2" s="1539"/>
      <c r="CI2" s="1539"/>
      <c r="CJ2" s="1539"/>
      <c r="CK2" s="1539"/>
      <c r="CL2" s="1539"/>
      <c r="CM2" s="1539"/>
      <c r="CN2" s="1539"/>
      <c r="CO2" s="1539"/>
      <c r="CP2" s="1539"/>
      <c r="CQ2" s="1539"/>
      <c r="CR2" s="1539"/>
      <c r="CS2" s="1539"/>
      <c r="CT2" s="1539"/>
      <c r="CU2" s="1539"/>
      <c r="CV2" s="1539"/>
      <c r="CW2" s="1539"/>
      <c r="CX2" s="1539"/>
      <c r="CY2" s="1539"/>
      <c r="CZ2" s="1539"/>
      <c r="DA2" s="1539"/>
      <c r="DB2" s="1539"/>
      <c r="DC2" s="1540"/>
      <c r="DD2" s="1526" t="s">
        <v>273</v>
      </c>
      <c r="DE2" s="1530" t="s">
        <v>378</v>
      </c>
      <c r="DF2" s="1130"/>
      <c r="DG2" s="1520" t="s">
        <v>751</v>
      </c>
      <c r="DH2" s="1520"/>
      <c r="DI2" s="1139"/>
      <c r="DJ2" s="1629" t="s">
        <v>871</v>
      </c>
      <c r="DK2" s="1630"/>
      <c r="DL2" s="1630"/>
      <c r="DM2" s="1631"/>
      <c r="DN2" s="672"/>
      <c r="DO2" s="672"/>
      <c r="DP2" s="672"/>
      <c r="DQ2" s="672"/>
      <c r="DR2" s="390"/>
      <c r="DS2" s="1532"/>
      <c r="DT2" s="1532"/>
      <c r="DU2" s="1532"/>
      <c r="DV2" s="578"/>
      <c r="DW2" s="578"/>
      <c r="DX2" s="578"/>
      <c r="DY2" s="578"/>
      <c r="DZ2" s="578"/>
      <c r="EA2" s="392"/>
      <c r="EB2" s="392"/>
      <c r="EC2" s="392"/>
      <c r="ED2" s="392"/>
      <c r="EE2" s="392"/>
      <c r="EF2" s="392"/>
      <c r="EG2" s="392"/>
      <c r="EH2" s="392"/>
      <c r="EI2" s="392"/>
      <c r="EJ2" s="392"/>
      <c r="EK2" s="392"/>
      <c r="EL2" s="392"/>
      <c r="EM2" s="392"/>
      <c r="EN2" s="392"/>
      <c r="EO2" s="392"/>
      <c r="EP2" s="392"/>
      <c r="EQ2" s="392"/>
      <c r="ER2" s="392"/>
      <c r="ES2" s="392"/>
      <c r="ET2" s="392"/>
      <c r="EU2" s="392"/>
      <c r="EV2" s="392"/>
      <c r="EW2" s="392"/>
      <c r="EX2" s="392"/>
      <c r="EY2" s="392"/>
      <c r="EZ2" s="392"/>
      <c r="FA2" s="392"/>
      <c r="FB2" s="392"/>
      <c r="FC2" s="392"/>
      <c r="FD2" s="392"/>
      <c r="FE2" s="392"/>
      <c r="FF2" s="392"/>
      <c r="FG2" s="392"/>
      <c r="FH2" s="392"/>
      <c r="FI2" s="392"/>
      <c r="FJ2" s="392"/>
      <c r="FK2" s="392"/>
      <c r="FL2" s="392"/>
      <c r="FM2" s="392"/>
      <c r="FN2" s="392"/>
      <c r="FO2" s="392"/>
      <c r="FP2" s="392"/>
      <c r="FQ2" s="392"/>
      <c r="FR2" s="392"/>
      <c r="FS2" s="392"/>
      <c r="FT2" s="392"/>
      <c r="FU2" s="392"/>
      <c r="FV2" s="392"/>
      <c r="FW2" s="392"/>
      <c r="FX2" s="392"/>
      <c r="FY2" s="392"/>
      <c r="FZ2" s="392"/>
      <c r="GA2" s="392"/>
      <c r="GB2" s="392"/>
      <c r="GC2" s="392"/>
      <c r="GD2" s="392"/>
      <c r="GE2" s="392"/>
      <c r="GF2" s="392"/>
      <c r="GG2" s="392"/>
      <c r="GH2" s="392"/>
      <c r="GI2" s="392"/>
      <c r="GJ2" s="392"/>
      <c r="GK2" s="392"/>
      <c r="GL2" s="392"/>
      <c r="GM2" s="392"/>
    </row>
    <row r="3" spans="1:195" s="337" customFormat="1" ht="21.6" customHeight="1" x14ac:dyDescent="0.25">
      <c r="A3" s="411"/>
      <c r="B3" s="411"/>
      <c r="C3" s="338"/>
      <c r="D3" s="1521"/>
      <c r="E3" s="1522"/>
      <c r="F3" s="1523"/>
      <c r="G3" s="1523"/>
      <c r="H3" s="1523"/>
      <c r="I3" s="413"/>
      <c r="J3" s="413"/>
      <c r="K3" s="1523"/>
      <c r="L3" s="413"/>
      <c r="M3" s="1523"/>
      <c r="N3" s="1524"/>
      <c r="O3" s="1525"/>
      <c r="P3" s="1526"/>
      <c r="Q3" s="1526"/>
      <c r="R3" s="1526"/>
      <c r="S3" s="1526"/>
      <c r="T3" s="1504"/>
      <c r="U3" s="1504"/>
      <c r="V3" s="1504"/>
      <c r="W3" s="1504"/>
      <c r="X3" s="1504"/>
      <c r="Y3" s="1504"/>
      <c r="Z3" s="336"/>
      <c r="AA3" s="1500"/>
      <c r="AB3" s="1500"/>
      <c r="AC3" s="1500"/>
      <c r="AD3" s="1500"/>
      <c r="AE3" s="1500"/>
      <c r="AF3" s="1500"/>
      <c r="AG3" s="470"/>
      <c r="AH3" s="1594" t="s">
        <v>896</v>
      </c>
      <c r="AI3" s="1595"/>
      <c r="AJ3" s="1595"/>
      <c r="AK3" s="1595"/>
      <c r="AL3" s="1595"/>
      <c r="AM3" s="1595"/>
      <c r="AN3" s="1595"/>
      <c r="AO3" s="1595"/>
      <c r="AP3" s="1595"/>
      <c r="AQ3" s="1595"/>
      <c r="AR3" s="1595"/>
      <c r="AS3" s="1595"/>
      <c r="AT3" s="1596"/>
      <c r="AU3" s="1597" t="s">
        <v>897</v>
      </c>
      <c r="AV3" s="1598"/>
      <c r="AW3" s="1598"/>
      <c r="AX3" s="506"/>
      <c r="AY3" s="1605" t="s">
        <v>898</v>
      </c>
      <c r="AZ3" s="1605"/>
      <c r="BA3" s="1606"/>
      <c r="BB3" s="1617" t="s">
        <v>895</v>
      </c>
      <c r="BC3" s="1618"/>
      <c r="BD3" s="1619"/>
      <c r="BE3" s="1533"/>
      <c r="BF3" s="1533"/>
      <c r="BG3" s="1533"/>
      <c r="BH3" s="1533"/>
      <c r="BI3" s="1533"/>
      <c r="BJ3" s="1533"/>
      <c r="BK3" s="1533"/>
      <c r="BL3" s="1533"/>
      <c r="BM3" s="519"/>
      <c r="BN3" s="520"/>
      <c r="BO3" s="582"/>
      <c r="BP3" s="582"/>
      <c r="BQ3" s="582"/>
      <c r="BR3" s="782"/>
      <c r="BS3" s="781"/>
      <c r="BT3" s="582"/>
      <c r="BU3" s="783"/>
      <c r="BV3" s="783"/>
      <c r="BW3" s="785"/>
      <c r="BX3" s="520"/>
      <c r="BY3" s="520"/>
      <c r="BZ3" s="520"/>
      <c r="CA3" s="532"/>
      <c r="CB3" s="1567" t="s">
        <v>274</v>
      </c>
      <c r="CC3" s="1568"/>
      <c r="CD3" s="1569"/>
      <c r="CE3" s="1635" t="s">
        <v>900</v>
      </c>
      <c r="CF3" s="1636"/>
      <c r="CG3" s="1636"/>
      <c r="CH3" s="1636"/>
      <c r="CI3" s="1636"/>
      <c r="CJ3" s="1636"/>
      <c r="CK3" s="1636"/>
      <c r="CL3" s="1636"/>
      <c r="CM3" s="1636"/>
      <c r="CN3" s="1636"/>
      <c r="CO3" s="1636"/>
      <c r="CP3" s="1637"/>
      <c r="CQ3" s="505"/>
      <c r="CR3" s="1541" t="s">
        <v>901</v>
      </c>
      <c r="CS3" s="1542"/>
      <c r="CT3" s="1542"/>
      <c r="CU3" s="1542"/>
      <c r="CV3" s="1542"/>
      <c r="CW3" s="1542"/>
      <c r="CX3" s="1542"/>
      <c r="CY3" s="1542"/>
      <c r="CZ3" s="1542"/>
      <c r="DA3" s="1542"/>
      <c r="DB3" s="1542"/>
      <c r="DC3" s="1542"/>
      <c r="DD3" s="1526"/>
      <c r="DE3" s="1530"/>
      <c r="DF3" s="1125"/>
      <c r="DG3" s="1566" t="s">
        <v>749</v>
      </c>
      <c r="DH3" s="1519" t="s">
        <v>750</v>
      </c>
      <c r="DI3" s="1141"/>
      <c r="DJ3" s="1632"/>
      <c r="DK3" s="1633"/>
      <c r="DL3" s="1633"/>
      <c r="DM3" s="1634"/>
      <c r="DN3" s="1638" t="s">
        <v>783</v>
      </c>
      <c r="DO3" s="1638" t="s">
        <v>784</v>
      </c>
      <c r="DP3" s="1638" t="s">
        <v>766</v>
      </c>
      <c r="DQ3" s="1117"/>
      <c r="DR3" s="390"/>
      <c r="DS3" s="578"/>
      <c r="DT3" s="579"/>
      <c r="DU3" s="578"/>
      <c r="DV3" s="578"/>
      <c r="DW3" s="578"/>
      <c r="DX3" s="578"/>
      <c r="DY3" s="578"/>
      <c r="DZ3" s="578">
        <f>DW4-DX3</f>
        <v>0</v>
      </c>
      <c r="EA3" s="392"/>
      <c r="EB3" s="392"/>
      <c r="EC3" s="392"/>
      <c r="ED3" s="392"/>
      <c r="EE3" s="392"/>
      <c r="EF3" s="392"/>
      <c r="EG3" s="392"/>
      <c r="EH3" s="392"/>
      <c r="EI3" s="392"/>
      <c r="EJ3" s="392"/>
      <c r="EK3" s="392"/>
      <c r="EL3" s="392"/>
      <c r="EM3" s="392"/>
      <c r="EN3" s="392"/>
      <c r="EO3" s="392"/>
      <c r="EP3" s="392"/>
      <c r="EQ3" s="392"/>
      <c r="ER3" s="392"/>
      <c r="ES3" s="392"/>
      <c r="ET3" s="392"/>
      <c r="EU3" s="392"/>
      <c r="EV3" s="392"/>
      <c r="EW3" s="392"/>
      <c r="EX3" s="392"/>
      <c r="EY3" s="392"/>
      <c r="EZ3" s="392"/>
      <c r="FA3" s="392"/>
      <c r="FB3" s="392"/>
      <c r="FC3" s="392"/>
      <c r="FD3" s="392"/>
      <c r="FE3" s="392"/>
      <c r="FF3" s="392"/>
      <c r="FG3" s="392"/>
      <c r="FH3" s="392"/>
      <c r="FI3" s="392"/>
      <c r="FJ3" s="392"/>
      <c r="FK3" s="392"/>
      <c r="FL3" s="392"/>
      <c r="FM3" s="392"/>
      <c r="FN3" s="392"/>
      <c r="FO3" s="392"/>
      <c r="FP3" s="392"/>
      <c r="FQ3" s="392"/>
      <c r="FR3" s="392"/>
      <c r="FS3" s="392"/>
      <c r="FT3" s="392"/>
      <c r="FU3" s="392"/>
      <c r="FV3" s="392"/>
      <c r="FW3" s="392"/>
      <c r="FX3" s="392"/>
      <c r="FY3" s="392"/>
      <c r="FZ3" s="392"/>
      <c r="GA3" s="392"/>
      <c r="GB3" s="392"/>
      <c r="GC3" s="392"/>
      <c r="GD3" s="392"/>
      <c r="GE3" s="392"/>
      <c r="GF3" s="392"/>
      <c r="GG3" s="392"/>
      <c r="GH3" s="392"/>
      <c r="GI3" s="392"/>
      <c r="GJ3" s="392"/>
      <c r="GK3" s="392"/>
      <c r="GL3" s="392"/>
      <c r="GM3" s="392"/>
    </row>
    <row r="4" spans="1:195" s="337" customFormat="1" ht="21.6" customHeight="1" x14ac:dyDescent="0.25">
      <c r="A4" s="411"/>
      <c r="B4" s="411"/>
      <c r="C4" s="339"/>
      <c r="D4" s="1521"/>
      <c r="E4" s="1522"/>
      <c r="F4" s="1523"/>
      <c r="G4" s="1523"/>
      <c r="H4" s="1523"/>
      <c r="I4" s="413"/>
      <c r="J4" s="413"/>
      <c r="K4" s="1523"/>
      <c r="L4" s="413"/>
      <c r="M4" s="1523"/>
      <c r="N4" s="1524"/>
      <c r="O4" s="1525"/>
      <c r="P4" s="1526"/>
      <c r="Q4" s="1526"/>
      <c r="R4" s="1526"/>
      <c r="S4" s="1526"/>
      <c r="T4" s="1527" t="s">
        <v>267</v>
      </c>
      <c r="U4" s="1527"/>
      <c r="V4" s="1527"/>
      <c r="W4" s="1528" t="s">
        <v>277</v>
      </c>
      <c r="X4" s="1528"/>
      <c r="Y4" s="1528"/>
      <c r="Z4" s="340"/>
      <c r="AA4" s="1512" t="s">
        <v>267</v>
      </c>
      <c r="AB4" s="1512"/>
      <c r="AC4" s="1512"/>
      <c r="AD4" s="1499" t="s">
        <v>277</v>
      </c>
      <c r="AE4" s="1499"/>
      <c r="AF4" s="1499"/>
      <c r="AG4" s="471"/>
      <c r="AH4" s="1620" t="s">
        <v>269</v>
      </c>
      <c r="AI4" s="1621"/>
      <c r="AJ4" s="1614" t="s">
        <v>581</v>
      </c>
      <c r="AK4" s="1615"/>
      <c r="AL4" s="1616"/>
      <c r="AM4" s="1599" t="s">
        <v>681</v>
      </c>
      <c r="AN4" s="1600"/>
      <c r="AO4" s="1600"/>
      <c r="AP4" s="1600"/>
      <c r="AQ4" s="1600"/>
      <c r="AR4" s="1601"/>
      <c r="AS4" s="1583" t="s">
        <v>585</v>
      </c>
      <c r="AT4" s="1583" t="s">
        <v>586</v>
      </c>
      <c r="AU4" s="1561" t="s">
        <v>685</v>
      </c>
      <c r="AV4" s="1613"/>
      <c r="AW4" s="1613"/>
      <c r="AX4" s="507"/>
      <c r="AY4" s="1585" t="s">
        <v>661</v>
      </c>
      <c r="AZ4" s="1585"/>
      <c r="BA4" s="1586"/>
      <c r="BB4" s="1587" t="s">
        <v>683</v>
      </c>
      <c r="BC4" s="1588"/>
      <c r="BD4" s="1589"/>
      <c r="BE4" s="1591" t="s">
        <v>583</v>
      </c>
      <c r="BF4" s="1591"/>
      <c r="BG4" s="1639" t="s">
        <v>584</v>
      </c>
      <c r="BH4" s="1639"/>
      <c r="BI4" s="1640" t="s">
        <v>686</v>
      </c>
      <c r="BJ4" s="1641"/>
      <c r="BK4" s="1640" t="s">
        <v>662</v>
      </c>
      <c r="BL4" s="1641"/>
      <c r="BM4" s="341"/>
      <c r="BN4" s="341"/>
      <c r="BO4" s="1590" t="s">
        <v>581</v>
      </c>
      <c r="BP4" s="1590"/>
      <c r="BQ4" s="1590"/>
      <c r="BR4" s="1590" t="s">
        <v>582</v>
      </c>
      <c r="BS4" s="1590"/>
      <c r="BT4" s="1590"/>
      <c r="BU4" s="1548" t="s">
        <v>598</v>
      </c>
      <c r="BV4" s="1548"/>
      <c r="BW4" s="1548"/>
      <c r="BX4" s="1549" t="s">
        <v>585</v>
      </c>
      <c r="BY4" s="1550" t="s">
        <v>586</v>
      </c>
      <c r="BZ4" s="1551" t="s">
        <v>664</v>
      </c>
      <c r="CA4" s="533"/>
      <c r="CB4" s="1570"/>
      <c r="CC4" s="1571"/>
      <c r="CD4" s="1572"/>
      <c r="CE4" s="1643" t="s">
        <v>267</v>
      </c>
      <c r="CF4" s="1644"/>
      <c r="CG4" s="1644"/>
      <c r="CH4" s="1645" t="s">
        <v>277</v>
      </c>
      <c r="CI4" s="1645"/>
      <c r="CJ4" s="1645"/>
      <c r="CK4" s="1534" t="s">
        <v>268</v>
      </c>
      <c r="CL4" s="1535"/>
      <c r="CM4" s="1535"/>
      <c r="CN4" s="1536" t="s">
        <v>690</v>
      </c>
      <c r="CO4" s="1537"/>
      <c r="CP4" s="1537"/>
      <c r="CQ4" s="507"/>
      <c r="CR4" s="1575" t="s">
        <v>267</v>
      </c>
      <c r="CS4" s="1576"/>
      <c r="CT4" s="1576"/>
      <c r="CU4" s="1556" t="s">
        <v>277</v>
      </c>
      <c r="CV4" s="1556"/>
      <c r="CW4" s="1556"/>
      <c r="CX4" s="1543" t="s">
        <v>819</v>
      </c>
      <c r="CY4" s="1544"/>
      <c r="CZ4" s="1544"/>
      <c r="DA4" s="1544"/>
      <c r="DB4" s="1544"/>
      <c r="DC4" s="1544"/>
      <c r="DD4" s="1526"/>
      <c r="DE4" s="1530"/>
      <c r="DF4" s="1131"/>
      <c r="DG4" s="1566"/>
      <c r="DH4" s="1519"/>
      <c r="DI4" s="1142"/>
      <c r="DJ4" s="1628" t="s">
        <v>785</v>
      </c>
      <c r="DK4" s="1628" t="s">
        <v>782</v>
      </c>
      <c r="DL4" s="1564" t="s">
        <v>794</v>
      </c>
      <c r="DM4" s="1564" t="s">
        <v>795</v>
      </c>
      <c r="DN4" s="1638"/>
      <c r="DO4" s="1638"/>
      <c r="DP4" s="1638"/>
      <c r="DQ4" s="1117"/>
      <c r="DR4" s="390"/>
      <c r="DS4" s="578"/>
      <c r="DT4" s="578"/>
      <c r="DU4" s="578"/>
      <c r="DV4" s="578"/>
      <c r="DW4" s="578"/>
      <c r="DX4" s="578"/>
      <c r="DY4" s="578"/>
      <c r="DZ4" s="578"/>
      <c r="EA4" s="392"/>
      <c r="EB4" s="392"/>
      <c r="EC4" s="392"/>
      <c r="ED4" s="392"/>
      <c r="EE4" s="392"/>
      <c r="EF4" s="392"/>
      <c r="EG4" s="392"/>
      <c r="EH4" s="392"/>
      <c r="EI4" s="392"/>
      <c r="EJ4" s="392"/>
      <c r="EK4" s="392"/>
      <c r="EL4" s="392"/>
      <c r="EM4" s="392"/>
      <c r="EN4" s="392"/>
      <c r="EO4" s="392"/>
      <c r="EP4" s="392"/>
      <c r="EQ4" s="392"/>
      <c r="ER4" s="392"/>
      <c r="ES4" s="392"/>
      <c r="ET4" s="392"/>
      <c r="EU4" s="392"/>
      <c r="EV4" s="392"/>
      <c r="EW4" s="392"/>
      <c r="EX4" s="392"/>
      <c r="EY4" s="392"/>
      <c r="EZ4" s="392"/>
      <c r="FA4" s="392"/>
      <c r="FB4" s="392"/>
      <c r="FC4" s="392"/>
      <c r="FD4" s="392"/>
      <c r="FE4" s="392"/>
      <c r="FF4" s="392"/>
      <c r="FG4" s="392"/>
      <c r="FH4" s="392"/>
      <c r="FI4" s="392"/>
      <c r="FJ4" s="392"/>
      <c r="FK4" s="392"/>
      <c r="FL4" s="392"/>
      <c r="FM4" s="392"/>
      <c r="FN4" s="392"/>
      <c r="FO4" s="392"/>
      <c r="FP4" s="392"/>
      <c r="FQ4" s="392"/>
      <c r="FR4" s="392"/>
      <c r="FS4" s="392"/>
      <c r="FT4" s="392"/>
      <c r="FU4" s="392"/>
      <c r="FV4" s="392"/>
      <c r="FW4" s="392"/>
      <c r="FX4" s="392"/>
      <c r="FY4" s="392"/>
      <c r="FZ4" s="392"/>
      <c r="GA4" s="392"/>
      <c r="GB4" s="392"/>
      <c r="GC4" s="392"/>
      <c r="GD4" s="392"/>
      <c r="GE4" s="392"/>
      <c r="GF4" s="392"/>
      <c r="GG4" s="392"/>
      <c r="GH4" s="392"/>
      <c r="GI4" s="392"/>
      <c r="GJ4" s="392"/>
      <c r="GK4" s="392"/>
      <c r="GL4" s="392"/>
      <c r="GM4" s="392"/>
    </row>
    <row r="5" spans="1:195" s="413" customFormat="1" ht="29.25" customHeight="1" x14ac:dyDescent="0.25">
      <c r="A5" s="411"/>
      <c r="B5" s="411"/>
      <c r="D5" s="342"/>
      <c r="E5" s="412"/>
      <c r="N5" s="409"/>
      <c r="O5" s="343"/>
      <c r="P5" s="1529" t="s">
        <v>0</v>
      </c>
      <c r="Q5" s="1529" t="s">
        <v>1</v>
      </c>
      <c r="R5" s="1529" t="s">
        <v>366</v>
      </c>
      <c r="S5" s="1531" t="s">
        <v>305</v>
      </c>
      <c r="T5" s="1573" t="s">
        <v>263</v>
      </c>
      <c r="U5" s="1573" t="s">
        <v>264</v>
      </c>
      <c r="V5" s="1573" t="s">
        <v>2</v>
      </c>
      <c r="W5" s="1574" t="s">
        <v>278</v>
      </c>
      <c r="X5" s="1574" t="s">
        <v>279</v>
      </c>
      <c r="Y5" s="1581" t="s">
        <v>2</v>
      </c>
      <c r="Z5" s="344"/>
      <c r="AA5" s="1582" t="s">
        <v>264</v>
      </c>
      <c r="AB5" s="1582" t="s">
        <v>263</v>
      </c>
      <c r="AC5" s="1582" t="s">
        <v>2</v>
      </c>
      <c r="AD5" s="1578" t="s">
        <v>278</v>
      </c>
      <c r="AE5" s="1578" t="s">
        <v>279</v>
      </c>
      <c r="AF5" s="1579" t="s">
        <v>2</v>
      </c>
      <c r="AG5" s="472"/>
      <c r="AH5" s="1622"/>
      <c r="AI5" s="1623"/>
      <c r="AJ5" s="1609" t="s">
        <v>682</v>
      </c>
      <c r="AK5" s="1610"/>
      <c r="AL5" s="548" t="s">
        <v>532</v>
      </c>
      <c r="AM5" s="1607" t="s">
        <v>682</v>
      </c>
      <c r="AN5" s="1608"/>
      <c r="AO5" s="548" t="s">
        <v>532</v>
      </c>
      <c r="AP5" s="1602" t="s">
        <v>680</v>
      </c>
      <c r="AQ5" s="1603"/>
      <c r="AR5" s="1604"/>
      <c r="AS5" s="1584"/>
      <c r="AT5" s="1584"/>
      <c r="AU5" s="1624" t="s">
        <v>682</v>
      </c>
      <c r="AV5" s="1625"/>
      <c r="AW5" s="551" t="s">
        <v>532</v>
      </c>
      <c r="AX5" s="508"/>
      <c r="AY5" s="1611" t="s">
        <v>682</v>
      </c>
      <c r="AZ5" s="1612"/>
      <c r="BA5" s="556" t="s">
        <v>532</v>
      </c>
      <c r="BB5" s="1626" t="s">
        <v>682</v>
      </c>
      <c r="BC5" s="1627"/>
      <c r="BD5" s="560" t="s">
        <v>532</v>
      </c>
      <c r="BE5" s="512" t="s">
        <v>672</v>
      </c>
      <c r="BF5" s="513" t="s">
        <v>532</v>
      </c>
      <c r="BG5" s="512" t="s">
        <v>672</v>
      </c>
      <c r="BH5" s="513" t="s">
        <v>532</v>
      </c>
      <c r="BI5" s="514" t="s">
        <v>672</v>
      </c>
      <c r="BJ5" s="513" t="s">
        <v>532</v>
      </c>
      <c r="BK5" s="345" t="s">
        <v>431</v>
      </c>
      <c r="BL5" s="568" t="s">
        <v>532</v>
      </c>
      <c r="BM5" s="1580" t="s">
        <v>269</v>
      </c>
      <c r="BN5" s="1580"/>
      <c r="BO5" s="1554" t="s">
        <v>424</v>
      </c>
      <c r="BP5" s="1554"/>
      <c r="BQ5" s="513" t="s">
        <v>532</v>
      </c>
      <c r="BR5" s="1554" t="s">
        <v>424</v>
      </c>
      <c r="BS5" s="1554"/>
      <c r="BT5" s="513" t="s">
        <v>532</v>
      </c>
      <c r="BU5" s="1555" t="s">
        <v>600</v>
      </c>
      <c r="BV5" s="1555"/>
      <c r="BW5" s="47" t="s">
        <v>532</v>
      </c>
      <c r="BX5" s="1549"/>
      <c r="BY5" s="1550"/>
      <c r="BZ5" s="1552"/>
      <c r="CA5" s="533"/>
      <c r="CB5" s="1529" t="s">
        <v>1</v>
      </c>
      <c r="CC5" s="1529" t="s">
        <v>0</v>
      </c>
      <c r="CD5" s="1531" t="s">
        <v>305</v>
      </c>
      <c r="CE5" s="1646" t="s">
        <v>264</v>
      </c>
      <c r="CF5" s="1647" t="s">
        <v>263</v>
      </c>
      <c r="CG5" s="1647" t="s">
        <v>2</v>
      </c>
      <c r="CH5" s="1592" t="s">
        <v>278</v>
      </c>
      <c r="CI5" s="1592" t="s">
        <v>279</v>
      </c>
      <c r="CJ5" s="1593" t="s">
        <v>2</v>
      </c>
      <c r="CK5" s="562"/>
      <c r="CL5" s="563" t="s">
        <v>431</v>
      </c>
      <c r="CM5" s="560" t="s">
        <v>532</v>
      </c>
      <c r="CN5" s="564"/>
      <c r="CO5" s="564" t="s">
        <v>431</v>
      </c>
      <c r="CP5" s="565" t="s">
        <v>532</v>
      </c>
      <c r="CQ5" s="541"/>
      <c r="CR5" s="1577" t="s">
        <v>264</v>
      </c>
      <c r="CS5" s="1642" t="s">
        <v>263</v>
      </c>
      <c r="CT5" s="1642" t="s">
        <v>2</v>
      </c>
      <c r="CU5" s="1562" t="s">
        <v>278</v>
      </c>
      <c r="CV5" s="1562" t="s">
        <v>279</v>
      </c>
      <c r="CW5" s="1563" t="s">
        <v>2</v>
      </c>
      <c r="CX5" s="1557" t="s">
        <v>673</v>
      </c>
      <c r="CY5" s="1558"/>
      <c r="CZ5" s="1559"/>
      <c r="DA5" s="1560" t="s">
        <v>691</v>
      </c>
      <c r="DB5" s="1560"/>
      <c r="DC5" s="1561"/>
      <c r="DD5" s="573"/>
      <c r="DF5" s="1132"/>
      <c r="DG5" s="1566"/>
      <c r="DH5" s="1519"/>
      <c r="DI5" s="1142"/>
      <c r="DJ5" s="1628"/>
      <c r="DK5" s="1628"/>
      <c r="DL5" s="1565"/>
      <c r="DM5" s="1565"/>
      <c r="DN5" s="1638"/>
      <c r="DO5" s="1638"/>
      <c r="DP5" s="1638"/>
      <c r="DQ5" s="1117"/>
      <c r="DR5" s="391"/>
      <c r="DS5" s="580"/>
      <c r="DT5" s="580"/>
      <c r="DU5" s="580"/>
      <c r="DV5" s="580"/>
      <c r="DW5" s="580"/>
      <c r="DX5" s="580"/>
      <c r="DY5" s="580"/>
      <c r="DZ5" s="580"/>
      <c r="EA5" s="391"/>
      <c r="EB5" s="391"/>
      <c r="EC5" s="391"/>
      <c r="ED5" s="391"/>
      <c r="EE5" s="391"/>
      <c r="EF5" s="391"/>
      <c r="EG5" s="391"/>
      <c r="EH5" s="391"/>
      <c r="EI5" s="391"/>
      <c r="EJ5" s="391"/>
      <c r="EK5" s="391"/>
      <c r="EL5" s="391"/>
      <c r="EM5" s="391"/>
      <c r="EN5" s="391"/>
      <c r="EO5" s="391"/>
      <c r="EP5" s="391"/>
      <c r="EQ5" s="391"/>
      <c r="ER5" s="391"/>
      <c r="ES5" s="391"/>
      <c r="ET5" s="391"/>
      <c r="EU5" s="391"/>
      <c r="EV5" s="391"/>
      <c r="EW5" s="391"/>
      <c r="EX5" s="391"/>
      <c r="EY5" s="391"/>
      <c r="EZ5" s="391"/>
      <c r="FA5" s="391"/>
      <c r="FB5" s="391"/>
      <c r="FC5" s="391"/>
      <c r="FD5" s="391"/>
      <c r="FE5" s="391"/>
      <c r="FF5" s="391"/>
      <c r="FG5" s="391"/>
      <c r="FH5" s="391"/>
      <c r="FI5" s="391"/>
      <c r="FJ5" s="391"/>
      <c r="FK5" s="391"/>
      <c r="FL5" s="391"/>
      <c r="FM5" s="391"/>
      <c r="FN5" s="391"/>
      <c r="FO5" s="391"/>
      <c r="FP5" s="391"/>
      <c r="FQ5" s="391"/>
      <c r="FR5" s="391"/>
      <c r="FS5" s="391"/>
      <c r="FT5" s="391"/>
      <c r="FU5" s="391"/>
      <c r="FV5" s="391"/>
      <c r="FW5" s="391"/>
      <c r="FX5" s="391"/>
      <c r="FY5" s="391"/>
      <c r="FZ5" s="391"/>
      <c r="GA5" s="391"/>
      <c r="GB5" s="391"/>
      <c r="GC5" s="391"/>
      <c r="GD5" s="391"/>
      <c r="GE5" s="391"/>
      <c r="GF5" s="391"/>
      <c r="GG5" s="391"/>
      <c r="GH5" s="391"/>
      <c r="GI5" s="391"/>
      <c r="GJ5" s="391"/>
      <c r="GK5" s="391"/>
      <c r="GL5" s="391"/>
      <c r="GM5" s="391"/>
    </row>
    <row r="6" spans="1:195" s="337" customFormat="1" ht="18.75" hidden="1" customHeight="1" x14ac:dyDescent="0.25">
      <c r="A6" s="411"/>
      <c r="B6" s="411"/>
      <c r="C6" s="413"/>
      <c r="D6" s="342"/>
      <c r="E6" s="412"/>
      <c r="F6" s="413"/>
      <c r="G6" s="413"/>
      <c r="H6" s="413"/>
      <c r="I6" s="413"/>
      <c r="J6" s="413"/>
      <c r="K6" s="413"/>
      <c r="L6" s="413"/>
      <c r="M6" s="413"/>
      <c r="N6" s="409"/>
      <c r="O6" s="343"/>
      <c r="P6" s="1529"/>
      <c r="Q6" s="1529"/>
      <c r="R6" s="1529"/>
      <c r="S6" s="1531"/>
      <c r="T6" s="1573"/>
      <c r="U6" s="1573"/>
      <c r="V6" s="1573"/>
      <c r="W6" s="1574"/>
      <c r="X6" s="1574"/>
      <c r="Y6" s="1581"/>
      <c r="Z6" s="344"/>
      <c r="AA6" s="1582"/>
      <c r="AB6" s="1582"/>
      <c r="AC6" s="1582"/>
      <c r="AD6" s="1578"/>
      <c r="AE6" s="1578"/>
      <c r="AF6" s="1579"/>
      <c r="AG6" s="472"/>
      <c r="AH6" s="486" t="s">
        <v>271</v>
      </c>
      <c r="AI6" s="486" t="s">
        <v>262</v>
      </c>
      <c r="AJ6" s="553" t="s">
        <v>271</v>
      </c>
      <c r="AK6" s="553" t="s">
        <v>262</v>
      </c>
      <c r="AL6" s="553" t="s">
        <v>587</v>
      </c>
      <c r="AM6" s="554" t="s">
        <v>271</v>
      </c>
      <c r="AN6" s="554" t="s">
        <v>262</v>
      </c>
      <c r="AO6" s="559" t="s">
        <v>587</v>
      </c>
      <c r="AP6" s="554" t="s">
        <v>271</v>
      </c>
      <c r="AQ6" s="554" t="s">
        <v>587</v>
      </c>
      <c r="AR6" s="555" t="s">
        <v>532</v>
      </c>
      <c r="AS6" s="52" t="s">
        <v>587</v>
      </c>
      <c r="AT6" s="6" t="s">
        <v>587</v>
      </c>
      <c r="AU6" s="549" t="s">
        <v>271</v>
      </c>
      <c r="AV6" s="549" t="s">
        <v>587</v>
      </c>
      <c r="AW6" s="552" t="s">
        <v>587</v>
      </c>
      <c r="AX6" s="509"/>
      <c r="AY6" s="557" t="s">
        <v>271</v>
      </c>
      <c r="AZ6" s="558" t="s">
        <v>262</v>
      </c>
      <c r="BA6" s="558" t="s">
        <v>587</v>
      </c>
      <c r="BB6" s="347" t="s">
        <v>271</v>
      </c>
      <c r="BC6" s="347" t="s">
        <v>262</v>
      </c>
      <c r="BD6" s="347" t="s">
        <v>587</v>
      </c>
      <c r="BE6" s="401" t="s">
        <v>262</v>
      </c>
      <c r="BF6" s="401" t="s">
        <v>262</v>
      </c>
      <c r="BG6" s="403" t="s">
        <v>262</v>
      </c>
      <c r="BH6" s="401" t="s">
        <v>262</v>
      </c>
      <c r="BI6" s="403"/>
      <c r="BJ6" s="401"/>
      <c r="BK6" s="403" t="s">
        <v>262</v>
      </c>
      <c r="BL6" s="401" t="s">
        <v>262</v>
      </c>
      <c r="BM6" s="399" t="s">
        <v>271</v>
      </c>
      <c r="BN6" s="399" t="s">
        <v>275</v>
      </c>
      <c r="BO6" s="467" t="s">
        <v>271</v>
      </c>
      <c r="BP6" s="467" t="s">
        <v>275</v>
      </c>
      <c r="BQ6" s="467"/>
      <c r="BR6" s="464" t="s">
        <v>271</v>
      </c>
      <c r="BS6" s="464" t="s">
        <v>275</v>
      </c>
      <c r="BT6" s="467"/>
      <c r="BU6" s="50" t="s">
        <v>271</v>
      </c>
      <c r="BV6" s="50" t="s">
        <v>275</v>
      </c>
      <c r="BW6" s="51"/>
      <c r="BX6" s="346"/>
      <c r="BY6" s="402">
        <f>BL10-BY10</f>
        <v>-10.280000000000655</v>
      </c>
      <c r="BZ6" s="1553"/>
      <c r="CA6" s="533"/>
      <c r="CB6" s="1529"/>
      <c r="CC6" s="1529"/>
      <c r="CD6" s="1531"/>
      <c r="CE6" s="1646"/>
      <c r="CF6" s="1647"/>
      <c r="CG6" s="1647"/>
      <c r="CH6" s="1592"/>
      <c r="CI6" s="1592"/>
      <c r="CJ6" s="1593"/>
      <c r="CK6" s="566" t="s">
        <v>271</v>
      </c>
      <c r="CL6" s="347" t="s">
        <v>587</v>
      </c>
      <c r="CM6" s="347" t="s">
        <v>587</v>
      </c>
      <c r="CN6" s="561" t="s">
        <v>271</v>
      </c>
      <c r="CO6" s="561" t="s">
        <v>587</v>
      </c>
      <c r="CP6" s="567" t="s">
        <v>587</v>
      </c>
      <c r="CQ6" s="439"/>
      <c r="CR6" s="1577"/>
      <c r="CS6" s="1642"/>
      <c r="CT6" s="1642"/>
      <c r="CU6" s="1562"/>
      <c r="CV6" s="1562"/>
      <c r="CW6" s="1563"/>
      <c r="CX6" s="549" t="s">
        <v>271</v>
      </c>
      <c r="CY6" s="549" t="s">
        <v>275</v>
      </c>
      <c r="CZ6" s="550" t="s">
        <v>623</v>
      </c>
      <c r="DA6" s="549" t="s">
        <v>271</v>
      </c>
      <c r="DB6" s="549" t="s">
        <v>275</v>
      </c>
      <c r="DC6" s="551" t="s">
        <v>623</v>
      </c>
      <c r="DD6" s="573"/>
      <c r="DF6" s="671"/>
      <c r="DG6" s="673"/>
      <c r="DH6" s="673"/>
      <c r="DI6" s="1140"/>
      <c r="DJ6" s="1129"/>
      <c r="DK6" s="1129"/>
      <c r="DL6" s="1123"/>
      <c r="DM6" s="1123"/>
      <c r="DN6" s="670"/>
      <c r="DO6" s="669"/>
      <c r="DP6" s="669"/>
      <c r="DQ6" s="1117"/>
      <c r="DR6" s="392"/>
      <c r="DS6" s="578"/>
      <c r="DT6" s="578"/>
      <c r="DU6" s="578"/>
      <c r="DV6" s="578"/>
      <c r="DW6" s="578"/>
      <c r="DX6" s="578"/>
      <c r="DY6" s="578"/>
      <c r="DZ6" s="578">
        <f>DW5-DW6</f>
        <v>0</v>
      </c>
      <c r="EA6" s="392"/>
      <c r="EB6" s="392"/>
      <c r="EC6" s="392"/>
      <c r="ED6" s="392"/>
      <c r="EE6" s="392"/>
      <c r="EF6" s="392"/>
      <c r="EG6" s="392"/>
      <c r="EH6" s="392"/>
      <c r="EI6" s="392"/>
      <c r="EJ6" s="392"/>
      <c r="EK6" s="392"/>
      <c r="EL6" s="392"/>
      <c r="EM6" s="392"/>
      <c r="EN6" s="392"/>
      <c r="EO6" s="392"/>
      <c r="EP6" s="392"/>
      <c r="EQ6" s="392"/>
      <c r="ER6" s="392"/>
      <c r="ES6" s="392"/>
      <c r="ET6" s="392"/>
      <c r="EU6" s="392"/>
      <c r="EV6" s="392"/>
      <c r="EW6" s="392"/>
      <c r="EX6" s="392"/>
      <c r="EY6" s="392"/>
      <c r="EZ6" s="392"/>
      <c r="FA6" s="392"/>
      <c r="FB6" s="392"/>
      <c r="FC6" s="392"/>
      <c r="FD6" s="392"/>
      <c r="FE6" s="392"/>
      <c r="FF6" s="392"/>
      <c r="FG6" s="392"/>
      <c r="FH6" s="392"/>
      <c r="FI6" s="392"/>
      <c r="FJ6" s="392"/>
      <c r="FK6" s="392"/>
      <c r="FL6" s="392"/>
      <c r="FM6" s="392"/>
      <c r="FN6" s="392"/>
      <c r="FO6" s="392"/>
      <c r="FP6" s="392"/>
      <c r="FQ6" s="392"/>
      <c r="FR6" s="392"/>
      <c r="FS6" s="392"/>
      <c r="FT6" s="392"/>
      <c r="FU6" s="392"/>
      <c r="FV6" s="392"/>
      <c r="FW6" s="392"/>
      <c r="FX6" s="392"/>
      <c r="FY6" s="392"/>
      <c r="FZ6" s="392"/>
      <c r="GA6" s="392"/>
      <c r="GB6" s="392"/>
      <c r="GC6" s="392"/>
      <c r="GD6" s="392"/>
      <c r="GE6" s="392"/>
      <c r="GF6" s="392"/>
      <c r="GG6" s="392"/>
      <c r="GH6" s="392"/>
      <c r="GI6" s="392"/>
      <c r="GJ6" s="392"/>
      <c r="GK6" s="392"/>
      <c r="GL6" s="392"/>
      <c r="GM6" s="392"/>
    </row>
    <row r="7" spans="1:195" s="337" customFormat="1" ht="21.6" hidden="1" customHeight="1" x14ac:dyDescent="0.25">
      <c r="A7" s="411"/>
      <c r="B7" s="411"/>
      <c r="C7" s="413"/>
      <c r="D7" s="342"/>
      <c r="E7" s="412"/>
      <c r="F7" s="413"/>
      <c r="G7" s="413"/>
      <c r="H7" s="413"/>
      <c r="I7" s="413"/>
      <c r="J7" s="413"/>
      <c r="K7" s="413"/>
      <c r="L7" s="413"/>
      <c r="M7" s="413"/>
      <c r="N7" s="409"/>
      <c r="O7" s="343"/>
      <c r="P7" s="405"/>
      <c r="Q7" s="405"/>
      <c r="R7" s="405"/>
      <c r="S7" s="406"/>
      <c r="T7" s="407"/>
      <c r="U7" s="407"/>
      <c r="V7" s="407"/>
      <c r="W7" s="408"/>
      <c r="X7" s="408"/>
      <c r="Y7" s="410"/>
      <c r="Z7" s="344"/>
      <c r="AA7" s="400"/>
      <c r="AB7" s="400"/>
      <c r="AC7" s="400"/>
      <c r="AD7" s="403"/>
      <c r="AE7" s="403"/>
      <c r="AF7" s="404"/>
      <c r="AG7" s="472"/>
      <c r="AH7" s="486"/>
      <c r="AI7" s="486"/>
      <c r="AJ7" s="106"/>
      <c r="AK7" s="106"/>
      <c r="AL7" s="106"/>
      <c r="AM7" s="105"/>
      <c r="AN7" s="105"/>
      <c r="AO7" s="553">
        <v>1540.33</v>
      </c>
      <c r="AP7" s="105"/>
      <c r="AQ7" s="105"/>
      <c r="AR7" s="106">
        <v>343</v>
      </c>
      <c r="AS7" s="52"/>
      <c r="AT7" s="6"/>
      <c r="AU7" s="401"/>
      <c r="AV7" s="401"/>
      <c r="AW7" s="488"/>
      <c r="AX7" s="439"/>
      <c r="AY7" s="489"/>
      <c r="AZ7" s="401"/>
      <c r="BA7" s="401"/>
      <c r="BB7" s="403"/>
      <c r="BC7" s="401"/>
      <c r="BD7" s="401">
        <v>399</v>
      </c>
      <c r="BE7" s="401"/>
      <c r="BF7" s="401"/>
      <c r="BG7" s="403"/>
      <c r="BH7" s="401"/>
      <c r="BI7" s="403"/>
      <c r="BJ7" s="401"/>
      <c r="BK7" s="401"/>
      <c r="BL7" s="401">
        <v>10000</v>
      </c>
      <c r="BM7" s="399"/>
      <c r="BN7" s="399"/>
      <c r="BO7" s="467"/>
      <c r="BP7" s="467"/>
      <c r="BQ7" s="467"/>
      <c r="BR7" s="464"/>
      <c r="BS7" s="464"/>
      <c r="BT7" s="467"/>
      <c r="BU7" s="50"/>
      <c r="BV7" s="50"/>
      <c r="BW7" s="51"/>
      <c r="BX7" s="346"/>
      <c r="BY7" s="402">
        <v>10000</v>
      </c>
      <c r="BZ7" s="402"/>
      <c r="CA7" s="439"/>
      <c r="CB7" s="465"/>
      <c r="CC7" s="465"/>
      <c r="CD7" s="466"/>
      <c r="CE7" s="489"/>
      <c r="CF7" s="467"/>
      <c r="CG7" s="467" t="s">
        <v>426</v>
      </c>
      <c r="CH7" s="467"/>
      <c r="CI7" s="467"/>
      <c r="CJ7" s="467"/>
      <c r="CK7" s="522"/>
      <c r="CL7" s="51" t="s">
        <v>674</v>
      </c>
      <c r="CM7" s="51">
        <f>825-BD7</f>
        <v>426</v>
      </c>
      <c r="CN7" s="464"/>
      <c r="CO7" s="464"/>
      <c r="CP7" s="488">
        <v>426</v>
      </c>
      <c r="CQ7" s="439"/>
      <c r="CR7" s="489"/>
      <c r="CS7" s="467"/>
      <c r="CT7" s="467"/>
      <c r="CU7" s="467"/>
      <c r="CV7" s="467"/>
      <c r="CW7" s="467"/>
      <c r="CX7" s="50" t="s">
        <v>674</v>
      </c>
      <c r="CY7" s="50">
        <v>215.67</v>
      </c>
      <c r="CZ7" s="51"/>
      <c r="DA7" s="467"/>
      <c r="DB7" s="467">
        <f>375-AV10</f>
        <v>215.66666666666669</v>
      </c>
      <c r="DC7" s="488"/>
      <c r="DD7" s="573"/>
      <c r="DF7" s="671"/>
      <c r="DG7" s="6"/>
      <c r="DH7" s="6"/>
      <c r="DI7" s="6"/>
      <c r="DJ7" s="106"/>
      <c r="DK7" s="106"/>
      <c r="DL7" s="106"/>
      <c r="DM7" s="106"/>
      <c r="DN7" s="632"/>
      <c r="DO7" s="671"/>
      <c r="DP7" s="671"/>
      <c r="DQ7" s="671"/>
      <c r="DR7" s="392"/>
      <c r="DS7" s="578"/>
      <c r="DT7" s="578"/>
      <c r="DU7" s="578"/>
      <c r="DV7" s="578"/>
      <c r="DW7" s="578"/>
      <c r="DX7" s="578"/>
      <c r="DY7" s="578"/>
      <c r="DZ7" s="578"/>
      <c r="EA7" s="392"/>
      <c r="EB7" s="392"/>
      <c r="EC7" s="392"/>
      <c r="ED7" s="392"/>
      <c r="EE7" s="392"/>
      <c r="EF7" s="392"/>
      <c r="EG7" s="392"/>
      <c r="EH7" s="392"/>
      <c r="EI7" s="392"/>
      <c r="EJ7" s="392"/>
      <c r="EK7" s="392"/>
      <c r="EL7" s="392"/>
      <c r="EM7" s="392"/>
      <c r="EN7" s="392"/>
      <c r="EO7" s="392"/>
      <c r="EP7" s="392"/>
      <c r="EQ7" s="392"/>
      <c r="ER7" s="392"/>
      <c r="ES7" s="392"/>
      <c r="ET7" s="392"/>
      <c r="EU7" s="392"/>
      <c r="EV7" s="392"/>
      <c r="EW7" s="392"/>
      <c r="EX7" s="392"/>
      <c r="EY7" s="392"/>
      <c r="EZ7" s="392"/>
      <c r="FA7" s="392"/>
      <c r="FB7" s="392"/>
      <c r="FC7" s="392"/>
      <c r="FD7" s="392"/>
      <c r="FE7" s="392"/>
      <c r="FF7" s="392"/>
      <c r="FG7" s="392"/>
      <c r="FH7" s="392"/>
      <c r="FI7" s="392"/>
      <c r="FJ7" s="392"/>
      <c r="FK7" s="392"/>
      <c r="FL7" s="392"/>
      <c r="FM7" s="392"/>
      <c r="FN7" s="392"/>
      <c r="FO7" s="392"/>
      <c r="FP7" s="392"/>
      <c r="FQ7" s="392"/>
      <c r="FR7" s="392"/>
      <c r="FS7" s="392"/>
      <c r="FT7" s="392"/>
      <c r="FU7" s="392"/>
      <c r="FV7" s="392"/>
      <c r="FW7" s="392"/>
      <c r="FX7" s="392"/>
      <c r="FY7" s="392"/>
      <c r="FZ7" s="392"/>
      <c r="GA7" s="392"/>
      <c r="GB7" s="392"/>
      <c r="GC7" s="392"/>
      <c r="GD7" s="392"/>
      <c r="GE7" s="392"/>
      <c r="GF7" s="392"/>
      <c r="GG7" s="392"/>
      <c r="GH7" s="392"/>
      <c r="GI7" s="392"/>
      <c r="GJ7" s="392"/>
      <c r="GK7" s="392"/>
      <c r="GL7" s="392"/>
      <c r="GM7" s="392"/>
    </row>
    <row r="8" spans="1:195" s="337" customFormat="1" ht="21.6" hidden="1" customHeight="1" x14ac:dyDescent="0.25">
      <c r="A8" s="411"/>
      <c r="B8" s="411"/>
      <c r="C8" s="413"/>
      <c r="D8" s="342"/>
      <c r="E8" s="412"/>
      <c r="F8" s="413"/>
      <c r="G8" s="413"/>
      <c r="H8" s="413"/>
      <c r="I8" s="413"/>
      <c r="J8" s="413"/>
      <c r="K8" s="413"/>
      <c r="L8" s="413"/>
      <c r="M8" s="413"/>
      <c r="N8" s="409"/>
      <c r="O8" s="343"/>
      <c r="P8" s="405"/>
      <c r="Q8" s="405"/>
      <c r="R8" s="405"/>
      <c r="S8" s="406"/>
      <c r="T8" s="407"/>
      <c r="U8" s="407"/>
      <c r="V8" s="407"/>
      <c r="W8" s="408"/>
      <c r="X8" s="408"/>
      <c r="Y8" s="410"/>
      <c r="Z8" s="344"/>
      <c r="AA8" s="400"/>
      <c r="AB8" s="400"/>
      <c r="AC8" s="400"/>
      <c r="AD8" s="403"/>
      <c r="AE8" s="403"/>
      <c r="AF8" s="404"/>
      <c r="AG8" s="472"/>
      <c r="AH8" s="486"/>
      <c r="AI8" s="486"/>
      <c r="AJ8" s="106"/>
      <c r="AK8" s="106"/>
      <c r="AL8" s="106"/>
      <c r="AM8" s="105"/>
      <c r="AN8" s="105"/>
      <c r="AO8" s="559">
        <v>375</v>
      </c>
      <c r="AP8" s="105"/>
      <c r="AQ8" s="105"/>
      <c r="AR8" s="106">
        <f>AR7-AR10</f>
        <v>40</v>
      </c>
      <c r="AS8" s="52"/>
      <c r="AT8" s="6"/>
      <c r="AU8" s="401"/>
      <c r="AV8" s="401"/>
      <c r="AW8" s="488"/>
      <c r="AX8" s="439"/>
      <c r="AY8" s="489"/>
      <c r="AZ8" s="401"/>
      <c r="BA8" s="401"/>
      <c r="BB8" s="403"/>
      <c r="BC8" s="401"/>
      <c r="BD8" s="401">
        <f>BD7-BD10</f>
        <v>0</v>
      </c>
      <c r="BE8" s="401"/>
      <c r="BF8" s="401"/>
      <c r="BG8" s="403"/>
      <c r="BH8" s="401"/>
      <c r="BI8" s="403"/>
      <c r="BJ8" s="401"/>
      <c r="BK8" s="401"/>
      <c r="BL8" s="401"/>
      <c r="BM8" s="399"/>
      <c r="BN8" s="399"/>
      <c r="BO8" s="467"/>
      <c r="BP8" s="467"/>
      <c r="BQ8" s="467"/>
      <c r="BR8" s="464"/>
      <c r="BS8" s="464"/>
      <c r="BT8" s="467"/>
      <c r="BU8" s="50"/>
      <c r="BV8" s="50"/>
      <c r="BW8" s="51"/>
      <c r="BX8" s="346"/>
      <c r="BY8" s="402">
        <f>BY7-BY10</f>
        <v>-20.280000000000655</v>
      </c>
      <c r="BZ8" s="402"/>
      <c r="CA8" s="439"/>
      <c r="CB8" s="465"/>
      <c r="CC8" s="465"/>
      <c r="CD8" s="466"/>
      <c r="CE8" s="489"/>
      <c r="CF8" s="467"/>
      <c r="CG8" s="467"/>
      <c r="CH8" s="467"/>
      <c r="CI8" s="467"/>
      <c r="CJ8" s="467"/>
      <c r="CK8" s="522"/>
      <c r="CL8" s="51" t="s">
        <v>660</v>
      </c>
      <c r="CM8" s="51">
        <f>CM7-CM10</f>
        <v>412</v>
      </c>
      <c r="CN8" s="464"/>
      <c r="CO8" s="464"/>
      <c r="CP8" s="488">
        <f>CP7 - CM10 - CP10</f>
        <v>0</v>
      </c>
      <c r="CQ8" s="439"/>
      <c r="CR8" s="489"/>
      <c r="CS8" s="467"/>
      <c r="CT8" s="467"/>
      <c r="CU8" s="467"/>
      <c r="CV8" s="467"/>
      <c r="CW8" s="467"/>
      <c r="CX8" s="50" t="s">
        <v>660</v>
      </c>
      <c r="CY8" s="50">
        <f>CY7-DB10</f>
        <v>3.33333333330188E-3</v>
      </c>
      <c r="CZ8" s="51"/>
      <c r="DA8" s="467"/>
      <c r="DB8" s="467">
        <f>DB7-DB10</f>
        <v>0</v>
      </c>
      <c r="DC8" s="488"/>
      <c r="DD8" s="573"/>
      <c r="DF8" s="671"/>
      <c r="DG8" s="6"/>
      <c r="DH8" s="6"/>
      <c r="DI8" s="6"/>
      <c r="DJ8" s="106"/>
      <c r="DK8" s="106">
        <f>DK10+DB8</f>
        <v>10678</v>
      </c>
      <c r="DL8" s="106"/>
      <c r="DM8" s="106"/>
      <c r="DN8" s="632"/>
      <c r="DO8" s="671"/>
      <c r="DP8" s="671"/>
      <c r="DQ8" s="671"/>
      <c r="DR8" s="392"/>
      <c r="DS8" s="578"/>
      <c r="DT8" s="578"/>
      <c r="DU8" s="578"/>
      <c r="DV8" s="578"/>
      <c r="DW8" s="578"/>
      <c r="DX8" s="578"/>
      <c r="DY8" s="578"/>
      <c r="DZ8" s="578"/>
      <c r="EA8" s="392"/>
      <c r="EB8" s="392"/>
      <c r="EC8" s="392"/>
      <c r="ED8" s="392"/>
      <c r="EE8" s="392"/>
      <c r="EF8" s="392"/>
      <c r="EG8" s="392"/>
      <c r="EH8" s="392"/>
      <c r="EI8" s="392"/>
      <c r="EJ8" s="392"/>
      <c r="EK8" s="392"/>
      <c r="EL8" s="392"/>
      <c r="EM8" s="392"/>
      <c r="EN8" s="392"/>
      <c r="EO8" s="392"/>
      <c r="EP8" s="392"/>
      <c r="EQ8" s="392"/>
      <c r="ER8" s="392"/>
      <c r="ES8" s="392"/>
      <c r="ET8" s="392"/>
      <c r="EU8" s="392"/>
      <c r="EV8" s="392"/>
      <c r="EW8" s="392"/>
      <c r="EX8" s="392"/>
      <c r="EY8" s="392"/>
      <c r="EZ8" s="392"/>
      <c r="FA8" s="392"/>
      <c r="FB8" s="392"/>
      <c r="FC8" s="392"/>
      <c r="FD8" s="392"/>
      <c r="FE8" s="392"/>
      <c r="FF8" s="392"/>
      <c r="FG8" s="392"/>
      <c r="FH8" s="392"/>
      <c r="FI8" s="392"/>
      <c r="FJ8" s="392"/>
      <c r="FK8" s="392"/>
      <c r="FL8" s="392"/>
      <c r="FM8" s="392"/>
      <c r="FN8" s="392"/>
      <c r="FO8" s="392"/>
      <c r="FP8" s="392"/>
      <c r="FQ8" s="392"/>
      <c r="FR8" s="392"/>
      <c r="FS8" s="392"/>
      <c r="FT8" s="392"/>
      <c r="FU8" s="392"/>
      <c r="FV8" s="392"/>
      <c r="FW8" s="392"/>
      <c r="FX8" s="392"/>
      <c r="FY8" s="392"/>
      <c r="FZ8" s="392"/>
      <c r="GA8" s="392"/>
      <c r="GB8" s="392"/>
      <c r="GC8" s="392"/>
      <c r="GD8" s="392"/>
      <c r="GE8" s="392"/>
      <c r="GF8" s="392"/>
      <c r="GG8" s="392"/>
      <c r="GH8" s="392"/>
      <c r="GI8" s="392"/>
      <c r="GJ8" s="392"/>
      <c r="GK8" s="392"/>
      <c r="GL8" s="392"/>
      <c r="GM8" s="392"/>
    </row>
    <row r="9" spans="1:195" s="392" customFormat="1" ht="17.25" customHeight="1" x14ac:dyDescent="0.25">
      <c r="A9" s="1146"/>
      <c r="B9" s="1146"/>
      <c r="C9" s="1147" t="s">
        <v>872</v>
      </c>
      <c r="D9" s="1148"/>
      <c r="E9" s="1149"/>
      <c r="F9" s="1147"/>
      <c r="G9" s="1147"/>
      <c r="H9" s="1147"/>
      <c r="I9" s="1147"/>
      <c r="J9" s="1147"/>
      <c r="K9" s="1147"/>
      <c r="L9" s="391"/>
      <c r="M9" s="391"/>
      <c r="N9" s="271"/>
      <c r="O9" s="1150"/>
      <c r="P9" s="1151"/>
      <c r="Q9" s="1151"/>
      <c r="R9" s="1151"/>
      <c r="S9" s="1152"/>
      <c r="T9" s="1153"/>
      <c r="U9" s="1153"/>
      <c r="V9" s="1153"/>
      <c r="W9" s="1154"/>
      <c r="X9" s="1154"/>
      <c r="Y9" s="1155"/>
      <c r="Z9" s="1156"/>
      <c r="AA9" s="1157"/>
      <c r="AB9" s="1157"/>
      <c r="AC9" s="1157"/>
      <c r="AD9" s="581"/>
      <c r="AE9" s="581"/>
      <c r="AF9" s="1158"/>
      <c r="AG9" s="1156"/>
      <c r="AH9" s="486"/>
      <c r="AI9" s="486"/>
      <c r="AJ9" s="106" t="s">
        <v>271</v>
      </c>
      <c r="AK9" s="106" t="s">
        <v>669</v>
      </c>
      <c r="AL9" s="106" t="s">
        <v>669</v>
      </c>
      <c r="AM9" s="105" t="s">
        <v>271</v>
      </c>
      <c r="AN9" s="105" t="s">
        <v>669</v>
      </c>
      <c r="AO9" s="559" t="s">
        <v>587</v>
      </c>
      <c r="AP9" s="105" t="s">
        <v>271</v>
      </c>
      <c r="AQ9" s="105" t="s">
        <v>587</v>
      </c>
      <c r="AR9" s="106" t="s">
        <v>669</v>
      </c>
      <c r="AS9" s="52"/>
      <c r="AT9" s="6"/>
      <c r="AU9" s="1159" t="s">
        <v>271</v>
      </c>
      <c r="AV9" s="1159" t="s">
        <v>587</v>
      </c>
      <c r="AW9" s="585" t="s">
        <v>587</v>
      </c>
      <c r="AX9" s="439"/>
      <c r="AY9" s="1160" t="s">
        <v>271</v>
      </c>
      <c r="AZ9" s="1160" t="s">
        <v>669</v>
      </c>
      <c r="BA9" s="1160" t="s">
        <v>587</v>
      </c>
      <c r="BB9" s="581" t="s">
        <v>271</v>
      </c>
      <c r="BC9" s="1160" t="s">
        <v>669</v>
      </c>
      <c r="BD9" s="1160" t="s">
        <v>587</v>
      </c>
      <c r="BE9" s="1160" t="s">
        <v>669</v>
      </c>
      <c r="BF9" s="1160" t="s">
        <v>669</v>
      </c>
      <c r="BG9" s="581" t="s">
        <v>669</v>
      </c>
      <c r="BH9" s="1160" t="s">
        <v>669</v>
      </c>
      <c r="BI9" s="581" t="s">
        <v>669</v>
      </c>
      <c r="BJ9" s="1160" t="s">
        <v>669</v>
      </c>
      <c r="BK9" s="1160" t="s">
        <v>669</v>
      </c>
      <c r="BL9" s="1160" t="s">
        <v>669</v>
      </c>
      <c r="BM9" s="1161"/>
      <c r="BN9" s="1161"/>
      <c r="BO9" s="1162" t="s">
        <v>271</v>
      </c>
      <c r="BP9" s="1162" t="s">
        <v>275</v>
      </c>
      <c r="BQ9" s="1162" t="s">
        <v>275</v>
      </c>
      <c r="BR9" s="1163" t="s">
        <v>271</v>
      </c>
      <c r="BS9" s="1163" t="s">
        <v>275</v>
      </c>
      <c r="BT9" s="1162" t="s">
        <v>275</v>
      </c>
      <c r="BU9" s="1164" t="s">
        <v>271</v>
      </c>
      <c r="BV9" s="1164" t="s">
        <v>275</v>
      </c>
      <c r="BW9" s="1165" t="s">
        <v>275</v>
      </c>
      <c r="BX9" s="1166" t="s">
        <v>275</v>
      </c>
      <c r="BY9" s="1167" t="s">
        <v>275</v>
      </c>
      <c r="BZ9" s="1167" t="s">
        <v>669</v>
      </c>
      <c r="CA9" s="439"/>
      <c r="CB9" s="1151"/>
      <c r="CC9" s="1151"/>
      <c r="CD9" s="1152"/>
      <c r="CE9" s="1160"/>
      <c r="CF9" s="1160"/>
      <c r="CG9" s="1160"/>
      <c r="CH9" s="1160"/>
      <c r="CI9" s="1160"/>
      <c r="CJ9" s="1160"/>
      <c r="CK9" s="1168" t="s">
        <v>271</v>
      </c>
      <c r="CL9" s="1168" t="s">
        <v>587</v>
      </c>
      <c r="CM9" s="1168" t="s">
        <v>587</v>
      </c>
      <c r="CN9" s="581" t="s">
        <v>271</v>
      </c>
      <c r="CO9" s="581" t="s">
        <v>587</v>
      </c>
      <c r="CP9" s="1160" t="s">
        <v>587</v>
      </c>
      <c r="CQ9" s="439"/>
      <c r="CR9" s="1160"/>
      <c r="CS9" s="1160"/>
      <c r="CT9" s="1160"/>
      <c r="CU9" s="1160"/>
      <c r="CV9" s="1160"/>
      <c r="CW9" s="1160"/>
      <c r="CX9" s="1169" t="s">
        <v>271</v>
      </c>
      <c r="CY9" s="1169" t="s">
        <v>669</v>
      </c>
      <c r="CZ9" s="1168" t="s">
        <v>669</v>
      </c>
      <c r="DA9" s="1160" t="s">
        <v>271</v>
      </c>
      <c r="DB9" s="1160" t="s">
        <v>669</v>
      </c>
      <c r="DC9" s="1160" t="s">
        <v>669</v>
      </c>
      <c r="DD9" s="1170"/>
      <c r="DF9" s="632"/>
      <c r="DG9" s="6"/>
      <c r="DH9" s="6"/>
      <c r="DI9" s="6"/>
      <c r="DJ9" s="106"/>
      <c r="DK9" s="106"/>
      <c r="DL9" s="106"/>
      <c r="DM9" s="106"/>
      <c r="DN9" s="632"/>
      <c r="DO9" s="632"/>
      <c r="DP9" s="632"/>
      <c r="DQ9" s="632"/>
      <c r="DS9" s="578"/>
      <c r="DT9" s="578"/>
      <c r="DU9" s="578"/>
      <c r="DV9" s="578"/>
      <c r="DW9" s="578"/>
      <c r="DX9" s="578"/>
      <c r="DY9" s="578"/>
      <c r="DZ9" s="578"/>
    </row>
    <row r="10" spans="1:195" s="570" customFormat="1" ht="21.6" customHeight="1" x14ac:dyDescent="0.25">
      <c r="A10" s="59" t="s">
        <v>8</v>
      </c>
      <c r="B10" s="59"/>
      <c r="C10" s="59"/>
      <c r="D10" s="60"/>
      <c r="E10" s="43">
        <f>COUNTA(E12:E511)</f>
        <v>455</v>
      </c>
      <c r="F10" s="61">
        <f t="shared" ref="F10:K10" si="0">F11+F49+F225</f>
        <v>17611</v>
      </c>
      <c r="G10" s="61">
        <f t="shared" si="0"/>
        <v>4768</v>
      </c>
      <c r="H10" s="61">
        <f t="shared" si="0"/>
        <v>21294</v>
      </c>
      <c r="I10" s="61">
        <f t="shared" si="0"/>
        <v>10943.0648</v>
      </c>
      <c r="J10" s="61">
        <f t="shared" si="0"/>
        <v>6158.8029999999999</v>
      </c>
      <c r="K10" s="61">
        <f t="shared" si="0"/>
        <v>16391.487800000003</v>
      </c>
      <c r="L10" s="62"/>
      <c r="M10" s="326"/>
      <c r="N10" s="327"/>
      <c r="O10" s="328"/>
      <c r="P10" s="63"/>
      <c r="Q10" s="63"/>
      <c r="R10" s="63"/>
      <c r="S10" s="64"/>
      <c r="T10" s="329">
        <f t="shared" ref="T10:Y10" si="1">T11+T49+T225</f>
        <v>22</v>
      </c>
      <c r="U10" s="329">
        <f t="shared" si="1"/>
        <v>42</v>
      </c>
      <c r="V10" s="329">
        <f t="shared" si="1"/>
        <v>108</v>
      </c>
      <c r="W10" s="330">
        <f t="shared" si="1"/>
        <v>6</v>
      </c>
      <c r="X10" s="330">
        <f t="shared" si="1"/>
        <v>33.909999999999997</v>
      </c>
      <c r="Y10" s="330">
        <f t="shared" si="1"/>
        <v>39.909999999999997</v>
      </c>
      <c r="Z10" s="330"/>
      <c r="AA10" s="331">
        <f t="shared" ref="AA10:AF10" si="2">AA11+AA49+AA225</f>
        <v>0</v>
      </c>
      <c r="AB10" s="331">
        <f t="shared" si="2"/>
        <v>0</v>
      </c>
      <c r="AC10" s="331">
        <f t="shared" si="2"/>
        <v>0</v>
      </c>
      <c r="AD10" s="330">
        <f t="shared" si="2"/>
        <v>0</v>
      </c>
      <c r="AE10" s="330">
        <f t="shared" si="2"/>
        <v>0</v>
      </c>
      <c r="AF10" s="330">
        <f t="shared" si="2"/>
        <v>0</v>
      </c>
      <c r="AG10" s="332"/>
      <c r="AH10" s="487">
        <f t="shared" ref="AH10:AW10" si="3">AH11+AH49+AH225</f>
        <v>75851.61</v>
      </c>
      <c r="AI10" s="487">
        <f t="shared" si="3"/>
        <v>5056.3683333333338</v>
      </c>
      <c r="AJ10" s="487">
        <f t="shared" si="3"/>
        <v>59395</v>
      </c>
      <c r="AK10" s="487">
        <f t="shared" si="3"/>
        <v>3959.6666666666674</v>
      </c>
      <c r="AL10" s="487">
        <f t="shared" si="3"/>
        <v>3959.6666666666665</v>
      </c>
      <c r="AM10" s="487">
        <f t="shared" si="3"/>
        <v>28730</v>
      </c>
      <c r="AN10" s="487">
        <f t="shared" si="3"/>
        <v>1915.3333333333335</v>
      </c>
      <c r="AO10" s="487">
        <f t="shared" si="3"/>
        <v>1915.333333333333</v>
      </c>
      <c r="AP10" s="487">
        <f t="shared" si="3"/>
        <v>4545</v>
      </c>
      <c r="AQ10" s="487">
        <f t="shared" si="3"/>
        <v>303</v>
      </c>
      <c r="AR10" s="487">
        <f t="shared" si="3"/>
        <v>303</v>
      </c>
      <c r="AS10" s="487">
        <f t="shared" si="3"/>
        <v>6178.0000000000018</v>
      </c>
      <c r="AT10" s="487">
        <f t="shared" si="3"/>
        <v>6178</v>
      </c>
      <c r="AU10" s="334">
        <f t="shared" si="3"/>
        <v>2390</v>
      </c>
      <c r="AV10" s="334">
        <f t="shared" si="3"/>
        <v>159.33333333333331</v>
      </c>
      <c r="AW10" s="569">
        <f t="shared" si="3"/>
        <v>159.33333333333331</v>
      </c>
      <c r="AX10" s="534"/>
      <c r="AY10" s="330">
        <f t="shared" ref="AY10:BY10" si="4">AY11+AY49+AY225</f>
        <v>49500</v>
      </c>
      <c r="AZ10" s="330">
        <f t="shared" si="4"/>
        <v>3299.9999999999991</v>
      </c>
      <c r="BA10" s="330">
        <f t="shared" si="4"/>
        <v>3300</v>
      </c>
      <c r="BB10" s="330">
        <f t="shared" si="4"/>
        <v>5985</v>
      </c>
      <c r="BC10" s="330">
        <f t="shared" si="4"/>
        <v>399</v>
      </c>
      <c r="BD10" s="330">
        <f t="shared" si="4"/>
        <v>399</v>
      </c>
      <c r="BE10" s="330">
        <f t="shared" si="4"/>
        <v>7233.3333333333321</v>
      </c>
      <c r="BF10" s="330">
        <f t="shared" si="4"/>
        <v>7233.3333333333339</v>
      </c>
      <c r="BG10" s="330">
        <f t="shared" si="4"/>
        <v>2617.3333333333335</v>
      </c>
      <c r="BH10" s="330">
        <f t="shared" si="4"/>
        <v>2617.333333333333</v>
      </c>
      <c r="BI10" s="330">
        <f t="shared" si="4"/>
        <v>159.33333333333331</v>
      </c>
      <c r="BJ10" s="330">
        <f t="shared" si="4"/>
        <v>159.33333333333331</v>
      </c>
      <c r="BK10" s="330">
        <f t="shared" si="4"/>
        <v>10009.999999999998</v>
      </c>
      <c r="BL10" s="330">
        <f t="shared" si="4"/>
        <v>10010</v>
      </c>
      <c r="BM10" s="330">
        <f t="shared" si="4"/>
        <v>327565.18</v>
      </c>
      <c r="BN10" s="332">
        <f t="shared" si="4"/>
        <v>6527.3036000000011</v>
      </c>
      <c r="BO10" s="333">
        <f t="shared" si="4"/>
        <v>263100</v>
      </c>
      <c r="BP10" s="333">
        <f t="shared" si="4"/>
        <v>5262</v>
      </c>
      <c r="BQ10" s="333">
        <f t="shared" si="4"/>
        <v>5262</v>
      </c>
      <c r="BR10" s="333">
        <f t="shared" si="4"/>
        <v>201789</v>
      </c>
      <c r="BS10" s="333">
        <f t="shared" si="4"/>
        <v>4035.7799999999997</v>
      </c>
      <c r="BT10" s="333">
        <f t="shared" si="4"/>
        <v>4035.7799999999997</v>
      </c>
      <c r="BU10" s="333">
        <f t="shared" si="4"/>
        <v>39933.333333333336</v>
      </c>
      <c r="BV10" s="333">
        <f t="shared" si="4"/>
        <v>722.5</v>
      </c>
      <c r="BW10" s="333">
        <f t="shared" si="4"/>
        <v>722.5</v>
      </c>
      <c r="BX10" s="348">
        <f t="shared" si="4"/>
        <v>10020.280000000001</v>
      </c>
      <c r="BY10" s="348">
        <f t="shared" si="4"/>
        <v>10020.280000000001</v>
      </c>
      <c r="BZ10" s="348">
        <f>SUM(BZ12:BZ511)</f>
        <v>87.953333333333219</v>
      </c>
      <c r="CA10" s="534"/>
      <c r="CB10" s="63"/>
      <c r="CC10" s="63"/>
      <c r="CD10" s="64"/>
      <c r="CE10" s="65">
        <f t="shared" ref="CE10:CP10" si="5">CE11+CE49+CE225</f>
        <v>355</v>
      </c>
      <c r="CF10" s="65">
        <f t="shared" si="5"/>
        <v>139</v>
      </c>
      <c r="CG10" s="65">
        <f t="shared" si="5"/>
        <v>494</v>
      </c>
      <c r="CH10" s="65">
        <f t="shared" si="5"/>
        <v>204.59</v>
      </c>
      <c r="CI10" s="65">
        <f t="shared" si="5"/>
        <v>132</v>
      </c>
      <c r="CJ10" s="65">
        <f t="shared" si="5"/>
        <v>336.59</v>
      </c>
      <c r="CK10" s="330">
        <f t="shared" si="5"/>
        <v>210</v>
      </c>
      <c r="CL10" s="330">
        <f t="shared" si="5"/>
        <v>14</v>
      </c>
      <c r="CM10" s="332">
        <f t="shared" si="5"/>
        <v>14</v>
      </c>
      <c r="CN10" s="332">
        <f t="shared" si="5"/>
        <v>6180</v>
      </c>
      <c r="CO10" s="332">
        <f t="shared" si="5"/>
        <v>412.00000000000006</v>
      </c>
      <c r="CP10" s="332">
        <f t="shared" si="5"/>
        <v>412</v>
      </c>
      <c r="CQ10" s="534"/>
      <c r="CR10" s="65">
        <f t="shared" ref="CR10:DC10" si="6">CR11+CR49+CR225</f>
        <v>163</v>
      </c>
      <c r="CS10" s="65">
        <f t="shared" si="6"/>
        <v>60</v>
      </c>
      <c r="CT10" s="65">
        <f t="shared" si="6"/>
        <v>223</v>
      </c>
      <c r="CU10" s="65">
        <f t="shared" si="6"/>
        <v>77.5</v>
      </c>
      <c r="CV10" s="65">
        <f t="shared" si="6"/>
        <v>5</v>
      </c>
      <c r="CW10" s="65">
        <f t="shared" si="6"/>
        <v>82.5</v>
      </c>
      <c r="CX10" s="65">
        <f t="shared" si="6"/>
        <v>0</v>
      </c>
      <c r="CY10" s="65">
        <f t="shared" si="6"/>
        <v>0</v>
      </c>
      <c r="CZ10" s="65">
        <f t="shared" si="6"/>
        <v>0</v>
      </c>
      <c r="DA10" s="65">
        <f t="shared" si="6"/>
        <v>3235</v>
      </c>
      <c r="DB10" s="65">
        <f t="shared" si="6"/>
        <v>215.66666666666669</v>
      </c>
      <c r="DC10" s="65">
        <f t="shared" si="6"/>
        <v>215.66666666666669</v>
      </c>
      <c r="DD10" s="574"/>
      <c r="DF10" s="112"/>
      <c r="DG10" s="487">
        <f>DG11+DG49+DG225</f>
        <v>375</v>
      </c>
      <c r="DH10" s="487">
        <f>DH11+DH49+DH225</f>
        <v>824.99999999999989</v>
      </c>
      <c r="DI10" s="98"/>
      <c r="DJ10" s="487">
        <f t="shared" ref="DJ10:DP10" si="7">DJ11+DJ49+DJ225</f>
        <v>10677.999999999996</v>
      </c>
      <c r="DK10" s="487">
        <f t="shared" si="7"/>
        <v>10678</v>
      </c>
      <c r="DL10" s="487">
        <f t="shared" si="7"/>
        <v>707</v>
      </c>
      <c r="DM10" s="487">
        <f t="shared" si="7"/>
        <v>48</v>
      </c>
      <c r="DN10" s="65">
        <f t="shared" si="7"/>
        <v>3364.3333333333335</v>
      </c>
      <c r="DO10" s="65">
        <f t="shared" si="7"/>
        <v>1282.3333333333333</v>
      </c>
      <c r="DP10" s="65">
        <f t="shared" si="7"/>
        <v>6031.3333333333303</v>
      </c>
      <c r="DQ10" s="65"/>
      <c r="DS10" s="571"/>
      <c r="DT10" s="571">
        <v>718</v>
      </c>
      <c r="DU10" s="571">
        <f>BD10</f>
        <v>399</v>
      </c>
      <c r="DV10" s="571"/>
      <c r="DW10" s="571"/>
      <c r="DX10" s="571"/>
      <c r="DY10" s="571"/>
      <c r="DZ10" s="571"/>
    </row>
    <row r="11" spans="1:195" s="572" customFormat="1" ht="21.6" customHeight="1" x14ac:dyDescent="0.25">
      <c r="A11" s="66" t="s">
        <v>9</v>
      </c>
      <c r="B11" s="66"/>
      <c r="C11" s="66" t="s">
        <v>9</v>
      </c>
      <c r="D11" s="67"/>
      <c r="E11" s="9"/>
      <c r="F11" s="68">
        <f>SUM(F15:F42)</f>
        <v>418</v>
      </c>
      <c r="G11" s="68">
        <f>SUM(G15:G42)</f>
        <v>105</v>
      </c>
      <c r="H11" s="68">
        <f>SUM(H15:H42)</f>
        <v>523</v>
      </c>
      <c r="I11" s="68">
        <f>SUM(I15:I48)</f>
        <v>0</v>
      </c>
      <c r="J11" s="68">
        <f>SUM(J15:J48)</f>
        <v>1274.99</v>
      </c>
      <c r="K11" s="68">
        <f>SUM(K15:K48)</f>
        <v>564.6099999999999</v>
      </c>
      <c r="L11" s="69"/>
      <c r="M11" s="70"/>
      <c r="N11" s="71"/>
      <c r="O11" s="72"/>
      <c r="P11" s="73"/>
      <c r="Q11" s="73"/>
      <c r="R11" s="73"/>
      <c r="S11" s="73"/>
      <c r="T11" s="74">
        <f t="shared" ref="T11:Y11" si="8">SUM(T12:T48)</f>
        <v>22</v>
      </c>
      <c r="U11" s="74">
        <f t="shared" si="8"/>
        <v>42</v>
      </c>
      <c r="V11" s="74">
        <f t="shared" si="8"/>
        <v>64</v>
      </c>
      <c r="W11" s="74">
        <f t="shared" si="8"/>
        <v>6</v>
      </c>
      <c r="X11" s="74">
        <f t="shared" si="8"/>
        <v>33.909999999999997</v>
      </c>
      <c r="Y11" s="74">
        <f t="shared" si="8"/>
        <v>39.909999999999997</v>
      </c>
      <c r="Z11" s="74"/>
      <c r="AA11" s="75">
        <f t="shared" ref="AA11:AF11" si="9">SUM(AA12:AA48)</f>
        <v>0</v>
      </c>
      <c r="AB11" s="75">
        <f t="shared" si="9"/>
        <v>0</v>
      </c>
      <c r="AC11" s="75">
        <f t="shared" si="9"/>
        <v>0</v>
      </c>
      <c r="AD11" s="75">
        <f t="shared" si="9"/>
        <v>0</v>
      </c>
      <c r="AE11" s="75">
        <f t="shared" si="9"/>
        <v>0</v>
      </c>
      <c r="AF11" s="75">
        <f t="shared" si="9"/>
        <v>0</v>
      </c>
      <c r="AG11" s="76"/>
      <c r="AH11" s="72">
        <f>SUM(AH13:AH48)</f>
        <v>2729.335</v>
      </c>
      <c r="AI11" s="72">
        <f>SUM(AI12:AI48)</f>
        <v>181.55</v>
      </c>
      <c r="AJ11" s="72">
        <f>SUM(AJ13:AJ48)</f>
        <v>1150</v>
      </c>
      <c r="AK11" s="72">
        <f>SUM(AK13:AK48)</f>
        <v>76.666666666666657</v>
      </c>
      <c r="AL11" s="72">
        <f>SUM(AL13:AL48)</f>
        <v>76.666666666666671</v>
      </c>
      <c r="AM11" s="72">
        <f t="shared" ref="AM11:AW11" si="10">SUM(AM12:AM48)</f>
        <v>1295</v>
      </c>
      <c r="AN11" s="72">
        <f t="shared" si="10"/>
        <v>86.333333333333343</v>
      </c>
      <c r="AO11" s="72">
        <f t="shared" si="10"/>
        <v>86.333333333333343</v>
      </c>
      <c r="AP11" s="72">
        <f t="shared" si="10"/>
        <v>345</v>
      </c>
      <c r="AQ11" s="72">
        <f t="shared" si="10"/>
        <v>23</v>
      </c>
      <c r="AR11" s="72">
        <f t="shared" si="10"/>
        <v>23</v>
      </c>
      <c r="AS11" s="72">
        <f t="shared" si="10"/>
        <v>186.00000000000003</v>
      </c>
      <c r="AT11" s="72">
        <f t="shared" si="10"/>
        <v>186</v>
      </c>
      <c r="AU11" s="78">
        <f t="shared" si="10"/>
        <v>660</v>
      </c>
      <c r="AV11" s="78">
        <f t="shared" si="10"/>
        <v>44</v>
      </c>
      <c r="AW11" s="393">
        <f t="shared" si="10"/>
        <v>44</v>
      </c>
      <c r="AX11" s="535"/>
      <c r="AY11" s="484">
        <f t="shared" ref="AY11:BY11" si="11">SUM(AY12:AY48)</f>
        <v>2290</v>
      </c>
      <c r="AZ11" s="74">
        <f t="shared" si="11"/>
        <v>152.66666666666669</v>
      </c>
      <c r="BA11" s="74">
        <f t="shared" si="11"/>
        <v>152.66666666666669</v>
      </c>
      <c r="BB11" s="74">
        <f t="shared" si="11"/>
        <v>435</v>
      </c>
      <c r="BC11" s="74">
        <f t="shared" si="11"/>
        <v>29</v>
      </c>
      <c r="BD11" s="74">
        <f t="shared" si="11"/>
        <v>29</v>
      </c>
      <c r="BE11" s="74">
        <f t="shared" si="11"/>
        <v>229.33333333333334</v>
      </c>
      <c r="BF11" s="74">
        <f t="shared" si="11"/>
        <v>229.33333333333331</v>
      </c>
      <c r="BG11" s="74">
        <f t="shared" si="11"/>
        <v>138.33333333333331</v>
      </c>
      <c r="BH11" s="74">
        <f t="shared" si="11"/>
        <v>138.33333333333331</v>
      </c>
      <c r="BI11" s="74">
        <f t="shared" si="11"/>
        <v>44</v>
      </c>
      <c r="BJ11" s="74">
        <f t="shared" si="11"/>
        <v>44</v>
      </c>
      <c r="BK11" s="74">
        <f t="shared" si="11"/>
        <v>411.66666666666663</v>
      </c>
      <c r="BL11" s="74">
        <f t="shared" si="11"/>
        <v>411.66666666666669</v>
      </c>
      <c r="BM11" s="74">
        <f t="shared" si="11"/>
        <v>11828.33</v>
      </c>
      <c r="BN11" s="76">
        <f t="shared" si="11"/>
        <v>236.56660000000002</v>
      </c>
      <c r="BO11" s="77">
        <f t="shared" si="11"/>
        <v>8650</v>
      </c>
      <c r="BP11" s="77">
        <f t="shared" si="11"/>
        <v>173</v>
      </c>
      <c r="BQ11" s="77">
        <f t="shared" si="11"/>
        <v>173</v>
      </c>
      <c r="BR11" s="77">
        <f t="shared" si="11"/>
        <v>8600</v>
      </c>
      <c r="BS11" s="77">
        <f t="shared" si="11"/>
        <v>172</v>
      </c>
      <c r="BT11" s="77">
        <f t="shared" si="11"/>
        <v>172</v>
      </c>
      <c r="BU11" s="77">
        <f t="shared" si="11"/>
        <v>3200</v>
      </c>
      <c r="BV11" s="77">
        <f t="shared" si="11"/>
        <v>64</v>
      </c>
      <c r="BW11" s="77">
        <f t="shared" si="11"/>
        <v>64</v>
      </c>
      <c r="BX11" s="349">
        <f t="shared" si="11"/>
        <v>409</v>
      </c>
      <c r="BY11" s="349">
        <f t="shared" si="11"/>
        <v>409</v>
      </c>
      <c r="BZ11" s="349"/>
      <c r="CA11" s="535"/>
      <c r="CB11" s="73"/>
      <c r="CC11" s="73"/>
      <c r="CD11" s="73"/>
      <c r="CE11" s="78">
        <f t="shared" ref="CE11:CP11" si="12">SUM(CE12:CE48)</f>
        <v>0</v>
      </c>
      <c r="CF11" s="78">
        <f t="shared" si="12"/>
        <v>0</v>
      </c>
      <c r="CG11" s="78">
        <f t="shared" si="12"/>
        <v>0</v>
      </c>
      <c r="CH11" s="78">
        <f t="shared" si="12"/>
        <v>0</v>
      </c>
      <c r="CI11" s="78">
        <f t="shared" si="12"/>
        <v>0</v>
      </c>
      <c r="CJ11" s="78">
        <f t="shared" si="12"/>
        <v>0</v>
      </c>
      <c r="CK11" s="484">
        <f t="shared" si="12"/>
        <v>75</v>
      </c>
      <c r="CL11" s="74">
        <f t="shared" si="12"/>
        <v>5</v>
      </c>
      <c r="CM11" s="76">
        <f t="shared" si="12"/>
        <v>5</v>
      </c>
      <c r="CN11" s="76">
        <f t="shared" si="12"/>
        <v>0</v>
      </c>
      <c r="CO11" s="76">
        <f t="shared" si="12"/>
        <v>0</v>
      </c>
      <c r="CP11" s="76">
        <f t="shared" si="12"/>
        <v>0</v>
      </c>
      <c r="CQ11" s="535"/>
      <c r="CR11" s="78">
        <f t="shared" ref="CR11:DC11" si="13">SUM(CR12:CR48)</f>
        <v>0</v>
      </c>
      <c r="CS11" s="78">
        <f t="shared" si="13"/>
        <v>0</v>
      </c>
      <c r="CT11" s="78">
        <f t="shared" si="13"/>
        <v>0</v>
      </c>
      <c r="CU11" s="78">
        <f t="shared" si="13"/>
        <v>0</v>
      </c>
      <c r="CV11" s="78">
        <f t="shared" si="13"/>
        <v>0</v>
      </c>
      <c r="CW11" s="78">
        <f t="shared" si="13"/>
        <v>0</v>
      </c>
      <c r="CX11" s="78">
        <f t="shared" si="13"/>
        <v>0</v>
      </c>
      <c r="CY11" s="78">
        <f t="shared" si="13"/>
        <v>0</v>
      </c>
      <c r="CZ11" s="78">
        <f t="shared" si="13"/>
        <v>0</v>
      </c>
      <c r="DA11" s="78">
        <f t="shared" si="13"/>
        <v>60</v>
      </c>
      <c r="DB11" s="78">
        <f t="shared" si="13"/>
        <v>4</v>
      </c>
      <c r="DC11" s="393">
        <f t="shared" si="13"/>
        <v>4</v>
      </c>
      <c r="DD11" s="34"/>
      <c r="DF11" s="112"/>
      <c r="DG11" s="72">
        <f>SUM(DG12:DG48)</f>
        <v>48</v>
      </c>
      <c r="DH11" s="72">
        <f>SUM(DH12:DH48)</f>
        <v>34</v>
      </c>
      <c r="DI11" s="98"/>
      <c r="DJ11" s="72">
        <f t="shared" ref="DJ11:DO11" si="14">SUM(DJ12:DJ48)</f>
        <v>420.66666666666663</v>
      </c>
      <c r="DK11" s="72">
        <f t="shared" si="14"/>
        <v>420.66666666666669</v>
      </c>
      <c r="DL11" s="72">
        <f t="shared" si="14"/>
        <v>0</v>
      </c>
      <c r="DM11" s="72">
        <f t="shared" si="14"/>
        <v>0</v>
      </c>
      <c r="DN11" s="78">
        <f t="shared" si="14"/>
        <v>0</v>
      </c>
      <c r="DO11" s="78">
        <f t="shared" si="14"/>
        <v>54</v>
      </c>
      <c r="DP11" s="112">
        <f>DJ11-DN11-DO11</f>
        <v>366.66666666666663</v>
      </c>
      <c r="DQ11" s="112"/>
      <c r="DS11" s="192" t="s">
        <v>367</v>
      </c>
      <c r="DT11" s="192">
        <f>SUM(DT8:DT10)</f>
        <v>718</v>
      </c>
      <c r="DU11" s="192">
        <f>SUM(DU8:DU10)</f>
        <v>399</v>
      </c>
      <c r="DV11" s="192">
        <f>DU11+DT11</f>
        <v>1117</v>
      </c>
      <c r="DW11" s="192">
        <f>DW8-DV11</f>
        <v>-1117</v>
      </c>
      <c r="DX11" s="192"/>
      <c r="DY11" s="192"/>
      <c r="DZ11" s="192"/>
      <c r="FA11" s="572">
        <v>11986</v>
      </c>
    </row>
    <row r="12" spans="1:195" s="95" customFormat="1" ht="30" customHeight="1" x14ac:dyDescent="0.25">
      <c r="A12" s="79"/>
      <c r="B12" s="79"/>
      <c r="C12" s="80" t="s">
        <v>310</v>
      </c>
      <c r="D12" s="80" t="s">
        <v>431</v>
      </c>
      <c r="E12" s="18" t="s">
        <v>311</v>
      </c>
      <c r="F12" s="81"/>
      <c r="G12" s="81"/>
      <c r="H12" s="81"/>
      <c r="I12" s="81"/>
      <c r="J12" s="81"/>
      <c r="K12" s="81"/>
      <c r="L12" s="82"/>
      <c r="M12" s="83"/>
      <c r="N12" s="84"/>
      <c r="O12" s="85"/>
      <c r="P12" s="86"/>
      <c r="Q12" s="87"/>
      <c r="R12" s="87"/>
      <c r="S12" s="87"/>
      <c r="T12" s="88">
        <v>13</v>
      </c>
      <c r="U12" s="88">
        <v>22</v>
      </c>
      <c r="V12" s="89">
        <f>T12+U12</f>
        <v>35</v>
      </c>
      <c r="W12" s="583"/>
      <c r="X12" s="583"/>
      <c r="Y12" s="90">
        <f>W12+X12</f>
        <v>0</v>
      </c>
      <c r="Z12" s="91"/>
      <c r="AA12" s="92"/>
      <c r="AB12" s="92"/>
      <c r="AC12" s="92">
        <f>AA12+AB12</f>
        <v>0</v>
      </c>
      <c r="AD12" s="93"/>
      <c r="AE12" s="93"/>
      <c r="AF12" s="94">
        <f>AD12+AE12</f>
        <v>0</v>
      </c>
      <c r="AG12" s="473"/>
      <c r="AH12" s="300"/>
      <c r="AI12" s="96">
        <f>AH12/15</f>
        <v>0</v>
      </c>
      <c r="AJ12" s="100"/>
      <c r="AK12" s="100">
        <f>AJ12/15</f>
        <v>0</v>
      </c>
      <c r="AL12" s="101">
        <f>AK12:AK12</f>
        <v>0</v>
      </c>
      <c r="AM12" s="100"/>
      <c r="AN12" s="100">
        <f>AM12/15</f>
        <v>0</v>
      </c>
      <c r="AO12" s="101">
        <f>SUM(AN12:AN12)</f>
        <v>0</v>
      </c>
      <c r="AP12" s="100"/>
      <c r="AQ12" s="100">
        <f>AP12/15</f>
        <v>0</v>
      </c>
      <c r="AR12" s="101">
        <f>SUM(AQ12:AQ12)</f>
        <v>0</v>
      </c>
      <c r="AS12" s="97">
        <f>AN12+AK12+AQ12</f>
        <v>0</v>
      </c>
      <c r="AT12" s="98">
        <f>SUM(AS12:AS12)</f>
        <v>0</v>
      </c>
      <c r="AU12" s="455"/>
      <c r="AV12" s="455">
        <f>AU12/15</f>
        <v>0</v>
      </c>
      <c r="AW12" s="495">
        <f>SUM(AV12:AV12)</f>
        <v>0</v>
      </c>
      <c r="AX12" s="438"/>
      <c r="AY12" s="497">
        <v>225</v>
      </c>
      <c r="AZ12" s="100">
        <f>AY12/15</f>
        <v>15</v>
      </c>
      <c r="BA12" s="101">
        <f>SUM(AZ12:AZ12)</f>
        <v>15</v>
      </c>
      <c r="BB12" s="100"/>
      <c r="BC12" s="100">
        <f>BB12/15</f>
        <v>0</v>
      </c>
      <c r="BD12" s="101">
        <f>SUM(BC12:BC12)</f>
        <v>0</v>
      </c>
      <c r="BE12" s="105">
        <f>AK12+AZ12</f>
        <v>15</v>
      </c>
      <c r="BF12" s="101">
        <f>SUM(BE12:BE12)</f>
        <v>15</v>
      </c>
      <c r="BG12" s="100">
        <f>BC12+AQ12+AN12</f>
        <v>0</v>
      </c>
      <c r="BH12" s="101">
        <f>SUM(BG12:BG12)</f>
        <v>0</v>
      </c>
      <c r="BI12" s="100">
        <f>AV12</f>
        <v>0</v>
      </c>
      <c r="BJ12" s="101">
        <f>SUM(BI12:BI12)</f>
        <v>0</v>
      </c>
      <c r="BK12" s="101">
        <f>BG12+BE12+BI12</f>
        <v>15</v>
      </c>
      <c r="BL12" s="101">
        <f>SUM(BK12:BK12)</f>
        <v>15</v>
      </c>
      <c r="BM12" s="96">
        <v>750</v>
      </c>
      <c r="BN12" s="104">
        <f>BM12/50</f>
        <v>15</v>
      </c>
      <c r="BO12" s="107">
        <v>750</v>
      </c>
      <c r="BP12" s="107">
        <f>BO12/50</f>
        <v>15</v>
      </c>
      <c r="BQ12" s="108">
        <f>BP12:BP12</f>
        <v>15</v>
      </c>
      <c r="BR12" s="455"/>
      <c r="BS12" s="455">
        <f>BR12/50</f>
        <v>0</v>
      </c>
      <c r="BT12" s="108">
        <f>BS12:BS12</f>
        <v>0</v>
      </c>
      <c r="BU12" s="109"/>
      <c r="BV12" s="109">
        <f>BU12/50</f>
        <v>0</v>
      </c>
      <c r="BW12" s="110">
        <f>SUM(BV12:BV12)</f>
        <v>0</v>
      </c>
      <c r="BX12" s="350">
        <f>BP12+BS12+BV12</f>
        <v>15</v>
      </c>
      <c r="BY12" s="353">
        <f>SUM(BX12:BX12)</f>
        <v>15</v>
      </c>
      <c r="BZ12" s="351">
        <f>BK12-BX12</f>
        <v>0</v>
      </c>
      <c r="CA12" s="438"/>
      <c r="CB12" s="87"/>
      <c r="CC12" s="86"/>
      <c r="CD12" s="87"/>
      <c r="CE12" s="544"/>
      <c r="CF12" s="455"/>
      <c r="CG12" s="455">
        <f>CE12+CF12</f>
        <v>0</v>
      </c>
      <c r="CH12" s="455"/>
      <c r="CI12" s="455"/>
      <c r="CJ12" s="455">
        <f>CH12+CI12</f>
        <v>0</v>
      </c>
      <c r="CK12" s="523"/>
      <c r="CL12" s="102">
        <f>CK12/15</f>
        <v>0</v>
      </c>
      <c r="CM12" s="103">
        <f>SUM(CL12:CL12)</f>
        <v>0</v>
      </c>
      <c r="CN12" s="100"/>
      <c r="CO12" s="100">
        <f>CN12/15</f>
        <v>0</v>
      </c>
      <c r="CP12" s="515">
        <f>SUM(CO12:CO12)</f>
        <v>0</v>
      </c>
      <c r="CQ12" s="441"/>
      <c r="CR12" s="544"/>
      <c r="CS12" s="455"/>
      <c r="CT12" s="455">
        <f>CR12+CS12</f>
        <v>0</v>
      </c>
      <c r="CU12" s="455"/>
      <c r="CV12" s="455"/>
      <c r="CW12" s="455">
        <f>CU12+CV12</f>
        <v>0</v>
      </c>
      <c r="CX12" s="109"/>
      <c r="CY12" s="109">
        <f>CX12/15</f>
        <v>0</v>
      </c>
      <c r="CZ12" s="110">
        <f>SUM(CY12:CY12)</f>
        <v>0</v>
      </c>
      <c r="DA12" s="455"/>
      <c r="DB12" s="455">
        <f>DA12/15</f>
        <v>0</v>
      </c>
      <c r="DC12" s="495">
        <f>SUM(DB12:DB12)</f>
        <v>0</v>
      </c>
      <c r="DD12" s="23" t="s">
        <v>589</v>
      </c>
      <c r="DF12" s="1133"/>
      <c r="DG12" s="674">
        <f t="shared" ref="DG12:DG48" si="15">AV12+CY12+DB12</f>
        <v>0</v>
      </c>
      <c r="DH12" s="1119">
        <f t="shared" ref="DH12:DH48" si="16">BC12+CL12+CO12</f>
        <v>0</v>
      </c>
      <c r="DI12" s="1119"/>
      <c r="DJ12" s="101">
        <f t="shared" ref="DJ12:DJ48" si="17">DC12+CO12+CL12+BC12+AZ12+AV12+AS12</f>
        <v>15</v>
      </c>
      <c r="DK12" s="101">
        <f>SUM(DJ12:DJ12)</f>
        <v>15</v>
      </c>
      <c r="DL12" s="101">
        <f t="shared" ref="DL12:DL48" si="18">CT12+CG12+AC12</f>
        <v>0</v>
      </c>
      <c r="DM12" s="101"/>
      <c r="DN12" s="112"/>
      <c r="DO12" s="112"/>
      <c r="DP12" s="112"/>
      <c r="DQ12" s="112"/>
      <c r="DS12" s="45" t="s">
        <v>636</v>
      </c>
      <c r="DT12" s="111"/>
      <c r="DU12" s="111"/>
      <c r="DV12" s="111"/>
      <c r="DW12" s="111"/>
      <c r="DX12" s="111"/>
      <c r="DY12" s="111"/>
      <c r="DZ12" s="111"/>
      <c r="FA12" s="95">
        <v>2194</v>
      </c>
    </row>
    <row r="13" spans="1:195" s="132" customFormat="1" ht="16.5" customHeight="1" x14ac:dyDescent="0.25">
      <c r="A13" s="113"/>
      <c r="B13" s="113"/>
      <c r="C13" s="114"/>
      <c r="D13" s="115"/>
      <c r="E13" s="35"/>
      <c r="F13" s="116"/>
      <c r="G13" s="116"/>
      <c r="H13" s="116"/>
      <c r="I13" s="116"/>
      <c r="J13" s="116"/>
      <c r="K13" s="116"/>
      <c r="L13" s="117"/>
      <c r="M13" s="118"/>
      <c r="N13" s="119"/>
      <c r="O13" s="120"/>
      <c r="P13" s="121"/>
      <c r="Q13" s="121"/>
      <c r="R13" s="121"/>
      <c r="S13" s="121"/>
      <c r="T13" s="122"/>
      <c r="U13" s="122"/>
      <c r="V13" s="123"/>
      <c r="W13" s="120"/>
      <c r="X13" s="120"/>
      <c r="Y13" s="124"/>
      <c r="Z13" s="125"/>
      <c r="AA13" s="123"/>
      <c r="AB13" s="123"/>
      <c r="AC13" s="123"/>
      <c r="AD13" s="124"/>
      <c r="AE13" s="124"/>
      <c r="AF13" s="126"/>
      <c r="AG13" s="474"/>
      <c r="AH13" s="128"/>
      <c r="AI13" s="128"/>
      <c r="AJ13" s="100"/>
      <c r="AK13" s="100"/>
      <c r="AL13" s="101"/>
      <c r="AM13" s="100"/>
      <c r="AN13" s="100"/>
      <c r="AO13" s="101"/>
      <c r="AP13" s="105"/>
      <c r="AQ13" s="105"/>
      <c r="AR13" s="106"/>
      <c r="AS13" s="97"/>
      <c r="AT13" s="98"/>
      <c r="AU13" s="105"/>
      <c r="AV13" s="455"/>
      <c r="AW13" s="496"/>
      <c r="AX13" s="508"/>
      <c r="AY13" s="497"/>
      <c r="AZ13" s="100"/>
      <c r="BA13" s="101"/>
      <c r="BB13" s="100"/>
      <c r="BC13" s="100"/>
      <c r="BD13" s="101"/>
      <c r="BE13" s="105"/>
      <c r="BF13" s="106"/>
      <c r="BG13" s="100"/>
      <c r="BH13" s="106"/>
      <c r="BI13" s="100"/>
      <c r="BJ13" s="106"/>
      <c r="BK13" s="101"/>
      <c r="BL13" s="106"/>
      <c r="BM13" s="128"/>
      <c r="BN13" s="130"/>
      <c r="BO13" s="105"/>
      <c r="BP13" s="105"/>
      <c r="BQ13" s="106"/>
      <c r="BR13" s="105"/>
      <c r="BS13" s="105"/>
      <c r="BT13" s="106"/>
      <c r="BU13" s="53"/>
      <c r="BV13" s="53"/>
      <c r="BW13" s="54"/>
      <c r="BX13" s="350">
        <f t="shared" ref="BX13:BX74" si="19">BP13+BS13+BV13</f>
        <v>0</v>
      </c>
      <c r="BY13" s="194"/>
      <c r="BZ13" s="194"/>
      <c r="CA13" s="536"/>
      <c r="CB13" s="121"/>
      <c r="CC13" s="121"/>
      <c r="CD13" s="121"/>
      <c r="CE13" s="504"/>
      <c r="CF13" s="105"/>
      <c r="CG13" s="105"/>
      <c r="CH13" s="105"/>
      <c r="CI13" s="105"/>
      <c r="CJ13" s="105"/>
      <c r="CK13" s="584" t="s">
        <v>426</v>
      </c>
      <c r="CL13" s="102"/>
      <c r="CM13" s="103"/>
      <c r="CN13" s="100"/>
      <c r="CO13" s="100"/>
      <c r="CP13" s="515"/>
      <c r="CQ13" s="441"/>
      <c r="CR13" s="504"/>
      <c r="CS13" s="105"/>
      <c r="CT13" s="105"/>
      <c r="CU13" s="105"/>
      <c r="CV13" s="105"/>
      <c r="CW13" s="105"/>
      <c r="CX13" s="53"/>
      <c r="CY13" s="109"/>
      <c r="CZ13" s="54"/>
      <c r="DA13" s="105"/>
      <c r="DB13" s="455"/>
      <c r="DC13" s="495"/>
      <c r="DD13" s="36"/>
      <c r="DF13" s="1133"/>
      <c r="DG13" s="674">
        <f t="shared" si="15"/>
        <v>0</v>
      </c>
      <c r="DH13" s="1119">
        <f t="shared" si="16"/>
        <v>0</v>
      </c>
      <c r="DI13" s="1119"/>
      <c r="DJ13" s="101">
        <f t="shared" si="17"/>
        <v>0</v>
      </c>
      <c r="DK13" s="101"/>
      <c r="DL13" s="101">
        <f t="shared" si="18"/>
        <v>0</v>
      </c>
      <c r="DM13" s="101"/>
      <c r="DN13" s="112"/>
      <c r="DO13" s="112"/>
      <c r="DP13" s="112"/>
      <c r="DQ13" s="112"/>
      <c r="DS13" s="133"/>
      <c r="DT13" s="133"/>
      <c r="DU13" s="133"/>
      <c r="DV13" s="133"/>
      <c r="DW13" s="133"/>
      <c r="DX13" s="133"/>
      <c r="DY13" s="133"/>
      <c r="DZ13" s="133"/>
    </row>
    <row r="14" spans="1:195" s="139" customFormat="1" ht="21.75" customHeight="1" x14ac:dyDescent="0.25">
      <c r="A14" s="4" t="s">
        <v>9</v>
      </c>
      <c r="B14" s="4">
        <v>1</v>
      </c>
      <c r="C14" s="134" t="s">
        <v>10</v>
      </c>
      <c r="D14" s="134" t="s">
        <v>437</v>
      </c>
      <c r="E14" s="13" t="s">
        <v>906</v>
      </c>
      <c r="F14" s="135">
        <v>50</v>
      </c>
      <c r="G14" s="135">
        <v>30</v>
      </c>
      <c r="H14" s="135">
        <f t="shared" ref="H14" si="20">F14+G14</f>
        <v>80</v>
      </c>
      <c r="I14" s="135"/>
      <c r="J14" s="135">
        <v>432</v>
      </c>
      <c r="K14" s="135">
        <f t="shared" ref="K14" si="21">I14+J14</f>
        <v>432</v>
      </c>
      <c r="L14" s="136"/>
      <c r="M14" s="5"/>
      <c r="N14" s="41"/>
      <c r="O14" s="5"/>
      <c r="P14" s="7"/>
      <c r="Q14" s="7"/>
      <c r="R14" s="7"/>
      <c r="S14" s="7"/>
      <c r="T14" s="89">
        <v>2</v>
      </c>
      <c r="U14" s="89">
        <v>9</v>
      </c>
      <c r="V14" s="89">
        <f>T14+U14</f>
        <v>11</v>
      </c>
      <c r="W14" s="137">
        <v>6</v>
      </c>
      <c r="X14" s="137"/>
      <c r="Y14" s="90">
        <f>W14+X14</f>
        <v>6</v>
      </c>
      <c r="Z14" s="91"/>
      <c r="AA14" s="92"/>
      <c r="AB14" s="92"/>
      <c r="AC14" s="92">
        <f t="shared" ref="AC14" si="22">AA14+AB14</f>
        <v>0</v>
      </c>
      <c r="AD14" s="93"/>
      <c r="AE14" s="93"/>
      <c r="AF14" s="94">
        <f t="shared" ref="AF14" si="23">AD14+AE14</f>
        <v>0</v>
      </c>
      <c r="AG14" s="473"/>
      <c r="AH14" s="99">
        <v>450</v>
      </c>
      <c r="AI14" s="99">
        <f>AH14/15</f>
        <v>30</v>
      </c>
      <c r="AJ14" s="138"/>
      <c r="AK14" s="100">
        <f>AJ14/15</f>
        <v>0</v>
      </c>
      <c r="AL14" s="101">
        <f>AK14</f>
        <v>0</v>
      </c>
      <c r="AM14" s="100">
        <v>450</v>
      </c>
      <c r="AN14" s="100">
        <f t="shared" ref="AN14" si="24">AM14/15</f>
        <v>30</v>
      </c>
      <c r="AO14" s="101">
        <f>AN14</f>
        <v>30</v>
      </c>
      <c r="AP14" s="100"/>
      <c r="AQ14" s="100">
        <f t="shared" ref="AQ14:AQ46" si="25">AP14/15</f>
        <v>0</v>
      </c>
      <c r="AR14" s="101">
        <f>AQ14</f>
        <v>0</v>
      </c>
      <c r="AS14" s="97">
        <f>AN14+AK14+AQ14</f>
        <v>30</v>
      </c>
      <c r="AT14" s="98">
        <f>AS14</f>
        <v>30</v>
      </c>
      <c r="AU14" s="100"/>
      <c r="AV14" s="455">
        <f t="shared" ref="AV14:AV48" si="26">AU14/15</f>
        <v>0</v>
      </c>
      <c r="AW14" s="515">
        <f>AV14</f>
        <v>0</v>
      </c>
      <c r="AX14" s="438"/>
      <c r="AY14" s="498"/>
      <c r="AZ14" s="100">
        <f>AY14/15</f>
        <v>0</v>
      </c>
      <c r="BA14" s="101">
        <f>AZ14</f>
        <v>0</v>
      </c>
      <c r="BB14" s="100">
        <v>150</v>
      </c>
      <c r="BC14" s="100">
        <f t="shared" ref="BC14" si="27">BB14/15</f>
        <v>10</v>
      </c>
      <c r="BD14" s="101">
        <f>BC14</f>
        <v>10</v>
      </c>
      <c r="BE14" s="105">
        <f>AK14+AZ14</f>
        <v>0</v>
      </c>
      <c r="BF14" s="101">
        <f>BE14</f>
        <v>0</v>
      </c>
      <c r="BG14" s="100">
        <f>BC14+AQ14+AN14</f>
        <v>40</v>
      </c>
      <c r="BH14" s="101">
        <f>BG14</f>
        <v>40</v>
      </c>
      <c r="BI14" s="100">
        <f>AV14</f>
        <v>0</v>
      </c>
      <c r="BJ14" s="101">
        <f>BI14</f>
        <v>0</v>
      </c>
      <c r="BK14" s="101">
        <f t="shared" ref="BK14:BK74" si="28">BG14+BE14+BI14</f>
        <v>40</v>
      </c>
      <c r="BL14" s="101">
        <f>BK14</f>
        <v>40</v>
      </c>
      <c r="BM14" s="104">
        <v>50</v>
      </c>
      <c r="BN14" s="104">
        <f>BM14/50</f>
        <v>1</v>
      </c>
      <c r="BO14" s="105"/>
      <c r="BP14" s="105">
        <f t="shared" ref="BP14:BP48" si="29">BO14/50</f>
        <v>0</v>
      </c>
      <c r="BQ14" s="101">
        <f>BP14</f>
        <v>0</v>
      </c>
      <c r="BR14" s="100">
        <f>1500+500</f>
        <v>2000</v>
      </c>
      <c r="BS14" s="100">
        <f t="shared" ref="BS14:BS48" si="30">BR14/50</f>
        <v>40</v>
      </c>
      <c r="BT14" s="101">
        <f>BS14</f>
        <v>40</v>
      </c>
      <c r="BU14" s="102"/>
      <c r="BV14" s="102">
        <f t="shared" ref="BV14" si="31">BU14/50</f>
        <v>0</v>
      </c>
      <c r="BW14" s="103">
        <f>BV14</f>
        <v>0</v>
      </c>
      <c r="BX14" s="350">
        <f t="shared" si="19"/>
        <v>40</v>
      </c>
      <c r="BY14" s="305">
        <f>BX14</f>
        <v>40</v>
      </c>
      <c r="BZ14" s="305">
        <f>BK14-BX14</f>
        <v>0</v>
      </c>
      <c r="CA14" s="438"/>
      <c r="CB14" s="7"/>
      <c r="CC14" s="7"/>
      <c r="CD14" s="7"/>
      <c r="CE14" s="497"/>
      <c r="CF14" s="100"/>
      <c r="CG14" s="100">
        <f t="shared" ref="CG14:CG63" si="32">CE14+CF14</f>
        <v>0</v>
      </c>
      <c r="CH14" s="100"/>
      <c r="CI14" s="100"/>
      <c r="CJ14" s="100">
        <f t="shared" ref="CJ14:CJ46" si="33">CH14+CI14</f>
        <v>0</v>
      </c>
      <c r="CK14" s="523"/>
      <c r="CL14" s="102">
        <f t="shared" ref="CL14" si="34">CK14/15</f>
        <v>0</v>
      </c>
      <c r="CM14" s="103">
        <f>CL14</f>
        <v>0</v>
      </c>
      <c r="CN14" s="100"/>
      <c r="CO14" s="100">
        <f t="shared" ref="CO14:CO48" si="35">CN14/15</f>
        <v>0</v>
      </c>
      <c r="CP14" s="515">
        <f>CO14</f>
        <v>0</v>
      </c>
      <c r="CQ14" s="441"/>
      <c r="CR14" s="497"/>
      <c r="CS14" s="100"/>
      <c r="CT14" s="100">
        <f t="shared" ref="CT14:CT74" si="36">CR14+CS14</f>
        <v>0</v>
      </c>
      <c r="CU14" s="100"/>
      <c r="CV14" s="100"/>
      <c r="CW14" s="100">
        <f t="shared" ref="CW14:CW74" si="37">CU14+CV14</f>
        <v>0</v>
      </c>
      <c r="CX14" s="102"/>
      <c r="CY14" s="109">
        <f t="shared" ref="CY14:CY48" si="38">CX14/15</f>
        <v>0</v>
      </c>
      <c r="CZ14" s="103">
        <f>CY14</f>
        <v>0</v>
      </c>
      <c r="DA14" s="100"/>
      <c r="DB14" s="455">
        <f t="shared" ref="DB14:DB74" si="39">DA14/15</f>
        <v>0</v>
      </c>
      <c r="DC14" s="495">
        <f>DB14</f>
        <v>0</v>
      </c>
      <c r="DD14" s="24" t="s">
        <v>692</v>
      </c>
      <c r="DF14" s="1133"/>
      <c r="DG14" s="674">
        <f t="shared" si="15"/>
        <v>0</v>
      </c>
      <c r="DH14" s="1119">
        <f t="shared" si="16"/>
        <v>10</v>
      </c>
      <c r="DI14" s="1119"/>
      <c r="DJ14" s="101">
        <f t="shared" si="17"/>
        <v>40</v>
      </c>
      <c r="DK14" s="101">
        <f>DJ14</f>
        <v>40</v>
      </c>
      <c r="DL14" s="101">
        <f t="shared" si="18"/>
        <v>0</v>
      </c>
      <c r="DM14" s="101"/>
      <c r="DN14" s="112"/>
      <c r="DO14" s="112">
        <f>DJ14</f>
        <v>40</v>
      </c>
      <c r="DP14" s="112"/>
      <c r="DQ14" s="112"/>
      <c r="DS14" s="140"/>
      <c r="DT14" s="140"/>
      <c r="DU14" s="140"/>
      <c r="DV14" s="140"/>
      <c r="DW14" s="140"/>
      <c r="DX14" s="140"/>
      <c r="DY14" s="140"/>
      <c r="DZ14" s="140"/>
    </row>
    <row r="15" spans="1:195" s="151" customFormat="1" ht="21.6" customHeight="1" x14ac:dyDescent="0.25">
      <c r="A15" s="141"/>
      <c r="B15" s="141"/>
      <c r="C15" s="142"/>
      <c r="D15" s="143"/>
      <c r="E15" s="22"/>
      <c r="F15" s="144"/>
      <c r="G15" s="144"/>
      <c r="H15" s="144"/>
      <c r="I15" s="144"/>
      <c r="J15" s="144"/>
      <c r="K15" s="144"/>
      <c r="L15" s="145"/>
      <c r="M15" s="146"/>
      <c r="N15" s="147"/>
      <c r="O15" s="146"/>
      <c r="P15" s="148"/>
      <c r="Q15" s="148"/>
      <c r="R15" s="148"/>
      <c r="S15" s="148"/>
      <c r="T15" s="123"/>
      <c r="U15" s="123"/>
      <c r="V15" s="123"/>
      <c r="W15" s="149"/>
      <c r="X15" s="149"/>
      <c r="Y15" s="124"/>
      <c r="Z15" s="125"/>
      <c r="AA15" s="123"/>
      <c r="AB15" s="123"/>
      <c r="AC15" s="123"/>
      <c r="AD15" s="124"/>
      <c r="AE15" s="124"/>
      <c r="AF15" s="126"/>
      <c r="AG15" s="474"/>
      <c r="AH15" s="129"/>
      <c r="AI15" s="129"/>
      <c r="AJ15" s="138"/>
      <c r="AK15" s="100"/>
      <c r="AL15" s="101"/>
      <c r="AM15" s="100"/>
      <c r="AN15" s="100"/>
      <c r="AO15" s="101"/>
      <c r="AP15" s="105"/>
      <c r="AQ15" s="105"/>
      <c r="AR15" s="106"/>
      <c r="AS15" s="97"/>
      <c r="AT15" s="98"/>
      <c r="AU15" s="105"/>
      <c r="AV15" s="455"/>
      <c r="AW15" s="496"/>
      <c r="AX15" s="508"/>
      <c r="AY15" s="498"/>
      <c r="AZ15" s="100"/>
      <c r="BA15" s="101"/>
      <c r="BB15" s="100"/>
      <c r="BC15" s="100"/>
      <c r="BD15" s="101"/>
      <c r="BE15" s="105"/>
      <c r="BF15" s="106"/>
      <c r="BG15" s="100"/>
      <c r="BH15" s="106"/>
      <c r="BI15" s="100"/>
      <c r="BJ15" s="106"/>
      <c r="BK15" s="101"/>
      <c r="BL15" s="106"/>
      <c r="BM15" s="130"/>
      <c r="BN15" s="130"/>
      <c r="BO15" s="105"/>
      <c r="BP15" s="105"/>
      <c r="BQ15" s="106"/>
      <c r="BR15" s="105"/>
      <c r="BS15" s="105"/>
      <c r="BT15" s="106"/>
      <c r="BU15" s="53"/>
      <c r="BV15" s="53"/>
      <c r="BW15" s="54"/>
      <c r="BX15" s="350">
        <f t="shared" si="19"/>
        <v>0</v>
      </c>
      <c r="BY15" s="194"/>
      <c r="BZ15" s="194"/>
      <c r="CA15" s="536"/>
      <c r="CB15" s="148"/>
      <c r="CC15" s="148"/>
      <c r="CD15" s="148"/>
      <c r="CE15" s="504"/>
      <c r="CF15" s="105"/>
      <c r="CG15" s="105"/>
      <c r="CH15" s="105"/>
      <c r="CI15" s="105"/>
      <c r="CJ15" s="105"/>
      <c r="CK15" s="523"/>
      <c r="CL15" s="102"/>
      <c r="CM15" s="103"/>
      <c r="CN15" s="100"/>
      <c r="CO15" s="100"/>
      <c r="CP15" s="515"/>
      <c r="CQ15" s="441"/>
      <c r="CR15" s="504"/>
      <c r="CS15" s="105"/>
      <c r="CT15" s="105"/>
      <c r="CU15" s="105"/>
      <c r="CV15" s="105"/>
      <c r="CW15" s="105"/>
      <c r="CX15" s="53"/>
      <c r="CY15" s="109"/>
      <c r="CZ15" s="54"/>
      <c r="DA15" s="105"/>
      <c r="DB15" s="455"/>
      <c r="DC15" s="495"/>
      <c r="DD15" s="31"/>
      <c r="DF15" s="1133"/>
      <c r="DG15" s="674">
        <f t="shared" si="15"/>
        <v>0</v>
      </c>
      <c r="DH15" s="1119">
        <f t="shared" si="16"/>
        <v>0</v>
      </c>
      <c r="DI15" s="1119"/>
      <c r="DJ15" s="101">
        <f t="shared" si="17"/>
        <v>0</v>
      </c>
      <c r="DK15" s="101"/>
      <c r="DL15" s="101">
        <f t="shared" si="18"/>
        <v>0</v>
      </c>
      <c r="DM15" s="101"/>
      <c r="DN15" s="112"/>
      <c r="DO15" s="112"/>
      <c r="DP15" s="112"/>
      <c r="DQ15" s="112"/>
      <c r="DS15" s="152"/>
      <c r="DT15" s="152"/>
      <c r="DU15" s="152"/>
      <c r="DV15" s="152"/>
      <c r="DW15" s="152"/>
      <c r="DX15" s="152"/>
      <c r="DY15" s="152"/>
      <c r="DZ15" s="152"/>
    </row>
    <row r="16" spans="1:195" s="139" customFormat="1" ht="21.6" customHeight="1" x14ac:dyDescent="0.25">
      <c r="A16" s="4" t="s">
        <v>9</v>
      </c>
      <c r="B16" s="4">
        <v>1</v>
      </c>
      <c r="C16" s="153" t="s">
        <v>13</v>
      </c>
      <c r="D16" s="153" t="s">
        <v>431</v>
      </c>
      <c r="E16" s="13" t="s">
        <v>14</v>
      </c>
      <c r="F16" s="135">
        <v>87</v>
      </c>
      <c r="G16" s="135">
        <v>32</v>
      </c>
      <c r="H16" s="135">
        <f t="shared" ref="H16" si="40">F16+G16</f>
        <v>119</v>
      </c>
      <c r="I16" s="135"/>
      <c r="J16" s="135">
        <v>68.5</v>
      </c>
      <c r="K16" s="135">
        <f t="shared" ref="K16" si="41">I16+J16</f>
        <v>68.5</v>
      </c>
      <c r="L16" s="136"/>
      <c r="M16" s="5"/>
      <c r="N16" s="41" t="s">
        <v>276</v>
      </c>
      <c r="O16" s="5"/>
      <c r="P16" s="7"/>
      <c r="Q16" s="7"/>
      <c r="R16" s="7"/>
      <c r="S16" s="7"/>
      <c r="T16" s="89"/>
      <c r="U16" s="89"/>
      <c r="V16" s="89">
        <f t="shared" ref="V16:V17" si="42">T16+U16</f>
        <v>0</v>
      </c>
      <c r="W16" s="137"/>
      <c r="X16" s="137">
        <v>25</v>
      </c>
      <c r="Y16" s="90">
        <f t="shared" ref="Y16:Y17" si="43">W16+X16</f>
        <v>25</v>
      </c>
      <c r="Z16" s="91"/>
      <c r="AA16" s="92"/>
      <c r="AB16" s="92"/>
      <c r="AC16" s="92">
        <f t="shared" ref="AC16:AC17" si="44">AA16+AB16</f>
        <v>0</v>
      </c>
      <c r="AD16" s="93"/>
      <c r="AE16" s="154"/>
      <c r="AF16" s="94">
        <f t="shared" ref="AF16:AF17" si="45">AD16+AE16</f>
        <v>0</v>
      </c>
      <c r="AG16" s="473"/>
      <c r="AH16" s="99">
        <v>55</v>
      </c>
      <c r="AI16" s="99">
        <f t="shared" ref="AI16:AI17" si="46">AH16/15</f>
        <v>3.6666666666666665</v>
      </c>
      <c r="AJ16" s="138">
        <v>55</v>
      </c>
      <c r="AK16" s="100">
        <f>AJ16/15</f>
        <v>3.6666666666666665</v>
      </c>
      <c r="AL16" s="101">
        <f>SUM(AK16:AK17)</f>
        <v>3.6666666666666665</v>
      </c>
      <c r="AM16" s="100"/>
      <c r="AN16" s="100">
        <f t="shared" ref="AN16:AN17" si="47">AM16/15</f>
        <v>0</v>
      </c>
      <c r="AO16" s="101">
        <f>SUM(AN16:AN17)</f>
        <v>0</v>
      </c>
      <c r="AP16" s="100"/>
      <c r="AQ16" s="100">
        <f t="shared" si="25"/>
        <v>0</v>
      </c>
      <c r="AR16" s="101">
        <f>SUM(AQ16:AQ17)</f>
        <v>0</v>
      </c>
      <c r="AS16" s="97">
        <f t="shared" ref="AS16:AS74" si="48">AN16+AK16+AQ16</f>
        <v>3.6666666666666665</v>
      </c>
      <c r="AT16" s="98">
        <f>SUM(AS16:AS17)</f>
        <v>3.6666666666666665</v>
      </c>
      <c r="AU16" s="100"/>
      <c r="AV16" s="455">
        <f t="shared" si="26"/>
        <v>0</v>
      </c>
      <c r="AW16" s="515">
        <f>SUM(AV16:AV17)</f>
        <v>0</v>
      </c>
      <c r="AX16" s="438"/>
      <c r="AY16" s="498">
        <v>55</v>
      </c>
      <c r="AZ16" s="100">
        <f>AY16/15</f>
        <v>3.6666666666666665</v>
      </c>
      <c r="BA16" s="101">
        <f>SUM(AZ16:AZ17)</f>
        <v>10.333333333333334</v>
      </c>
      <c r="BB16" s="100"/>
      <c r="BC16" s="100">
        <f t="shared" ref="BC16:BC17" si="49">BB16/15</f>
        <v>0</v>
      </c>
      <c r="BD16" s="101">
        <f>SUM(BC16:BC17)</f>
        <v>2</v>
      </c>
      <c r="BE16" s="105">
        <f>AK16+AZ16</f>
        <v>7.333333333333333</v>
      </c>
      <c r="BF16" s="101">
        <f>SUM(BE16:BE17)</f>
        <v>14</v>
      </c>
      <c r="BG16" s="100">
        <f t="shared" ref="BG16:BG48" si="50">BC16+AQ16+AN16</f>
        <v>0</v>
      </c>
      <c r="BH16" s="101">
        <f>SUM(BG16:BG17)</f>
        <v>2</v>
      </c>
      <c r="BI16" s="100">
        <f t="shared" ref="BI16:BI47" si="51">AV16</f>
        <v>0</v>
      </c>
      <c r="BJ16" s="101">
        <f>SUM(BI16:BI17)</f>
        <v>0</v>
      </c>
      <c r="BK16" s="101">
        <f t="shared" si="28"/>
        <v>7.333333333333333</v>
      </c>
      <c r="BL16" s="101">
        <f>SUM(BK16:BK17)</f>
        <v>16</v>
      </c>
      <c r="BM16" s="104">
        <f>83.33+116.67+183.33</f>
        <v>383.33000000000004</v>
      </c>
      <c r="BN16" s="104">
        <f t="shared" ref="BN16" si="52">BM16/50</f>
        <v>7.6666000000000007</v>
      </c>
      <c r="BO16" s="105">
        <v>350</v>
      </c>
      <c r="BP16" s="105">
        <f t="shared" si="29"/>
        <v>7</v>
      </c>
      <c r="BQ16" s="101">
        <f>SUM(BP16:BP17)</f>
        <v>13</v>
      </c>
      <c r="BR16" s="100"/>
      <c r="BS16" s="100">
        <f t="shared" si="30"/>
        <v>0</v>
      </c>
      <c r="BT16" s="101">
        <f>SUM(BS16:BS17)</f>
        <v>2</v>
      </c>
      <c r="BU16" s="102"/>
      <c r="BV16" s="102">
        <f t="shared" ref="BV16:BV17" si="53">BU16/50</f>
        <v>0</v>
      </c>
      <c r="BW16" s="103">
        <f>SUM(BV16:BV17)</f>
        <v>0</v>
      </c>
      <c r="BX16" s="350">
        <f t="shared" si="19"/>
        <v>7</v>
      </c>
      <c r="BY16" s="288">
        <f>SUM(BX16:BX17)</f>
        <v>15</v>
      </c>
      <c r="BZ16" s="288">
        <f t="shared" ref="BZ16:BZ48" si="54">BK16-BX16</f>
        <v>0.33333333333333304</v>
      </c>
      <c r="CA16" s="438"/>
      <c r="CB16" s="7"/>
      <c r="CC16" s="7"/>
      <c r="CD16" s="7"/>
      <c r="CE16" s="497"/>
      <c r="CF16" s="100"/>
      <c r="CG16" s="100">
        <f t="shared" si="32"/>
        <v>0</v>
      </c>
      <c r="CH16" s="100"/>
      <c r="CI16" s="100"/>
      <c r="CJ16" s="100">
        <f t="shared" si="33"/>
        <v>0</v>
      </c>
      <c r="CK16" s="523"/>
      <c r="CL16" s="102">
        <f t="shared" ref="CL16:CL17" si="55">CK16/15</f>
        <v>0</v>
      </c>
      <c r="CM16" s="103">
        <f>SUM(CL16:CL17)</f>
        <v>0</v>
      </c>
      <c r="CN16" s="100"/>
      <c r="CO16" s="100">
        <f t="shared" si="35"/>
        <v>0</v>
      </c>
      <c r="CP16" s="515">
        <f>SUM(CO16:CO17)</f>
        <v>0</v>
      </c>
      <c r="CQ16" s="441"/>
      <c r="CR16" s="497"/>
      <c r="CS16" s="100"/>
      <c r="CT16" s="100">
        <f t="shared" si="36"/>
        <v>0</v>
      </c>
      <c r="CU16" s="100"/>
      <c r="CV16" s="100"/>
      <c r="CW16" s="100">
        <f t="shared" si="37"/>
        <v>0</v>
      </c>
      <c r="CX16" s="102"/>
      <c r="CY16" s="109">
        <f t="shared" si="38"/>
        <v>0</v>
      </c>
      <c r="CZ16" s="103">
        <f>SUM(CY16:CY17)</f>
        <v>0</v>
      </c>
      <c r="DA16" s="100"/>
      <c r="DB16" s="455">
        <f t="shared" si="39"/>
        <v>0</v>
      </c>
      <c r="DC16" s="495">
        <f>SUM(DB16:DB17)</f>
        <v>0</v>
      </c>
      <c r="DD16" s="24"/>
      <c r="DF16" s="1133"/>
      <c r="DG16" s="674">
        <f t="shared" si="15"/>
        <v>0</v>
      </c>
      <c r="DH16" s="1119">
        <f t="shared" si="16"/>
        <v>0</v>
      </c>
      <c r="DI16" s="1119"/>
      <c r="DJ16" s="101">
        <f t="shared" si="17"/>
        <v>7.333333333333333</v>
      </c>
      <c r="DK16" s="101">
        <f>SUM(DJ16:DJ17)</f>
        <v>16</v>
      </c>
      <c r="DL16" s="101">
        <f t="shared" si="18"/>
        <v>0</v>
      </c>
      <c r="DM16" s="101"/>
      <c r="DN16" s="112"/>
      <c r="DO16" s="112"/>
      <c r="DP16" s="112"/>
      <c r="DQ16" s="112"/>
      <c r="DS16" s="140"/>
      <c r="DT16" s="140"/>
      <c r="DU16" s="140"/>
      <c r="DV16" s="140"/>
      <c r="DW16" s="140"/>
      <c r="DX16" s="140"/>
      <c r="DY16" s="140"/>
      <c r="DZ16" s="140"/>
    </row>
    <row r="17" spans="1:130" s="139" customFormat="1" ht="31.15" customHeight="1" x14ac:dyDescent="0.25">
      <c r="A17" s="4"/>
      <c r="B17" s="4"/>
      <c r="C17" s="153" t="s">
        <v>13</v>
      </c>
      <c r="D17" s="153" t="s">
        <v>431</v>
      </c>
      <c r="E17" s="3" t="s">
        <v>464</v>
      </c>
      <c r="F17" s="135"/>
      <c r="G17" s="135"/>
      <c r="H17" s="135"/>
      <c r="I17" s="135"/>
      <c r="J17" s="135"/>
      <c r="K17" s="135"/>
      <c r="L17" s="136"/>
      <c r="M17" s="5"/>
      <c r="N17" s="41" t="s">
        <v>276</v>
      </c>
      <c r="O17" s="156"/>
      <c r="P17" s="7"/>
      <c r="Q17" s="7"/>
      <c r="R17" s="7"/>
      <c r="S17" s="7"/>
      <c r="T17" s="89">
        <v>7</v>
      </c>
      <c r="U17" s="89">
        <v>11</v>
      </c>
      <c r="V17" s="89">
        <f t="shared" si="42"/>
        <v>18</v>
      </c>
      <c r="W17" s="137"/>
      <c r="X17" s="137">
        <v>8.91</v>
      </c>
      <c r="Y17" s="90">
        <f t="shared" si="43"/>
        <v>8.91</v>
      </c>
      <c r="Z17" s="91"/>
      <c r="AA17" s="92"/>
      <c r="AB17" s="92"/>
      <c r="AC17" s="92">
        <f t="shared" si="44"/>
        <v>0</v>
      </c>
      <c r="AD17" s="93"/>
      <c r="AE17" s="154"/>
      <c r="AF17" s="94">
        <f t="shared" si="45"/>
        <v>0</v>
      </c>
      <c r="AG17" s="473"/>
      <c r="AH17" s="99"/>
      <c r="AI17" s="99">
        <f t="shared" si="46"/>
        <v>0</v>
      </c>
      <c r="AJ17" s="138"/>
      <c r="AK17" s="100">
        <f>AJ17/15</f>
        <v>0</v>
      </c>
      <c r="AL17" s="101"/>
      <c r="AM17" s="100"/>
      <c r="AN17" s="100">
        <f t="shared" si="47"/>
        <v>0</v>
      </c>
      <c r="AO17" s="101"/>
      <c r="AP17" s="105"/>
      <c r="AQ17" s="105">
        <f t="shared" si="25"/>
        <v>0</v>
      </c>
      <c r="AR17" s="106"/>
      <c r="AS17" s="97">
        <f t="shared" si="48"/>
        <v>0</v>
      </c>
      <c r="AT17" s="98"/>
      <c r="AU17" s="105"/>
      <c r="AV17" s="455">
        <f t="shared" si="26"/>
        <v>0</v>
      </c>
      <c r="AW17" s="496"/>
      <c r="AX17" s="508"/>
      <c r="AY17" s="498">
        <v>100</v>
      </c>
      <c r="AZ17" s="100">
        <f>AY17/15</f>
        <v>6.666666666666667</v>
      </c>
      <c r="BA17" s="101"/>
      <c r="BB17" s="100">
        <v>30</v>
      </c>
      <c r="BC17" s="100">
        <f t="shared" si="49"/>
        <v>2</v>
      </c>
      <c r="BD17" s="101"/>
      <c r="BE17" s="105">
        <f>AK17+AZ17</f>
        <v>6.666666666666667</v>
      </c>
      <c r="BF17" s="106"/>
      <c r="BG17" s="100">
        <f t="shared" si="50"/>
        <v>2</v>
      </c>
      <c r="BH17" s="106"/>
      <c r="BI17" s="100">
        <f t="shared" si="51"/>
        <v>0</v>
      </c>
      <c r="BJ17" s="106"/>
      <c r="BK17" s="101">
        <f t="shared" si="28"/>
        <v>8.6666666666666679</v>
      </c>
      <c r="BL17" s="106"/>
      <c r="BM17" s="104"/>
      <c r="BN17" s="104"/>
      <c r="BO17" s="105">
        <v>300</v>
      </c>
      <c r="BP17" s="105">
        <f t="shared" si="29"/>
        <v>6</v>
      </c>
      <c r="BQ17" s="106"/>
      <c r="BR17" s="105">
        <v>100</v>
      </c>
      <c r="BS17" s="105">
        <f t="shared" si="30"/>
        <v>2</v>
      </c>
      <c r="BT17" s="106"/>
      <c r="BU17" s="53"/>
      <c r="BV17" s="53">
        <f t="shared" si="53"/>
        <v>0</v>
      </c>
      <c r="BW17" s="54"/>
      <c r="BX17" s="350">
        <f t="shared" si="19"/>
        <v>8</v>
      </c>
      <c r="BY17" s="211"/>
      <c r="BZ17" s="211">
        <f t="shared" si="54"/>
        <v>0.66666666666666785</v>
      </c>
      <c r="CA17" s="508"/>
      <c r="CB17" s="7"/>
      <c r="CC17" s="7"/>
      <c r="CD17" s="7"/>
      <c r="CE17" s="504"/>
      <c r="CF17" s="105"/>
      <c r="CG17" s="105">
        <f t="shared" si="32"/>
        <v>0</v>
      </c>
      <c r="CH17" s="105"/>
      <c r="CI17" s="105"/>
      <c r="CJ17" s="105">
        <f t="shared" si="33"/>
        <v>0</v>
      </c>
      <c r="CK17" s="523"/>
      <c r="CL17" s="102">
        <f t="shared" si="55"/>
        <v>0</v>
      </c>
      <c r="CM17" s="103"/>
      <c r="CN17" s="100"/>
      <c r="CO17" s="100">
        <f t="shared" si="35"/>
        <v>0</v>
      </c>
      <c r="CP17" s="515"/>
      <c r="CQ17" s="441"/>
      <c r="CR17" s="504"/>
      <c r="CS17" s="105"/>
      <c r="CT17" s="105">
        <f t="shared" si="36"/>
        <v>0</v>
      </c>
      <c r="CU17" s="105"/>
      <c r="CV17" s="105"/>
      <c r="CW17" s="105">
        <f t="shared" si="37"/>
        <v>0</v>
      </c>
      <c r="CX17" s="53"/>
      <c r="CY17" s="109">
        <f t="shared" si="38"/>
        <v>0</v>
      </c>
      <c r="CZ17" s="54"/>
      <c r="DA17" s="105"/>
      <c r="DB17" s="455">
        <f t="shared" si="39"/>
        <v>0</v>
      </c>
      <c r="DC17" s="495"/>
      <c r="DD17" s="24"/>
      <c r="DF17" s="1133"/>
      <c r="DG17" s="674">
        <f t="shared" si="15"/>
        <v>0</v>
      </c>
      <c r="DH17" s="1119">
        <f t="shared" si="16"/>
        <v>2</v>
      </c>
      <c r="DI17" s="1119"/>
      <c r="DJ17" s="101">
        <f t="shared" si="17"/>
        <v>8.6666666666666679</v>
      </c>
      <c r="DK17" s="101"/>
      <c r="DL17" s="101">
        <f t="shared" si="18"/>
        <v>0</v>
      </c>
      <c r="DM17" s="101"/>
      <c r="DN17" s="112"/>
      <c r="DO17" s="112"/>
      <c r="DP17" s="112"/>
      <c r="DQ17" s="112"/>
      <c r="DS17" s="140"/>
      <c r="DT17" s="140"/>
      <c r="DU17" s="140"/>
      <c r="DV17" s="140"/>
      <c r="DW17" s="140"/>
      <c r="DX17" s="140"/>
      <c r="DY17" s="140"/>
      <c r="DZ17" s="140"/>
    </row>
    <row r="18" spans="1:130" s="151" customFormat="1" ht="21.6" customHeight="1" x14ac:dyDescent="0.25">
      <c r="A18" s="141"/>
      <c r="B18" s="141"/>
      <c r="C18" s="159"/>
      <c r="D18" s="159"/>
      <c r="E18" s="22"/>
      <c r="F18" s="144"/>
      <c r="G18" s="144"/>
      <c r="H18" s="144"/>
      <c r="I18" s="144"/>
      <c r="J18" s="144"/>
      <c r="K18" s="144"/>
      <c r="L18" s="160"/>
      <c r="M18" s="146"/>
      <c r="N18" s="147"/>
      <c r="O18" s="161"/>
      <c r="P18" s="148"/>
      <c r="Q18" s="148"/>
      <c r="R18" s="148"/>
      <c r="S18" s="148"/>
      <c r="T18" s="123"/>
      <c r="U18" s="123"/>
      <c r="V18" s="123"/>
      <c r="W18" s="149"/>
      <c r="X18" s="149"/>
      <c r="Y18" s="124"/>
      <c r="Z18" s="125"/>
      <c r="AA18" s="123"/>
      <c r="AB18" s="123"/>
      <c r="AC18" s="123"/>
      <c r="AD18" s="124"/>
      <c r="AE18" s="124"/>
      <c r="AF18" s="126"/>
      <c r="AG18" s="474"/>
      <c r="AH18" s="129"/>
      <c r="AI18" s="129"/>
      <c r="AJ18" s="138"/>
      <c r="AK18" s="100"/>
      <c r="AL18" s="101"/>
      <c r="AM18" s="100"/>
      <c r="AN18" s="100"/>
      <c r="AO18" s="101"/>
      <c r="AP18" s="105"/>
      <c r="AQ18" s="105">
        <f t="shared" si="25"/>
        <v>0</v>
      </c>
      <c r="AR18" s="106"/>
      <c r="AS18" s="97">
        <f t="shared" si="48"/>
        <v>0</v>
      </c>
      <c r="AT18" s="98"/>
      <c r="AU18" s="105"/>
      <c r="AV18" s="455">
        <f t="shared" si="26"/>
        <v>0</v>
      </c>
      <c r="AW18" s="496"/>
      <c r="AX18" s="508"/>
      <c r="AY18" s="498"/>
      <c r="AZ18" s="100"/>
      <c r="BA18" s="101"/>
      <c r="BB18" s="100"/>
      <c r="BC18" s="100"/>
      <c r="BD18" s="101"/>
      <c r="BE18" s="105"/>
      <c r="BF18" s="106"/>
      <c r="BG18" s="100">
        <f t="shared" si="50"/>
        <v>0</v>
      </c>
      <c r="BH18" s="106"/>
      <c r="BI18" s="100">
        <f t="shared" si="51"/>
        <v>0</v>
      </c>
      <c r="BJ18" s="106"/>
      <c r="BK18" s="101">
        <f t="shared" si="28"/>
        <v>0</v>
      </c>
      <c r="BL18" s="106"/>
      <c r="BM18" s="130"/>
      <c r="BN18" s="130"/>
      <c r="BO18" s="105"/>
      <c r="BP18" s="105">
        <f t="shared" si="29"/>
        <v>0</v>
      </c>
      <c r="BQ18" s="106"/>
      <c r="BR18" s="105"/>
      <c r="BS18" s="105"/>
      <c r="BT18" s="106"/>
      <c r="BU18" s="53"/>
      <c r="BV18" s="53"/>
      <c r="BW18" s="54"/>
      <c r="BX18" s="350">
        <f t="shared" si="19"/>
        <v>0</v>
      </c>
      <c r="BY18" s="194"/>
      <c r="BZ18" s="194">
        <f t="shared" si="54"/>
        <v>0</v>
      </c>
      <c r="CA18" s="536"/>
      <c r="CB18" s="148"/>
      <c r="CC18" s="148"/>
      <c r="CD18" s="148"/>
      <c r="CE18" s="504"/>
      <c r="CF18" s="105"/>
      <c r="CG18" s="105">
        <f t="shared" si="32"/>
        <v>0</v>
      </c>
      <c r="CH18" s="105"/>
      <c r="CI18" s="105"/>
      <c r="CJ18" s="105">
        <f t="shared" si="33"/>
        <v>0</v>
      </c>
      <c r="CK18" s="523"/>
      <c r="CL18" s="102"/>
      <c r="CM18" s="103"/>
      <c r="CN18" s="100"/>
      <c r="CO18" s="100">
        <f t="shared" si="35"/>
        <v>0</v>
      </c>
      <c r="CP18" s="515"/>
      <c r="CQ18" s="441"/>
      <c r="CR18" s="504"/>
      <c r="CS18" s="105"/>
      <c r="CT18" s="105">
        <f t="shared" si="36"/>
        <v>0</v>
      </c>
      <c r="CU18" s="105"/>
      <c r="CV18" s="105"/>
      <c r="CW18" s="105">
        <f t="shared" si="37"/>
        <v>0</v>
      </c>
      <c r="CX18" s="53"/>
      <c r="CY18" s="109">
        <f t="shared" si="38"/>
        <v>0</v>
      </c>
      <c r="CZ18" s="54"/>
      <c r="DA18" s="105"/>
      <c r="DB18" s="455">
        <f t="shared" si="39"/>
        <v>0</v>
      </c>
      <c r="DC18" s="495"/>
      <c r="DD18" s="31"/>
      <c r="DF18" s="1133"/>
      <c r="DG18" s="674">
        <f t="shared" si="15"/>
        <v>0</v>
      </c>
      <c r="DH18" s="1119">
        <f t="shared" si="16"/>
        <v>0</v>
      </c>
      <c r="DI18" s="1119"/>
      <c r="DJ18" s="101">
        <f t="shared" si="17"/>
        <v>0</v>
      </c>
      <c r="DK18" s="101"/>
      <c r="DL18" s="101">
        <f t="shared" si="18"/>
        <v>0</v>
      </c>
      <c r="DM18" s="101"/>
      <c r="DN18" s="112"/>
      <c r="DO18" s="112"/>
      <c r="DP18" s="112"/>
      <c r="DQ18" s="112"/>
      <c r="DS18" s="152"/>
      <c r="DT18" s="152"/>
      <c r="DU18" s="152"/>
      <c r="DV18" s="152"/>
      <c r="DW18" s="152"/>
      <c r="DX18" s="152"/>
      <c r="DY18" s="152"/>
      <c r="DZ18" s="152"/>
    </row>
    <row r="19" spans="1:130" s="139" customFormat="1" ht="32.25" customHeight="1" x14ac:dyDescent="0.25">
      <c r="A19" s="4"/>
      <c r="B19" s="4"/>
      <c r="C19" s="153" t="s">
        <v>371</v>
      </c>
      <c r="D19" s="153" t="s">
        <v>431</v>
      </c>
      <c r="E19" s="3" t="s">
        <v>467</v>
      </c>
      <c r="F19" s="162"/>
      <c r="G19" s="162"/>
      <c r="H19" s="162"/>
      <c r="I19" s="162"/>
      <c r="J19" s="162"/>
      <c r="K19" s="162"/>
      <c r="L19" s="163"/>
      <c r="M19" s="414"/>
      <c r="N19" s="46"/>
      <c r="O19" s="164"/>
      <c r="P19" s="165"/>
      <c r="Q19" s="7"/>
      <c r="R19" s="7"/>
      <c r="S19" s="7"/>
      <c r="T19" s="89"/>
      <c r="U19" s="89"/>
      <c r="V19" s="89"/>
      <c r="W19" s="137"/>
      <c r="X19" s="137"/>
      <c r="Y19" s="90"/>
      <c r="Z19" s="91"/>
      <c r="AA19" s="92"/>
      <c r="AB19" s="92"/>
      <c r="AC19" s="92">
        <f t="shared" ref="AC19" si="56">AA19+AB19</f>
        <v>0</v>
      </c>
      <c r="AD19" s="93"/>
      <c r="AE19" s="93"/>
      <c r="AF19" s="94">
        <f t="shared" ref="AF19" si="57">AD19+AE19</f>
        <v>0</v>
      </c>
      <c r="AG19" s="473"/>
      <c r="AH19" s="99"/>
      <c r="AI19" s="99"/>
      <c r="AJ19" s="138"/>
      <c r="AK19" s="100"/>
      <c r="AL19" s="101"/>
      <c r="AM19" s="100">
        <v>300</v>
      </c>
      <c r="AN19" s="100">
        <f t="shared" ref="AN19" si="58">AM19/15</f>
        <v>20</v>
      </c>
      <c r="AO19" s="101">
        <f>SUM(AN19)</f>
        <v>20</v>
      </c>
      <c r="AP19" s="105"/>
      <c r="AQ19" s="105">
        <f t="shared" si="25"/>
        <v>0</v>
      </c>
      <c r="AR19" s="106">
        <f>AQ19</f>
        <v>0</v>
      </c>
      <c r="AS19" s="97">
        <f t="shared" si="48"/>
        <v>20</v>
      </c>
      <c r="AT19" s="98">
        <f>AS19</f>
        <v>20</v>
      </c>
      <c r="AU19" s="105"/>
      <c r="AV19" s="455">
        <f t="shared" si="26"/>
        <v>0</v>
      </c>
      <c r="AW19" s="496">
        <f>AV19</f>
        <v>0</v>
      </c>
      <c r="AX19" s="508"/>
      <c r="AY19" s="498"/>
      <c r="AZ19" s="100"/>
      <c r="BA19" s="101"/>
      <c r="BB19" s="100"/>
      <c r="BC19" s="100"/>
      <c r="BD19" s="101"/>
      <c r="BE19" s="105">
        <f>AK19+AZ19</f>
        <v>0</v>
      </c>
      <c r="BF19" s="106">
        <f>BE19</f>
        <v>0</v>
      </c>
      <c r="BG19" s="100">
        <f t="shared" si="50"/>
        <v>20</v>
      </c>
      <c r="BH19" s="106">
        <f>BG19</f>
        <v>20</v>
      </c>
      <c r="BI19" s="100">
        <f t="shared" si="51"/>
        <v>0</v>
      </c>
      <c r="BJ19" s="106">
        <f>BI19</f>
        <v>0</v>
      </c>
      <c r="BK19" s="101">
        <f t="shared" si="28"/>
        <v>20</v>
      </c>
      <c r="BL19" s="106">
        <f>BK19</f>
        <v>20</v>
      </c>
      <c r="BM19" s="104"/>
      <c r="BN19" s="104"/>
      <c r="BO19" s="105"/>
      <c r="BP19" s="105">
        <f t="shared" si="29"/>
        <v>0</v>
      </c>
      <c r="BQ19" s="106"/>
      <c r="BR19" s="105">
        <v>1000</v>
      </c>
      <c r="BS19" s="105">
        <f t="shared" si="30"/>
        <v>20</v>
      </c>
      <c r="BT19" s="106">
        <f>BS19</f>
        <v>20</v>
      </c>
      <c r="BU19" s="53"/>
      <c r="BV19" s="53">
        <f t="shared" ref="BV19" si="59">BU19/50</f>
        <v>0</v>
      </c>
      <c r="BW19" s="54">
        <f>BV19</f>
        <v>0</v>
      </c>
      <c r="BX19" s="350">
        <f t="shared" si="19"/>
        <v>20</v>
      </c>
      <c r="BY19" s="211">
        <f>BX19</f>
        <v>20</v>
      </c>
      <c r="BZ19" s="211">
        <f t="shared" si="54"/>
        <v>0</v>
      </c>
      <c r="CA19" s="508"/>
      <c r="CB19" s="7"/>
      <c r="CC19" s="165"/>
      <c r="CD19" s="7"/>
      <c r="CE19" s="504"/>
      <c r="CF19" s="105"/>
      <c r="CG19" s="105">
        <f t="shared" si="32"/>
        <v>0</v>
      </c>
      <c r="CH19" s="105"/>
      <c r="CI19" s="105"/>
      <c r="CJ19" s="105">
        <f t="shared" si="33"/>
        <v>0</v>
      </c>
      <c r="CK19" s="523"/>
      <c r="CL19" s="102">
        <f t="shared" ref="CL19" si="60">CK19/15</f>
        <v>0</v>
      </c>
      <c r="CM19" s="103">
        <f>SUM(CL19)</f>
        <v>0</v>
      </c>
      <c r="CN19" s="100"/>
      <c r="CO19" s="100">
        <f t="shared" si="35"/>
        <v>0</v>
      </c>
      <c r="CP19" s="515">
        <f>SUM(CO19)</f>
        <v>0</v>
      </c>
      <c r="CQ19" s="441"/>
      <c r="CR19" s="504"/>
      <c r="CS19" s="105"/>
      <c r="CT19" s="105">
        <f t="shared" si="36"/>
        <v>0</v>
      </c>
      <c r="CU19" s="105"/>
      <c r="CV19" s="105"/>
      <c r="CW19" s="105">
        <f t="shared" si="37"/>
        <v>0</v>
      </c>
      <c r="CX19" s="53"/>
      <c r="CY19" s="109">
        <f t="shared" si="38"/>
        <v>0</v>
      </c>
      <c r="CZ19" s="54">
        <f>CY19</f>
        <v>0</v>
      </c>
      <c r="DA19" s="105"/>
      <c r="DB19" s="455">
        <f t="shared" si="39"/>
        <v>0</v>
      </c>
      <c r="DC19" s="495">
        <f>DB19</f>
        <v>0</v>
      </c>
      <c r="DD19" s="24"/>
      <c r="DF19" s="1133"/>
      <c r="DG19" s="674">
        <f t="shared" si="15"/>
        <v>0</v>
      </c>
      <c r="DH19" s="1119">
        <f t="shared" si="16"/>
        <v>0</v>
      </c>
      <c r="DI19" s="1119"/>
      <c r="DJ19" s="101">
        <f t="shared" si="17"/>
        <v>20</v>
      </c>
      <c r="DK19" s="101">
        <f>DJ19</f>
        <v>20</v>
      </c>
      <c r="DL19" s="101">
        <f t="shared" si="18"/>
        <v>0</v>
      </c>
      <c r="DM19" s="101"/>
      <c r="DN19" s="112"/>
      <c r="DO19" s="112"/>
      <c r="DP19" s="112"/>
      <c r="DQ19" s="112"/>
      <c r="DS19" s="140"/>
      <c r="DT19" s="140"/>
      <c r="DU19" s="140"/>
      <c r="DV19" s="140"/>
      <c r="DW19" s="140"/>
      <c r="DX19" s="140"/>
      <c r="DY19" s="140"/>
      <c r="DZ19" s="140"/>
    </row>
    <row r="20" spans="1:130" s="151" customFormat="1" ht="21.6" customHeight="1" x14ac:dyDescent="0.25">
      <c r="A20" s="141"/>
      <c r="B20" s="141"/>
      <c r="C20" s="159"/>
      <c r="D20" s="143"/>
      <c r="E20" s="22"/>
      <c r="F20" s="144"/>
      <c r="G20" s="144"/>
      <c r="H20" s="144"/>
      <c r="I20" s="144"/>
      <c r="J20" s="144"/>
      <c r="K20" s="144"/>
      <c r="L20" s="145"/>
      <c r="M20" s="146"/>
      <c r="N20" s="147"/>
      <c r="O20" s="161"/>
      <c r="P20" s="148"/>
      <c r="Q20" s="148"/>
      <c r="R20" s="148"/>
      <c r="S20" s="148"/>
      <c r="T20" s="123"/>
      <c r="U20" s="123"/>
      <c r="V20" s="123"/>
      <c r="W20" s="149"/>
      <c r="X20" s="149"/>
      <c r="Y20" s="124"/>
      <c r="Z20" s="125"/>
      <c r="AA20" s="123"/>
      <c r="AB20" s="123"/>
      <c r="AC20" s="123"/>
      <c r="AD20" s="124"/>
      <c r="AE20" s="124"/>
      <c r="AF20" s="126"/>
      <c r="AG20" s="474"/>
      <c r="AH20" s="129"/>
      <c r="AI20" s="129"/>
      <c r="AJ20" s="138"/>
      <c r="AK20" s="100"/>
      <c r="AL20" s="101"/>
      <c r="AM20" s="100"/>
      <c r="AN20" s="100"/>
      <c r="AO20" s="101"/>
      <c r="AP20" s="105"/>
      <c r="AQ20" s="105">
        <f t="shared" si="25"/>
        <v>0</v>
      </c>
      <c r="AR20" s="106"/>
      <c r="AS20" s="97">
        <f t="shared" si="48"/>
        <v>0</v>
      </c>
      <c r="AT20" s="98"/>
      <c r="AU20" s="105"/>
      <c r="AV20" s="455">
        <f t="shared" si="26"/>
        <v>0</v>
      </c>
      <c r="AW20" s="496"/>
      <c r="AX20" s="508"/>
      <c r="AY20" s="498"/>
      <c r="AZ20" s="100"/>
      <c r="BA20" s="101"/>
      <c r="BB20" s="100"/>
      <c r="BC20" s="100"/>
      <c r="BD20" s="101"/>
      <c r="BE20" s="105"/>
      <c r="BF20" s="106"/>
      <c r="BG20" s="100">
        <f t="shared" si="50"/>
        <v>0</v>
      </c>
      <c r="BH20" s="106"/>
      <c r="BI20" s="100">
        <f t="shared" si="51"/>
        <v>0</v>
      </c>
      <c r="BJ20" s="106"/>
      <c r="BK20" s="101">
        <f t="shared" si="28"/>
        <v>0</v>
      </c>
      <c r="BL20" s="106"/>
      <c r="BM20" s="130"/>
      <c r="BN20" s="130"/>
      <c r="BO20" s="105"/>
      <c r="BP20" s="105">
        <f t="shared" si="29"/>
        <v>0</v>
      </c>
      <c r="BQ20" s="106"/>
      <c r="BR20" s="105"/>
      <c r="BS20" s="105"/>
      <c r="BT20" s="106"/>
      <c r="BU20" s="53"/>
      <c r="BV20" s="53"/>
      <c r="BW20" s="54"/>
      <c r="BX20" s="350">
        <f t="shared" si="19"/>
        <v>0</v>
      </c>
      <c r="BY20" s="194"/>
      <c r="BZ20" s="194">
        <f t="shared" si="54"/>
        <v>0</v>
      </c>
      <c r="CA20" s="536"/>
      <c r="CB20" s="148"/>
      <c r="CC20" s="148"/>
      <c r="CD20" s="148"/>
      <c r="CE20" s="504"/>
      <c r="CF20" s="105"/>
      <c r="CG20" s="105">
        <f t="shared" si="32"/>
        <v>0</v>
      </c>
      <c r="CH20" s="105"/>
      <c r="CI20" s="105"/>
      <c r="CJ20" s="105">
        <f t="shared" si="33"/>
        <v>0</v>
      </c>
      <c r="CK20" s="523"/>
      <c r="CL20" s="102"/>
      <c r="CM20" s="103"/>
      <c r="CN20" s="100"/>
      <c r="CO20" s="100">
        <f t="shared" si="35"/>
        <v>0</v>
      </c>
      <c r="CP20" s="515"/>
      <c r="CQ20" s="441"/>
      <c r="CR20" s="504"/>
      <c r="CS20" s="105"/>
      <c r="CT20" s="105">
        <f t="shared" si="36"/>
        <v>0</v>
      </c>
      <c r="CU20" s="105"/>
      <c r="CV20" s="105"/>
      <c r="CW20" s="105">
        <f t="shared" si="37"/>
        <v>0</v>
      </c>
      <c r="CX20" s="53"/>
      <c r="CY20" s="109">
        <f t="shared" si="38"/>
        <v>0</v>
      </c>
      <c r="CZ20" s="54"/>
      <c r="DA20" s="105"/>
      <c r="DB20" s="455">
        <f t="shared" si="39"/>
        <v>0</v>
      </c>
      <c r="DC20" s="495"/>
      <c r="DD20" s="31"/>
      <c r="DF20" s="1133"/>
      <c r="DG20" s="674">
        <f t="shared" si="15"/>
        <v>0</v>
      </c>
      <c r="DH20" s="1119">
        <f t="shared" si="16"/>
        <v>0</v>
      </c>
      <c r="DI20" s="1119"/>
      <c r="DJ20" s="101">
        <f t="shared" si="17"/>
        <v>0</v>
      </c>
      <c r="DK20" s="101"/>
      <c r="DL20" s="101">
        <f t="shared" si="18"/>
        <v>0</v>
      </c>
      <c r="DM20" s="101"/>
      <c r="DN20" s="112"/>
      <c r="DO20" s="112"/>
      <c r="DP20" s="112"/>
      <c r="DQ20" s="112"/>
      <c r="DS20" s="152"/>
      <c r="DT20" s="152"/>
      <c r="DU20" s="152"/>
      <c r="DV20" s="152"/>
      <c r="DW20" s="152"/>
      <c r="DX20" s="152"/>
      <c r="DY20" s="152"/>
      <c r="DZ20" s="152"/>
    </row>
    <row r="21" spans="1:130" ht="21.6" customHeight="1" x14ac:dyDescent="0.25">
      <c r="A21" s="4" t="s">
        <v>9</v>
      </c>
      <c r="B21" s="4">
        <v>1</v>
      </c>
      <c r="C21" s="166" t="s">
        <v>15</v>
      </c>
      <c r="D21" s="167" t="s">
        <v>431</v>
      </c>
      <c r="E21" s="1" t="s">
        <v>16</v>
      </c>
      <c r="F21" s="162">
        <v>20</v>
      </c>
      <c r="G21" s="162">
        <v>16</v>
      </c>
      <c r="H21" s="162">
        <f t="shared" ref="H21:H48" si="61">F21+G21</f>
        <v>36</v>
      </c>
      <c r="I21" s="162"/>
      <c r="J21" s="162">
        <v>20.25</v>
      </c>
      <c r="K21" s="162">
        <f t="shared" ref="K21:K42" si="62">I21+J21</f>
        <v>20.25</v>
      </c>
      <c r="L21" s="168"/>
      <c r="M21" s="414"/>
      <c r="N21" s="46"/>
      <c r="O21" s="164"/>
      <c r="P21" s="165"/>
      <c r="Q21" s="165"/>
      <c r="R21" s="165"/>
      <c r="S21" s="165"/>
      <c r="T21" s="89"/>
      <c r="U21" s="89"/>
      <c r="V21" s="89">
        <f t="shared" ref="V21:V48" si="63">T21+U21</f>
        <v>0</v>
      </c>
      <c r="W21" s="137"/>
      <c r="X21" s="137"/>
      <c r="Y21" s="90">
        <f t="shared" ref="Y21:Y48" si="64">W21+X21</f>
        <v>0</v>
      </c>
      <c r="Z21" s="169"/>
      <c r="AA21" s="92"/>
      <c r="AB21" s="92"/>
      <c r="AC21" s="92">
        <f t="shared" ref="AC21:AC48" si="65">AA21+AB21</f>
        <v>0</v>
      </c>
      <c r="AD21" s="93"/>
      <c r="AE21" s="93"/>
      <c r="AF21" s="94">
        <f t="shared" ref="AF21:AF48" si="66">AD21+AE21</f>
        <v>0</v>
      </c>
      <c r="AG21" s="475"/>
      <c r="AH21" s="99">
        <v>170</v>
      </c>
      <c r="AI21" s="99">
        <f t="shared" ref="AI21:AI48" si="67">AH21/15</f>
        <v>11.333333333333334</v>
      </c>
      <c r="AJ21" s="138"/>
      <c r="AK21" s="100">
        <f>AJ21/15</f>
        <v>0</v>
      </c>
      <c r="AL21" s="101">
        <f>SUM(AK21:AK23)</f>
        <v>0</v>
      </c>
      <c r="AM21" s="100">
        <v>170</v>
      </c>
      <c r="AN21" s="100">
        <f t="shared" ref="AN21:AN23" si="68">AM21/15</f>
        <v>11.333333333333334</v>
      </c>
      <c r="AO21" s="101">
        <f>SUM(AN21:AN23)</f>
        <v>11.333333333333334</v>
      </c>
      <c r="AP21" s="100"/>
      <c r="AQ21" s="100">
        <f t="shared" si="25"/>
        <v>0</v>
      </c>
      <c r="AR21" s="101">
        <f>SUM(AQ21:AQ23)</f>
        <v>0</v>
      </c>
      <c r="AS21" s="97">
        <f t="shared" si="48"/>
        <v>11.333333333333334</v>
      </c>
      <c r="AT21" s="98">
        <f>SUM(AS21:AS23)</f>
        <v>11.333333333333334</v>
      </c>
      <c r="AU21" s="100"/>
      <c r="AV21" s="455">
        <f t="shared" si="26"/>
        <v>0</v>
      </c>
      <c r="AW21" s="515">
        <f>SUM(AV21:AV23)</f>
        <v>0</v>
      </c>
      <c r="AX21" s="438"/>
      <c r="AY21" s="498"/>
      <c r="AZ21" s="100">
        <f>AY21/15</f>
        <v>0</v>
      </c>
      <c r="BA21" s="101">
        <f>SUM(AZ21:AZ23)</f>
        <v>53</v>
      </c>
      <c r="BB21" s="100"/>
      <c r="BC21" s="100">
        <f t="shared" ref="BC21" si="69">BB21/15</f>
        <v>0</v>
      </c>
      <c r="BD21" s="101">
        <f>SUM(BC21:BC23)</f>
        <v>0</v>
      </c>
      <c r="BE21" s="105">
        <f>AK21+AZ21</f>
        <v>0</v>
      </c>
      <c r="BF21" s="101">
        <f>SUM(BE21:BE23)</f>
        <v>53</v>
      </c>
      <c r="BG21" s="100">
        <f t="shared" si="50"/>
        <v>11.333333333333334</v>
      </c>
      <c r="BH21" s="101">
        <f>SUM(BG21:BG23)</f>
        <v>11.333333333333334</v>
      </c>
      <c r="BI21" s="100">
        <f t="shared" si="51"/>
        <v>0</v>
      </c>
      <c r="BJ21" s="101">
        <f>SUM(BI21:BI23)</f>
        <v>0</v>
      </c>
      <c r="BK21" s="101">
        <f t="shared" si="28"/>
        <v>11.333333333333334</v>
      </c>
      <c r="BL21" s="101">
        <f>SUM(BK21:BK23)</f>
        <v>64.333333333333343</v>
      </c>
      <c r="BM21" s="104"/>
      <c r="BN21" s="104">
        <f t="shared" ref="BN21:BN48" si="70">BM21/50</f>
        <v>0</v>
      </c>
      <c r="BO21" s="105"/>
      <c r="BP21" s="105">
        <f t="shared" si="29"/>
        <v>0</v>
      </c>
      <c r="BQ21" s="101">
        <f>SUM(BP21:BP23)</f>
        <v>0</v>
      </c>
      <c r="BR21" s="100">
        <v>550</v>
      </c>
      <c r="BS21" s="100">
        <f t="shared" si="30"/>
        <v>11</v>
      </c>
      <c r="BT21" s="101">
        <f>SUM(BS21:BS23)</f>
        <v>63</v>
      </c>
      <c r="BU21" s="102"/>
      <c r="BV21" s="102">
        <f t="shared" ref="BV21:BV23" si="71">BU21/50</f>
        <v>0</v>
      </c>
      <c r="BW21" s="103">
        <f>SUM(BV21:BV23)</f>
        <v>0</v>
      </c>
      <c r="BX21" s="350">
        <f t="shared" si="19"/>
        <v>11</v>
      </c>
      <c r="BY21" s="288">
        <f>SUM(BX21:BX23)</f>
        <v>63</v>
      </c>
      <c r="BZ21" s="288">
        <f t="shared" si="54"/>
        <v>0.33333333333333393</v>
      </c>
      <c r="CA21" s="438"/>
      <c r="CB21" s="165"/>
      <c r="CC21" s="165"/>
      <c r="CD21" s="165"/>
      <c r="CE21" s="497"/>
      <c r="CF21" s="100"/>
      <c r="CG21" s="100">
        <f t="shared" si="32"/>
        <v>0</v>
      </c>
      <c r="CH21" s="100"/>
      <c r="CI21" s="100"/>
      <c r="CJ21" s="100">
        <f t="shared" si="33"/>
        <v>0</v>
      </c>
      <c r="CK21" s="523"/>
      <c r="CL21" s="102">
        <f t="shared" ref="CL21:CL23" si="72">CK21/15</f>
        <v>0</v>
      </c>
      <c r="CM21" s="103">
        <f>SUM(CL21:CL23)</f>
        <v>0</v>
      </c>
      <c r="CN21" s="100"/>
      <c r="CO21" s="100">
        <f t="shared" si="35"/>
        <v>0</v>
      </c>
      <c r="CP21" s="515">
        <f>SUM(CO21:CO23)</f>
        <v>0</v>
      </c>
      <c r="CQ21" s="441"/>
      <c r="CR21" s="497"/>
      <c r="CS21" s="100"/>
      <c r="CT21" s="100">
        <f t="shared" si="36"/>
        <v>0</v>
      </c>
      <c r="CU21" s="100"/>
      <c r="CV21" s="100"/>
      <c r="CW21" s="100">
        <f t="shared" si="37"/>
        <v>0</v>
      </c>
      <c r="CX21" s="102"/>
      <c r="CY21" s="109">
        <f t="shared" si="38"/>
        <v>0</v>
      </c>
      <c r="CZ21" s="103">
        <f>SUM(CY21:CY23)</f>
        <v>0</v>
      </c>
      <c r="DA21" s="100"/>
      <c r="DB21" s="455">
        <f t="shared" si="39"/>
        <v>0</v>
      </c>
      <c r="DC21" s="495">
        <f>SUM(DB21:DB23)</f>
        <v>0</v>
      </c>
      <c r="DD21" s="25"/>
      <c r="DF21" s="1133"/>
      <c r="DG21" s="674">
        <f t="shared" si="15"/>
        <v>0</v>
      </c>
      <c r="DH21" s="1119">
        <f t="shared" si="16"/>
        <v>0</v>
      </c>
      <c r="DI21" s="1119"/>
      <c r="DJ21" s="101">
        <f t="shared" si="17"/>
        <v>11.333333333333334</v>
      </c>
      <c r="DK21" s="101">
        <f>SUM(DJ21:DJ23)</f>
        <v>64.333333333333343</v>
      </c>
      <c r="DL21" s="101">
        <f t="shared" si="18"/>
        <v>0</v>
      </c>
      <c r="DM21" s="101"/>
      <c r="DN21" s="112"/>
      <c r="DO21" s="112"/>
      <c r="DP21" s="112"/>
      <c r="DQ21" s="112"/>
    </row>
    <row r="22" spans="1:130" ht="21.6" customHeight="1" x14ac:dyDescent="0.25">
      <c r="A22" s="4"/>
      <c r="B22" s="4"/>
      <c r="C22" s="166" t="s">
        <v>15</v>
      </c>
      <c r="D22" s="171" t="s">
        <v>431</v>
      </c>
      <c r="E22" s="1" t="s">
        <v>595</v>
      </c>
      <c r="F22" s="162"/>
      <c r="G22" s="162"/>
      <c r="H22" s="162"/>
      <c r="I22" s="162"/>
      <c r="J22" s="162"/>
      <c r="K22" s="162"/>
      <c r="L22" s="168"/>
      <c r="M22" s="414"/>
      <c r="N22" s="46"/>
      <c r="O22" s="164"/>
      <c r="P22" s="165"/>
      <c r="Q22" s="165"/>
      <c r="R22" s="165"/>
      <c r="S22" s="165"/>
      <c r="T22" s="89"/>
      <c r="U22" s="89"/>
      <c r="V22" s="89">
        <f t="shared" si="63"/>
        <v>0</v>
      </c>
      <c r="W22" s="137"/>
      <c r="X22" s="137"/>
      <c r="Y22" s="90">
        <f t="shared" si="64"/>
        <v>0</v>
      </c>
      <c r="Z22" s="169"/>
      <c r="AA22" s="92"/>
      <c r="AB22" s="92"/>
      <c r="AC22" s="92"/>
      <c r="AD22" s="93"/>
      <c r="AE22" s="93"/>
      <c r="AF22" s="94">
        <f t="shared" si="66"/>
        <v>0</v>
      </c>
      <c r="AG22" s="475"/>
      <c r="AH22" s="99"/>
      <c r="AI22" s="99">
        <f t="shared" si="67"/>
        <v>0</v>
      </c>
      <c r="AJ22" s="138"/>
      <c r="AK22" s="100">
        <f>AJ22/15</f>
        <v>0</v>
      </c>
      <c r="AL22" s="101"/>
      <c r="AM22" s="100"/>
      <c r="AN22" s="100">
        <f t="shared" si="68"/>
        <v>0</v>
      </c>
      <c r="AO22" s="101"/>
      <c r="AP22" s="100"/>
      <c r="AQ22" s="100">
        <f t="shared" si="25"/>
        <v>0</v>
      </c>
      <c r="AR22" s="101"/>
      <c r="AS22" s="97">
        <f t="shared" si="48"/>
        <v>0</v>
      </c>
      <c r="AT22" s="98"/>
      <c r="AU22" s="100"/>
      <c r="AV22" s="455">
        <f t="shared" si="26"/>
        <v>0</v>
      </c>
      <c r="AW22" s="515"/>
      <c r="AX22" s="438"/>
      <c r="AY22" s="498">
        <v>225</v>
      </c>
      <c r="AZ22" s="100">
        <f>AY22/15</f>
        <v>15</v>
      </c>
      <c r="BA22" s="101"/>
      <c r="BB22" s="100"/>
      <c r="BC22" s="100">
        <f>BB22/15</f>
        <v>0</v>
      </c>
      <c r="BD22" s="101"/>
      <c r="BE22" s="105">
        <f>AK22+AZ22</f>
        <v>15</v>
      </c>
      <c r="BF22" s="101"/>
      <c r="BG22" s="100">
        <f t="shared" si="50"/>
        <v>0</v>
      </c>
      <c r="BH22" s="101"/>
      <c r="BI22" s="100">
        <f t="shared" si="51"/>
        <v>0</v>
      </c>
      <c r="BJ22" s="101"/>
      <c r="BK22" s="101">
        <f t="shared" si="28"/>
        <v>15</v>
      </c>
      <c r="BL22" s="101"/>
      <c r="BM22" s="104"/>
      <c r="BN22" s="104">
        <f t="shared" si="70"/>
        <v>0</v>
      </c>
      <c r="BO22" s="105"/>
      <c r="BP22" s="105">
        <f t="shared" si="29"/>
        <v>0</v>
      </c>
      <c r="BQ22" s="101"/>
      <c r="BR22" s="100">
        <v>700</v>
      </c>
      <c r="BS22" s="100">
        <f t="shared" si="30"/>
        <v>14</v>
      </c>
      <c r="BT22" s="101"/>
      <c r="BU22" s="102"/>
      <c r="BV22" s="102">
        <f t="shared" si="71"/>
        <v>0</v>
      </c>
      <c r="BW22" s="103"/>
      <c r="BX22" s="350">
        <f t="shared" si="19"/>
        <v>14</v>
      </c>
      <c r="BY22" s="305"/>
      <c r="BZ22" s="305">
        <f t="shared" si="54"/>
        <v>1</v>
      </c>
      <c r="CA22" s="438"/>
      <c r="CB22" s="165"/>
      <c r="CC22" s="165"/>
      <c r="CD22" s="165"/>
      <c r="CE22" s="497"/>
      <c r="CF22" s="100"/>
      <c r="CG22" s="100">
        <f t="shared" si="32"/>
        <v>0</v>
      </c>
      <c r="CH22" s="100"/>
      <c r="CI22" s="100"/>
      <c r="CJ22" s="100">
        <f t="shared" si="33"/>
        <v>0</v>
      </c>
      <c r="CK22" s="523"/>
      <c r="CL22" s="102">
        <f t="shared" si="72"/>
        <v>0</v>
      </c>
      <c r="CM22" s="103"/>
      <c r="CN22" s="100"/>
      <c r="CO22" s="100">
        <f t="shared" si="35"/>
        <v>0</v>
      </c>
      <c r="CP22" s="515"/>
      <c r="CQ22" s="441"/>
      <c r="CR22" s="497"/>
      <c r="CS22" s="100"/>
      <c r="CT22" s="100">
        <f t="shared" si="36"/>
        <v>0</v>
      </c>
      <c r="CU22" s="100"/>
      <c r="CV22" s="100"/>
      <c r="CW22" s="100">
        <f t="shared" si="37"/>
        <v>0</v>
      </c>
      <c r="CX22" s="102"/>
      <c r="CY22" s="109">
        <f t="shared" si="38"/>
        <v>0</v>
      </c>
      <c r="CZ22" s="103"/>
      <c r="DA22" s="100"/>
      <c r="DB22" s="455">
        <f t="shared" si="39"/>
        <v>0</v>
      </c>
      <c r="DC22" s="495"/>
      <c r="DD22" s="25" t="s">
        <v>596</v>
      </c>
      <c r="DF22" s="1133"/>
      <c r="DG22" s="674">
        <f t="shared" si="15"/>
        <v>0</v>
      </c>
      <c r="DH22" s="1119">
        <f t="shared" si="16"/>
        <v>0</v>
      </c>
      <c r="DI22" s="1119"/>
      <c r="DJ22" s="101">
        <f t="shared" si="17"/>
        <v>15</v>
      </c>
      <c r="DK22" s="101"/>
      <c r="DL22" s="101">
        <f t="shared" si="18"/>
        <v>0</v>
      </c>
      <c r="DM22" s="101"/>
      <c r="DN22" s="112"/>
      <c r="DO22" s="112"/>
      <c r="DP22" s="112"/>
      <c r="DQ22" s="112"/>
    </row>
    <row r="23" spans="1:130" ht="21.6" customHeight="1" x14ac:dyDescent="0.25">
      <c r="A23" s="4"/>
      <c r="B23" s="4"/>
      <c r="C23" s="166" t="s">
        <v>15</v>
      </c>
      <c r="D23" s="171" t="s">
        <v>431</v>
      </c>
      <c r="E23" s="1" t="s">
        <v>597</v>
      </c>
      <c r="F23" s="162"/>
      <c r="G23" s="162"/>
      <c r="H23" s="162"/>
      <c r="I23" s="162"/>
      <c r="J23" s="162"/>
      <c r="K23" s="162"/>
      <c r="L23" s="168"/>
      <c r="M23" s="414"/>
      <c r="N23" s="46"/>
      <c r="O23" s="164"/>
      <c r="P23" s="165"/>
      <c r="Q23" s="165"/>
      <c r="R23" s="165"/>
      <c r="S23" s="165"/>
      <c r="T23" s="89"/>
      <c r="U23" s="89"/>
      <c r="V23" s="89">
        <f t="shared" si="63"/>
        <v>0</v>
      </c>
      <c r="W23" s="137"/>
      <c r="X23" s="137"/>
      <c r="Y23" s="90">
        <f t="shared" si="64"/>
        <v>0</v>
      </c>
      <c r="Z23" s="169"/>
      <c r="AA23" s="92"/>
      <c r="AB23" s="92"/>
      <c r="AC23" s="92"/>
      <c r="AD23" s="93"/>
      <c r="AE23" s="93"/>
      <c r="AF23" s="94">
        <f t="shared" si="66"/>
        <v>0</v>
      </c>
      <c r="AG23" s="475"/>
      <c r="AH23" s="99"/>
      <c r="AI23" s="99">
        <f t="shared" si="67"/>
        <v>0</v>
      </c>
      <c r="AJ23" s="138"/>
      <c r="AK23" s="100">
        <f>AJ23/15</f>
        <v>0</v>
      </c>
      <c r="AL23" s="101"/>
      <c r="AM23" s="100"/>
      <c r="AN23" s="100">
        <f t="shared" si="68"/>
        <v>0</v>
      </c>
      <c r="AO23" s="101"/>
      <c r="AP23" s="100"/>
      <c r="AQ23" s="100">
        <f t="shared" si="25"/>
        <v>0</v>
      </c>
      <c r="AR23" s="101"/>
      <c r="AS23" s="97">
        <f t="shared" si="48"/>
        <v>0</v>
      </c>
      <c r="AT23" s="98"/>
      <c r="AU23" s="100"/>
      <c r="AV23" s="455">
        <f t="shared" si="26"/>
        <v>0</v>
      </c>
      <c r="AW23" s="515"/>
      <c r="AX23" s="438"/>
      <c r="AY23" s="498">
        <v>570</v>
      </c>
      <c r="AZ23" s="100">
        <f>AY23/15</f>
        <v>38</v>
      </c>
      <c r="BA23" s="101"/>
      <c r="BB23" s="100"/>
      <c r="BC23" s="100">
        <f>BB23/15</f>
        <v>0</v>
      </c>
      <c r="BD23" s="101"/>
      <c r="BE23" s="105">
        <f>AK23+AZ23</f>
        <v>38</v>
      </c>
      <c r="BF23" s="101"/>
      <c r="BG23" s="100">
        <f t="shared" si="50"/>
        <v>0</v>
      </c>
      <c r="BH23" s="101"/>
      <c r="BI23" s="100">
        <f t="shared" si="51"/>
        <v>0</v>
      </c>
      <c r="BJ23" s="101"/>
      <c r="BK23" s="101">
        <f t="shared" si="28"/>
        <v>38</v>
      </c>
      <c r="BL23" s="101"/>
      <c r="BM23" s="104"/>
      <c r="BN23" s="104">
        <f t="shared" si="70"/>
        <v>0</v>
      </c>
      <c r="BO23" s="105"/>
      <c r="BP23" s="105">
        <f t="shared" si="29"/>
        <v>0</v>
      </c>
      <c r="BQ23" s="101"/>
      <c r="BR23" s="100">
        <v>1900</v>
      </c>
      <c r="BS23" s="100">
        <f t="shared" si="30"/>
        <v>38</v>
      </c>
      <c r="BT23" s="101"/>
      <c r="BU23" s="102"/>
      <c r="BV23" s="102">
        <f t="shared" si="71"/>
        <v>0</v>
      </c>
      <c r="BW23" s="103"/>
      <c r="BX23" s="350">
        <f t="shared" si="19"/>
        <v>38</v>
      </c>
      <c r="BY23" s="305"/>
      <c r="BZ23" s="305">
        <f t="shared" si="54"/>
        <v>0</v>
      </c>
      <c r="CA23" s="438"/>
      <c r="CB23" s="165"/>
      <c r="CC23" s="165"/>
      <c r="CD23" s="165"/>
      <c r="CE23" s="497"/>
      <c r="CF23" s="100"/>
      <c r="CG23" s="100">
        <f t="shared" si="32"/>
        <v>0</v>
      </c>
      <c r="CH23" s="100"/>
      <c r="CI23" s="100"/>
      <c r="CJ23" s="100">
        <f t="shared" si="33"/>
        <v>0</v>
      </c>
      <c r="CK23" s="523"/>
      <c r="CL23" s="102">
        <f t="shared" si="72"/>
        <v>0</v>
      </c>
      <c r="CM23" s="103"/>
      <c r="CN23" s="100"/>
      <c r="CO23" s="100">
        <f t="shared" si="35"/>
        <v>0</v>
      </c>
      <c r="CP23" s="515"/>
      <c r="CQ23" s="441"/>
      <c r="CR23" s="497"/>
      <c r="CS23" s="100"/>
      <c r="CT23" s="100">
        <f t="shared" si="36"/>
        <v>0</v>
      </c>
      <c r="CU23" s="100"/>
      <c r="CV23" s="100"/>
      <c r="CW23" s="100">
        <f t="shared" si="37"/>
        <v>0</v>
      </c>
      <c r="CX23" s="102"/>
      <c r="CY23" s="109">
        <f t="shared" si="38"/>
        <v>0</v>
      </c>
      <c r="CZ23" s="103"/>
      <c r="DA23" s="100"/>
      <c r="DB23" s="455">
        <f t="shared" si="39"/>
        <v>0</v>
      </c>
      <c r="DC23" s="495"/>
      <c r="DD23" s="25" t="s">
        <v>596</v>
      </c>
      <c r="DF23" s="1133"/>
      <c r="DG23" s="674">
        <f t="shared" si="15"/>
        <v>0</v>
      </c>
      <c r="DH23" s="1119">
        <f t="shared" si="16"/>
        <v>0</v>
      </c>
      <c r="DI23" s="1119"/>
      <c r="DJ23" s="101">
        <f t="shared" si="17"/>
        <v>38</v>
      </c>
      <c r="DK23" s="101"/>
      <c r="DL23" s="1124">
        <f t="shared" si="18"/>
        <v>0</v>
      </c>
      <c r="DM23" s="101"/>
      <c r="DN23" s="112"/>
      <c r="DO23" s="112"/>
      <c r="DP23" s="112"/>
      <c r="DQ23" s="112"/>
    </row>
    <row r="24" spans="1:130" s="151" customFormat="1" ht="21.6" customHeight="1" x14ac:dyDescent="0.25">
      <c r="A24" s="141"/>
      <c r="B24" s="141"/>
      <c r="C24" s="172"/>
      <c r="D24" s="173"/>
      <c r="E24" s="22"/>
      <c r="F24" s="144"/>
      <c r="G24" s="144"/>
      <c r="H24" s="144"/>
      <c r="I24" s="144"/>
      <c r="J24" s="144"/>
      <c r="K24" s="144"/>
      <c r="L24" s="145"/>
      <c r="M24" s="146"/>
      <c r="N24" s="147"/>
      <c r="O24" s="131"/>
      <c r="P24" s="148"/>
      <c r="Q24" s="148"/>
      <c r="R24" s="148"/>
      <c r="S24" s="148"/>
      <c r="T24" s="123"/>
      <c r="U24" s="123"/>
      <c r="V24" s="123"/>
      <c r="W24" s="149"/>
      <c r="X24" s="149"/>
      <c r="Y24" s="124"/>
      <c r="Z24" s="125"/>
      <c r="AA24" s="123"/>
      <c r="AB24" s="123"/>
      <c r="AC24" s="123"/>
      <c r="AD24" s="124"/>
      <c r="AE24" s="124"/>
      <c r="AF24" s="126"/>
      <c r="AG24" s="474"/>
      <c r="AH24" s="129"/>
      <c r="AI24" s="129"/>
      <c r="AJ24" s="138"/>
      <c r="AK24" s="100"/>
      <c r="AL24" s="101"/>
      <c r="AM24" s="100"/>
      <c r="AN24" s="100"/>
      <c r="AO24" s="101"/>
      <c r="AP24" s="105"/>
      <c r="AQ24" s="105">
        <f t="shared" si="25"/>
        <v>0</v>
      </c>
      <c r="AR24" s="106"/>
      <c r="AS24" s="97">
        <f t="shared" si="48"/>
        <v>0</v>
      </c>
      <c r="AT24" s="98"/>
      <c r="AU24" s="105"/>
      <c r="AV24" s="455">
        <f t="shared" si="26"/>
        <v>0</v>
      </c>
      <c r="AW24" s="496"/>
      <c r="AX24" s="508"/>
      <c r="AY24" s="498"/>
      <c r="AZ24" s="100"/>
      <c r="BA24" s="101"/>
      <c r="BB24" s="100"/>
      <c r="BC24" s="100"/>
      <c r="BD24" s="101"/>
      <c r="BE24" s="105"/>
      <c r="BF24" s="106"/>
      <c r="BG24" s="100">
        <f t="shared" si="50"/>
        <v>0</v>
      </c>
      <c r="BH24" s="106"/>
      <c r="BI24" s="100">
        <f t="shared" si="51"/>
        <v>0</v>
      </c>
      <c r="BJ24" s="106"/>
      <c r="BK24" s="101">
        <f t="shared" si="28"/>
        <v>0</v>
      </c>
      <c r="BL24" s="106"/>
      <c r="BM24" s="130"/>
      <c r="BN24" s="130"/>
      <c r="BO24" s="105"/>
      <c r="BP24" s="105">
        <f t="shared" si="29"/>
        <v>0</v>
      </c>
      <c r="BQ24" s="106"/>
      <c r="BR24" s="105"/>
      <c r="BS24" s="105"/>
      <c r="BT24" s="106"/>
      <c r="BU24" s="53"/>
      <c r="BV24" s="53"/>
      <c r="BW24" s="54"/>
      <c r="BX24" s="350">
        <f t="shared" si="19"/>
        <v>0</v>
      </c>
      <c r="BY24" s="194"/>
      <c r="BZ24" s="194">
        <f t="shared" si="54"/>
        <v>0</v>
      </c>
      <c r="CA24" s="536"/>
      <c r="CB24" s="148"/>
      <c r="CC24" s="148"/>
      <c r="CD24" s="148"/>
      <c r="CE24" s="504"/>
      <c r="CF24" s="105"/>
      <c r="CG24" s="105">
        <f t="shared" si="32"/>
        <v>0</v>
      </c>
      <c r="CH24" s="105"/>
      <c r="CI24" s="105"/>
      <c r="CJ24" s="105">
        <f t="shared" si="33"/>
        <v>0</v>
      </c>
      <c r="CK24" s="523"/>
      <c r="CL24" s="102"/>
      <c r="CM24" s="103"/>
      <c r="CN24" s="100"/>
      <c r="CO24" s="100">
        <f t="shared" si="35"/>
        <v>0</v>
      </c>
      <c r="CP24" s="515"/>
      <c r="CQ24" s="441"/>
      <c r="CR24" s="504"/>
      <c r="CS24" s="105"/>
      <c r="CT24" s="105">
        <f t="shared" si="36"/>
        <v>0</v>
      </c>
      <c r="CU24" s="105"/>
      <c r="CV24" s="105"/>
      <c r="CW24" s="105">
        <f t="shared" si="37"/>
        <v>0</v>
      </c>
      <c r="CX24" s="53"/>
      <c r="CY24" s="109">
        <f t="shared" si="38"/>
        <v>0</v>
      </c>
      <c r="CZ24" s="54"/>
      <c r="DA24" s="105"/>
      <c r="DB24" s="455">
        <f t="shared" si="39"/>
        <v>0</v>
      </c>
      <c r="DC24" s="495"/>
      <c r="DD24" s="31"/>
      <c r="DF24" s="1133"/>
      <c r="DG24" s="674">
        <f t="shared" si="15"/>
        <v>0</v>
      </c>
      <c r="DH24" s="1119">
        <f t="shared" si="16"/>
        <v>0</v>
      </c>
      <c r="DI24" s="1119"/>
      <c r="DJ24" s="101">
        <f t="shared" si="17"/>
        <v>0</v>
      </c>
      <c r="DK24" s="101"/>
      <c r="DL24" s="101">
        <f t="shared" si="18"/>
        <v>0</v>
      </c>
      <c r="DM24" s="101"/>
      <c r="DN24" s="112"/>
      <c r="DO24" s="112"/>
      <c r="DP24" s="112"/>
      <c r="DQ24" s="112"/>
      <c r="DS24" s="152"/>
      <c r="DT24" s="152"/>
      <c r="DU24" s="152"/>
      <c r="DV24" s="152"/>
      <c r="DW24" s="152"/>
      <c r="DX24" s="152"/>
      <c r="DY24" s="152"/>
      <c r="DZ24" s="152"/>
    </row>
    <row r="25" spans="1:130" ht="21.6" customHeight="1" x14ac:dyDescent="0.25">
      <c r="A25" s="4" t="s">
        <v>9</v>
      </c>
      <c r="B25" s="4">
        <v>1</v>
      </c>
      <c r="C25" s="174" t="s">
        <v>17</v>
      </c>
      <c r="D25" s="171" t="s">
        <v>431</v>
      </c>
      <c r="E25" s="1" t="s">
        <v>18</v>
      </c>
      <c r="F25" s="162">
        <v>39</v>
      </c>
      <c r="G25" s="162">
        <v>9</v>
      </c>
      <c r="H25" s="162">
        <f t="shared" si="61"/>
        <v>48</v>
      </c>
      <c r="I25" s="162"/>
      <c r="J25" s="162">
        <v>23.33</v>
      </c>
      <c r="K25" s="162">
        <f t="shared" si="62"/>
        <v>23.33</v>
      </c>
      <c r="L25" s="168"/>
      <c r="M25" s="414"/>
      <c r="N25" s="46"/>
      <c r="O25" s="164"/>
      <c r="P25" s="165"/>
      <c r="Q25" s="165"/>
      <c r="R25" s="165"/>
      <c r="S25" s="165"/>
      <c r="T25" s="89"/>
      <c r="U25" s="89"/>
      <c r="V25" s="89">
        <f t="shared" si="63"/>
        <v>0</v>
      </c>
      <c r="W25" s="137"/>
      <c r="X25" s="137"/>
      <c r="Y25" s="90">
        <f t="shared" si="64"/>
        <v>0</v>
      </c>
      <c r="Z25" s="169"/>
      <c r="AA25" s="92"/>
      <c r="AB25" s="92"/>
      <c r="AC25" s="92">
        <f t="shared" si="65"/>
        <v>0</v>
      </c>
      <c r="AD25" s="93"/>
      <c r="AE25" s="93"/>
      <c r="AF25" s="94">
        <f t="shared" si="66"/>
        <v>0</v>
      </c>
      <c r="AG25" s="475"/>
      <c r="AH25" s="99"/>
      <c r="AI25" s="99">
        <f t="shared" si="67"/>
        <v>0</v>
      </c>
      <c r="AJ25" s="138"/>
      <c r="AK25" s="100">
        <f>AJ25/15</f>
        <v>0</v>
      </c>
      <c r="AL25" s="101">
        <f>SUM(AK25:AK29)</f>
        <v>0</v>
      </c>
      <c r="AM25" s="100"/>
      <c r="AN25" s="100">
        <f t="shared" ref="AN25:AN29" si="73">AM25/15</f>
        <v>0</v>
      </c>
      <c r="AO25" s="101">
        <f>SUM(AN25:AN29)</f>
        <v>11</v>
      </c>
      <c r="AP25" s="100"/>
      <c r="AQ25" s="100">
        <f t="shared" si="25"/>
        <v>0</v>
      </c>
      <c r="AR25" s="101">
        <f>SUM(AQ25:AQ29)</f>
        <v>13</v>
      </c>
      <c r="AS25" s="97">
        <f t="shared" si="48"/>
        <v>0</v>
      </c>
      <c r="AT25" s="98">
        <f>SUM(AS25:AS29)</f>
        <v>24</v>
      </c>
      <c r="AU25" s="100"/>
      <c r="AV25" s="455">
        <f t="shared" si="26"/>
        <v>0</v>
      </c>
      <c r="AW25" s="515">
        <f>SUM(AV25:AV29)</f>
        <v>0</v>
      </c>
      <c r="AX25" s="438"/>
      <c r="AY25" s="498"/>
      <c r="AZ25" s="100">
        <f>AY25/15</f>
        <v>0</v>
      </c>
      <c r="BA25" s="101">
        <f>SUM(AZ25:AZ29)</f>
        <v>0</v>
      </c>
      <c r="BB25" s="100"/>
      <c r="BC25" s="100">
        <f t="shared" ref="BC25:BC29" si="74">BB25/15</f>
        <v>0</v>
      </c>
      <c r="BD25" s="101">
        <f>SUM(BC25:BC29)</f>
        <v>0</v>
      </c>
      <c r="BE25" s="105">
        <f>AK25+AZ25</f>
        <v>0</v>
      </c>
      <c r="BF25" s="101">
        <f>SUM(BE25:BE29)</f>
        <v>0</v>
      </c>
      <c r="BG25" s="100">
        <f t="shared" si="50"/>
        <v>0</v>
      </c>
      <c r="BH25" s="101">
        <f>SUM(BG25:BG29)</f>
        <v>24</v>
      </c>
      <c r="BI25" s="100">
        <f t="shared" si="51"/>
        <v>0</v>
      </c>
      <c r="BJ25" s="101">
        <f>SUM(BI25:BI29)</f>
        <v>0</v>
      </c>
      <c r="BK25" s="101">
        <f t="shared" si="28"/>
        <v>0</v>
      </c>
      <c r="BL25" s="101">
        <f>SUM(BK25:BK29)</f>
        <v>24</v>
      </c>
      <c r="BM25" s="104"/>
      <c r="BN25" s="104">
        <f t="shared" si="70"/>
        <v>0</v>
      </c>
      <c r="BO25" s="105"/>
      <c r="BP25" s="105">
        <f t="shared" si="29"/>
        <v>0</v>
      </c>
      <c r="BQ25" s="101">
        <f>SUM(BP25:BP29)</f>
        <v>0</v>
      </c>
      <c r="BR25" s="100"/>
      <c r="BS25" s="100">
        <f t="shared" si="30"/>
        <v>0</v>
      </c>
      <c r="BT25" s="101">
        <f>SUM(BS25:BS29)</f>
        <v>26</v>
      </c>
      <c r="BU25" s="102"/>
      <c r="BV25" s="102">
        <f t="shared" ref="BV25:BV29" si="75">BU25/50</f>
        <v>0</v>
      </c>
      <c r="BW25" s="103">
        <f>SUM(BV25:BV29)</f>
        <v>0</v>
      </c>
      <c r="BX25" s="350">
        <f t="shared" si="19"/>
        <v>0</v>
      </c>
      <c r="BY25" s="305">
        <f>SUM(BX25:BX29)</f>
        <v>26</v>
      </c>
      <c r="BZ25" s="305">
        <f t="shared" si="54"/>
        <v>0</v>
      </c>
      <c r="CA25" s="438"/>
      <c r="CB25" s="165"/>
      <c r="CC25" s="165"/>
      <c r="CD25" s="165"/>
      <c r="CE25" s="497"/>
      <c r="CF25" s="100"/>
      <c r="CG25" s="100">
        <f t="shared" si="32"/>
        <v>0</v>
      </c>
      <c r="CH25" s="100"/>
      <c r="CI25" s="100"/>
      <c r="CJ25" s="100">
        <f t="shared" si="33"/>
        <v>0</v>
      </c>
      <c r="CK25" s="523">
        <v>75</v>
      </c>
      <c r="CL25" s="102">
        <f t="shared" ref="CL25:CL29" si="76">CK25/15</f>
        <v>5</v>
      </c>
      <c r="CM25" s="103">
        <f>SUM(CL25:CL29)</f>
        <v>5</v>
      </c>
      <c r="CN25" s="100"/>
      <c r="CO25" s="100">
        <f t="shared" si="35"/>
        <v>0</v>
      </c>
      <c r="CP25" s="515">
        <f>SUM(CO25:CO29)</f>
        <v>0</v>
      </c>
      <c r="CQ25" s="441"/>
      <c r="CR25" s="497"/>
      <c r="CS25" s="100"/>
      <c r="CT25" s="100">
        <f t="shared" si="36"/>
        <v>0</v>
      </c>
      <c r="CU25" s="100"/>
      <c r="CV25" s="100"/>
      <c r="CW25" s="100">
        <f t="shared" si="37"/>
        <v>0</v>
      </c>
      <c r="CX25" s="102"/>
      <c r="CY25" s="109">
        <f t="shared" si="38"/>
        <v>0</v>
      </c>
      <c r="CZ25" s="103">
        <f>SUM(CY25:CY29)</f>
        <v>0</v>
      </c>
      <c r="DA25" s="100"/>
      <c r="DB25" s="455">
        <f t="shared" si="39"/>
        <v>0</v>
      </c>
      <c r="DC25" s="495">
        <f>SUM(DB25:DB29)</f>
        <v>4</v>
      </c>
      <c r="DD25" s="25"/>
      <c r="DF25" s="1133"/>
      <c r="DG25" s="674">
        <f t="shared" si="15"/>
        <v>0</v>
      </c>
      <c r="DH25" s="1119">
        <f t="shared" si="16"/>
        <v>5</v>
      </c>
      <c r="DI25" s="1119"/>
      <c r="DJ25" s="101">
        <f t="shared" si="17"/>
        <v>9</v>
      </c>
      <c r="DK25" s="101">
        <f>SUM(DJ25:DJ29)</f>
        <v>33</v>
      </c>
      <c r="DL25" s="101">
        <f t="shared" si="18"/>
        <v>0</v>
      </c>
      <c r="DM25" s="101"/>
      <c r="DN25" s="112"/>
      <c r="DO25" s="112"/>
      <c r="DP25" s="112"/>
      <c r="DQ25" s="112"/>
    </row>
    <row r="26" spans="1:130" ht="21.75" customHeight="1" x14ac:dyDescent="0.25">
      <c r="A26" s="4" t="s">
        <v>9</v>
      </c>
      <c r="B26" s="4">
        <v>2</v>
      </c>
      <c r="C26" s="166" t="s">
        <v>17</v>
      </c>
      <c r="D26" s="167"/>
      <c r="E26" s="1" t="s">
        <v>19</v>
      </c>
      <c r="F26" s="162">
        <v>25</v>
      </c>
      <c r="G26" s="162">
        <v>5</v>
      </c>
      <c r="H26" s="162">
        <f t="shared" si="61"/>
        <v>30</v>
      </c>
      <c r="I26" s="162"/>
      <c r="J26" s="162">
        <v>10.35</v>
      </c>
      <c r="K26" s="162">
        <f t="shared" si="62"/>
        <v>10.35</v>
      </c>
      <c r="L26" s="168"/>
      <c r="M26" s="414"/>
      <c r="N26" s="46"/>
      <c r="O26" s="164"/>
      <c r="P26" s="165"/>
      <c r="Q26" s="165"/>
      <c r="R26" s="165"/>
      <c r="S26" s="165"/>
      <c r="T26" s="89"/>
      <c r="U26" s="89"/>
      <c r="V26" s="89">
        <f t="shared" si="63"/>
        <v>0</v>
      </c>
      <c r="W26" s="137"/>
      <c r="X26" s="137"/>
      <c r="Y26" s="90">
        <f t="shared" si="64"/>
        <v>0</v>
      </c>
      <c r="Z26" s="169"/>
      <c r="AA26" s="92"/>
      <c r="AB26" s="92"/>
      <c r="AC26" s="92">
        <f t="shared" si="65"/>
        <v>0</v>
      </c>
      <c r="AD26" s="93"/>
      <c r="AE26" s="93"/>
      <c r="AF26" s="94">
        <f t="shared" si="66"/>
        <v>0</v>
      </c>
      <c r="AG26" s="475"/>
      <c r="AH26" s="99"/>
      <c r="AI26" s="99">
        <f t="shared" si="67"/>
        <v>0</v>
      </c>
      <c r="AJ26" s="138"/>
      <c r="AK26" s="100">
        <f>AJ26/15</f>
        <v>0</v>
      </c>
      <c r="AL26" s="101"/>
      <c r="AM26" s="100"/>
      <c r="AN26" s="100">
        <f t="shared" si="73"/>
        <v>0</v>
      </c>
      <c r="AO26" s="101"/>
      <c r="AP26" s="105"/>
      <c r="AQ26" s="105">
        <f t="shared" si="25"/>
        <v>0</v>
      </c>
      <c r="AR26" s="106"/>
      <c r="AS26" s="97">
        <f t="shared" si="48"/>
        <v>0</v>
      </c>
      <c r="AT26" s="98"/>
      <c r="AU26" s="105"/>
      <c r="AV26" s="455">
        <f t="shared" si="26"/>
        <v>0</v>
      </c>
      <c r="AW26" s="496"/>
      <c r="AX26" s="508"/>
      <c r="AY26" s="498"/>
      <c r="AZ26" s="100">
        <f>AY26/15</f>
        <v>0</v>
      </c>
      <c r="BA26" s="101"/>
      <c r="BB26" s="100"/>
      <c r="BC26" s="100">
        <f t="shared" si="74"/>
        <v>0</v>
      </c>
      <c r="BD26" s="101"/>
      <c r="BE26" s="105">
        <f>AK26+AZ26</f>
        <v>0</v>
      </c>
      <c r="BF26" s="106"/>
      <c r="BG26" s="100">
        <f t="shared" si="50"/>
        <v>0</v>
      </c>
      <c r="BH26" s="106"/>
      <c r="BI26" s="100">
        <f t="shared" si="51"/>
        <v>0</v>
      </c>
      <c r="BJ26" s="106"/>
      <c r="BK26" s="101">
        <f t="shared" si="28"/>
        <v>0</v>
      </c>
      <c r="BL26" s="106"/>
      <c r="BM26" s="104"/>
      <c r="BN26" s="104">
        <f t="shared" si="70"/>
        <v>0</v>
      </c>
      <c r="BO26" s="105"/>
      <c r="BP26" s="105">
        <f t="shared" si="29"/>
        <v>0</v>
      </c>
      <c r="BQ26" s="106"/>
      <c r="BR26" s="105"/>
      <c r="BS26" s="105">
        <f t="shared" si="30"/>
        <v>0</v>
      </c>
      <c r="BT26" s="106"/>
      <c r="BU26" s="53"/>
      <c r="BV26" s="53">
        <f t="shared" si="75"/>
        <v>0</v>
      </c>
      <c r="BW26" s="54"/>
      <c r="BX26" s="350">
        <f t="shared" si="19"/>
        <v>0</v>
      </c>
      <c r="BY26" s="211"/>
      <c r="BZ26" s="211">
        <f t="shared" si="54"/>
        <v>0</v>
      </c>
      <c r="CA26" s="508"/>
      <c r="CB26" s="165"/>
      <c r="CC26" s="165"/>
      <c r="CD26" s="165"/>
      <c r="CE26" s="504"/>
      <c r="CF26" s="105"/>
      <c r="CG26" s="105">
        <f t="shared" si="32"/>
        <v>0</v>
      </c>
      <c r="CH26" s="105"/>
      <c r="CI26" s="105"/>
      <c r="CJ26" s="105">
        <f t="shared" si="33"/>
        <v>0</v>
      </c>
      <c r="CK26" s="523"/>
      <c r="CL26" s="102">
        <f t="shared" si="76"/>
        <v>0</v>
      </c>
      <c r="CM26" s="103"/>
      <c r="CN26" s="100"/>
      <c r="CO26" s="100">
        <f t="shared" si="35"/>
        <v>0</v>
      </c>
      <c r="CP26" s="515"/>
      <c r="CQ26" s="441"/>
      <c r="CR26" s="504"/>
      <c r="CS26" s="105"/>
      <c r="CT26" s="105">
        <f t="shared" si="36"/>
        <v>0</v>
      </c>
      <c r="CU26" s="105"/>
      <c r="CV26" s="105"/>
      <c r="CW26" s="105">
        <f t="shared" si="37"/>
        <v>0</v>
      </c>
      <c r="CX26" s="53"/>
      <c r="CY26" s="109">
        <f t="shared" si="38"/>
        <v>0</v>
      </c>
      <c r="CZ26" s="54"/>
      <c r="DA26" s="105"/>
      <c r="DB26" s="455">
        <f t="shared" si="39"/>
        <v>0</v>
      </c>
      <c r="DC26" s="495"/>
      <c r="DD26" s="25"/>
      <c r="DF26" s="1133"/>
      <c r="DG26" s="674">
        <f t="shared" si="15"/>
        <v>0</v>
      </c>
      <c r="DH26" s="1119">
        <f t="shared" si="16"/>
        <v>0</v>
      </c>
      <c r="DI26" s="1119"/>
      <c r="DJ26" s="101">
        <f t="shared" si="17"/>
        <v>0</v>
      </c>
      <c r="DK26" s="101"/>
      <c r="DL26" s="101">
        <f t="shared" si="18"/>
        <v>0</v>
      </c>
      <c r="DM26" s="101"/>
      <c r="DN26" s="112"/>
      <c r="DO26" s="112"/>
      <c r="DP26" s="112"/>
      <c r="DQ26" s="112"/>
    </row>
    <row r="27" spans="1:130" ht="21.6" customHeight="1" x14ac:dyDescent="0.25">
      <c r="A27" s="4" t="s">
        <v>9</v>
      </c>
      <c r="B27" s="4">
        <v>3</v>
      </c>
      <c r="C27" s="174" t="s">
        <v>17</v>
      </c>
      <c r="D27" s="171" t="s">
        <v>431</v>
      </c>
      <c r="E27" s="1" t="s">
        <v>20</v>
      </c>
      <c r="F27" s="162">
        <v>50</v>
      </c>
      <c r="G27" s="162">
        <v>14</v>
      </c>
      <c r="H27" s="162">
        <f t="shared" si="61"/>
        <v>64</v>
      </c>
      <c r="I27" s="162"/>
      <c r="J27" s="162">
        <v>35.4</v>
      </c>
      <c r="K27" s="162">
        <f t="shared" si="62"/>
        <v>35.4</v>
      </c>
      <c r="L27" s="168"/>
      <c r="M27" s="414"/>
      <c r="N27" s="46"/>
      <c r="O27" s="164"/>
      <c r="P27" s="165"/>
      <c r="Q27" s="165"/>
      <c r="R27" s="165"/>
      <c r="S27" s="165"/>
      <c r="T27" s="89"/>
      <c r="U27" s="89"/>
      <c r="V27" s="89">
        <f t="shared" si="63"/>
        <v>0</v>
      </c>
      <c r="W27" s="137"/>
      <c r="X27" s="137"/>
      <c r="Y27" s="90">
        <f t="shared" si="64"/>
        <v>0</v>
      </c>
      <c r="Z27" s="169"/>
      <c r="AA27" s="92"/>
      <c r="AB27" s="92"/>
      <c r="AC27" s="92">
        <f t="shared" si="65"/>
        <v>0</v>
      </c>
      <c r="AD27" s="93"/>
      <c r="AE27" s="93"/>
      <c r="AF27" s="94">
        <f t="shared" si="66"/>
        <v>0</v>
      </c>
      <c r="AG27" s="475"/>
      <c r="AH27" s="99"/>
      <c r="AI27" s="99">
        <f t="shared" si="67"/>
        <v>0</v>
      </c>
      <c r="AJ27" s="138"/>
      <c r="AK27" s="100">
        <f>AJ27/15</f>
        <v>0</v>
      </c>
      <c r="AL27" s="101"/>
      <c r="AM27" s="100"/>
      <c r="AN27" s="100">
        <f t="shared" si="73"/>
        <v>0</v>
      </c>
      <c r="AO27" s="101"/>
      <c r="AP27" s="105">
        <v>60</v>
      </c>
      <c r="AQ27" s="105">
        <f t="shared" si="25"/>
        <v>4</v>
      </c>
      <c r="AR27" s="106"/>
      <c r="AS27" s="97">
        <f t="shared" si="48"/>
        <v>4</v>
      </c>
      <c r="AT27" s="98"/>
      <c r="AU27" s="105"/>
      <c r="AV27" s="455">
        <f t="shared" si="26"/>
        <v>0</v>
      </c>
      <c r="AW27" s="496"/>
      <c r="AX27" s="508"/>
      <c r="AY27" s="498"/>
      <c r="AZ27" s="100">
        <f>AY27/15</f>
        <v>0</v>
      </c>
      <c r="BA27" s="101"/>
      <c r="BB27" s="100"/>
      <c r="BC27" s="100">
        <f t="shared" si="74"/>
        <v>0</v>
      </c>
      <c r="BD27" s="101"/>
      <c r="BE27" s="105">
        <f>AK27+AZ27</f>
        <v>0</v>
      </c>
      <c r="BF27" s="106"/>
      <c r="BG27" s="100">
        <f t="shared" si="50"/>
        <v>4</v>
      </c>
      <c r="BH27" s="106"/>
      <c r="BI27" s="100">
        <f t="shared" si="51"/>
        <v>0</v>
      </c>
      <c r="BJ27" s="106"/>
      <c r="BK27" s="101">
        <f t="shared" si="28"/>
        <v>4</v>
      </c>
      <c r="BL27" s="106"/>
      <c r="BM27" s="104"/>
      <c r="BN27" s="104">
        <f t="shared" si="70"/>
        <v>0</v>
      </c>
      <c r="BO27" s="105"/>
      <c r="BP27" s="105">
        <f t="shared" si="29"/>
        <v>0</v>
      </c>
      <c r="BQ27" s="106"/>
      <c r="BR27" s="105">
        <v>200</v>
      </c>
      <c r="BS27" s="105">
        <f t="shared" si="30"/>
        <v>4</v>
      </c>
      <c r="BT27" s="106"/>
      <c r="BU27" s="53"/>
      <c r="BV27" s="53">
        <f t="shared" si="75"/>
        <v>0</v>
      </c>
      <c r="BW27" s="54"/>
      <c r="BX27" s="350">
        <f t="shared" si="19"/>
        <v>4</v>
      </c>
      <c r="BY27" s="211"/>
      <c r="BZ27" s="211">
        <f t="shared" si="54"/>
        <v>0</v>
      </c>
      <c r="CA27" s="508"/>
      <c r="CB27" s="165"/>
      <c r="CC27" s="165"/>
      <c r="CD27" s="165"/>
      <c r="CE27" s="504"/>
      <c r="CF27" s="105"/>
      <c r="CG27" s="105">
        <f t="shared" si="32"/>
        <v>0</v>
      </c>
      <c r="CH27" s="105"/>
      <c r="CI27" s="105"/>
      <c r="CJ27" s="105">
        <f t="shared" si="33"/>
        <v>0</v>
      </c>
      <c r="CK27" s="523"/>
      <c r="CL27" s="102">
        <f t="shared" si="76"/>
        <v>0</v>
      </c>
      <c r="CM27" s="103"/>
      <c r="CN27" s="100"/>
      <c r="CO27" s="100">
        <f t="shared" si="35"/>
        <v>0</v>
      </c>
      <c r="CP27" s="515"/>
      <c r="CQ27" s="441"/>
      <c r="CR27" s="504"/>
      <c r="CS27" s="105"/>
      <c r="CT27" s="105">
        <f t="shared" si="36"/>
        <v>0</v>
      </c>
      <c r="CU27" s="105"/>
      <c r="CV27" s="105"/>
      <c r="CW27" s="105">
        <f t="shared" si="37"/>
        <v>0</v>
      </c>
      <c r="CX27" s="53"/>
      <c r="CY27" s="109">
        <f t="shared" si="38"/>
        <v>0</v>
      </c>
      <c r="CZ27" s="54"/>
      <c r="DA27" s="105"/>
      <c r="DB27" s="455">
        <f t="shared" si="39"/>
        <v>0</v>
      </c>
      <c r="DC27" s="495"/>
      <c r="DD27" s="25"/>
      <c r="DF27" s="1133"/>
      <c r="DG27" s="674">
        <f t="shared" si="15"/>
        <v>0</v>
      </c>
      <c r="DH27" s="1119">
        <f t="shared" si="16"/>
        <v>0</v>
      </c>
      <c r="DI27" s="1119"/>
      <c r="DJ27" s="101">
        <f t="shared" si="17"/>
        <v>4</v>
      </c>
      <c r="DK27" s="101"/>
      <c r="DL27" s="101">
        <f t="shared" si="18"/>
        <v>0</v>
      </c>
      <c r="DM27" s="101"/>
      <c r="DN27" s="112"/>
      <c r="DO27" s="112"/>
      <c r="DP27" s="112"/>
      <c r="DQ27" s="112"/>
    </row>
    <row r="28" spans="1:130" ht="21.6" customHeight="1" x14ac:dyDescent="0.25">
      <c r="A28" s="4" t="s">
        <v>9</v>
      </c>
      <c r="B28" s="4">
        <v>4</v>
      </c>
      <c r="C28" s="166" t="s">
        <v>17</v>
      </c>
      <c r="D28" s="167" t="s">
        <v>431</v>
      </c>
      <c r="E28" s="1" t="s">
        <v>21</v>
      </c>
      <c r="F28" s="162">
        <v>56</v>
      </c>
      <c r="G28" s="162">
        <v>7</v>
      </c>
      <c r="H28" s="162">
        <f t="shared" si="61"/>
        <v>63</v>
      </c>
      <c r="I28" s="162"/>
      <c r="J28" s="162">
        <v>28.75</v>
      </c>
      <c r="K28" s="162">
        <f t="shared" si="62"/>
        <v>28.75</v>
      </c>
      <c r="L28" s="168"/>
      <c r="M28" s="414"/>
      <c r="N28" s="46"/>
      <c r="O28" s="164"/>
      <c r="P28" s="165"/>
      <c r="Q28" s="165"/>
      <c r="R28" s="165"/>
      <c r="S28" s="165"/>
      <c r="T28" s="89"/>
      <c r="U28" s="89"/>
      <c r="V28" s="89">
        <f t="shared" si="63"/>
        <v>0</v>
      </c>
      <c r="W28" s="137"/>
      <c r="X28" s="137"/>
      <c r="Y28" s="90">
        <f t="shared" si="64"/>
        <v>0</v>
      </c>
      <c r="Z28" s="169"/>
      <c r="AA28" s="92"/>
      <c r="AB28" s="92"/>
      <c r="AC28" s="92">
        <f t="shared" si="65"/>
        <v>0</v>
      </c>
      <c r="AD28" s="93"/>
      <c r="AE28" s="93"/>
      <c r="AF28" s="94">
        <f t="shared" si="66"/>
        <v>0</v>
      </c>
      <c r="AG28" s="475"/>
      <c r="AH28" s="99"/>
      <c r="AI28" s="99">
        <f t="shared" si="67"/>
        <v>0</v>
      </c>
      <c r="AJ28" s="138"/>
      <c r="AK28" s="100">
        <f>AJ28/15</f>
        <v>0</v>
      </c>
      <c r="AL28" s="101"/>
      <c r="AM28" s="100"/>
      <c r="AN28" s="100">
        <f t="shared" si="73"/>
        <v>0</v>
      </c>
      <c r="AO28" s="101"/>
      <c r="AP28" s="105">
        <v>135</v>
      </c>
      <c r="AQ28" s="105">
        <f t="shared" si="25"/>
        <v>9</v>
      </c>
      <c r="AR28" s="106"/>
      <c r="AS28" s="97">
        <f t="shared" si="48"/>
        <v>9</v>
      </c>
      <c r="AT28" s="98"/>
      <c r="AU28" s="105"/>
      <c r="AV28" s="455">
        <f t="shared" si="26"/>
        <v>0</v>
      </c>
      <c r="AW28" s="496"/>
      <c r="AX28" s="508"/>
      <c r="AY28" s="498"/>
      <c r="AZ28" s="100">
        <f>AY28/15</f>
        <v>0</v>
      </c>
      <c r="BA28" s="101"/>
      <c r="BB28" s="100"/>
      <c r="BC28" s="100">
        <f t="shared" si="74"/>
        <v>0</v>
      </c>
      <c r="BD28" s="101"/>
      <c r="BE28" s="105">
        <f>AK28+AZ28</f>
        <v>0</v>
      </c>
      <c r="BF28" s="106"/>
      <c r="BG28" s="100">
        <f t="shared" si="50"/>
        <v>9</v>
      </c>
      <c r="BH28" s="106"/>
      <c r="BI28" s="100">
        <f t="shared" si="51"/>
        <v>0</v>
      </c>
      <c r="BJ28" s="106"/>
      <c r="BK28" s="101">
        <f t="shared" si="28"/>
        <v>9</v>
      </c>
      <c r="BL28" s="106"/>
      <c r="BM28" s="104"/>
      <c r="BN28" s="104">
        <f t="shared" si="70"/>
        <v>0</v>
      </c>
      <c r="BO28" s="105"/>
      <c r="BP28" s="105">
        <f t="shared" si="29"/>
        <v>0</v>
      </c>
      <c r="BQ28" s="106"/>
      <c r="BR28" s="105">
        <v>550</v>
      </c>
      <c r="BS28" s="105">
        <f t="shared" si="30"/>
        <v>11</v>
      </c>
      <c r="BT28" s="106"/>
      <c r="BU28" s="53"/>
      <c r="BV28" s="53">
        <f t="shared" si="75"/>
        <v>0</v>
      </c>
      <c r="BW28" s="54"/>
      <c r="BX28" s="350">
        <f t="shared" si="19"/>
        <v>11</v>
      </c>
      <c r="BY28" s="211"/>
      <c r="BZ28" s="211">
        <f t="shared" si="54"/>
        <v>-2</v>
      </c>
      <c r="CA28" s="508"/>
      <c r="CB28" s="165"/>
      <c r="CC28" s="165"/>
      <c r="CD28" s="165"/>
      <c r="CE28" s="504"/>
      <c r="CF28" s="105"/>
      <c r="CG28" s="105">
        <f t="shared" si="32"/>
        <v>0</v>
      </c>
      <c r="CH28" s="105"/>
      <c r="CI28" s="105"/>
      <c r="CJ28" s="105">
        <f t="shared" si="33"/>
        <v>0</v>
      </c>
      <c r="CK28" s="523"/>
      <c r="CL28" s="102">
        <f t="shared" si="76"/>
        <v>0</v>
      </c>
      <c r="CM28" s="103"/>
      <c r="CN28" s="100"/>
      <c r="CO28" s="100">
        <f t="shared" si="35"/>
        <v>0</v>
      </c>
      <c r="CP28" s="515"/>
      <c r="CQ28" s="441"/>
      <c r="CR28" s="504"/>
      <c r="CS28" s="105"/>
      <c r="CT28" s="105">
        <f t="shared" si="36"/>
        <v>0</v>
      </c>
      <c r="CU28" s="105"/>
      <c r="CV28" s="105"/>
      <c r="CW28" s="105">
        <f t="shared" si="37"/>
        <v>0</v>
      </c>
      <c r="CX28" s="53"/>
      <c r="CY28" s="109">
        <f t="shared" si="38"/>
        <v>0</v>
      </c>
      <c r="CZ28" s="54"/>
      <c r="DA28" s="105">
        <v>60</v>
      </c>
      <c r="DB28" s="455">
        <f t="shared" si="39"/>
        <v>4</v>
      </c>
      <c r="DC28" s="495"/>
      <c r="DD28" s="25"/>
      <c r="DF28" s="1133"/>
      <c r="DG28" s="674">
        <f t="shared" si="15"/>
        <v>4</v>
      </c>
      <c r="DH28" s="1119">
        <f t="shared" si="16"/>
        <v>0</v>
      </c>
      <c r="DI28" s="1119"/>
      <c r="DJ28" s="101">
        <f t="shared" si="17"/>
        <v>9</v>
      </c>
      <c r="DK28" s="101"/>
      <c r="DL28" s="101">
        <f t="shared" si="18"/>
        <v>0</v>
      </c>
      <c r="DM28" s="101"/>
      <c r="DN28" s="112"/>
      <c r="DO28" s="112"/>
      <c r="DP28" s="112"/>
      <c r="DQ28" s="112"/>
    </row>
    <row r="29" spans="1:130" ht="21.6" customHeight="1" x14ac:dyDescent="0.25">
      <c r="A29" s="4" t="s">
        <v>9</v>
      </c>
      <c r="B29" s="4">
        <v>5</v>
      </c>
      <c r="C29" s="174" t="s">
        <v>17</v>
      </c>
      <c r="D29" s="171" t="s">
        <v>431</v>
      </c>
      <c r="E29" s="1" t="s">
        <v>22</v>
      </c>
      <c r="F29" s="162">
        <v>63</v>
      </c>
      <c r="G29" s="162">
        <v>10</v>
      </c>
      <c r="H29" s="162">
        <f t="shared" si="61"/>
        <v>73</v>
      </c>
      <c r="I29" s="162"/>
      <c r="J29" s="162">
        <v>37.08</v>
      </c>
      <c r="K29" s="162">
        <f t="shared" si="62"/>
        <v>37.08</v>
      </c>
      <c r="L29" s="168"/>
      <c r="M29" s="414"/>
      <c r="N29" s="46"/>
      <c r="O29" s="164"/>
      <c r="P29" s="165"/>
      <c r="Q29" s="165"/>
      <c r="R29" s="165"/>
      <c r="S29" s="165"/>
      <c r="T29" s="89"/>
      <c r="U29" s="89"/>
      <c r="V29" s="89">
        <f t="shared" si="63"/>
        <v>0</v>
      </c>
      <c r="W29" s="137"/>
      <c r="X29" s="137"/>
      <c r="Y29" s="90">
        <f t="shared" si="64"/>
        <v>0</v>
      </c>
      <c r="Z29" s="169"/>
      <c r="AA29" s="92"/>
      <c r="AB29" s="92"/>
      <c r="AC29" s="92">
        <f t="shared" si="65"/>
        <v>0</v>
      </c>
      <c r="AD29" s="93"/>
      <c r="AE29" s="93"/>
      <c r="AF29" s="94">
        <f t="shared" si="66"/>
        <v>0</v>
      </c>
      <c r="AG29" s="475"/>
      <c r="AH29" s="99"/>
      <c r="AI29" s="99">
        <f t="shared" si="67"/>
        <v>0</v>
      </c>
      <c r="AJ29" s="138"/>
      <c r="AK29" s="100">
        <f>AJ29/15</f>
        <v>0</v>
      </c>
      <c r="AL29" s="101"/>
      <c r="AM29" s="100">
        <v>165</v>
      </c>
      <c r="AN29" s="100">
        <f t="shared" si="73"/>
        <v>11</v>
      </c>
      <c r="AO29" s="101"/>
      <c r="AP29" s="105"/>
      <c r="AQ29" s="105">
        <f t="shared" si="25"/>
        <v>0</v>
      </c>
      <c r="AR29" s="106"/>
      <c r="AS29" s="97">
        <f t="shared" si="48"/>
        <v>11</v>
      </c>
      <c r="AT29" s="98"/>
      <c r="AU29" s="105"/>
      <c r="AV29" s="455">
        <f t="shared" si="26"/>
        <v>0</v>
      </c>
      <c r="AW29" s="496"/>
      <c r="AX29" s="508"/>
      <c r="AY29" s="498"/>
      <c r="AZ29" s="100">
        <f>AY29/15</f>
        <v>0</v>
      </c>
      <c r="BA29" s="101"/>
      <c r="BB29" s="100"/>
      <c r="BC29" s="100">
        <f t="shared" si="74"/>
        <v>0</v>
      </c>
      <c r="BD29" s="101"/>
      <c r="BE29" s="105">
        <f>AK29+AZ29</f>
        <v>0</v>
      </c>
      <c r="BF29" s="106"/>
      <c r="BG29" s="100">
        <f t="shared" si="50"/>
        <v>11</v>
      </c>
      <c r="BH29" s="106"/>
      <c r="BI29" s="100">
        <f t="shared" si="51"/>
        <v>0</v>
      </c>
      <c r="BJ29" s="106"/>
      <c r="BK29" s="101">
        <f t="shared" si="28"/>
        <v>11</v>
      </c>
      <c r="BL29" s="106"/>
      <c r="BM29" s="104"/>
      <c r="BN29" s="104">
        <f t="shared" si="70"/>
        <v>0</v>
      </c>
      <c r="BO29" s="105"/>
      <c r="BP29" s="105">
        <f t="shared" si="29"/>
        <v>0</v>
      </c>
      <c r="BQ29" s="106"/>
      <c r="BR29" s="105">
        <v>550</v>
      </c>
      <c r="BS29" s="105">
        <f t="shared" si="30"/>
        <v>11</v>
      </c>
      <c r="BT29" s="106"/>
      <c r="BU29" s="53"/>
      <c r="BV29" s="53">
        <f t="shared" si="75"/>
        <v>0</v>
      </c>
      <c r="BW29" s="54"/>
      <c r="BX29" s="350">
        <f t="shared" si="19"/>
        <v>11</v>
      </c>
      <c r="BY29" s="211"/>
      <c r="BZ29" s="211">
        <f t="shared" si="54"/>
        <v>0</v>
      </c>
      <c r="CA29" s="508"/>
      <c r="CB29" s="165"/>
      <c r="CC29" s="165"/>
      <c r="CD29" s="165"/>
      <c r="CE29" s="504"/>
      <c r="CF29" s="105"/>
      <c r="CG29" s="105">
        <f t="shared" si="32"/>
        <v>0</v>
      </c>
      <c r="CH29" s="105"/>
      <c r="CI29" s="105"/>
      <c r="CJ29" s="105">
        <f t="shared" si="33"/>
        <v>0</v>
      </c>
      <c r="CK29" s="523"/>
      <c r="CL29" s="102">
        <f t="shared" si="76"/>
        <v>0</v>
      </c>
      <c r="CM29" s="103"/>
      <c r="CN29" s="100"/>
      <c r="CO29" s="100">
        <f t="shared" si="35"/>
        <v>0</v>
      </c>
      <c r="CP29" s="515"/>
      <c r="CQ29" s="441"/>
      <c r="CR29" s="504"/>
      <c r="CS29" s="105"/>
      <c r="CT29" s="105">
        <f t="shared" si="36"/>
        <v>0</v>
      </c>
      <c r="CU29" s="105"/>
      <c r="CV29" s="105"/>
      <c r="CW29" s="105">
        <f t="shared" si="37"/>
        <v>0</v>
      </c>
      <c r="CX29" s="53"/>
      <c r="CY29" s="109">
        <f t="shared" si="38"/>
        <v>0</v>
      </c>
      <c r="CZ29" s="54"/>
      <c r="DA29" s="105"/>
      <c r="DB29" s="455">
        <f t="shared" si="39"/>
        <v>0</v>
      </c>
      <c r="DC29" s="495"/>
      <c r="DD29" s="25"/>
      <c r="DF29" s="1133"/>
      <c r="DG29" s="674">
        <f t="shared" si="15"/>
        <v>0</v>
      </c>
      <c r="DH29" s="1119">
        <f t="shared" si="16"/>
        <v>0</v>
      </c>
      <c r="DI29" s="1119"/>
      <c r="DJ29" s="101">
        <f t="shared" si="17"/>
        <v>11</v>
      </c>
      <c r="DK29" s="101"/>
      <c r="DL29" s="101">
        <f t="shared" si="18"/>
        <v>0</v>
      </c>
      <c r="DM29" s="101"/>
      <c r="DN29" s="112"/>
      <c r="DO29" s="112"/>
      <c r="DP29" s="112"/>
      <c r="DQ29" s="112"/>
    </row>
    <row r="30" spans="1:130" s="151" customFormat="1" ht="21.6" customHeight="1" x14ac:dyDescent="0.25">
      <c r="A30" s="141"/>
      <c r="B30" s="141"/>
      <c r="C30" s="172"/>
      <c r="D30" s="173"/>
      <c r="E30" s="22"/>
      <c r="F30" s="144"/>
      <c r="G30" s="144"/>
      <c r="H30" s="144"/>
      <c r="I30" s="144"/>
      <c r="J30" s="144"/>
      <c r="K30" s="144"/>
      <c r="L30" s="145"/>
      <c r="M30" s="146"/>
      <c r="N30" s="147"/>
      <c r="O30" s="131"/>
      <c r="P30" s="148"/>
      <c r="Q30" s="148"/>
      <c r="R30" s="148"/>
      <c r="S30" s="148"/>
      <c r="T30" s="123"/>
      <c r="U30" s="123"/>
      <c r="V30" s="123"/>
      <c r="W30" s="149"/>
      <c r="X30" s="149"/>
      <c r="Y30" s="124"/>
      <c r="Z30" s="125"/>
      <c r="AA30" s="123"/>
      <c r="AB30" s="123"/>
      <c r="AC30" s="123"/>
      <c r="AD30" s="124"/>
      <c r="AE30" s="124"/>
      <c r="AF30" s="126"/>
      <c r="AG30" s="474"/>
      <c r="AH30" s="129"/>
      <c r="AI30" s="129"/>
      <c r="AJ30" s="138"/>
      <c r="AK30" s="100"/>
      <c r="AL30" s="101"/>
      <c r="AM30" s="100"/>
      <c r="AN30" s="100"/>
      <c r="AO30" s="101"/>
      <c r="AP30" s="105"/>
      <c r="AQ30" s="105">
        <f t="shared" si="25"/>
        <v>0</v>
      </c>
      <c r="AR30" s="106"/>
      <c r="AS30" s="97">
        <f t="shared" si="48"/>
        <v>0</v>
      </c>
      <c r="AT30" s="98"/>
      <c r="AU30" s="105"/>
      <c r="AV30" s="455">
        <f t="shared" si="26"/>
        <v>0</v>
      </c>
      <c r="AW30" s="496"/>
      <c r="AX30" s="508"/>
      <c r="AY30" s="498"/>
      <c r="AZ30" s="100"/>
      <c r="BA30" s="101"/>
      <c r="BB30" s="100"/>
      <c r="BC30" s="100"/>
      <c r="BD30" s="101"/>
      <c r="BE30" s="105"/>
      <c r="BF30" s="106"/>
      <c r="BG30" s="100">
        <f t="shared" si="50"/>
        <v>0</v>
      </c>
      <c r="BH30" s="106"/>
      <c r="BI30" s="100">
        <f t="shared" si="51"/>
        <v>0</v>
      </c>
      <c r="BJ30" s="106"/>
      <c r="BK30" s="101">
        <f t="shared" si="28"/>
        <v>0</v>
      </c>
      <c r="BL30" s="106"/>
      <c r="BM30" s="130"/>
      <c r="BN30" s="130"/>
      <c r="BO30" s="105"/>
      <c r="BP30" s="105">
        <f t="shared" si="29"/>
        <v>0</v>
      </c>
      <c r="BQ30" s="106"/>
      <c r="BR30" s="105"/>
      <c r="BS30" s="105"/>
      <c r="BT30" s="106"/>
      <c r="BU30" s="53"/>
      <c r="BV30" s="53"/>
      <c r="BW30" s="54"/>
      <c r="BX30" s="350">
        <f t="shared" si="19"/>
        <v>0</v>
      </c>
      <c r="BY30" s="194"/>
      <c r="BZ30" s="194">
        <f t="shared" si="54"/>
        <v>0</v>
      </c>
      <c r="CA30" s="536"/>
      <c r="CB30" s="148"/>
      <c r="CC30" s="148"/>
      <c r="CD30" s="148"/>
      <c r="CE30" s="504"/>
      <c r="CF30" s="105"/>
      <c r="CG30" s="105">
        <f t="shared" si="32"/>
        <v>0</v>
      </c>
      <c r="CH30" s="105"/>
      <c r="CI30" s="105"/>
      <c r="CJ30" s="105">
        <f t="shared" si="33"/>
        <v>0</v>
      </c>
      <c r="CK30" s="523"/>
      <c r="CL30" s="102"/>
      <c r="CM30" s="103"/>
      <c r="CN30" s="100"/>
      <c r="CO30" s="100">
        <f t="shared" si="35"/>
        <v>0</v>
      </c>
      <c r="CP30" s="515"/>
      <c r="CQ30" s="441"/>
      <c r="CR30" s="504"/>
      <c r="CS30" s="105"/>
      <c r="CT30" s="105">
        <f t="shared" si="36"/>
        <v>0</v>
      </c>
      <c r="CU30" s="105"/>
      <c r="CV30" s="105"/>
      <c r="CW30" s="105">
        <f t="shared" si="37"/>
        <v>0</v>
      </c>
      <c r="CX30" s="53"/>
      <c r="CY30" s="109">
        <f t="shared" si="38"/>
        <v>0</v>
      </c>
      <c r="CZ30" s="54"/>
      <c r="DA30" s="105"/>
      <c r="DB30" s="455">
        <f t="shared" si="39"/>
        <v>0</v>
      </c>
      <c r="DC30" s="495"/>
      <c r="DD30" s="31"/>
      <c r="DF30" s="1133"/>
      <c r="DG30" s="674">
        <f t="shared" si="15"/>
        <v>0</v>
      </c>
      <c r="DH30" s="1119">
        <f t="shared" si="16"/>
        <v>0</v>
      </c>
      <c r="DI30" s="1119"/>
      <c r="DJ30" s="101">
        <f t="shared" si="17"/>
        <v>0</v>
      </c>
      <c r="DK30" s="101"/>
      <c r="DL30" s="101">
        <f t="shared" si="18"/>
        <v>0</v>
      </c>
      <c r="DM30" s="101"/>
      <c r="DN30" s="112"/>
      <c r="DO30" s="112"/>
      <c r="DP30" s="112"/>
      <c r="DQ30" s="112"/>
      <c r="DS30" s="152"/>
      <c r="DT30" s="152"/>
      <c r="DU30" s="152"/>
      <c r="DV30" s="152"/>
      <c r="DW30" s="152"/>
      <c r="DX30" s="152"/>
      <c r="DY30" s="152"/>
      <c r="DZ30" s="152"/>
    </row>
    <row r="31" spans="1:130" s="139" customFormat="1" ht="27.75" customHeight="1" x14ac:dyDescent="0.25">
      <c r="A31" s="4"/>
      <c r="B31" s="4"/>
      <c r="C31" s="175" t="s">
        <v>351</v>
      </c>
      <c r="D31" s="175" t="s">
        <v>431</v>
      </c>
      <c r="E31" s="3" t="s">
        <v>352</v>
      </c>
      <c r="F31" s="135"/>
      <c r="G31" s="135"/>
      <c r="H31" s="135"/>
      <c r="I31" s="135"/>
      <c r="J31" s="135"/>
      <c r="K31" s="135"/>
      <c r="L31" s="136"/>
      <c r="M31" s="5"/>
      <c r="N31" s="41"/>
      <c r="O31" s="6"/>
      <c r="P31" s="7"/>
      <c r="Q31" s="7"/>
      <c r="R31" s="7"/>
      <c r="S31" s="7"/>
      <c r="T31" s="89"/>
      <c r="U31" s="89"/>
      <c r="V31" s="89">
        <f t="shared" ref="V31:V39" si="77">T31+U31</f>
        <v>0</v>
      </c>
      <c r="W31" s="137"/>
      <c r="X31" s="137"/>
      <c r="Y31" s="90">
        <f t="shared" ref="Y31:Y39" si="78">W31+X31</f>
        <v>0</v>
      </c>
      <c r="Z31" s="91"/>
      <c r="AA31" s="92"/>
      <c r="AB31" s="92"/>
      <c r="AC31" s="92">
        <f t="shared" ref="AC31:AC39" si="79">AA31+AB31</f>
        <v>0</v>
      </c>
      <c r="AD31" s="93"/>
      <c r="AE31" s="93"/>
      <c r="AF31" s="94">
        <f t="shared" ref="AF31:AF39" si="80">AD31+AE31</f>
        <v>0</v>
      </c>
      <c r="AG31" s="473"/>
      <c r="AH31" s="99">
        <v>75</v>
      </c>
      <c r="AI31" s="99">
        <f t="shared" ref="AI31:AI39" si="81">AH31/15</f>
        <v>5</v>
      </c>
      <c r="AJ31" s="138">
        <v>40</v>
      </c>
      <c r="AK31" s="100">
        <f t="shared" ref="AK31:AK39" si="82">AJ31/15</f>
        <v>2.6666666666666665</v>
      </c>
      <c r="AL31" s="101">
        <f>SUM(AK31:AK39)</f>
        <v>73</v>
      </c>
      <c r="AM31" s="100"/>
      <c r="AN31" s="100">
        <f t="shared" ref="AN31:AN39" si="83">AM31/15</f>
        <v>0</v>
      </c>
      <c r="AO31" s="101">
        <f>SUM(AN31:AN39)</f>
        <v>14</v>
      </c>
      <c r="AP31" s="100"/>
      <c r="AQ31" s="100">
        <f t="shared" si="25"/>
        <v>0</v>
      </c>
      <c r="AR31" s="101">
        <f>SUM(AQ31:AQ39)</f>
        <v>10</v>
      </c>
      <c r="AS31" s="97">
        <f t="shared" si="48"/>
        <v>2.6666666666666665</v>
      </c>
      <c r="AT31" s="98">
        <f>SUM(AS31:AS39)</f>
        <v>96.999999999999986</v>
      </c>
      <c r="AU31" s="100"/>
      <c r="AV31" s="455">
        <f t="shared" si="26"/>
        <v>0</v>
      </c>
      <c r="AW31" s="515">
        <f>SUM(AV31:AV39)</f>
        <v>0</v>
      </c>
      <c r="AX31" s="438"/>
      <c r="AY31" s="498">
        <v>80</v>
      </c>
      <c r="AZ31" s="100">
        <f t="shared" ref="AZ31:AZ39" si="84">AY31/15</f>
        <v>5.333333333333333</v>
      </c>
      <c r="BA31" s="101">
        <f>SUM(AZ31:AZ39)</f>
        <v>74.333333333333329</v>
      </c>
      <c r="BB31" s="100"/>
      <c r="BC31" s="100">
        <f t="shared" ref="BC31:BC39" si="85">BB31/15</f>
        <v>0</v>
      </c>
      <c r="BD31" s="101">
        <f>SUM(BC31:BC39)</f>
        <v>6</v>
      </c>
      <c r="BE31" s="105">
        <f t="shared" ref="BE31:BE39" si="86">AK31+AZ31</f>
        <v>8</v>
      </c>
      <c r="BF31" s="101">
        <f>SUM(BE31:BE39)</f>
        <v>147.33333333333331</v>
      </c>
      <c r="BG31" s="100">
        <f t="shared" si="50"/>
        <v>0</v>
      </c>
      <c r="BH31" s="101">
        <f>SUM(BG31:BG39)</f>
        <v>30</v>
      </c>
      <c r="BI31" s="100">
        <f t="shared" si="51"/>
        <v>0</v>
      </c>
      <c r="BJ31" s="101">
        <f>SUM(BI31:BI39)</f>
        <v>0</v>
      </c>
      <c r="BK31" s="101">
        <f t="shared" si="28"/>
        <v>8</v>
      </c>
      <c r="BL31" s="101">
        <f>SUM(BK31:BK39)</f>
        <v>177.33333333333334</v>
      </c>
      <c r="BM31" s="104">
        <v>500</v>
      </c>
      <c r="BN31" s="104">
        <f t="shared" ref="BN31:BN32" si="87">BM31/50</f>
        <v>10</v>
      </c>
      <c r="BO31" s="105">
        <v>350</v>
      </c>
      <c r="BP31" s="105">
        <f t="shared" si="29"/>
        <v>7</v>
      </c>
      <c r="BQ31" s="101">
        <f>SUM(BP31:BP39)</f>
        <v>145</v>
      </c>
      <c r="BR31" s="100"/>
      <c r="BS31" s="100">
        <f t="shared" si="30"/>
        <v>0</v>
      </c>
      <c r="BT31" s="101">
        <f>SUM(BS31:BS39)</f>
        <v>10</v>
      </c>
      <c r="BU31" s="102"/>
      <c r="BV31" s="102">
        <f t="shared" ref="BV31:BV39" si="88">BU31/50</f>
        <v>0</v>
      </c>
      <c r="BW31" s="103">
        <f>SUM(BV31:BV39)</f>
        <v>20</v>
      </c>
      <c r="BX31" s="350">
        <f t="shared" si="19"/>
        <v>7</v>
      </c>
      <c r="BY31" s="288">
        <f>SUM(BX31:BX39)</f>
        <v>175</v>
      </c>
      <c r="BZ31" s="288">
        <f t="shared" si="54"/>
        <v>1</v>
      </c>
      <c r="CA31" s="438"/>
      <c r="CB31" s="7"/>
      <c r="CC31" s="7"/>
      <c r="CD31" s="7"/>
      <c r="CE31" s="497"/>
      <c r="CF31" s="100"/>
      <c r="CG31" s="100">
        <f t="shared" si="32"/>
        <v>0</v>
      </c>
      <c r="CH31" s="100"/>
      <c r="CI31" s="100"/>
      <c r="CJ31" s="100">
        <f t="shared" si="33"/>
        <v>0</v>
      </c>
      <c r="CK31" s="523"/>
      <c r="CL31" s="102">
        <f t="shared" ref="CL31:CL39" si="89">CK31/15</f>
        <v>0</v>
      </c>
      <c r="CM31" s="103">
        <f>SUM(CL31:CL39)</f>
        <v>0</v>
      </c>
      <c r="CN31" s="100"/>
      <c r="CO31" s="100">
        <f t="shared" si="35"/>
        <v>0</v>
      </c>
      <c r="CP31" s="515">
        <f>SUM(CO31:CO39)</f>
        <v>0</v>
      </c>
      <c r="CQ31" s="441"/>
      <c r="CR31" s="497"/>
      <c r="CS31" s="100"/>
      <c r="CT31" s="100">
        <f t="shared" si="36"/>
        <v>0</v>
      </c>
      <c r="CU31" s="100"/>
      <c r="CV31" s="100"/>
      <c r="CW31" s="100">
        <f t="shared" si="37"/>
        <v>0</v>
      </c>
      <c r="CX31" s="102"/>
      <c r="CY31" s="109">
        <f t="shared" si="38"/>
        <v>0</v>
      </c>
      <c r="CZ31" s="103">
        <f>SUM(CY31:CY39)</f>
        <v>0</v>
      </c>
      <c r="DA31" s="100"/>
      <c r="DB31" s="455">
        <f t="shared" si="39"/>
        <v>0</v>
      </c>
      <c r="DC31" s="495">
        <f>SUM(DB31:DB39)</f>
        <v>0</v>
      </c>
      <c r="DD31" s="24" t="s">
        <v>465</v>
      </c>
      <c r="DF31" s="1133"/>
      <c r="DG31" s="674">
        <f t="shared" si="15"/>
        <v>0</v>
      </c>
      <c r="DH31" s="1119">
        <f t="shared" si="16"/>
        <v>0</v>
      </c>
      <c r="DI31" s="1119"/>
      <c r="DJ31" s="101">
        <f t="shared" si="17"/>
        <v>8</v>
      </c>
      <c r="DK31" s="101">
        <f>SUM(DJ31:DJ39)</f>
        <v>177.33333333333334</v>
      </c>
      <c r="DL31" s="101">
        <f t="shared" si="18"/>
        <v>0</v>
      </c>
      <c r="DM31" s="101"/>
      <c r="DN31" s="112"/>
      <c r="DO31" s="112"/>
      <c r="DP31" s="112"/>
      <c r="DQ31" s="112"/>
      <c r="DS31" s="140"/>
      <c r="DT31" s="140"/>
      <c r="DU31" s="140"/>
      <c r="DV31" s="140"/>
      <c r="DW31" s="140"/>
      <c r="DX31" s="140"/>
      <c r="DY31" s="140"/>
      <c r="DZ31" s="140"/>
    </row>
    <row r="32" spans="1:130" s="139" customFormat="1" ht="26.45" customHeight="1" x14ac:dyDescent="0.25">
      <c r="A32" s="4"/>
      <c r="B32" s="4"/>
      <c r="C32" s="176" t="s">
        <v>351</v>
      </c>
      <c r="D32" s="175" t="s">
        <v>431</v>
      </c>
      <c r="E32" s="3" t="s">
        <v>353</v>
      </c>
      <c r="F32" s="135"/>
      <c r="G32" s="135"/>
      <c r="H32" s="135"/>
      <c r="I32" s="135"/>
      <c r="J32" s="135"/>
      <c r="K32" s="135"/>
      <c r="L32" s="136"/>
      <c r="M32" s="5"/>
      <c r="N32" s="41"/>
      <c r="O32" s="6"/>
      <c r="P32" s="7"/>
      <c r="Q32" s="7"/>
      <c r="R32" s="7"/>
      <c r="S32" s="7"/>
      <c r="T32" s="89"/>
      <c r="U32" s="89"/>
      <c r="V32" s="89">
        <f t="shared" si="77"/>
        <v>0</v>
      </c>
      <c r="W32" s="137"/>
      <c r="X32" s="137"/>
      <c r="Y32" s="90">
        <f t="shared" si="78"/>
        <v>0</v>
      </c>
      <c r="Z32" s="91"/>
      <c r="AA32" s="92"/>
      <c r="AB32" s="92"/>
      <c r="AC32" s="92">
        <f t="shared" si="79"/>
        <v>0</v>
      </c>
      <c r="AD32" s="93"/>
      <c r="AE32" s="93"/>
      <c r="AF32" s="94">
        <f t="shared" si="80"/>
        <v>0</v>
      </c>
      <c r="AG32" s="473"/>
      <c r="AH32" s="99">
        <v>75</v>
      </c>
      <c r="AI32" s="99">
        <f t="shared" si="81"/>
        <v>5</v>
      </c>
      <c r="AJ32" s="138"/>
      <c r="AK32" s="100">
        <f t="shared" si="82"/>
        <v>0</v>
      </c>
      <c r="AL32" s="101"/>
      <c r="AM32" s="100">
        <v>60</v>
      </c>
      <c r="AN32" s="100">
        <f t="shared" si="83"/>
        <v>4</v>
      </c>
      <c r="AO32" s="101"/>
      <c r="AP32" s="105"/>
      <c r="AQ32" s="105">
        <f t="shared" si="25"/>
        <v>0</v>
      </c>
      <c r="AR32" s="106"/>
      <c r="AS32" s="97">
        <f t="shared" si="48"/>
        <v>4</v>
      </c>
      <c r="AT32" s="98"/>
      <c r="AU32" s="105"/>
      <c r="AV32" s="455">
        <f t="shared" si="26"/>
        <v>0</v>
      </c>
      <c r="AW32" s="496"/>
      <c r="AX32" s="508"/>
      <c r="AY32" s="498"/>
      <c r="AZ32" s="100">
        <f t="shared" si="84"/>
        <v>0</v>
      </c>
      <c r="BA32" s="101"/>
      <c r="BB32" s="100">
        <v>90</v>
      </c>
      <c r="BC32" s="100">
        <f t="shared" si="85"/>
        <v>6</v>
      </c>
      <c r="BD32" s="101"/>
      <c r="BE32" s="105">
        <f t="shared" si="86"/>
        <v>0</v>
      </c>
      <c r="BF32" s="106"/>
      <c r="BG32" s="100">
        <f t="shared" si="50"/>
        <v>10</v>
      </c>
      <c r="BH32" s="106"/>
      <c r="BI32" s="100">
        <f t="shared" si="51"/>
        <v>0</v>
      </c>
      <c r="BJ32" s="106"/>
      <c r="BK32" s="101">
        <f t="shared" si="28"/>
        <v>10</v>
      </c>
      <c r="BL32" s="106"/>
      <c r="BM32" s="104">
        <v>500</v>
      </c>
      <c r="BN32" s="104">
        <f t="shared" si="87"/>
        <v>10</v>
      </c>
      <c r="BO32" s="105"/>
      <c r="BP32" s="105">
        <f t="shared" si="29"/>
        <v>0</v>
      </c>
      <c r="BQ32" s="106"/>
      <c r="BR32" s="105">
        <v>500</v>
      </c>
      <c r="BS32" s="105">
        <f t="shared" si="30"/>
        <v>10</v>
      </c>
      <c r="BT32" s="106"/>
      <c r="BU32" s="53"/>
      <c r="BV32" s="53">
        <f t="shared" si="88"/>
        <v>0</v>
      </c>
      <c r="BW32" s="54"/>
      <c r="BX32" s="350">
        <f t="shared" si="19"/>
        <v>10</v>
      </c>
      <c r="BY32" s="211"/>
      <c r="BZ32" s="211">
        <f t="shared" si="54"/>
        <v>0</v>
      </c>
      <c r="CA32" s="508"/>
      <c r="CB32" s="7"/>
      <c r="CC32" s="7"/>
      <c r="CD32" s="7"/>
      <c r="CE32" s="504"/>
      <c r="CF32" s="105"/>
      <c r="CG32" s="105">
        <f t="shared" si="32"/>
        <v>0</v>
      </c>
      <c r="CH32" s="105"/>
      <c r="CI32" s="105"/>
      <c r="CJ32" s="105">
        <f t="shared" si="33"/>
        <v>0</v>
      </c>
      <c r="CK32" s="523"/>
      <c r="CL32" s="102">
        <f t="shared" si="89"/>
        <v>0</v>
      </c>
      <c r="CM32" s="103"/>
      <c r="CN32" s="100"/>
      <c r="CO32" s="100">
        <f t="shared" si="35"/>
        <v>0</v>
      </c>
      <c r="CP32" s="515"/>
      <c r="CQ32" s="441"/>
      <c r="CR32" s="504"/>
      <c r="CS32" s="105"/>
      <c r="CT32" s="105">
        <f t="shared" si="36"/>
        <v>0</v>
      </c>
      <c r="CU32" s="105"/>
      <c r="CV32" s="105"/>
      <c r="CW32" s="105">
        <f t="shared" si="37"/>
        <v>0</v>
      </c>
      <c r="CX32" s="53"/>
      <c r="CY32" s="109">
        <f t="shared" si="38"/>
        <v>0</v>
      </c>
      <c r="CZ32" s="54"/>
      <c r="DA32" s="105"/>
      <c r="DB32" s="455">
        <f t="shared" si="39"/>
        <v>0</v>
      </c>
      <c r="DC32" s="495"/>
      <c r="DD32" s="24"/>
      <c r="DF32" s="1133"/>
      <c r="DG32" s="674">
        <f t="shared" si="15"/>
        <v>0</v>
      </c>
      <c r="DH32" s="1119">
        <f t="shared" si="16"/>
        <v>6</v>
      </c>
      <c r="DI32" s="1119"/>
      <c r="DJ32" s="101">
        <f t="shared" si="17"/>
        <v>10</v>
      </c>
      <c r="DK32" s="101"/>
      <c r="DL32" s="101">
        <f t="shared" si="18"/>
        <v>0</v>
      </c>
      <c r="DM32" s="101"/>
      <c r="DN32" s="112"/>
      <c r="DO32" s="112"/>
      <c r="DP32" s="112"/>
      <c r="DQ32" s="112"/>
      <c r="DS32" s="140"/>
      <c r="DT32" s="140"/>
      <c r="DU32" s="140"/>
      <c r="DV32" s="140"/>
      <c r="DW32" s="140"/>
      <c r="DX32" s="140"/>
      <c r="DY32" s="140"/>
      <c r="DZ32" s="140"/>
    </row>
    <row r="33" spans="1:130" s="139" customFormat="1" ht="21.6" customHeight="1" x14ac:dyDescent="0.25">
      <c r="A33" s="4"/>
      <c r="B33" s="4"/>
      <c r="C33" s="175" t="s">
        <v>351</v>
      </c>
      <c r="D33" s="175" t="s">
        <v>431</v>
      </c>
      <c r="E33" s="3" t="s">
        <v>397</v>
      </c>
      <c r="F33" s="135"/>
      <c r="G33" s="135"/>
      <c r="H33" s="135"/>
      <c r="I33" s="135"/>
      <c r="J33" s="135"/>
      <c r="K33" s="135"/>
      <c r="L33" s="136"/>
      <c r="M33" s="5"/>
      <c r="N33" s="41"/>
      <c r="O33" s="6"/>
      <c r="P33" s="7"/>
      <c r="Q33" s="7"/>
      <c r="R33" s="7"/>
      <c r="S33" s="7"/>
      <c r="T33" s="89"/>
      <c r="U33" s="89"/>
      <c r="V33" s="89"/>
      <c r="W33" s="137"/>
      <c r="X33" s="137"/>
      <c r="Y33" s="90">
        <f t="shared" si="78"/>
        <v>0</v>
      </c>
      <c r="Z33" s="91"/>
      <c r="AA33" s="92"/>
      <c r="AB33" s="92"/>
      <c r="AC33" s="92">
        <f t="shared" si="79"/>
        <v>0</v>
      </c>
      <c r="AD33" s="93"/>
      <c r="AE33" s="93"/>
      <c r="AF33" s="94">
        <f t="shared" si="80"/>
        <v>0</v>
      </c>
      <c r="AG33" s="473"/>
      <c r="AH33" s="99">
        <v>150</v>
      </c>
      <c r="AI33" s="99">
        <f t="shared" si="81"/>
        <v>10</v>
      </c>
      <c r="AJ33" s="138"/>
      <c r="AK33" s="100">
        <f t="shared" si="82"/>
        <v>0</v>
      </c>
      <c r="AL33" s="101"/>
      <c r="AM33" s="100">
        <v>150</v>
      </c>
      <c r="AN33" s="100">
        <f t="shared" si="83"/>
        <v>10</v>
      </c>
      <c r="AO33" s="101"/>
      <c r="AP33" s="105"/>
      <c r="AQ33" s="105">
        <f t="shared" si="25"/>
        <v>0</v>
      </c>
      <c r="AR33" s="106"/>
      <c r="AS33" s="97">
        <f t="shared" si="48"/>
        <v>10</v>
      </c>
      <c r="AT33" s="98"/>
      <c r="AU33" s="105"/>
      <c r="AV33" s="455">
        <f t="shared" si="26"/>
        <v>0</v>
      </c>
      <c r="AW33" s="496"/>
      <c r="AX33" s="508"/>
      <c r="AY33" s="498"/>
      <c r="AZ33" s="100">
        <f t="shared" si="84"/>
        <v>0</v>
      </c>
      <c r="BA33" s="101"/>
      <c r="BB33" s="100"/>
      <c r="BC33" s="100">
        <f t="shared" si="85"/>
        <v>0</v>
      </c>
      <c r="BD33" s="101"/>
      <c r="BE33" s="105">
        <f t="shared" si="86"/>
        <v>0</v>
      </c>
      <c r="BF33" s="106"/>
      <c r="BG33" s="100">
        <f t="shared" si="50"/>
        <v>10</v>
      </c>
      <c r="BH33" s="106"/>
      <c r="BI33" s="100">
        <f t="shared" si="51"/>
        <v>0</v>
      </c>
      <c r="BJ33" s="106"/>
      <c r="BK33" s="101">
        <f t="shared" si="28"/>
        <v>10</v>
      </c>
      <c r="BL33" s="106"/>
      <c r="BM33" s="104"/>
      <c r="BN33" s="104"/>
      <c r="BO33" s="105"/>
      <c r="BP33" s="105">
        <f t="shared" si="29"/>
        <v>0</v>
      </c>
      <c r="BQ33" s="106"/>
      <c r="BR33" s="105"/>
      <c r="BS33" s="105">
        <f t="shared" si="30"/>
        <v>0</v>
      </c>
      <c r="BT33" s="106"/>
      <c r="BU33" s="53">
        <v>500</v>
      </c>
      <c r="BV33" s="53">
        <f t="shared" si="88"/>
        <v>10</v>
      </c>
      <c r="BW33" s="54"/>
      <c r="BX33" s="350">
        <f t="shared" si="19"/>
        <v>10</v>
      </c>
      <c r="BY33" s="211"/>
      <c r="BZ33" s="211">
        <f t="shared" si="54"/>
        <v>0</v>
      </c>
      <c r="CA33" s="508"/>
      <c r="CB33" s="7"/>
      <c r="CC33" s="7"/>
      <c r="CD33" s="7"/>
      <c r="CE33" s="504"/>
      <c r="CF33" s="105"/>
      <c r="CG33" s="105">
        <f t="shared" si="32"/>
        <v>0</v>
      </c>
      <c r="CH33" s="105"/>
      <c r="CI33" s="105"/>
      <c r="CJ33" s="105">
        <f t="shared" si="33"/>
        <v>0</v>
      </c>
      <c r="CK33" s="523"/>
      <c r="CL33" s="102">
        <f t="shared" si="89"/>
        <v>0</v>
      </c>
      <c r="CM33" s="103"/>
      <c r="CN33" s="100"/>
      <c r="CO33" s="100">
        <f t="shared" si="35"/>
        <v>0</v>
      </c>
      <c r="CP33" s="515"/>
      <c r="CQ33" s="441"/>
      <c r="CR33" s="504"/>
      <c r="CS33" s="105"/>
      <c r="CT33" s="105">
        <f t="shared" si="36"/>
        <v>0</v>
      </c>
      <c r="CU33" s="105"/>
      <c r="CV33" s="105"/>
      <c r="CW33" s="105">
        <f t="shared" si="37"/>
        <v>0</v>
      </c>
      <c r="CX33" s="53"/>
      <c r="CY33" s="109">
        <f t="shared" si="38"/>
        <v>0</v>
      </c>
      <c r="CZ33" s="54"/>
      <c r="DA33" s="105"/>
      <c r="DB33" s="455">
        <f t="shared" si="39"/>
        <v>0</v>
      </c>
      <c r="DC33" s="495"/>
      <c r="DD33" s="24" t="s">
        <v>282</v>
      </c>
      <c r="DF33" s="1133"/>
      <c r="DG33" s="674">
        <f t="shared" si="15"/>
        <v>0</v>
      </c>
      <c r="DH33" s="1119">
        <f t="shared" si="16"/>
        <v>0</v>
      </c>
      <c r="DI33" s="1119"/>
      <c r="DJ33" s="101">
        <f t="shared" si="17"/>
        <v>10</v>
      </c>
      <c r="DK33" s="101"/>
      <c r="DL33" s="101">
        <f t="shared" si="18"/>
        <v>0</v>
      </c>
      <c r="DM33" s="101"/>
      <c r="DN33" s="112"/>
      <c r="DO33" s="112"/>
      <c r="DP33" s="112"/>
      <c r="DQ33" s="112"/>
      <c r="DS33" s="140"/>
      <c r="DT33" s="140"/>
      <c r="DU33" s="140"/>
      <c r="DV33" s="140"/>
      <c r="DW33" s="140"/>
      <c r="DX33" s="140"/>
      <c r="DY33" s="140"/>
      <c r="DZ33" s="140"/>
    </row>
    <row r="34" spans="1:130" s="139" customFormat="1" ht="21.6" customHeight="1" x14ac:dyDescent="0.25">
      <c r="A34" s="4"/>
      <c r="B34" s="4"/>
      <c r="C34" s="176" t="s">
        <v>351</v>
      </c>
      <c r="D34" s="175" t="s">
        <v>431</v>
      </c>
      <c r="E34" s="3" t="s">
        <v>354</v>
      </c>
      <c r="F34" s="135"/>
      <c r="G34" s="135"/>
      <c r="H34" s="135"/>
      <c r="I34" s="135"/>
      <c r="J34" s="135"/>
      <c r="K34" s="135"/>
      <c r="L34" s="136"/>
      <c r="M34" s="5"/>
      <c r="N34" s="177"/>
      <c r="O34" s="6"/>
      <c r="P34" s="7"/>
      <c r="Q34" s="7"/>
      <c r="R34" s="7"/>
      <c r="S34" s="7"/>
      <c r="T34" s="89"/>
      <c r="U34" s="89"/>
      <c r="V34" s="89">
        <f t="shared" si="77"/>
        <v>0</v>
      </c>
      <c r="W34" s="137"/>
      <c r="X34" s="137"/>
      <c r="Y34" s="90">
        <f t="shared" si="78"/>
        <v>0</v>
      </c>
      <c r="Z34" s="91"/>
      <c r="AA34" s="92"/>
      <c r="AB34" s="92"/>
      <c r="AC34" s="92">
        <f t="shared" si="79"/>
        <v>0</v>
      </c>
      <c r="AD34" s="93"/>
      <c r="AE34" s="93"/>
      <c r="AF34" s="94">
        <f t="shared" si="80"/>
        <v>0</v>
      </c>
      <c r="AG34" s="473"/>
      <c r="AH34" s="99">
        <v>210</v>
      </c>
      <c r="AI34" s="99">
        <f t="shared" si="81"/>
        <v>14</v>
      </c>
      <c r="AJ34" s="138">
        <v>210</v>
      </c>
      <c r="AK34" s="100">
        <f t="shared" si="82"/>
        <v>14</v>
      </c>
      <c r="AL34" s="101"/>
      <c r="AM34" s="100"/>
      <c r="AN34" s="100">
        <f t="shared" si="83"/>
        <v>0</v>
      </c>
      <c r="AO34" s="101"/>
      <c r="AP34" s="105"/>
      <c r="AQ34" s="105">
        <f t="shared" si="25"/>
        <v>0</v>
      </c>
      <c r="AR34" s="106"/>
      <c r="AS34" s="97">
        <f t="shared" si="48"/>
        <v>14</v>
      </c>
      <c r="AT34" s="98"/>
      <c r="AU34" s="105"/>
      <c r="AV34" s="455">
        <f t="shared" si="26"/>
        <v>0</v>
      </c>
      <c r="AW34" s="496"/>
      <c r="AX34" s="508"/>
      <c r="AY34" s="498">
        <v>165</v>
      </c>
      <c r="AZ34" s="100">
        <f t="shared" si="84"/>
        <v>11</v>
      </c>
      <c r="BA34" s="101"/>
      <c r="BB34" s="100"/>
      <c r="BC34" s="100">
        <f t="shared" si="85"/>
        <v>0</v>
      </c>
      <c r="BD34" s="101"/>
      <c r="BE34" s="105">
        <f t="shared" si="86"/>
        <v>25</v>
      </c>
      <c r="BF34" s="106"/>
      <c r="BG34" s="100">
        <f t="shared" si="50"/>
        <v>0</v>
      </c>
      <c r="BH34" s="106"/>
      <c r="BI34" s="100">
        <f t="shared" si="51"/>
        <v>0</v>
      </c>
      <c r="BJ34" s="106"/>
      <c r="BK34" s="101">
        <f t="shared" si="28"/>
        <v>25</v>
      </c>
      <c r="BL34" s="106"/>
      <c r="BM34" s="104">
        <f>BN34*50</f>
        <v>1250</v>
      </c>
      <c r="BN34" s="104">
        <v>25</v>
      </c>
      <c r="BO34" s="105">
        <v>1250</v>
      </c>
      <c r="BP34" s="105">
        <f t="shared" si="29"/>
        <v>25</v>
      </c>
      <c r="BQ34" s="106"/>
      <c r="BR34" s="105"/>
      <c r="BS34" s="105">
        <f t="shared" si="30"/>
        <v>0</v>
      </c>
      <c r="BT34" s="106"/>
      <c r="BU34" s="53"/>
      <c r="BV34" s="53">
        <f t="shared" si="88"/>
        <v>0</v>
      </c>
      <c r="BW34" s="54"/>
      <c r="BX34" s="350">
        <f t="shared" si="19"/>
        <v>25</v>
      </c>
      <c r="BY34" s="211"/>
      <c r="BZ34" s="211">
        <f t="shared" si="54"/>
        <v>0</v>
      </c>
      <c r="CA34" s="508"/>
      <c r="CB34" s="7"/>
      <c r="CC34" s="7"/>
      <c r="CD34" s="7"/>
      <c r="CE34" s="504"/>
      <c r="CF34" s="105"/>
      <c r="CG34" s="105">
        <f t="shared" si="32"/>
        <v>0</v>
      </c>
      <c r="CH34" s="105"/>
      <c r="CI34" s="105"/>
      <c r="CJ34" s="105">
        <f t="shared" si="33"/>
        <v>0</v>
      </c>
      <c r="CK34" s="523"/>
      <c r="CL34" s="102">
        <f t="shared" si="89"/>
        <v>0</v>
      </c>
      <c r="CM34" s="103"/>
      <c r="CN34" s="100"/>
      <c r="CO34" s="100">
        <f t="shared" si="35"/>
        <v>0</v>
      </c>
      <c r="CP34" s="515"/>
      <c r="CQ34" s="441"/>
      <c r="CR34" s="504"/>
      <c r="CS34" s="105"/>
      <c r="CT34" s="105">
        <f t="shared" si="36"/>
        <v>0</v>
      </c>
      <c r="CU34" s="105"/>
      <c r="CV34" s="105"/>
      <c r="CW34" s="105">
        <f t="shared" si="37"/>
        <v>0</v>
      </c>
      <c r="CX34" s="53"/>
      <c r="CY34" s="109">
        <f t="shared" si="38"/>
        <v>0</v>
      </c>
      <c r="CZ34" s="54"/>
      <c r="DA34" s="105"/>
      <c r="DB34" s="455">
        <f t="shared" si="39"/>
        <v>0</v>
      </c>
      <c r="DC34" s="495"/>
      <c r="DD34" s="24"/>
      <c r="DF34" s="1133"/>
      <c r="DG34" s="674">
        <f t="shared" si="15"/>
        <v>0</v>
      </c>
      <c r="DH34" s="1119">
        <f t="shared" si="16"/>
        <v>0</v>
      </c>
      <c r="DI34" s="1119"/>
      <c r="DJ34" s="101">
        <f t="shared" si="17"/>
        <v>25</v>
      </c>
      <c r="DK34" s="101"/>
      <c r="DL34" s="101">
        <f t="shared" si="18"/>
        <v>0</v>
      </c>
      <c r="DM34" s="101"/>
      <c r="DN34" s="112"/>
      <c r="DO34" s="112"/>
      <c r="DP34" s="112"/>
      <c r="DQ34" s="112"/>
      <c r="DS34" s="140"/>
      <c r="DT34" s="140"/>
      <c r="DU34" s="140"/>
      <c r="DV34" s="140"/>
      <c r="DW34" s="140"/>
      <c r="DX34" s="140"/>
      <c r="DY34" s="140"/>
      <c r="DZ34" s="140"/>
    </row>
    <row r="35" spans="1:130" s="139" customFormat="1" ht="21.6" customHeight="1" x14ac:dyDescent="0.25">
      <c r="A35" s="4"/>
      <c r="B35" s="4"/>
      <c r="C35" s="176" t="s">
        <v>351</v>
      </c>
      <c r="D35" s="175" t="s">
        <v>431</v>
      </c>
      <c r="E35" s="3" t="s">
        <v>355</v>
      </c>
      <c r="F35" s="135"/>
      <c r="G35" s="135"/>
      <c r="H35" s="135"/>
      <c r="I35" s="135"/>
      <c r="J35" s="135"/>
      <c r="K35" s="135"/>
      <c r="L35" s="136"/>
      <c r="M35" s="5"/>
      <c r="N35" s="177"/>
      <c r="O35" s="6"/>
      <c r="P35" s="7"/>
      <c r="Q35" s="7"/>
      <c r="R35" s="7"/>
      <c r="S35" s="7"/>
      <c r="T35" s="89"/>
      <c r="U35" s="89"/>
      <c r="V35" s="89">
        <f t="shared" si="77"/>
        <v>0</v>
      </c>
      <c r="W35" s="137"/>
      <c r="X35" s="137"/>
      <c r="Y35" s="90">
        <f t="shared" si="78"/>
        <v>0</v>
      </c>
      <c r="Z35" s="91"/>
      <c r="AA35" s="92"/>
      <c r="AB35" s="92"/>
      <c r="AC35" s="92">
        <f t="shared" si="79"/>
        <v>0</v>
      </c>
      <c r="AD35" s="93"/>
      <c r="AE35" s="93"/>
      <c r="AF35" s="94">
        <f t="shared" si="80"/>
        <v>0</v>
      </c>
      <c r="AG35" s="473"/>
      <c r="AH35" s="99">
        <v>150</v>
      </c>
      <c r="AI35" s="99">
        <f t="shared" si="81"/>
        <v>10</v>
      </c>
      <c r="AJ35" s="138">
        <v>150</v>
      </c>
      <c r="AK35" s="100">
        <f t="shared" si="82"/>
        <v>10</v>
      </c>
      <c r="AL35" s="101"/>
      <c r="AM35" s="100"/>
      <c r="AN35" s="100">
        <f t="shared" si="83"/>
        <v>0</v>
      </c>
      <c r="AO35" s="101"/>
      <c r="AP35" s="105"/>
      <c r="AQ35" s="105">
        <f t="shared" si="25"/>
        <v>0</v>
      </c>
      <c r="AR35" s="106"/>
      <c r="AS35" s="97">
        <f t="shared" si="48"/>
        <v>10</v>
      </c>
      <c r="AT35" s="98"/>
      <c r="AU35" s="105"/>
      <c r="AV35" s="455">
        <f t="shared" si="26"/>
        <v>0</v>
      </c>
      <c r="AW35" s="496"/>
      <c r="AX35" s="508"/>
      <c r="AY35" s="498">
        <v>150</v>
      </c>
      <c r="AZ35" s="100">
        <f t="shared" si="84"/>
        <v>10</v>
      </c>
      <c r="BA35" s="101"/>
      <c r="BB35" s="100"/>
      <c r="BC35" s="100">
        <f t="shared" si="85"/>
        <v>0</v>
      </c>
      <c r="BD35" s="101"/>
      <c r="BE35" s="105">
        <f t="shared" si="86"/>
        <v>20</v>
      </c>
      <c r="BF35" s="106"/>
      <c r="BG35" s="100">
        <f t="shared" si="50"/>
        <v>0</v>
      </c>
      <c r="BH35" s="106"/>
      <c r="BI35" s="100">
        <f t="shared" si="51"/>
        <v>0</v>
      </c>
      <c r="BJ35" s="106"/>
      <c r="BK35" s="101">
        <f t="shared" si="28"/>
        <v>20</v>
      </c>
      <c r="BL35" s="106"/>
      <c r="BM35" s="104">
        <f>BN35*50</f>
        <v>1000</v>
      </c>
      <c r="BN35" s="104">
        <v>20</v>
      </c>
      <c r="BO35" s="105">
        <v>1000</v>
      </c>
      <c r="BP35" s="105">
        <f t="shared" si="29"/>
        <v>20</v>
      </c>
      <c r="BQ35" s="106"/>
      <c r="BR35" s="105"/>
      <c r="BS35" s="105">
        <f t="shared" si="30"/>
        <v>0</v>
      </c>
      <c r="BT35" s="106"/>
      <c r="BU35" s="53"/>
      <c r="BV35" s="53">
        <f t="shared" si="88"/>
        <v>0</v>
      </c>
      <c r="BW35" s="54"/>
      <c r="BX35" s="350">
        <f t="shared" si="19"/>
        <v>20</v>
      </c>
      <c r="BY35" s="211"/>
      <c r="BZ35" s="211">
        <f t="shared" si="54"/>
        <v>0</v>
      </c>
      <c r="CA35" s="508"/>
      <c r="CB35" s="7"/>
      <c r="CC35" s="7"/>
      <c r="CD35" s="7"/>
      <c r="CE35" s="504"/>
      <c r="CF35" s="105"/>
      <c r="CG35" s="105">
        <f t="shared" si="32"/>
        <v>0</v>
      </c>
      <c r="CH35" s="105"/>
      <c r="CI35" s="105"/>
      <c r="CJ35" s="105">
        <f t="shared" si="33"/>
        <v>0</v>
      </c>
      <c r="CK35" s="523"/>
      <c r="CL35" s="102">
        <f t="shared" si="89"/>
        <v>0</v>
      </c>
      <c r="CM35" s="103"/>
      <c r="CN35" s="100"/>
      <c r="CO35" s="100">
        <f t="shared" si="35"/>
        <v>0</v>
      </c>
      <c r="CP35" s="515"/>
      <c r="CQ35" s="441"/>
      <c r="CR35" s="504"/>
      <c r="CS35" s="105"/>
      <c r="CT35" s="105">
        <f t="shared" si="36"/>
        <v>0</v>
      </c>
      <c r="CU35" s="105"/>
      <c r="CV35" s="105"/>
      <c r="CW35" s="105">
        <f t="shared" si="37"/>
        <v>0</v>
      </c>
      <c r="CX35" s="53"/>
      <c r="CY35" s="109">
        <f t="shared" si="38"/>
        <v>0</v>
      </c>
      <c r="CZ35" s="54"/>
      <c r="DA35" s="105"/>
      <c r="DB35" s="455">
        <f t="shared" si="39"/>
        <v>0</v>
      </c>
      <c r="DC35" s="495"/>
      <c r="DD35" s="24"/>
      <c r="DF35" s="1133"/>
      <c r="DG35" s="674">
        <f t="shared" si="15"/>
        <v>0</v>
      </c>
      <c r="DH35" s="1119">
        <f t="shared" si="16"/>
        <v>0</v>
      </c>
      <c r="DI35" s="1119"/>
      <c r="DJ35" s="101">
        <f t="shared" si="17"/>
        <v>20</v>
      </c>
      <c r="DK35" s="101"/>
      <c r="DL35" s="101">
        <f t="shared" si="18"/>
        <v>0</v>
      </c>
      <c r="DM35" s="101"/>
      <c r="DN35" s="112"/>
      <c r="DO35" s="112"/>
      <c r="DP35" s="112"/>
      <c r="DQ35" s="112"/>
      <c r="DS35" s="140"/>
      <c r="DT35" s="140"/>
      <c r="DU35" s="140"/>
      <c r="DV35" s="140"/>
      <c r="DW35" s="140"/>
      <c r="DX35" s="140"/>
      <c r="DY35" s="140"/>
      <c r="DZ35" s="140"/>
    </row>
    <row r="36" spans="1:130" s="139" customFormat="1" ht="21.6" customHeight="1" x14ac:dyDescent="0.25">
      <c r="A36" s="4"/>
      <c r="B36" s="4"/>
      <c r="C36" s="175" t="s">
        <v>351</v>
      </c>
      <c r="D36" s="175" t="s">
        <v>431</v>
      </c>
      <c r="E36" s="3" t="s">
        <v>356</v>
      </c>
      <c r="F36" s="135"/>
      <c r="G36" s="135"/>
      <c r="H36" s="135"/>
      <c r="I36" s="135"/>
      <c r="J36" s="135"/>
      <c r="K36" s="135"/>
      <c r="L36" s="136"/>
      <c r="M36" s="5"/>
      <c r="N36" s="41"/>
      <c r="O36" s="6"/>
      <c r="P36" s="7"/>
      <c r="Q36" s="7"/>
      <c r="R36" s="7"/>
      <c r="S36" s="7"/>
      <c r="T36" s="89"/>
      <c r="U36" s="89"/>
      <c r="V36" s="89">
        <f t="shared" si="77"/>
        <v>0</v>
      </c>
      <c r="W36" s="137"/>
      <c r="X36" s="137"/>
      <c r="Y36" s="90">
        <f t="shared" si="78"/>
        <v>0</v>
      </c>
      <c r="Z36" s="91"/>
      <c r="AA36" s="92"/>
      <c r="AB36" s="92"/>
      <c r="AC36" s="92">
        <f t="shared" si="79"/>
        <v>0</v>
      </c>
      <c r="AD36" s="93"/>
      <c r="AE36" s="93"/>
      <c r="AF36" s="94">
        <f t="shared" si="80"/>
        <v>0</v>
      </c>
      <c r="AG36" s="473"/>
      <c r="AH36" s="99">
        <v>600</v>
      </c>
      <c r="AI36" s="99">
        <f t="shared" si="81"/>
        <v>40</v>
      </c>
      <c r="AJ36" s="138">
        <v>465</v>
      </c>
      <c r="AK36" s="100">
        <f t="shared" si="82"/>
        <v>31</v>
      </c>
      <c r="AL36" s="101"/>
      <c r="AM36" s="100"/>
      <c r="AN36" s="100">
        <f t="shared" si="83"/>
        <v>0</v>
      </c>
      <c r="AO36" s="101"/>
      <c r="AP36" s="105"/>
      <c r="AQ36" s="105">
        <f t="shared" si="25"/>
        <v>0</v>
      </c>
      <c r="AR36" s="106"/>
      <c r="AS36" s="97">
        <f t="shared" si="48"/>
        <v>31</v>
      </c>
      <c r="AT36" s="98"/>
      <c r="AU36" s="105"/>
      <c r="AV36" s="455">
        <f t="shared" si="26"/>
        <v>0</v>
      </c>
      <c r="AW36" s="496"/>
      <c r="AX36" s="508"/>
      <c r="AY36" s="498">
        <v>510</v>
      </c>
      <c r="AZ36" s="100">
        <f t="shared" si="84"/>
        <v>34</v>
      </c>
      <c r="BA36" s="101"/>
      <c r="BB36" s="100"/>
      <c r="BC36" s="100">
        <f t="shared" si="85"/>
        <v>0</v>
      </c>
      <c r="BD36" s="101"/>
      <c r="BE36" s="105">
        <f t="shared" si="86"/>
        <v>65</v>
      </c>
      <c r="BF36" s="106"/>
      <c r="BG36" s="100">
        <f t="shared" si="50"/>
        <v>0</v>
      </c>
      <c r="BH36" s="106"/>
      <c r="BI36" s="100">
        <f t="shared" si="51"/>
        <v>0</v>
      </c>
      <c r="BJ36" s="106"/>
      <c r="BK36" s="101">
        <f t="shared" si="28"/>
        <v>65</v>
      </c>
      <c r="BL36" s="106"/>
      <c r="BM36" s="104">
        <f>BN36*50</f>
        <v>4250</v>
      </c>
      <c r="BN36" s="104">
        <v>85</v>
      </c>
      <c r="BO36" s="105">
        <v>3200</v>
      </c>
      <c r="BP36" s="105">
        <f t="shared" si="29"/>
        <v>64</v>
      </c>
      <c r="BQ36" s="106"/>
      <c r="BR36" s="105"/>
      <c r="BS36" s="105">
        <f t="shared" si="30"/>
        <v>0</v>
      </c>
      <c r="BT36" s="106"/>
      <c r="BU36" s="53"/>
      <c r="BV36" s="53">
        <f t="shared" si="88"/>
        <v>0</v>
      </c>
      <c r="BW36" s="54"/>
      <c r="BX36" s="350">
        <f t="shared" si="19"/>
        <v>64</v>
      </c>
      <c r="BY36" s="211"/>
      <c r="BZ36" s="211">
        <f t="shared" si="54"/>
        <v>1</v>
      </c>
      <c r="CA36" s="508"/>
      <c r="CB36" s="7"/>
      <c r="CC36" s="7"/>
      <c r="CD36" s="7"/>
      <c r="CE36" s="504"/>
      <c r="CF36" s="105"/>
      <c r="CG36" s="105">
        <f t="shared" si="32"/>
        <v>0</v>
      </c>
      <c r="CH36" s="105"/>
      <c r="CI36" s="105"/>
      <c r="CJ36" s="105">
        <f t="shared" si="33"/>
        <v>0</v>
      </c>
      <c r="CK36" s="523"/>
      <c r="CL36" s="102">
        <f t="shared" si="89"/>
        <v>0</v>
      </c>
      <c r="CM36" s="103"/>
      <c r="CN36" s="100"/>
      <c r="CO36" s="100">
        <f t="shared" si="35"/>
        <v>0</v>
      </c>
      <c r="CP36" s="515"/>
      <c r="CQ36" s="441"/>
      <c r="CR36" s="504"/>
      <c r="CS36" s="105"/>
      <c r="CT36" s="105">
        <f t="shared" si="36"/>
        <v>0</v>
      </c>
      <c r="CU36" s="105"/>
      <c r="CV36" s="105"/>
      <c r="CW36" s="105">
        <f t="shared" si="37"/>
        <v>0</v>
      </c>
      <c r="CX36" s="53"/>
      <c r="CY36" s="109">
        <f t="shared" si="38"/>
        <v>0</v>
      </c>
      <c r="CZ36" s="54"/>
      <c r="DA36" s="105"/>
      <c r="DB36" s="455">
        <f t="shared" si="39"/>
        <v>0</v>
      </c>
      <c r="DC36" s="495"/>
      <c r="DD36" s="24" t="s">
        <v>465</v>
      </c>
      <c r="DF36" s="1133"/>
      <c r="DG36" s="674">
        <f t="shared" si="15"/>
        <v>0</v>
      </c>
      <c r="DH36" s="1119">
        <f t="shared" si="16"/>
        <v>0</v>
      </c>
      <c r="DI36" s="1119"/>
      <c r="DJ36" s="101">
        <f t="shared" si="17"/>
        <v>65</v>
      </c>
      <c r="DK36" s="101"/>
      <c r="DL36" s="101">
        <f t="shared" si="18"/>
        <v>0</v>
      </c>
      <c r="DM36" s="101"/>
      <c r="DN36" s="112"/>
      <c r="DO36" s="112"/>
      <c r="DP36" s="112"/>
      <c r="DQ36" s="112"/>
      <c r="DS36" s="140"/>
      <c r="DT36" s="140"/>
      <c r="DU36" s="140"/>
      <c r="DV36" s="140"/>
      <c r="DW36" s="140"/>
      <c r="DX36" s="140"/>
      <c r="DY36" s="140"/>
      <c r="DZ36" s="140"/>
    </row>
    <row r="37" spans="1:130" s="139" customFormat="1" ht="28.5" customHeight="1" x14ac:dyDescent="0.25">
      <c r="A37" s="4"/>
      <c r="B37" s="4"/>
      <c r="C37" s="175" t="s">
        <v>351</v>
      </c>
      <c r="D37" s="175" t="s">
        <v>431</v>
      </c>
      <c r="E37" s="3" t="s">
        <v>396</v>
      </c>
      <c r="F37" s="135"/>
      <c r="G37" s="135"/>
      <c r="H37" s="135"/>
      <c r="I37" s="135"/>
      <c r="J37" s="135"/>
      <c r="K37" s="135"/>
      <c r="L37" s="136"/>
      <c r="M37" s="5"/>
      <c r="N37" s="41"/>
      <c r="O37" s="6"/>
      <c r="P37" s="7"/>
      <c r="Q37" s="7"/>
      <c r="R37" s="7"/>
      <c r="S37" s="7"/>
      <c r="T37" s="89"/>
      <c r="U37" s="89"/>
      <c r="V37" s="89"/>
      <c r="W37" s="137"/>
      <c r="X37" s="137"/>
      <c r="Y37" s="90">
        <f t="shared" si="78"/>
        <v>0</v>
      </c>
      <c r="Z37" s="91"/>
      <c r="AA37" s="92"/>
      <c r="AB37" s="92"/>
      <c r="AC37" s="92">
        <f t="shared" si="79"/>
        <v>0</v>
      </c>
      <c r="AD37" s="93"/>
      <c r="AE37" s="93"/>
      <c r="AF37" s="94">
        <f t="shared" si="80"/>
        <v>0</v>
      </c>
      <c r="AG37" s="473"/>
      <c r="AH37" s="99">
        <v>150</v>
      </c>
      <c r="AI37" s="99">
        <f t="shared" si="81"/>
        <v>10</v>
      </c>
      <c r="AJ37" s="138"/>
      <c r="AK37" s="100">
        <f t="shared" si="82"/>
        <v>0</v>
      </c>
      <c r="AL37" s="101"/>
      <c r="AM37" s="100"/>
      <c r="AN37" s="100">
        <f t="shared" si="83"/>
        <v>0</v>
      </c>
      <c r="AO37" s="101"/>
      <c r="AP37" s="105">
        <v>150</v>
      </c>
      <c r="AQ37" s="105">
        <f t="shared" si="25"/>
        <v>10</v>
      </c>
      <c r="AR37" s="106"/>
      <c r="AS37" s="97">
        <f t="shared" si="48"/>
        <v>10</v>
      </c>
      <c r="AT37" s="98"/>
      <c r="AU37" s="105"/>
      <c r="AV37" s="455">
        <f t="shared" si="26"/>
        <v>0</v>
      </c>
      <c r="AW37" s="496"/>
      <c r="AX37" s="508"/>
      <c r="AY37" s="498"/>
      <c r="AZ37" s="100">
        <f t="shared" si="84"/>
        <v>0</v>
      </c>
      <c r="BA37" s="101"/>
      <c r="BB37" s="100"/>
      <c r="BC37" s="100">
        <f t="shared" si="85"/>
        <v>0</v>
      </c>
      <c r="BD37" s="101"/>
      <c r="BE37" s="105">
        <f t="shared" si="86"/>
        <v>0</v>
      </c>
      <c r="BF37" s="106"/>
      <c r="BG37" s="100">
        <f t="shared" si="50"/>
        <v>10</v>
      </c>
      <c r="BH37" s="106"/>
      <c r="BI37" s="100">
        <f t="shared" si="51"/>
        <v>0</v>
      </c>
      <c r="BJ37" s="106"/>
      <c r="BK37" s="101">
        <f t="shared" si="28"/>
        <v>10</v>
      </c>
      <c r="BL37" s="106"/>
      <c r="BM37" s="104"/>
      <c r="BN37" s="104"/>
      <c r="BO37" s="105"/>
      <c r="BP37" s="105">
        <f t="shared" si="29"/>
        <v>0</v>
      </c>
      <c r="BQ37" s="106"/>
      <c r="BR37" s="105"/>
      <c r="BS37" s="105">
        <f t="shared" si="30"/>
        <v>0</v>
      </c>
      <c r="BT37" s="106"/>
      <c r="BU37" s="53">
        <v>500</v>
      </c>
      <c r="BV37" s="53">
        <f t="shared" si="88"/>
        <v>10</v>
      </c>
      <c r="BW37" s="54"/>
      <c r="BX37" s="350">
        <f t="shared" si="19"/>
        <v>10</v>
      </c>
      <c r="BY37" s="211"/>
      <c r="BZ37" s="211">
        <f t="shared" si="54"/>
        <v>0</v>
      </c>
      <c r="CA37" s="508"/>
      <c r="CB37" s="7"/>
      <c r="CC37" s="7"/>
      <c r="CD37" s="7"/>
      <c r="CE37" s="504"/>
      <c r="CF37" s="105"/>
      <c r="CG37" s="105">
        <f t="shared" si="32"/>
        <v>0</v>
      </c>
      <c r="CH37" s="105"/>
      <c r="CI37" s="105"/>
      <c r="CJ37" s="105">
        <f t="shared" si="33"/>
        <v>0</v>
      </c>
      <c r="CK37" s="523"/>
      <c r="CL37" s="102">
        <f t="shared" si="89"/>
        <v>0</v>
      </c>
      <c r="CM37" s="103"/>
      <c r="CN37" s="100"/>
      <c r="CO37" s="100">
        <f t="shared" si="35"/>
        <v>0</v>
      </c>
      <c r="CP37" s="515"/>
      <c r="CQ37" s="441"/>
      <c r="CR37" s="504"/>
      <c r="CS37" s="105"/>
      <c r="CT37" s="105">
        <f t="shared" si="36"/>
        <v>0</v>
      </c>
      <c r="CU37" s="105"/>
      <c r="CV37" s="105"/>
      <c r="CW37" s="105">
        <f t="shared" si="37"/>
        <v>0</v>
      </c>
      <c r="CX37" s="53"/>
      <c r="CY37" s="109">
        <f t="shared" si="38"/>
        <v>0</v>
      </c>
      <c r="CZ37" s="54"/>
      <c r="DA37" s="105">
        <v>0</v>
      </c>
      <c r="DB37" s="455">
        <f t="shared" si="39"/>
        <v>0</v>
      </c>
      <c r="DC37" s="495"/>
      <c r="DD37" s="24" t="s">
        <v>282</v>
      </c>
      <c r="DF37" s="1133"/>
      <c r="DG37" s="674">
        <f t="shared" si="15"/>
        <v>0</v>
      </c>
      <c r="DH37" s="1119">
        <f t="shared" si="16"/>
        <v>0</v>
      </c>
      <c r="DI37" s="1119"/>
      <c r="DJ37" s="101">
        <f t="shared" si="17"/>
        <v>10</v>
      </c>
      <c r="DK37" s="101"/>
      <c r="DL37" s="101">
        <f t="shared" si="18"/>
        <v>0</v>
      </c>
      <c r="DM37" s="101"/>
      <c r="DN37" s="112"/>
      <c r="DO37" s="112"/>
      <c r="DP37" s="112"/>
      <c r="DQ37" s="112"/>
      <c r="DS37" s="140"/>
      <c r="DT37" s="140"/>
      <c r="DU37" s="140"/>
      <c r="DV37" s="140"/>
      <c r="DW37" s="140"/>
      <c r="DX37" s="140"/>
      <c r="DY37" s="140"/>
      <c r="DZ37" s="140"/>
    </row>
    <row r="38" spans="1:130" s="139" customFormat="1" ht="21.6" customHeight="1" x14ac:dyDescent="0.25">
      <c r="A38" s="4"/>
      <c r="B38" s="4"/>
      <c r="C38" s="175" t="s">
        <v>351</v>
      </c>
      <c r="D38" s="175" t="s">
        <v>431</v>
      </c>
      <c r="E38" s="3" t="s">
        <v>357</v>
      </c>
      <c r="F38" s="135"/>
      <c r="G38" s="135"/>
      <c r="H38" s="135"/>
      <c r="I38" s="135"/>
      <c r="J38" s="135"/>
      <c r="K38" s="135"/>
      <c r="L38" s="136"/>
      <c r="M38" s="5"/>
      <c r="N38" s="41"/>
      <c r="O38" s="6"/>
      <c r="P38" s="7"/>
      <c r="Q38" s="7"/>
      <c r="R38" s="7"/>
      <c r="S38" s="7"/>
      <c r="T38" s="89"/>
      <c r="U38" s="89"/>
      <c r="V38" s="89"/>
      <c r="W38" s="137"/>
      <c r="X38" s="137"/>
      <c r="Y38" s="90"/>
      <c r="Z38" s="91"/>
      <c r="AA38" s="92"/>
      <c r="AB38" s="92"/>
      <c r="AC38" s="92">
        <f t="shared" si="79"/>
        <v>0</v>
      </c>
      <c r="AD38" s="93"/>
      <c r="AE38" s="93"/>
      <c r="AF38" s="94">
        <f t="shared" si="80"/>
        <v>0</v>
      </c>
      <c r="AG38" s="473"/>
      <c r="AH38" s="99"/>
      <c r="AI38" s="99"/>
      <c r="AJ38" s="138">
        <v>80</v>
      </c>
      <c r="AK38" s="100">
        <f t="shared" si="82"/>
        <v>5.333333333333333</v>
      </c>
      <c r="AL38" s="101"/>
      <c r="AM38" s="100"/>
      <c r="AN38" s="100">
        <f t="shared" si="83"/>
        <v>0</v>
      </c>
      <c r="AO38" s="101"/>
      <c r="AP38" s="105"/>
      <c r="AQ38" s="105">
        <f t="shared" si="25"/>
        <v>0</v>
      </c>
      <c r="AR38" s="106"/>
      <c r="AS38" s="97">
        <f t="shared" si="48"/>
        <v>5.333333333333333</v>
      </c>
      <c r="AT38" s="98"/>
      <c r="AU38" s="105"/>
      <c r="AV38" s="455">
        <f t="shared" si="26"/>
        <v>0</v>
      </c>
      <c r="AW38" s="496"/>
      <c r="AX38" s="508"/>
      <c r="AY38" s="498">
        <v>60</v>
      </c>
      <c r="AZ38" s="100">
        <f t="shared" si="84"/>
        <v>4</v>
      </c>
      <c r="BA38" s="101"/>
      <c r="BB38" s="100"/>
      <c r="BC38" s="100">
        <f t="shared" si="85"/>
        <v>0</v>
      </c>
      <c r="BD38" s="101"/>
      <c r="BE38" s="105">
        <f t="shared" si="86"/>
        <v>9.3333333333333321</v>
      </c>
      <c r="BF38" s="106"/>
      <c r="BG38" s="100">
        <f t="shared" si="50"/>
        <v>0</v>
      </c>
      <c r="BH38" s="106"/>
      <c r="BI38" s="100">
        <f t="shared" si="51"/>
        <v>0</v>
      </c>
      <c r="BJ38" s="106"/>
      <c r="BK38" s="101">
        <f t="shared" si="28"/>
        <v>9.3333333333333321</v>
      </c>
      <c r="BL38" s="106"/>
      <c r="BM38" s="104"/>
      <c r="BN38" s="104"/>
      <c r="BO38" s="105">
        <v>450</v>
      </c>
      <c r="BP38" s="105">
        <f t="shared" si="29"/>
        <v>9</v>
      </c>
      <c r="BQ38" s="106"/>
      <c r="BR38" s="105"/>
      <c r="BS38" s="105">
        <f t="shared" si="30"/>
        <v>0</v>
      </c>
      <c r="BT38" s="106"/>
      <c r="BU38" s="53"/>
      <c r="BV38" s="53">
        <f t="shared" si="88"/>
        <v>0</v>
      </c>
      <c r="BW38" s="54"/>
      <c r="BX38" s="350">
        <f t="shared" si="19"/>
        <v>9</v>
      </c>
      <c r="BY38" s="211"/>
      <c r="BZ38" s="211">
        <f t="shared" si="54"/>
        <v>0.33333333333333215</v>
      </c>
      <c r="CA38" s="508"/>
      <c r="CB38" s="7"/>
      <c r="CC38" s="7"/>
      <c r="CD38" s="7"/>
      <c r="CE38" s="504"/>
      <c r="CF38" s="105"/>
      <c r="CG38" s="105">
        <f t="shared" si="32"/>
        <v>0</v>
      </c>
      <c r="CH38" s="105"/>
      <c r="CI38" s="105"/>
      <c r="CJ38" s="105">
        <f t="shared" si="33"/>
        <v>0</v>
      </c>
      <c r="CK38" s="523"/>
      <c r="CL38" s="102">
        <f t="shared" si="89"/>
        <v>0</v>
      </c>
      <c r="CM38" s="103"/>
      <c r="CN38" s="100"/>
      <c r="CO38" s="100">
        <f t="shared" si="35"/>
        <v>0</v>
      </c>
      <c r="CP38" s="515"/>
      <c r="CQ38" s="441"/>
      <c r="CR38" s="504"/>
      <c r="CS38" s="105"/>
      <c r="CT38" s="105">
        <f t="shared" si="36"/>
        <v>0</v>
      </c>
      <c r="CU38" s="105"/>
      <c r="CV38" s="105"/>
      <c r="CW38" s="105">
        <f t="shared" si="37"/>
        <v>0</v>
      </c>
      <c r="CX38" s="53"/>
      <c r="CY38" s="109">
        <f t="shared" si="38"/>
        <v>0</v>
      </c>
      <c r="CZ38" s="54"/>
      <c r="DA38" s="105"/>
      <c r="DB38" s="455">
        <f t="shared" si="39"/>
        <v>0</v>
      </c>
      <c r="DC38" s="495"/>
      <c r="DD38" s="24" t="s">
        <v>466</v>
      </c>
      <c r="DF38" s="1133"/>
      <c r="DG38" s="674">
        <f t="shared" si="15"/>
        <v>0</v>
      </c>
      <c r="DH38" s="1119">
        <f t="shared" si="16"/>
        <v>0</v>
      </c>
      <c r="DI38" s="1119"/>
      <c r="DJ38" s="101">
        <f t="shared" si="17"/>
        <v>9.3333333333333321</v>
      </c>
      <c r="DK38" s="101"/>
      <c r="DL38" s="101">
        <f t="shared" si="18"/>
        <v>0</v>
      </c>
      <c r="DM38" s="101"/>
      <c r="DN38" s="112"/>
      <c r="DO38" s="112"/>
      <c r="DP38" s="112"/>
      <c r="DQ38" s="112"/>
      <c r="DS38" s="140"/>
      <c r="DT38" s="140"/>
      <c r="DU38" s="140"/>
      <c r="DV38" s="140"/>
      <c r="DW38" s="140"/>
      <c r="DX38" s="140"/>
      <c r="DY38" s="140"/>
      <c r="DZ38" s="140"/>
    </row>
    <row r="39" spans="1:130" s="139" customFormat="1" ht="21.6" customHeight="1" x14ac:dyDescent="0.25">
      <c r="A39" s="4"/>
      <c r="B39" s="4"/>
      <c r="C39" s="176" t="s">
        <v>351</v>
      </c>
      <c r="D39" s="175" t="s">
        <v>431</v>
      </c>
      <c r="E39" s="3" t="s">
        <v>358</v>
      </c>
      <c r="F39" s="135"/>
      <c r="G39" s="135"/>
      <c r="H39" s="135"/>
      <c r="I39" s="135"/>
      <c r="J39" s="135"/>
      <c r="K39" s="135"/>
      <c r="L39" s="136"/>
      <c r="M39" s="5"/>
      <c r="N39" s="41"/>
      <c r="O39" s="6"/>
      <c r="P39" s="7"/>
      <c r="Q39" s="7"/>
      <c r="R39" s="7"/>
      <c r="S39" s="7"/>
      <c r="T39" s="89"/>
      <c r="U39" s="89"/>
      <c r="V39" s="89">
        <f t="shared" si="77"/>
        <v>0</v>
      </c>
      <c r="W39" s="137"/>
      <c r="X39" s="137"/>
      <c r="Y39" s="90">
        <f t="shared" si="78"/>
        <v>0</v>
      </c>
      <c r="Z39" s="91"/>
      <c r="AA39" s="92"/>
      <c r="AB39" s="92"/>
      <c r="AC39" s="92">
        <f t="shared" si="79"/>
        <v>0</v>
      </c>
      <c r="AD39" s="93"/>
      <c r="AE39" s="93"/>
      <c r="AF39" s="94">
        <f t="shared" si="80"/>
        <v>0</v>
      </c>
      <c r="AG39" s="473"/>
      <c r="AH39" s="99">
        <v>150</v>
      </c>
      <c r="AI39" s="99">
        <f t="shared" si="81"/>
        <v>10</v>
      </c>
      <c r="AJ39" s="138">
        <v>150</v>
      </c>
      <c r="AK39" s="100">
        <f t="shared" si="82"/>
        <v>10</v>
      </c>
      <c r="AL39" s="101"/>
      <c r="AM39" s="100"/>
      <c r="AN39" s="100">
        <f t="shared" si="83"/>
        <v>0</v>
      </c>
      <c r="AO39" s="101"/>
      <c r="AP39" s="105"/>
      <c r="AQ39" s="105">
        <f t="shared" si="25"/>
        <v>0</v>
      </c>
      <c r="AR39" s="106"/>
      <c r="AS39" s="97">
        <f t="shared" si="48"/>
        <v>10</v>
      </c>
      <c r="AT39" s="98"/>
      <c r="AU39" s="105"/>
      <c r="AV39" s="455">
        <f t="shared" si="26"/>
        <v>0</v>
      </c>
      <c r="AW39" s="496"/>
      <c r="AX39" s="508"/>
      <c r="AY39" s="498">
        <v>150</v>
      </c>
      <c r="AZ39" s="100">
        <f t="shared" si="84"/>
        <v>10</v>
      </c>
      <c r="BA39" s="101"/>
      <c r="BB39" s="100"/>
      <c r="BC39" s="100">
        <f t="shared" si="85"/>
        <v>0</v>
      </c>
      <c r="BD39" s="101"/>
      <c r="BE39" s="105">
        <f t="shared" si="86"/>
        <v>20</v>
      </c>
      <c r="BF39" s="106"/>
      <c r="BG39" s="100">
        <f t="shared" si="50"/>
        <v>0</v>
      </c>
      <c r="BH39" s="106"/>
      <c r="BI39" s="100">
        <f t="shared" si="51"/>
        <v>0</v>
      </c>
      <c r="BJ39" s="106"/>
      <c r="BK39" s="101">
        <f t="shared" si="28"/>
        <v>20</v>
      </c>
      <c r="BL39" s="106"/>
      <c r="BM39" s="104">
        <f>BN39*50</f>
        <v>1000</v>
      </c>
      <c r="BN39" s="104">
        <v>20</v>
      </c>
      <c r="BO39" s="105">
        <v>1000</v>
      </c>
      <c r="BP39" s="105">
        <f t="shared" si="29"/>
        <v>20</v>
      </c>
      <c r="BQ39" s="106"/>
      <c r="BR39" s="105"/>
      <c r="BS39" s="105">
        <f t="shared" si="30"/>
        <v>0</v>
      </c>
      <c r="BT39" s="106"/>
      <c r="BU39" s="53"/>
      <c r="BV39" s="53">
        <f t="shared" si="88"/>
        <v>0</v>
      </c>
      <c r="BW39" s="54"/>
      <c r="BX39" s="350">
        <f t="shared" si="19"/>
        <v>20</v>
      </c>
      <c r="BY39" s="211"/>
      <c r="BZ39" s="211">
        <f t="shared" si="54"/>
        <v>0</v>
      </c>
      <c r="CA39" s="508"/>
      <c r="CB39" s="7"/>
      <c r="CC39" s="7"/>
      <c r="CD39" s="7"/>
      <c r="CE39" s="504"/>
      <c r="CF39" s="105"/>
      <c r="CG39" s="105">
        <f t="shared" si="32"/>
        <v>0</v>
      </c>
      <c r="CH39" s="105"/>
      <c r="CI39" s="105"/>
      <c r="CJ39" s="105">
        <f t="shared" si="33"/>
        <v>0</v>
      </c>
      <c r="CK39" s="523"/>
      <c r="CL39" s="102">
        <f t="shared" si="89"/>
        <v>0</v>
      </c>
      <c r="CM39" s="103"/>
      <c r="CN39" s="100"/>
      <c r="CO39" s="100">
        <f t="shared" si="35"/>
        <v>0</v>
      </c>
      <c r="CP39" s="515"/>
      <c r="CQ39" s="441"/>
      <c r="CR39" s="504"/>
      <c r="CS39" s="105"/>
      <c r="CT39" s="105">
        <f t="shared" si="36"/>
        <v>0</v>
      </c>
      <c r="CU39" s="105"/>
      <c r="CV39" s="105"/>
      <c r="CW39" s="105">
        <f t="shared" si="37"/>
        <v>0</v>
      </c>
      <c r="CX39" s="53"/>
      <c r="CY39" s="109">
        <f t="shared" si="38"/>
        <v>0</v>
      </c>
      <c r="CZ39" s="54"/>
      <c r="DA39" s="105"/>
      <c r="DB39" s="455">
        <f t="shared" si="39"/>
        <v>0</v>
      </c>
      <c r="DC39" s="495"/>
      <c r="DD39" s="24"/>
      <c r="DF39" s="1133"/>
      <c r="DG39" s="674">
        <f t="shared" si="15"/>
        <v>0</v>
      </c>
      <c r="DH39" s="1119">
        <f t="shared" si="16"/>
        <v>0</v>
      </c>
      <c r="DI39" s="1119"/>
      <c r="DJ39" s="101">
        <f t="shared" si="17"/>
        <v>20</v>
      </c>
      <c r="DK39" s="101"/>
      <c r="DL39" s="101">
        <f t="shared" si="18"/>
        <v>0</v>
      </c>
      <c r="DM39" s="101"/>
      <c r="DN39" s="112"/>
      <c r="DO39" s="112"/>
      <c r="DP39" s="112"/>
      <c r="DQ39" s="112"/>
      <c r="DS39" s="140"/>
      <c r="DT39" s="140"/>
      <c r="DU39" s="140"/>
      <c r="DV39" s="140"/>
      <c r="DW39" s="140"/>
      <c r="DX39" s="140"/>
      <c r="DY39" s="140"/>
      <c r="DZ39" s="140"/>
    </row>
    <row r="40" spans="1:130" s="151" customFormat="1" ht="21.6" customHeight="1" x14ac:dyDescent="0.25">
      <c r="A40" s="141"/>
      <c r="B40" s="141"/>
      <c r="C40" s="178"/>
      <c r="D40" s="173"/>
      <c r="E40" s="22"/>
      <c r="F40" s="144"/>
      <c r="G40" s="144"/>
      <c r="H40" s="144"/>
      <c r="I40" s="144"/>
      <c r="J40" s="144"/>
      <c r="K40" s="144"/>
      <c r="L40" s="145"/>
      <c r="M40" s="146"/>
      <c r="N40" s="147"/>
      <c r="O40" s="131"/>
      <c r="P40" s="148"/>
      <c r="Q40" s="148"/>
      <c r="R40" s="148"/>
      <c r="S40" s="148"/>
      <c r="T40" s="123"/>
      <c r="U40" s="123"/>
      <c r="V40" s="123"/>
      <c r="W40" s="149"/>
      <c r="X40" s="149"/>
      <c r="Y40" s="124"/>
      <c r="Z40" s="125"/>
      <c r="AA40" s="123"/>
      <c r="AB40" s="123"/>
      <c r="AC40" s="123"/>
      <c r="AD40" s="124"/>
      <c r="AE40" s="124"/>
      <c r="AF40" s="126"/>
      <c r="AG40" s="474"/>
      <c r="AH40" s="129"/>
      <c r="AI40" s="129"/>
      <c r="AJ40" s="138"/>
      <c r="AK40" s="100"/>
      <c r="AL40" s="101"/>
      <c r="AM40" s="100"/>
      <c r="AN40" s="100"/>
      <c r="AO40" s="101"/>
      <c r="AP40" s="105"/>
      <c r="AQ40" s="105">
        <f t="shared" si="25"/>
        <v>0</v>
      </c>
      <c r="AR40" s="106"/>
      <c r="AS40" s="97">
        <f t="shared" si="48"/>
        <v>0</v>
      </c>
      <c r="AT40" s="98"/>
      <c r="AU40" s="105"/>
      <c r="AV40" s="455">
        <f t="shared" si="26"/>
        <v>0</v>
      </c>
      <c r="AW40" s="496"/>
      <c r="AX40" s="508"/>
      <c r="AY40" s="498"/>
      <c r="AZ40" s="100"/>
      <c r="BA40" s="101"/>
      <c r="BB40" s="100"/>
      <c r="BC40" s="100"/>
      <c r="BD40" s="101"/>
      <c r="BE40" s="105"/>
      <c r="BF40" s="106"/>
      <c r="BG40" s="100">
        <f t="shared" si="50"/>
        <v>0</v>
      </c>
      <c r="BH40" s="106"/>
      <c r="BI40" s="100">
        <f t="shared" si="51"/>
        <v>0</v>
      </c>
      <c r="BJ40" s="106"/>
      <c r="BK40" s="101">
        <f t="shared" si="28"/>
        <v>0</v>
      </c>
      <c r="BL40" s="106"/>
      <c r="BM40" s="130"/>
      <c r="BN40" s="130"/>
      <c r="BO40" s="105"/>
      <c r="BP40" s="105">
        <f t="shared" si="29"/>
        <v>0</v>
      </c>
      <c r="BQ40" s="106"/>
      <c r="BR40" s="105"/>
      <c r="BS40" s="105"/>
      <c r="BT40" s="106"/>
      <c r="BU40" s="53"/>
      <c r="BV40" s="53"/>
      <c r="BW40" s="54"/>
      <c r="BX40" s="350">
        <f t="shared" si="19"/>
        <v>0</v>
      </c>
      <c r="BY40" s="194"/>
      <c r="BZ40" s="194">
        <f t="shared" si="54"/>
        <v>0</v>
      </c>
      <c r="CA40" s="536"/>
      <c r="CB40" s="148"/>
      <c r="CC40" s="148"/>
      <c r="CD40" s="148"/>
      <c r="CE40" s="504"/>
      <c r="CF40" s="105"/>
      <c r="CG40" s="105">
        <f t="shared" si="32"/>
        <v>0</v>
      </c>
      <c r="CH40" s="105"/>
      <c r="CI40" s="105"/>
      <c r="CJ40" s="105">
        <f t="shared" si="33"/>
        <v>0</v>
      </c>
      <c r="CK40" s="523"/>
      <c r="CL40" s="102"/>
      <c r="CM40" s="103"/>
      <c r="CN40" s="100"/>
      <c r="CO40" s="100">
        <f t="shared" si="35"/>
        <v>0</v>
      </c>
      <c r="CP40" s="515"/>
      <c r="CQ40" s="441"/>
      <c r="CR40" s="504"/>
      <c r="CS40" s="105"/>
      <c r="CT40" s="105">
        <f t="shared" si="36"/>
        <v>0</v>
      </c>
      <c r="CU40" s="105"/>
      <c r="CV40" s="105"/>
      <c r="CW40" s="105">
        <f t="shared" si="37"/>
        <v>0</v>
      </c>
      <c r="CX40" s="53"/>
      <c r="CY40" s="109">
        <f t="shared" si="38"/>
        <v>0</v>
      </c>
      <c r="CZ40" s="54"/>
      <c r="DA40" s="105"/>
      <c r="DB40" s="455">
        <f t="shared" si="39"/>
        <v>0</v>
      </c>
      <c r="DC40" s="495"/>
      <c r="DD40" s="31"/>
      <c r="DF40" s="1133"/>
      <c r="DG40" s="674">
        <f t="shared" si="15"/>
        <v>0</v>
      </c>
      <c r="DH40" s="1119">
        <f t="shared" si="16"/>
        <v>0</v>
      </c>
      <c r="DI40" s="1119"/>
      <c r="DJ40" s="101">
        <f t="shared" si="17"/>
        <v>0</v>
      </c>
      <c r="DK40" s="101"/>
      <c r="DL40" s="101">
        <f t="shared" si="18"/>
        <v>0</v>
      </c>
      <c r="DM40" s="101"/>
      <c r="DN40" s="112"/>
      <c r="DO40" s="112"/>
      <c r="DP40" s="112"/>
      <c r="DQ40" s="112"/>
      <c r="DS40" s="152"/>
      <c r="DT40" s="152"/>
      <c r="DU40" s="152"/>
      <c r="DV40" s="152"/>
      <c r="DW40" s="152"/>
      <c r="DX40" s="152"/>
      <c r="DY40" s="152"/>
      <c r="DZ40" s="152"/>
    </row>
    <row r="41" spans="1:130" ht="21.6" customHeight="1" x14ac:dyDescent="0.25">
      <c r="A41" s="4" t="s">
        <v>9</v>
      </c>
      <c r="B41" s="4">
        <v>1</v>
      </c>
      <c r="C41" s="166" t="s">
        <v>23</v>
      </c>
      <c r="D41" s="167"/>
      <c r="E41" s="1" t="s">
        <v>24</v>
      </c>
      <c r="F41" s="162">
        <v>36</v>
      </c>
      <c r="G41" s="162">
        <v>8</v>
      </c>
      <c r="H41" s="162">
        <f t="shared" si="61"/>
        <v>44</v>
      </c>
      <c r="I41" s="162"/>
      <c r="J41" s="162">
        <v>22.25</v>
      </c>
      <c r="K41" s="162">
        <f t="shared" si="62"/>
        <v>22.25</v>
      </c>
      <c r="L41" s="168"/>
      <c r="M41" s="414"/>
      <c r="N41" s="46"/>
      <c r="O41" s="164"/>
      <c r="P41" s="165"/>
      <c r="Q41" s="165"/>
      <c r="R41" s="165"/>
      <c r="S41" s="165"/>
      <c r="T41" s="89"/>
      <c r="U41" s="89"/>
      <c r="V41" s="89">
        <f t="shared" si="63"/>
        <v>0</v>
      </c>
      <c r="W41" s="137"/>
      <c r="X41" s="137"/>
      <c r="Y41" s="90">
        <f t="shared" si="64"/>
        <v>0</v>
      </c>
      <c r="Z41" s="169"/>
      <c r="AA41" s="92"/>
      <c r="AB41" s="92"/>
      <c r="AC41" s="92">
        <f t="shared" si="65"/>
        <v>0</v>
      </c>
      <c r="AD41" s="93"/>
      <c r="AE41" s="93"/>
      <c r="AF41" s="94">
        <f t="shared" si="66"/>
        <v>0</v>
      </c>
      <c r="AG41" s="475"/>
      <c r="AH41" s="99"/>
      <c r="AI41" s="99">
        <f t="shared" si="67"/>
        <v>0</v>
      </c>
      <c r="AJ41" s="138"/>
      <c r="AK41" s="100">
        <f>AJ41/15</f>
        <v>0</v>
      </c>
      <c r="AL41" s="101">
        <f>SUM(AK41:AK42)</f>
        <v>0</v>
      </c>
      <c r="AM41" s="100"/>
      <c r="AN41" s="100">
        <f t="shared" ref="AN41:AN42" si="90">AM41/15</f>
        <v>0</v>
      </c>
      <c r="AO41" s="101">
        <f>SUM(AN41:AN42)</f>
        <v>0</v>
      </c>
      <c r="AP41" s="100"/>
      <c r="AQ41" s="100">
        <f t="shared" si="25"/>
        <v>0</v>
      </c>
      <c r="AR41" s="101">
        <f>SUM(AQ41:AQ42)</f>
        <v>0</v>
      </c>
      <c r="AS41" s="97">
        <f t="shared" si="48"/>
        <v>0</v>
      </c>
      <c r="AT41" s="98">
        <f>SUM(AS41:AS42)</f>
        <v>0</v>
      </c>
      <c r="AU41" s="100"/>
      <c r="AV41" s="455">
        <f t="shared" si="26"/>
        <v>0</v>
      </c>
      <c r="AW41" s="515">
        <f>SUM(AV41:AV42)</f>
        <v>0</v>
      </c>
      <c r="AX41" s="438"/>
      <c r="AY41" s="498"/>
      <c r="AZ41" s="100">
        <f>AY41/15</f>
        <v>0</v>
      </c>
      <c r="BA41" s="101">
        <f>SUM(AZ41:AZ42)</f>
        <v>0</v>
      </c>
      <c r="BB41" s="100"/>
      <c r="BC41" s="100">
        <f t="shared" ref="BC41:BC42" si="91">BB41/15</f>
        <v>0</v>
      </c>
      <c r="BD41" s="101">
        <f>SUM(BC41:BC42)</f>
        <v>0</v>
      </c>
      <c r="BE41" s="105">
        <f>AK41+AZ41</f>
        <v>0</v>
      </c>
      <c r="BF41" s="101">
        <f>SUM(BE41:BE42)</f>
        <v>0</v>
      </c>
      <c r="BG41" s="100">
        <f t="shared" si="50"/>
        <v>0</v>
      </c>
      <c r="BH41" s="101">
        <f>SUM(BG41:BG42)</f>
        <v>0</v>
      </c>
      <c r="BI41" s="100">
        <f t="shared" si="51"/>
        <v>0</v>
      </c>
      <c r="BJ41" s="101">
        <f>SUM(BI41:BI42)</f>
        <v>0</v>
      </c>
      <c r="BK41" s="101">
        <f t="shared" si="28"/>
        <v>0</v>
      </c>
      <c r="BL41" s="101">
        <f>SUM(BK41:BK42)</f>
        <v>0</v>
      </c>
      <c r="BM41" s="104"/>
      <c r="BN41" s="104">
        <f t="shared" si="70"/>
        <v>0</v>
      </c>
      <c r="BO41" s="105"/>
      <c r="BP41" s="105">
        <f t="shared" si="29"/>
        <v>0</v>
      </c>
      <c r="BQ41" s="101">
        <f>SUM(BP41:BP42)</f>
        <v>0</v>
      </c>
      <c r="BR41" s="100"/>
      <c r="BS41" s="100">
        <f t="shared" si="30"/>
        <v>0</v>
      </c>
      <c r="BT41" s="101">
        <f>SUM(BS41:BS42)</f>
        <v>0</v>
      </c>
      <c r="BU41" s="102"/>
      <c r="BV41" s="102">
        <f t="shared" ref="BV41:BV42" si="92">BU41/50</f>
        <v>0</v>
      </c>
      <c r="BW41" s="103">
        <f>SUM(BV41:BV42)</f>
        <v>0</v>
      </c>
      <c r="BX41" s="350">
        <f t="shared" si="19"/>
        <v>0</v>
      </c>
      <c r="BY41" s="305">
        <f>SUM(BX41:BX42)</f>
        <v>0</v>
      </c>
      <c r="BZ41" s="305">
        <f t="shared" si="54"/>
        <v>0</v>
      </c>
      <c r="CA41" s="438"/>
      <c r="CB41" s="165"/>
      <c r="CC41" s="165"/>
      <c r="CD41" s="165"/>
      <c r="CE41" s="497"/>
      <c r="CF41" s="100"/>
      <c r="CG41" s="100">
        <f t="shared" si="32"/>
        <v>0</v>
      </c>
      <c r="CH41" s="100"/>
      <c r="CI41" s="100"/>
      <c r="CJ41" s="100">
        <f t="shared" si="33"/>
        <v>0</v>
      </c>
      <c r="CK41" s="523"/>
      <c r="CL41" s="102">
        <f t="shared" ref="CL41:CL42" si="93">CK41/15</f>
        <v>0</v>
      </c>
      <c r="CM41" s="103">
        <f>SUM(CL41:CL42)</f>
        <v>0</v>
      </c>
      <c r="CN41" s="100"/>
      <c r="CO41" s="100">
        <f t="shared" si="35"/>
        <v>0</v>
      </c>
      <c r="CP41" s="515">
        <f>SUM(CO41:CO42)</f>
        <v>0</v>
      </c>
      <c r="CQ41" s="441"/>
      <c r="CR41" s="497"/>
      <c r="CS41" s="100"/>
      <c r="CT41" s="100">
        <f t="shared" si="36"/>
        <v>0</v>
      </c>
      <c r="CU41" s="100"/>
      <c r="CV41" s="100"/>
      <c r="CW41" s="100">
        <f t="shared" si="37"/>
        <v>0</v>
      </c>
      <c r="CX41" s="102"/>
      <c r="CY41" s="109">
        <f t="shared" si="38"/>
        <v>0</v>
      </c>
      <c r="CZ41" s="103">
        <f>SUM(CY41:CY42)</f>
        <v>0</v>
      </c>
      <c r="DA41" s="100"/>
      <c r="DB41" s="455">
        <f t="shared" si="39"/>
        <v>0</v>
      </c>
      <c r="DC41" s="495">
        <f>SUM(DB41:DB42)</f>
        <v>0</v>
      </c>
      <c r="DD41" s="25"/>
      <c r="DF41" s="1133"/>
      <c r="DG41" s="674">
        <f t="shared" si="15"/>
        <v>0</v>
      </c>
      <c r="DH41" s="1119">
        <f t="shared" si="16"/>
        <v>0</v>
      </c>
      <c r="DI41" s="1119"/>
      <c r="DJ41" s="101">
        <f t="shared" si="17"/>
        <v>0</v>
      </c>
      <c r="DK41" s="101">
        <f>SUM(DJ41:DJ42)</f>
        <v>0</v>
      </c>
      <c r="DL41" s="101">
        <f t="shared" si="18"/>
        <v>0</v>
      </c>
      <c r="DM41" s="101"/>
      <c r="DN41" s="112"/>
      <c r="DO41" s="112"/>
      <c r="DP41" s="112"/>
      <c r="DQ41" s="112"/>
    </row>
    <row r="42" spans="1:130" ht="21.6" customHeight="1" x14ac:dyDescent="0.25">
      <c r="A42" s="4" t="s">
        <v>9</v>
      </c>
      <c r="B42" s="4">
        <v>2</v>
      </c>
      <c r="C42" s="174" t="s">
        <v>23</v>
      </c>
      <c r="D42" s="171"/>
      <c r="E42" s="1" t="s">
        <v>25</v>
      </c>
      <c r="F42" s="162">
        <v>42</v>
      </c>
      <c r="G42" s="162">
        <v>4</v>
      </c>
      <c r="H42" s="162">
        <f t="shared" si="61"/>
        <v>46</v>
      </c>
      <c r="I42" s="162"/>
      <c r="J42" s="162">
        <v>18.7</v>
      </c>
      <c r="K42" s="162">
        <f t="shared" si="62"/>
        <v>18.7</v>
      </c>
      <c r="L42" s="168"/>
      <c r="M42" s="414"/>
      <c r="N42" s="46"/>
      <c r="O42" s="164"/>
      <c r="P42" s="165"/>
      <c r="Q42" s="165"/>
      <c r="R42" s="165"/>
      <c r="S42" s="165"/>
      <c r="T42" s="89"/>
      <c r="U42" s="89"/>
      <c r="V42" s="89">
        <f t="shared" si="63"/>
        <v>0</v>
      </c>
      <c r="W42" s="137"/>
      <c r="X42" s="137"/>
      <c r="Y42" s="90">
        <f t="shared" si="64"/>
        <v>0</v>
      </c>
      <c r="Z42" s="169"/>
      <c r="AA42" s="92"/>
      <c r="AB42" s="92"/>
      <c r="AC42" s="92">
        <f t="shared" si="65"/>
        <v>0</v>
      </c>
      <c r="AD42" s="93"/>
      <c r="AE42" s="93"/>
      <c r="AF42" s="94">
        <f t="shared" si="66"/>
        <v>0</v>
      </c>
      <c r="AG42" s="475"/>
      <c r="AH42" s="99"/>
      <c r="AI42" s="99">
        <f t="shared" si="67"/>
        <v>0</v>
      </c>
      <c r="AJ42" s="138"/>
      <c r="AK42" s="100">
        <f>AJ42/15</f>
        <v>0</v>
      </c>
      <c r="AL42" s="101"/>
      <c r="AM42" s="100"/>
      <c r="AN42" s="100">
        <f t="shared" si="90"/>
        <v>0</v>
      </c>
      <c r="AO42" s="101"/>
      <c r="AP42" s="105"/>
      <c r="AQ42" s="105">
        <f t="shared" si="25"/>
        <v>0</v>
      </c>
      <c r="AR42" s="106"/>
      <c r="AS42" s="97">
        <f t="shared" si="48"/>
        <v>0</v>
      </c>
      <c r="AT42" s="98"/>
      <c r="AU42" s="105"/>
      <c r="AV42" s="455">
        <f t="shared" si="26"/>
        <v>0</v>
      </c>
      <c r="AW42" s="496"/>
      <c r="AX42" s="508"/>
      <c r="AY42" s="498"/>
      <c r="AZ42" s="100">
        <f>AY42/15</f>
        <v>0</v>
      </c>
      <c r="BA42" s="101"/>
      <c r="BB42" s="100"/>
      <c r="BC42" s="100">
        <f t="shared" si="91"/>
        <v>0</v>
      </c>
      <c r="BD42" s="101"/>
      <c r="BE42" s="105">
        <f>AK42+AZ42</f>
        <v>0</v>
      </c>
      <c r="BF42" s="106"/>
      <c r="BG42" s="100">
        <f t="shared" si="50"/>
        <v>0</v>
      </c>
      <c r="BH42" s="106"/>
      <c r="BI42" s="100">
        <f t="shared" si="51"/>
        <v>0</v>
      </c>
      <c r="BJ42" s="106"/>
      <c r="BK42" s="101">
        <f t="shared" si="28"/>
        <v>0</v>
      </c>
      <c r="BL42" s="106"/>
      <c r="BM42" s="104"/>
      <c r="BN42" s="104">
        <f t="shared" si="70"/>
        <v>0</v>
      </c>
      <c r="BO42" s="105"/>
      <c r="BP42" s="105">
        <f t="shared" si="29"/>
        <v>0</v>
      </c>
      <c r="BQ42" s="106"/>
      <c r="BR42" s="105"/>
      <c r="BS42" s="105">
        <f t="shared" si="30"/>
        <v>0</v>
      </c>
      <c r="BT42" s="106"/>
      <c r="BU42" s="53"/>
      <c r="BV42" s="53">
        <f t="shared" si="92"/>
        <v>0</v>
      </c>
      <c r="BW42" s="54"/>
      <c r="BX42" s="350">
        <f t="shared" si="19"/>
        <v>0</v>
      </c>
      <c r="BY42" s="211"/>
      <c r="BZ42" s="211">
        <f t="shared" si="54"/>
        <v>0</v>
      </c>
      <c r="CA42" s="508"/>
      <c r="CB42" s="165"/>
      <c r="CC42" s="165"/>
      <c r="CD42" s="165"/>
      <c r="CE42" s="504"/>
      <c r="CF42" s="105"/>
      <c r="CG42" s="105">
        <f t="shared" si="32"/>
        <v>0</v>
      </c>
      <c r="CH42" s="105"/>
      <c r="CI42" s="105"/>
      <c r="CJ42" s="105">
        <f t="shared" si="33"/>
        <v>0</v>
      </c>
      <c r="CK42" s="523"/>
      <c r="CL42" s="102">
        <f t="shared" si="93"/>
        <v>0</v>
      </c>
      <c r="CM42" s="103"/>
      <c r="CN42" s="100"/>
      <c r="CO42" s="100">
        <f t="shared" si="35"/>
        <v>0</v>
      </c>
      <c r="CP42" s="515"/>
      <c r="CQ42" s="441"/>
      <c r="CR42" s="504"/>
      <c r="CS42" s="105"/>
      <c r="CT42" s="105">
        <f t="shared" si="36"/>
        <v>0</v>
      </c>
      <c r="CU42" s="105"/>
      <c r="CV42" s="105"/>
      <c r="CW42" s="105">
        <f t="shared" si="37"/>
        <v>0</v>
      </c>
      <c r="CX42" s="53"/>
      <c r="CY42" s="109">
        <f t="shared" si="38"/>
        <v>0</v>
      </c>
      <c r="CZ42" s="54"/>
      <c r="DA42" s="105"/>
      <c r="DB42" s="455">
        <f t="shared" si="39"/>
        <v>0</v>
      </c>
      <c r="DC42" s="495"/>
      <c r="DD42" s="25"/>
      <c r="DF42" s="1133"/>
      <c r="DG42" s="674">
        <f t="shared" si="15"/>
        <v>0</v>
      </c>
      <c r="DH42" s="1119">
        <f t="shared" si="16"/>
        <v>0</v>
      </c>
      <c r="DI42" s="1119"/>
      <c r="DJ42" s="101">
        <f t="shared" si="17"/>
        <v>0</v>
      </c>
      <c r="DK42" s="101"/>
      <c r="DL42" s="101">
        <f t="shared" si="18"/>
        <v>0</v>
      </c>
      <c r="DM42" s="101"/>
      <c r="DN42" s="112"/>
      <c r="DO42" s="112"/>
      <c r="DP42" s="112"/>
      <c r="DQ42" s="112"/>
    </row>
    <row r="43" spans="1:130" s="151" customFormat="1" ht="21.6" customHeight="1" x14ac:dyDescent="0.25">
      <c r="A43" s="141"/>
      <c r="B43" s="141"/>
      <c r="C43" s="172"/>
      <c r="D43" s="173"/>
      <c r="E43" s="22"/>
      <c r="F43" s="144"/>
      <c r="G43" s="144"/>
      <c r="H43" s="144"/>
      <c r="I43" s="144"/>
      <c r="J43" s="144"/>
      <c r="K43" s="144"/>
      <c r="L43" s="145"/>
      <c r="M43" s="146"/>
      <c r="N43" s="147"/>
      <c r="O43" s="179"/>
      <c r="P43" s="148"/>
      <c r="Q43" s="148"/>
      <c r="R43" s="148"/>
      <c r="S43" s="148"/>
      <c r="T43" s="123"/>
      <c r="U43" s="123"/>
      <c r="V43" s="123"/>
      <c r="W43" s="149"/>
      <c r="X43" s="149"/>
      <c r="Y43" s="124"/>
      <c r="Z43" s="125"/>
      <c r="AA43" s="123"/>
      <c r="AB43" s="123"/>
      <c r="AC43" s="123"/>
      <c r="AD43" s="124"/>
      <c r="AE43" s="124"/>
      <c r="AF43" s="126"/>
      <c r="AG43" s="474"/>
      <c r="AH43" s="129"/>
      <c r="AI43" s="129"/>
      <c r="AJ43" s="138"/>
      <c r="AK43" s="100"/>
      <c r="AL43" s="101"/>
      <c r="AM43" s="100"/>
      <c r="AN43" s="100"/>
      <c r="AO43" s="101"/>
      <c r="AP43" s="105"/>
      <c r="AQ43" s="105">
        <f t="shared" si="25"/>
        <v>0</v>
      </c>
      <c r="AR43" s="106"/>
      <c r="AS43" s="97">
        <f t="shared" si="48"/>
        <v>0</v>
      </c>
      <c r="AT43" s="98"/>
      <c r="AU43" s="105"/>
      <c r="AV43" s="455">
        <f t="shared" si="26"/>
        <v>0</v>
      </c>
      <c r="AW43" s="496"/>
      <c r="AX43" s="508"/>
      <c r="AY43" s="498"/>
      <c r="AZ43" s="100"/>
      <c r="BA43" s="101"/>
      <c r="BB43" s="100"/>
      <c r="BC43" s="100"/>
      <c r="BD43" s="101"/>
      <c r="BE43" s="105"/>
      <c r="BF43" s="106"/>
      <c r="BG43" s="100">
        <f t="shared" si="50"/>
        <v>0</v>
      </c>
      <c r="BH43" s="106"/>
      <c r="BI43" s="100">
        <f t="shared" si="51"/>
        <v>0</v>
      </c>
      <c r="BJ43" s="106"/>
      <c r="BK43" s="101">
        <f t="shared" si="28"/>
        <v>0</v>
      </c>
      <c r="BL43" s="106"/>
      <c r="BM43" s="130"/>
      <c r="BN43" s="130"/>
      <c r="BO43" s="105"/>
      <c r="BP43" s="105">
        <f t="shared" si="29"/>
        <v>0</v>
      </c>
      <c r="BQ43" s="106"/>
      <c r="BR43" s="105"/>
      <c r="BS43" s="105"/>
      <c r="BT43" s="106"/>
      <c r="BU43" s="53"/>
      <c r="BV43" s="53"/>
      <c r="BW43" s="54"/>
      <c r="BX43" s="350">
        <f t="shared" si="19"/>
        <v>0</v>
      </c>
      <c r="BY43" s="194"/>
      <c r="BZ43" s="194">
        <f t="shared" si="54"/>
        <v>0</v>
      </c>
      <c r="CA43" s="536"/>
      <c r="CB43" s="148"/>
      <c r="CC43" s="148"/>
      <c r="CD43" s="148"/>
      <c r="CE43" s="504"/>
      <c r="CF43" s="105"/>
      <c r="CG43" s="105">
        <f t="shared" si="32"/>
        <v>0</v>
      </c>
      <c r="CH43" s="105"/>
      <c r="CI43" s="105"/>
      <c r="CJ43" s="105">
        <f t="shared" si="33"/>
        <v>0</v>
      </c>
      <c r="CK43" s="523"/>
      <c r="CL43" s="102"/>
      <c r="CM43" s="103"/>
      <c r="CN43" s="100"/>
      <c r="CO43" s="100">
        <f t="shared" si="35"/>
        <v>0</v>
      </c>
      <c r="CP43" s="515"/>
      <c r="CQ43" s="441"/>
      <c r="CR43" s="504"/>
      <c r="CS43" s="105"/>
      <c r="CT43" s="105">
        <f t="shared" si="36"/>
        <v>0</v>
      </c>
      <c r="CU43" s="105"/>
      <c r="CV43" s="105"/>
      <c r="CW43" s="105">
        <f t="shared" si="37"/>
        <v>0</v>
      </c>
      <c r="CX43" s="53"/>
      <c r="CY43" s="109">
        <f t="shared" si="38"/>
        <v>0</v>
      </c>
      <c r="CZ43" s="54"/>
      <c r="DA43" s="105"/>
      <c r="DB43" s="455">
        <f t="shared" si="39"/>
        <v>0</v>
      </c>
      <c r="DC43" s="495"/>
      <c r="DD43" s="31"/>
      <c r="DF43" s="1133"/>
      <c r="DG43" s="674">
        <f t="shared" si="15"/>
        <v>0</v>
      </c>
      <c r="DH43" s="1119">
        <f t="shared" si="16"/>
        <v>0</v>
      </c>
      <c r="DI43" s="1119"/>
      <c r="DJ43" s="101">
        <f t="shared" si="17"/>
        <v>0</v>
      </c>
      <c r="DK43" s="101"/>
      <c r="DL43" s="101">
        <f t="shared" si="18"/>
        <v>0</v>
      </c>
      <c r="DM43" s="101"/>
      <c r="DN43" s="112"/>
      <c r="DO43" s="112"/>
      <c r="DP43" s="112"/>
      <c r="DQ43" s="112"/>
      <c r="DS43" s="152"/>
      <c r="DT43" s="152"/>
      <c r="DU43" s="152"/>
      <c r="DV43" s="152"/>
      <c r="DW43" s="152"/>
      <c r="DX43" s="152"/>
      <c r="DY43" s="152"/>
      <c r="DZ43" s="152"/>
    </row>
    <row r="44" spans="1:130" ht="21.6" customHeight="1" x14ac:dyDescent="0.25">
      <c r="A44" s="4"/>
      <c r="B44" s="4"/>
      <c r="C44" s="167" t="s">
        <v>26</v>
      </c>
      <c r="D44" s="167" t="s">
        <v>431</v>
      </c>
      <c r="E44" s="3" t="s">
        <v>334</v>
      </c>
      <c r="F44" s="162"/>
      <c r="G44" s="162"/>
      <c r="H44" s="162"/>
      <c r="I44" s="162"/>
      <c r="J44" s="162"/>
      <c r="K44" s="162"/>
      <c r="L44" s="168"/>
      <c r="M44" s="414"/>
      <c r="N44" s="46"/>
      <c r="O44" s="5"/>
      <c r="P44" s="165"/>
      <c r="Q44" s="165"/>
      <c r="R44" s="165"/>
      <c r="S44" s="165"/>
      <c r="T44" s="89"/>
      <c r="U44" s="89"/>
      <c r="V44" s="89">
        <f t="shared" si="63"/>
        <v>0</v>
      </c>
      <c r="W44" s="137"/>
      <c r="X44" s="137"/>
      <c r="Y44" s="90">
        <f t="shared" si="64"/>
        <v>0</v>
      </c>
      <c r="Z44" s="169"/>
      <c r="AA44" s="92"/>
      <c r="AB44" s="92"/>
      <c r="AC44" s="92">
        <f t="shared" si="65"/>
        <v>0</v>
      </c>
      <c r="AD44" s="93"/>
      <c r="AE44" s="93"/>
      <c r="AF44" s="94">
        <f t="shared" si="66"/>
        <v>0</v>
      </c>
      <c r="AG44" s="475"/>
      <c r="AH44" s="99">
        <v>120</v>
      </c>
      <c r="AI44" s="99">
        <v>8.0500000000000007</v>
      </c>
      <c r="AJ44" s="138"/>
      <c r="AK44" s="100">
        <f>AJ44/15</f>
        <v>0</v>
      </c>
      <c r="AL44" s="101">
        <f>SUM(AK44:AK48)</f>
        <v>0</v>
      </c>
      <c r="AM44" s="100"/>
      <c r="AN44" s="100">
        <f t="shared" ref="AN44:AN48" si="94">AM44/15</f>
        <v>0</v>
      </c>
      <c r="AO44" s="101">
        <f>SUM(AN44:AN48)</f>
        <v>0</v>
      </c>
      <c r="AP44" s="100"/>
      <c r="AQ44" s="100">
        <f t="shared" si="25"/>
        <v>0</v>
      </c>
      <c r="AR44" s="101">
        <f>SUM(AQ44:AQ48)</f>
        <v>0</v>
      </c>
      <c r="AS44" s="97">
        <f t="shared" si="48"/>
        <v>0</v>
      </c>
      <c r="AT44" s="98">
        <f>SUM(AS44:AS48)</f>
        <v>0</v>
      </c>
      <c r="AU44" s="100">
        <v>75</v>
      </c>
      <c r="AV44" s="455">
        <f t="shared" si="26"/>
        <v>5</v>
      </c>
      <c r="AW44" s="515">
        <f>SUM(AV44:AV48)</f>
        <v>44</v>
      </c>
      <c r="AX44" s="438"/>
      <c r="AY44" s="498"/>
      <c r="AZ44" s="100">
        <f>AY44/15</f>
        <v>0</v>
      </c>
      <c r="BA44" s="101">
        <f>SUM(AZ44:AZ48)</f>
        <v>0</v>
      </c>
      <c r="BB44" s="100">
        <v>45</v>
      </c>
      <c r="BC44" s="100">
        <f t="shared" ref="BC44:BC48" si="95">BB44/15</f>
        <v>3</v>
      </c>
      <c r="BD44" s="101">
        <f>SUM(BC44:BC48)</f>
        <v>11</v>
      </c>
      <c r="BE44" s="105">
        <f>AK44+AZ44</f>
        <v>0</v>
      </c>
      <c r="BF44" s="101">
        <f>SUM(BE44:BE48)</f>
        <v>0</v>
      </c>
      <c r="BG44" s="100">
        <f t="shared" si="50"/>
        <v>3</v>
      </c>
      <c r="BH44" s="101">
        <f>SUM(BG44:BG48)</f>
        <v>11</v>
      </c>
      <c r="BI44" s="100">
        <f t="shared" si="51"/>
        <v>5</v>
      </c>
      <c r="BJ44" s="101">
        <f>SUM(BI44:BI48)</f>
        <v>44</v>
      </c>
      <c r="BK44" s="101">
        <f t="shared" si="28"/>
        <v>8</v>
      </c>
      <c r="BL44" s="101">
        <f>SUM(BK44:BK48)</f>
        <v>55</v>
      </c>
      <c r="BM44" s="104">
        <v>402.5</v>
      </c>
      <c r="BN44" s="104">
        <f t="shared" si="70"/>
        <v>8.0500000000000007</v>
      </c>
      <c r="BO44" s="105"/>
      <c r="BP44" s="105">
        <f t="shared" si="29"/>
        <v>0</v>
      </c>
      <c r="BQ44" s="101">
        <f>SUM(BP44:BP48)</f>
        <v>0</v>
      </c>
      <c r="BR44" s="100">
        <v>150</v>
      </c>
      <c r="BS44" s="100">
        <f t="shared" si="30"/>
        <v>3</v>
      </c>
      <c r="BT44" s="101">
        <f>SUM(BS44:BS48)</f>
        <v>11</v>
      </c>
      <c r="BU44" s="102">
        <v>250</v>
      </c>
      <c r="BV44" s="102">
        <f t="shared" ref="BV44:BV48" si="96">BU44/50</f>
        <v>5</v>
      </c>
      <c r="BW44" s="103">
        <f>SUM(BV44:BV48)</f>
        <v>44</v>
      </c>
      <c r="BX44" s="350">
        <f t="shared" si="19"/>
        <v>8</v>
      </c>
      <c r="BY44" s="305">
        <f>SUM(BX44:BX48)</f>
        <v>55</v>
      </c>
      <c r="BZ44" s="305">
        <f t="shared" si="54"/>
        <v>0</v>
      </c>
      <c r="CA44" s="438"/>
      <c r="CB44" s="165"/>
      <c r="CC44" s="165"/>
      <c r="CD44" s="165"/>
      <c r="CE44" s="497"/>
      <c r="CF44" s="100"/>
      <c r="CG44" s="100">
        <f t="shared" si="32"/>
        <v>0</v>
      </c>
      <c r="CH44" s="100"/>
      <c r="CI44" s="100"/>
      <c r="CJ44" s="100">
        <f t="shared" si="33"/>
        <v>0</v>
      </c>
      <c r="CK44" s="523"/>
      <c r="CL44" s="102">
        <f t="shared" ref="CL44:CL48" si="97">CK44/15</f>
        <v>0</v>
      </c>
      <c r="CM44" s="180">
        <f>SUM(CL44:CL48)</f>
        <v>0</v>
      </c>
      <c r="CN44" s="100"/>
      <c r="CO44" s="100">
        <f t="shared" si="35"/>
        <v>0</v>
      </c>
      <c r="CP44" s="515">
        <f>SUM(CO44:CO48)</f>
        <v>0</v>
      </c>
      <c r="CQ44" s="441"/>
      <c r="CR44" s="497"/>
      <c r="CS44" s="100"/>
      <c r="CT44" s="100">
        <f t="shared" si="36"/>
        <v>0</v>
      </c>
      <c r="CU44" s="100"/>
      <c r="CV44" s="100"/>
      <c r="CW44" s="100">
        <f t="shared" si="37"/>
        <v>0</v>
      </c>
      <c r="CX44" s="102"/>
      <c r="CY44" s="109">
        <f t="shared" si="38"/>
        <v>0</v>
      </c>
      <c r="CZ44" s="103">
        <f>SUM(CY44:CY48)</f>
        <v>0</v>
      </c>
      <c r="DA44" s="100"/>
      <c r="DB44" s="455">
        <f t="shared" si="39"/>
        <v>0</v>
      </c>
      <c r="DC44" s="495">
        <f>SUM(DB44:DB48)</f>
        <v>0</v>
      </c>
      <c r="DD44" s="25"/>
      <c r="DF44" s="1133"/>
      <c r="DG44" s="674">
        <f t="shared" si="15"/>
        <v>5</v>
      </c>
      <c r="DH44" s="1119">
        <f t="shared" si="16"/>
        <v>3</v>
      </c>
      <c r="DI44" s="1119"/>
      <c r="DJ44" s="101">
        <f t="shared" si="17"/>
        <v>8</v>
      </c>
      <c r="DK44" s="101">
        <f>SUM(DJ44:DJ48)</f>
        <v>55</v>
      </c>
      <c r="DL44" s="101">
        <f t="shared" si="18"/>
        <v>0</v>
      </c>
      <c r="DM44" s="101"/>
      <c r="DN44" s="112"/>
      <c r="DO44" s="112"/>
      <c r="DP44" s="112"/>
      <c r="DQ44" s="112"/>
    </row>
    <row r="45" spans="1:130" ht="21.6" customHeight="1" x14ac:dyDescent="0.25">
      <c r="A45" s="4"/>
      <c r="B45" s="4"/>
      <c r="C45" s="167" t="s">
        <v>26</v>
      </c>
      <c r="D45" s="167" t="s">
        <v>431</v>
      </c>
      <c r="E45" s="3" t="s">
        <v>335</v>
      </c>
      <c r="F45" s="162"/>
      <c r="G45" s="162"/>
      <c r="H45" s="162"/>
      <c r="I45" s="162"/>
      <c r="J45" s="162"/>
      <c r="K45" s="162"/>
      <c r="L45" s="168"/>
      <c r="M45" s="414"/>
      <c r="N45" s="46"/>
      <c r="O45" s="5"/>
      <c r="P45" s="165"/>
      <c r="Q45" s="165"/>
      <c r="R45" s="165"/>
      <c r="S45" s="165"/>
      <c r="T45" s="89"/>
      <c r="U45" s="89"/>
      <c r="V45" s="89">
        <f t="shared" si="63"/>
        <v>0</v>
      </c>
      <c r="W45" s="137"/>
      <c r="X45" s="137"/>
      <c r="Y45" s="90">
        <f t="shared" si="64"/>
        <v>0</v>
      </c>
      <c r="Z45" s="169"/>
      <c r="AA45" s="92"/>
      <c r="AB45" s="92"/>
      <c r="AC45" s="92">
        <f t="shared" si="65"/>
        <v>0</v>
      </c>
      <c r="AD45" s="93"/>
      <c r="AE45" s="93"/>
      <c r="AF45" s="94">
        <f t="shared" si="66"/>
        <v>0</v>
      </c>
      <c r="AG45" s="475"/>
      <c r="AH45" s="99">
        <v>365</v>
      </c>
      <c r="AI45" s="99">
        <v>24.5</v>
      </c>
      <c r="AJ45" s="138"/>
      <c r="AK45" s="100">
        <f>AJ45/15</f>
        <v>0</v>
      </c>
      <c r="AL45" s="101"/>
      <c r="AM45" s="100"/>
      <c r="AN45" s="100">
        <f t="shared" si="94"/>
        <v>0</v>
      </c>
      <c r="AO45" s="101"/>
      <c r="AP45" s="105"/>
      <c r="AQ45" s="105">
        <f t="shared" si="25"/>
        <v>0</v>
      </c>
      <c r="AR45" s="106"/>
      <c r="AS45" s="97">
        <f t="shared" si="48"/>
        <v>0</v>
      </c>
      <c r="AT45" s="98"/>
      <c r="AU45" s="105">
        <v>225</v>
      </c>
      <c r="AV45" s="455">
        <f t="shared" si="26"/>
        <v>15</v>
      </c>
      <c r="AW45" s="496"/>
      <c r="AX45" s="508"/>
      <c r="AY45" s="498"/>
      <c r="AZ45" s="100">
        <f>AY45/15</f>
        <v>0</v>
      </c>
      <c r="BA45" s="101"/>
      <c r="BB45" s="100">
        <v>105</v>
      </c>
      <c r="BC45" s="100">
        <f t="shared" si="95"/>
        <v>7</v>
      </c>
      <c r="BD45" s="101"/>
      <c r="BE45" s="105">
        <f>AK45+AZ45</f>
        <v>0</v>
      </c>
      <c r="BF45" s="106"/>
      <c r="BG45" s="100">
        <f t="shared" si="50"/>
        <v>7</v>
      </c>
      <c r="BH45" s="106"/>
      <c r="BI45" s="100">
        <f t="shared" si="51"/>
        <v>15</v>
      </c>
      <c r="BJ45" s="106"/>
      <c r="BK45" s="101">
        <f t="shared" si="28"/>
        <v>22</v>
      </c>
      <c r="BL45" s="106"/>
      <c r="BM45" s="104">
        <v>1225</v>
      </c>
      <c r="BN45" s="104">
        <f t="shared" si="70"/>
        <v>24.5</v>
      </c>
      <c r="BO45" s="105"/>
      <c r="BP45" s="105">
        <f t="shared" si="29"/>
        <v>0</v>
      </c>
      <c r="BQ45" s="106"/>
      <c r="BR45" s="105">
        <v>350</v>
      </c>
      <c r="BS45" s="105">
        <f t="shared" si="30"/>
        <v>7</v>
      </c>
      <c r="BT45" s="106"/>
      <c r="BU45" s="53">
        <v>750</v>
      </c>
      <c r="BV45" s="53">
        <f t="shared" si="96"/>
        <v>15</v>
      </c>
      <c r="BW45" s="54"/>
      <c r="BX45" s="350">
        <f t="shared" si="19"/>
        <v>22</v>
      </c>
      <c r="BY45" s="211"/>
      <c r="BZ45" s="211">
        <f t="shared" si="54"/>
        <v>0</v>
      </c>
      <c r="CA45" s="508"/>
      <c r="CB45" s="165"/>
      <c r="CC45" s="165"/>
      <c r="CD45" s="165"/>
      <c r="CE45" s="504"/>
      <c r="CF45" s="105"/>
      <c r="CG45" s="105">
        <f t="shared" si="32"/>
        <v>0</v>
      </c>
      <c r="CH45" s="105"/>
      <c r="CI45" s="105"/>
      <c r="CJ45" s="105">
        <f t="shared" si="33"/>
        <v>0</v>
      </c>
      <c r="CK45" s="523"/>
      <c r="CL45" s="102">
        <f t="shared" si="97"/>
        <v>0</v>
      </c>
      <c r="CM45" s="103"/>
      <c r="CN45" s="100"/>
      <c r="CO45" s="100">
        <f t="shared" si="35"/>
        <v>0</v>
      </c>
      <c r="CP45" s="515"/>
      <c r="CQ45" s="441"/>
      <c r="CR45" s="504"/>
      <c r="CS45" s="105"/>
      <c r="CT45" s="105">
        <f t="shared" si="36"/>
        <v>0</v>
      </c>
      <c r="CU45" s="105"/>
      <c r="CV45" s="105"/>
      <c r="CW45" s="105">
        <f t="shared" si="37"/>
        <v>0</v>
      </c>
      <c r="CX45" s="53"/>
      <c r="CY45" s="109">
        <f t="shared" si="38"/>
        <v>0</v>
      </c>
      <c r="CZ45" s="54"/>
      <c r="DA45" s="105"/>
      <c r="DB45" s="455">
        <f t="shared" si="39"/>
        <v>0</v>
      </c>
      <c r="DC45" s="495"/>
      <c r="DD45" s="25"/>
      <c r="DF45" s="1133"/>
      <c r="DG45" s="674">
        <f t="shared" si="15"/>
        <v>15</v>
      </c>
      <c r="DH45" s="1119">
        <f t="shared" si="16"/>
        <v>7</v>
      </c>
      <c r="DI45" s="1119"/>
      <c r="DJ45" s="101">
        <f t="shared" si="17"/>
        <v>22</v>
      </c>
      <c r="DK45" s="101"/>
      <c r="DL45" s="101">
        <f t="shared" si="18"/>
        <v>0</v>
      </c>
      <c r="DM45" s="101"/>
      <c r="DN45" s="112"/>
      <c r="DO45" s="112"/>
      <c r="DP45" s="112"/>
      <c r="DQ45" s="112"/>
    </row>
    <row r="46" spans="1:130" s="139" customFormat="1" ht="21.6" customHeight="1" x14ac:dyDescent="0.25">
      <c r="A46" s="4"/>
      <c r="B46" s="4"/>
      <c r="C46" s="182" t="s">
        <v>26</v>
      </c>
      <c r="D46" s="182" t="s">
        <v>431</v>
      </c>
      <c r="E46" s="3" t="s">
        <v>377</v>
      </c>
      <c r="F46" s="135"/>
      <c r="G46" s="135"/>
      <c r="H46" s="135"/>
      <c r="I46" s="135"/>
      <c r="J46" s="135"/>
      <c r="K46" s="135"/>
      <c r="L46" s="183"/>
      <c r="M46" s="5"/>
      <c r="N46" s="41"/>
      <c r="O46" s="156"/>
      <c r="P46" s="7"/>
      <c r="Q46" s="7"/>
      <c r="R46" s="7"/>
      <c r="S46" s="7"/>
      <c r="T46" s="89"/>
      <c r="U46" s="89"/>
      <c r="V46" s="89">
        <f t="shared" si="63"/>
        <v>0</v>
      </c>
      <c r="W46" s="137"/>
      <c r="X46" s="137"/>
      <c r="Y46" s="90">
        <f t="shared" si="64"/>
        <v>0</v>
      </c>
      <c r="Z46" s="91"/>
      <c r="AA46" s="92"/>
      <c r="AB46" s="92"/>
      <c r="AC46" s="92">
        <f>AA46+AB46</f>
        <v>0</v>
      </c>
      <c r="AD46" s="93"/>
      <c r="AE46" s="93"/>
      <c r="AF46" s="94">
        <f t="shared" si="66"/>
        <v>0</v>
      </c>
      <c r="AG46" s="473"/>
      <c r="AH46" s="99">
        <v>9.3350000000000009</v>
      </c>
      <c r="AI46" s="99"/>
      <c r="AJ46" s="138"/>
      <c r="AK46" s="100">
        <f>AJ46/15</f>
        <v>0</v>
      </c>
      <c r="AL46" s="101"/>
      <c r="AM46" s="100"/>
      <c r="AN46" s="100">
        <f t="shared" si="94"/>
        <v>0</v>
      </c>
      <c r="AO46" s="101"/>
      <c r="AP46" s="105"/>
      <c r="AQ46" s="105">
        <f t="shared" si="25"/>
        <v>0</v>
      </c>
      <c r="AR46" s="106"/>
      <c r="AS46" s="97">
        <f t="shared" si="48"/>
        <v>0</v>
      </c>
      <c r="AT46" s="98"/>
      <c r="AU46" s="105">
        <v>150</v>
      </c>
      <c r="AV46" s="455">
        <f t="shared" si="26"/>
        <v>10</v>
      </c>
      <c r="AW46" s="496"/>
      <c r="AX46" s="508"/>
      <c r="AY46" s="498"/>
      <c r="AZ46" s="100">
        <f>AY46/15</f>
        <v>0</v>
      </c>
      <c r="BA46" s="101"/>
      <c r="BB46" s="100">
        <v>15</v>
      </c>
      <c r="BC46" s="100">
        <f t="shared" si="95"/>
        <v>1</v>
      </c>
      <c r="BD46" s="101"/>
      <c r="BE46" s="105">
        <f>AK46+AZ46</f>
        <v>0</v>
      </c>
      <c r="BF46" s="106"/>
      <c r="BG46" s="100">
        <f t="shared" si="50"/>
        <v>1</v>
      </c>
      <c r="BH46" s="106"/>
      <c r="BI46" s="100">
        <f t="shared" si="51"/>
        <v>10</v>
      </c>
      <c r="BJ46" s="106"/>
      <c r="BK46" s="101">
        <f t="shared" si="28"/>
        <v>11</v>
      </c>
      <c r="BL46" s="106"/>
      <c r="BM46" s="104">
        <v>517.5</v>
      </c>
      <c r="BN46" s="104">
        <f t="shared" si="70"/>
        <v>10.35</v>
      </c>
      <c r="BO46" s="105"/>
      <c r="BP46" s="105">
        <f t="shared" si="29"/>
        <v>0</v>
      </c>
      <c r="BQ46" s="106"/>
      <c r="BR46" s="105">
        <v>50</v>
      </c>
      <c r="BS46" s="105">
        <f t="shared" si="30"/>
        <v>1</v>
      </c>
      <c r="BT46" s="106"/>
      <c r="BU46" s="53">
        <v>500</v>
      </c>
      <c r="BV46" s="53">
        <f t="shared" si="96"/>
        <v>10</v>
      </c>
      <c r="BW46" s="54"/>
      <c r="BX46" s="350">
        <f t="shared" si="19"/>
        <v>11</v>
      </c>
      <c r="BY46" s="211"/>
      <c r="BZ46" s="211">
        <f t="shared" si="54"/>
        <v>0</v>
      </c>
      <c r="CA46" s="508"/>
      <c r="CB46" s="7"/>
      <c r="CC46" s="7"/>
      <c r="CD46" s="7"/>
      <c r="CE46" s="504"/>
      <c r="CF46" s="105"/>
      <c r="CG46" s="105">
        <f t="shared" si="32"/>
        <v>0</v>
      </c>
      <c r="CH46" s="105"/>
      <c r="CI46" s="105"/>
      <c r="CJ46" s="105">
        <f t="shared" si="33"/>
        <v>0</v>
      </c>
      <c r="CK46" s="523"/>
      <c r="CL46" s="102">
        <f t="shared" si="97"/>
        <v>0</v>
      </c>
      <c r="CM46" s="103"/>
      <c r="CN46" s="100"/>
      <c r="CO46" s="100">
        <f t="shared" si="35"/>
        <v>0</v>
      </c>
      <c r="CP46" s="515"/>
      <c r="CQ46" s="441"/>
      <c r="CR46" s="504"/>
      <c r="CS46" s="105"/>
      <c r="CT46" s="105">
        <f t="shared" si="36"/>
        <v>0</v>
      </c>
      <c r="CU46" s="105"/>
      <c r="CV46" s="105"/>
      <c r="CW46" s="105">
        <f t="shared" si="37"/>
        <v>0</v>
      </c>
      <c r="CX46" s="53"/>
      <c r="CY46" s="109">
        <f t="shared" si="38"/>
        <v>0</v>
      </c>
      <c r="CZ46" s="54"/>
      <c r="DA46" s="105"/>
      <c r="DB46" s="455">
        <f t="shared" si="39"/>
        <v>0</v>
      </c>
      <c r="DC46" s="495"/>
      <c r="DD46" s="24"/>
      <c r="DF46" s="1133"/>
      <c r="DG46" s="674">
        <f t="shared" si="15"/>
        <v>10</v>
      </c>
      <c r="DH46" s="1119">
        <f t="shared" si="16"/>
        <v>1</v>
      </c>
      <c r="DI46" s="1119"/>
      <c r="DJ46" s="101">
        <f t="shared" si="17"/>
        <v>11</v>
      </c>
      <c r="DK46" s="101"/>
      <c r="DL46" s="101">
        <f t="shared" si="18"/>
        <v>0</v>
      </c>
      <c r="DM46" s="101"/>
      <c r="DN46" s="112"/>
      <c r="DO46" s="112"/>
      <c r="DP46" s="112"/>
      <c r="DQ46" s="112"/>
      <c r="DS46" s="140"/>
      <c r="DT46" s="140"/>
      <c r="DU46" s="140"/>
      <c r="DV46" s="140"/>
      <c r="DW46" s="140"/>
      <c r="DX46" s="140"/>
      <c r="DY46" s="140"/>
      <c r="DZ46" s="140"/>
    </row>
    <row r="47" spans="1:130" s="139" customFormat="1" ht="21.6" customHeight="1" x14ac:dyDescent="0.25">
      <c r="A47" s="4"/>
      <c r="B47" s="4"/>
      <c r="C47" s="182" t="s">
        <v>26</v>
      </c>
      <c r="D47" s="182" t="s">
        <v>437</v>
      </c>
      <c r="E47" s="3" t="s">
        <v>659</v>
      </c>
      <c r="F47" s="135"/>
      <c r="G47" s="135"/>
      <c r="H47" s="135"/>
      <c r="I47" s="135"/>
      <c r="J47" s="135"/>
      <c r="K47" s="135"/>
      <c r="L47" s="183"/>
      <c r="M47" s="5"/>
      <c r="N47" s="41"/>
      <c r="O47" s="156"/>
      <c r="P47" s="7"/>
      <c r="Q47" s="7"/>
      <c r="R47" s="7"/>
      <c r="S47" s="7"/>
      <c r="T47" s="89"/>
      <c r="U47" s="89"/>
      <c r="V47" s="89"/>
      <c r="W47" s="137"/>
      <c r="X47" s="137"/>
      <c r="Y47" s="90"/>
      <c r="Z47" s="91"/>
      <c r="AA47" s="92"/>
      <c r="AB47" s="92"/>
      <c r="AC47" s="92"/>
      <c r="AD47" s="93"/>
      <c r="AE47" s="93"/>
      <c r="AF47" s="94"/>
      <c r="AG47" s="473"/>
      <c r="AH47" s="99"/>
      <c r="AI47" s="99"/>
      <c r="AJ47" s="138"/>
      <c r="AK47" s="100"/>
      <c r="AL47" s="101"/>
      <c r="AM47" s="100"/>
      <c r="AN47" s="100"/>
      <c r="AO47" s="101"/>
      <c r="AP47" s="105"/>
      <c r="AQ47" s="105"/>
      <c r="AR47" s="106"/>
      <c r="AS47" s="97">
        <f t="shared" si="48"/>
        <v>0</v>
      </c>
      <c r="AT47" s="98"/>
      <c r="AU47" s="105">
        <v>210</v>
      </c>
      <c r="AV47" s="455">
        <f t="shared" si="26"/>
        <v>14</v>
      </c>
      <c r="AW47" s="496"/>
      <c r="AX47" s="508"/>
      <c r="AY47" s="498"/>
      <c r="AZ47" s="100"/>
      <c r="BA47" s="101"/>
      <c r="BB47" s="100"/>
      <c r="BC47" s="100">
        <f t="shared" si="95"/>
        <v>0</v>
      </c>
      <c r="BD47" s="101"/>
      <c r="BE47" s="105">
        <f>AK47+AZ47</f>
        <v>0</v>
      </c>
      <c r="BF47" s="106"/>
      <c r="BG47" s="100">
        <f t="shared" si="50"/>
        <v>0</v>
      </c>
      <c r="BH47" s="106"/>
      <c r="BI47" s="100">
        <f t="shared" si="51"/>
        <v>14</v>
      </c>
      <c r="BJ47" s="106"/>
      <c r="BK47" s="101">
        <f t="shared" si="28"/>
        <v>14</v>
      </c>
      <c r="BL47" s="106"/>
      <c r="BM47" s="104"/>
      <c r="BN47" s="104"/>
      <c r="BO47" s="105"/>
      <c r="BP47" s="105">
        <f t="shared" si="29"/>
        <v>0</v>
      </c>
      <c r="BQ47" s="106"/>
      <c r="BR47" s="105"/>
      <c r="BS47" s="105"/>
      <c r="BT47" s="106"/>
      <c r="BU47" s="53">
        <v>700</v>
      </c>
      <c r="BV47" s="53">
        <f>BU47/50</f>
        <v>14</v>
      </c>
      <c r="BW47" s="54"/>
      <c r="BX47" s="350">
        <f t="shared" si="19"/>
        <v>14</v>
      </c>
      <c r="BY47" s="211"/>
      <c r="BZ47" s="211">
        <f t="shared" si="54"/>
        <v>0</v>
      </c>
      <c r="CA47" s="508"/>
      <c r="CB47" s="7"/>
      <c r="CC47" s="7"/>
      <c r="CD47" s="7"/>
      <c r="CE47" s="504"/>
      <c r="CF47" s="105"/>
      <c r="CG47" s="105">
        <f t="shared" si="32"/>
        <v>0</v>
      </c>
      <c r="CH47" s="105"/>
      <c r="CI47" s="105"/>
      <c r="CJ47" s="105"/>
      <c r="CK47" s="523"/>
      <c r="CL47" s="102">
        <f t="shared" si="97"/>
        <v>0</v>
      </c>
      <c r="CM47" s="103"/>
      <c r="CN47" s="100"/>
      <c r="CO47" s="100">
        <f t="shared" si="35"/>
        <v>0</v>
      </c>
      <c r="CP47" s="515"/>
      <c r="CQ47" s="441"/>
      <c r="CR47" s="504"/>
      <c r="CS47" s="105"/>
      <c r="CT47" s="105">
        <f t="shared" si="36"/>
        <v>0</v>
      </c>
      <c r="CU47" s="105"/>
      <c r="CV47" s="105"/>
      <c r="CW47" s="105"/>
      <c r="CX47" s="53"/>
      <c r="CY47" s="109">
        <f t="shared" si="38"/>
        <v>0</v>
      </c>
      <c r="CZ47" s="54"/>
      <c r="DA47" s="105"/>
      <c r="DB47" s="455">
        <f t="shared" si="39"/>
        <v>0</v>
      </c>
      <c r="DC47" s="495"/>
      <c r="DD47" s="24"/>
      <c r="DF47" s="1133"/>
      <c r="DG47" s="674">
        <f t="shared" si="15"/>
        <v>14</v>
      </c>
      <c r="DH47" s="1119">
        <f t="shared" si="16"/>
        <v>0</v>
      </c>
      <c r="DI47" s="1119"/>
      <c r="DJ47" s="101">
        <f t="shared" si="17"/>
        <v>14</v>
      </c>
      <c r="DK47" s="101"/>
      <c r="DL47" s="101">
        <f t="shared" si="18"/>
        <v>0</v>
      </c>
      <c r="DM47" s="101"/>
      <c r="DN47" s="112"/>
      <c r="DO47" s="112">
        <f>DJ47</f>
        <v>14</v>
      </c>
      <c r="DP47" s="112"/>
      <c r="DQ47" s="112"/>
      <c r="DS47" s="140"/>
      <c r="DT47" s="140"/>
      <c r="DU47" s="140"/>
      <c r="DV47" s="140"/>
      <c r="DW47" s="140"/>
      <c r="DX47" s="140"/>
      <c r="DY47" s="140"/>
      <c r="DZ47" s="140"/>
    </row>
    <row r="48" spans="1:130" ht="21.6" customHeight="1" x14ac:dyDescent="0.25">
      <c r="A48" s="4"/>
      <c r="B48" s="4"/>
      <c r="C48" s="166" t="s">
        <v>26</v>
      </c>
      <c r="D48" s="167"/>
      <c r="E48" s="10" t="s">
        <v>27</v>
      </c>
      <c r="F48" s="184">
        <v>1371</v>
      </c>
      <c r="G48" s="162">
        <v>248</v>
      </c>
      <c r="H48" s="162">
        <f t="shared" si="61"/>
        <v>1619</v>
      </c>
      <c r="I48" s="162"/>
      <c r="J48" s="162">
        <v>1010.38</v>
      </c>
      <c r="K48" s="184">
        <v>300</v>
      </c>
      <c r="L48" s="185"/>
      <c r="M48" s="186"/>
      <c r="N48" s="46"/>
      <c r="O48" s="164"/>
      <c r="P48" s="165"/>
      <c r="Q48" s="165"/>
      <c r="R48" s="165"/>
      <c r="S48" s="165"/>
      <c r="T48" s="89"/>
      <c r="U48" s="89"/>
      <c r="V48" s="89">
        <f t="shared" si="63"/>
        <v>0</v>
      </c>
      <c r="W48" s="137"/>
      <c r="X48" s="137"/>
      <c r="Y48" s="90">
        <f t="shared" si="64"/>
        <v>0</v>
      </c>
      <c r="Z48" s="169"/>
      <c r="AA48" s="92"/>
      <c r="AB48" s="92"/>
      <c r="AC48" s="92">
        <f t="shared" si="65"/>
        <v>0</v>
      </c>
      <c r="AD48" s="93"/>
      <c r="AE48" s="93"/>
      <c r="AF48" s="94">
        <f t="shared" si="66"/>
        <v>0</v>
      </c>
      <c r="AG48" s="475"/>
      <c r="AH48" s="99"/>
      <c r="AI48" s="99">
        <f t="shared" si="67"/>
        <v>0</v>
      </c>
      <c r="AJ48" s="138"/>
      <c r="AK48" s="100">
        <f>AJ48/15</f>
        <v>0</v>
      </c>
      <c r="AL48" s="101"/>
      <c r="AM48" s="100"/>
      <c r="AN48" s="100">
        <f t="shared" si="94"/>
        <v>0</v>
      </c>
      <c r="AO48" s="101"/>
      <c r="AP48" s="105"/>
      <c r="AQ48" s="105">
        <f>AP48/15</f>
        <v>0</v>
      </c>
      <c r="AR48" s="106"/>
      <c r="AS48" s="97">
        <f t="shared" si="48"/>
        <v>0</v>
      </c>
      <c r="AT48" s="98"/>
      <c r="AU48" s="105"/>
      <c r="AV48" s="455">
        <f t="shared" si="26"/>
        <v>0</v>
      </c>
      <c r="AW48" s="496"/>
      <c r="AX48" s="508"/>
      <c r="AY48" s="498"/>
      <c r="AZ48" s="100">
        <f>AY48/15</f>
        <v>0</v>
      </c>
      <c r="BA48" s="101"/>
      <c r="BB48" s="100"/>
      <c r="BC48" s="100">
        <f t="shared" si="95"/>
        <v>0</v>
      </c>
      <c r="BD48" s="101"/>
      <c r="BE48" s="105">
        <f>AK48+AZ48</f>
        <v>0</v>
      </c>
      <c r="BF48" s="106"/>
      <c r="BG48" s="100">
        <f t="shared" si="50"/>
        <v>0</v>
      </c>
      <c r="BH48" s="106"/>
      <c r="BI48" s="100">
        <f t="shared" ref="BI48:BI76" si="98">AV48</f>
        <v>0</v>
      </c>
      <c r="BJ48" s="106"/>
      <c r="BK48" s="101">
        <f t="shared" si="28"/>
        <v>0</v>
      </c>
      <c r="BL48" s="106"/>
      <c r="BM48" s="104"/>
      <c r="BN48" s="104">
        <f t="shared" si="70"/>
        <v>0</v>
      </c>
      <c r="BO48" s="105"/>
      <c r="BP48" s="105">
        <f t="shared" si="29"/>
        <v>0</v>
      </c>
      <c r="BQ48" s="106"/>
      <c r="BR48" s="105"/>
      <c r="BS48" s="105">
        <f t="shared" si="30"/>
        <v>0</v>
      </c>
      <c r="BT48" s="106"/>
      <c r="BU48" s="53"/>
      <c r="BV48" s="53">
        <f t="shared" si="96"/>
        <v>0</v>
      </c>
      <c r="BW48" s="54"/>
      <c r="BX48" s="350">
        <f t="shared" si="19"/>
        <v>0</v>
      </c>
      <c r="BY48" s="211"/>
      <c r="BZ48" s="211">
        <f t="shared" si="54"/>
        <v>0</v>
      </c>
      <c r="CA48" s="508"/>
      <c r="CB48" s="165"/>
      <c r="CC48" s="165"/>
      <c r="CD48" s="165"/>
      <c r="CE48" s="504"/>
      <c r="CF48" s="105"/>
      <c r="CG48" s="105">
        <f t="shared" si="32"/>
        <v>0</v>
      </c>
      <c r="CH48" s="105"/>
      <c r="CI48" s="105"/>
      <c r="CJ48" s="105">
        <f t="shared" ref="CJ48:CJ63" si="99">CH48+CI48</f>
        <v>0</v>
      </c>
      <c r="CK48" s="523"/>
      <c r="CL48" s="102">
        <f t="shared" si="97"/>
        <v>0</v>
      </c>
      <c r="CM48" s="103"/>
      <c r="CN48" s="100"/>
      <c r="CO48" s="100">
        <f t="shared" si="35"/>
        <v>0</v>
      </c>
      <c r="CP48" s="515"/>
      <c r="CQ48" s="441"/>
      <c r="CR48" s="504"/>
      <c r="CS48" s="105"/>
      <c r="CT48" s="105">
        <f t="shared" si="36"/>
        <v>0</v>
      </c>
      <c r="CU48" s="105"/>
      <c r="CV48" s="105"/>
      <c r="CW48" s="105">
        <f t="shared" si="37"/>
        <v>0</v>
      </c>
      <c r="CX48" s="53"/>
      <c r="CY48" s="109">
        <f t="shared" si="38"/>
        <v>0</v>
      </c>
      <c r="CZ48" s="54"/>
      <c r="DA48" s="105"/>
      <c r="DB48" s="455">
        <f t="shared" si="39"/>
        <v>0</v>
      </c>
      <c r="DC48" s="495"/>
      <c r="DD48" s="25"/>
      <c r="DF48" s="1133"/>
      <c r="DG48" s="674">
        <f t="shared" si="15"/>
        <v>0</v>
      </c>
      <c r="DH48" s="1119">
        <f t="shared" si="16"/>
        <v>0</v>
      </c>
      <c r="DI48" s="1119"/>
      <c r="DJ48" s="101">
        <f t="shared" si="17"/>
        <v>0</v>
      </c>
      <c r="DK48" s="101"/>
      <c r="DL48" s="101">
        <f t="shared" si="18"/>
        <v>0</v>
      </c>
      <c r="DM48" s="101"/>
      <c r="DN48" s="112"/>
      <c r="DO48" s="112"/>
      <c r="DP48" s="112"/>
      <c r="DQ48" s="112"/>
    </row>
    <row r="49" spans="1:130" s="191" customFormat="1" ht="21.6" customHeight="1" x14ac:dyDescent="0.25">
      <c r="A49" s="187" t="s">
        <v>28</v>
      </c>
      <c r="B49" s="187"/>
      <c r="C49" s="188" t="s">
        <v>28</v>
      </c>
      <c r="D49" s="189"/>
      <c r="E49" s="11"/>
      <c r="F49" s="188">
        <f t="shared" ref="F49:Y49" si="100">SUM(F51:F223)</f>
        <v>6770</v>
      </c>
      <c r="G49" s="188">
        <f t="shared" si="100"/>
        <v>2212</v>
      </c>
      <c r="H49" s="188">
        <f t="shared" si="100"/>
        <v>7804</v>
      </c>
      <c r="I49" s="188">
        <f t="shared" si="100"/>
        <v>4224.4648000000007</v>
      </c>
      <c r="J49" s="188">
        <f t="shared" si="100"/>
        <v>2562.2800000000002</v>
      </c>
      <c r="K49" s="188">
        <f t="shared" si="100"/>
        <v>6786.7448000000004</v>
      </c>
      <c r="L49" s="188">
        <f t="shared" si="100"/>
        <v>0</v>
      </c>
      <c r="M49" s="188">
        <f t="shared" si="100"/>
        <v>0</v>
      </c>
      <c r="N49" s="190">
        <f t="shared" si="100"/>
        <v>0</v>
      </c>
      <c r="O49" s="188">
        <f t="shared" si="100"/>
        <v>0</v>
      </c>
      <c r="P49" s="188">
        <f t="shared" si="100"/>
        <v>0</v>
      </c>
      <c r="Q49" s="188">
        <f t="shared" si="100"/>
        <v>0</v>
      </c>
      <c r="R49" s="188">
        <f t="shared" si="100"/>
        <v>0</v>
      </c>
      <c r="S49" s="188">
        <f t="shared" si="100"/>
        <v>0</v>
      </c>
      <c r="T49" s="188">
        <f t="shared" si="100"/>
        <v>0</v>
      </c>
      <c r="U49" s="188">
        <f t="shared" si="100"/>
        <v>0</v>
      </c>
      <c r="V49" s="188">
        <f t="shared" si="100"/>
        <v>44</v>
      </c>
      <c r="W49" s="188">
        <f t="shared" si="100"/>
        <v>0</v>
      </c>
      <c r="X49" s="188">
        <f t="shared" si="100"/>
        <v>0</v>
      </c>
      <c r="Y49" s="188">
        <f t="shared" si="100"/>
        <v>0</v>
      </c>
      <c r="Z49" s="188"/>
      <c r="AA49" s="188">
        <f t="shared" ref="AA49:AW49" si="101">SUM(AA51:AA223)</f>
        <v>0</v>
      </c>
      <c r="AB49" s="188">
        <f t="shared" si="101"/>
        <v>0</v>
      </c>
      <c r="AC49" s="188">
        <f t="shared" si="101"/>
        <v>0</v>
      </c>
      <c r="AD49" s="188">
        <f t="shared" si="101"/>
        <v>0</v>
      </c>
      <c r="AE49" s="188">
        <f t="shared" si="101"/>
        <v>0</v>
      </c>
      <c r="AF49" s="188">
        <f t="shared" si="101"/>
        <v>0</v>
      </c>
      <c r="AG49" s="187">
        <f t="shared" si="101"/>
        <v>0</v>
      </c>
      <c r="AH49" s="188">
        <f t="shared" si="101"/>
        <v>28770.625</v>
      </c>
      <c r="AI49" s="188">
        <f t="shared" si="101"/>
        <v>1918.0416666666665</v>
      </c>
      <c r="AJ49" s="188">
        <f t="shared" si="101"/>
        <v>18350</v>
      </c>
      <c r="AK49" s="188">
        <f t="shared" si="101"/>
        <v>1223.3333333333333</v>
      </c>
      <c r="AL49" s="188">
        <f t="shared" si="101"/>
        <v>1223.3333333333333</v>
      </c>
      <c r="AM49" s="188">
        <f t="shared" si="101"/>
        <v>16345</v>
      </c>
      <c r="AN49" s="188">
        <f t="shared" si="101"/>
        <v>1089.6666666666667</v>
      </c>
      <c r="AO49" s="188">
        <f t="shared" si="101"/>
        <v>1089.6666666666665</v>
      </c>
      <c r="AP49" s="188">
        <f t="shared" si="101"/>
        <v>3455</v>
      </c>
      <c r="AQ49" s="188">
        <f t="shared" si="101"/>
        <v>230.33333333333334</v>
      </c>
      <c r="AR49" s="188">
        <f t="shared" si="101"/>
        <v>230.33333333333334</v>
      </c>
      <c r="AS49" s="188">
        <f t="shared" si="101"/>
        <v>2543.333333333333</v>
      </c>
      <c r="AT49" s="188">
        <f t="shared" si="101"/>
        <v>2543.333333333333</v>
      </c>
      <c r="AU49" s="188">
        <f t="shared" si="101"/>
        <v>745</v>
      </c>
      <c r="AV49" s="188">
        <f t="shared" si="101"/>
        <v>49.666666666666664</v>
      </c>
      <c r="AW49" s="187">
        <f t="shared" si="101"/>
        <v>49.666666666666664</v>
      </c>
      <c r="AX49" s="537"/>
      <c r="AY49" s="485">
        <f t="shared" ref="AY49:BH49" si="102">SUM(AY51:AY223)</f>
        <v>13140</v>
      </c>
      <c r="AZ49" s="188">
        <f t="shared" si="102"/>
        <v>876.00000000000011</v>
      </c>
      <c r="BA49" s="188">
        <f t="shared" si="102"/>
        <v>876</v>
      </c>
      <c r="BB49" s="188">
        <f t="shared" si="102"/>
        <v>2180</v>
      </c>
      <c r="BC49" s="188">
        <f t="shared" si="102"/>
        <v>145.33333333333331</v>
      </c>
      <c r="BD49" s="188">
        <f t="shared" si="102"/>
        <v>145.33333333333331</v>
      </c>
      <c r="BE49" s="188">
        <f t="shared" si="102"/>
        <v>2099.333333333333</v>
      </c>
      <c r="BF49" s="188">
        <f t="shared" si="102"/>
        <v>2099.3333333333335</v>
      </c>
      <c r="BG49" s="188">
        <f t="shared" si="102"/>
        <v>1465.3333333333335</v>
      </c>
      <c r="BH49" s="188">
        <f t="shared" si="102"/>
        <v>1465.333333333333</v>
      </c>
      <c r="BI49" s="72">
        <f t="shared" si="98"/>
        <v>49.666666666666664</v>
      </c>
      <c r="BJ49" s="188">
        <f>SUM(BJ51:BJ223)</f>
        <v>49.666666666666664</v>
      </c>
      <c r="BK49" s="72">
        <f t="shared" si="28"/>
        <v>3614.333333333333</v>
      </c>
      <c r="BL49" s="188">
        <f t="shared" ref="BL49:BT49" si="103">SUM(BL51:BL223)</f>
        <v>3614.3333333333335</v>
      </c>
      <c r="BM49" s="188">
        <f t="shared" si="103"/>
        <v>107083.25</v>
      </c>
      <c r="BN49" s="188">
        <f t="shared" si="103"/>
        <v>2155.6650000000004</v>
      </c>
      <c r="BO49" s="106">
        <f t="shared" si="103"/>
        <v>80050</v>
      </c>
      <c r="BP49" s="106">
        <f t="shared" si="103"/>
        <v>1601</v>
      </c>
      <c r="BQ49" s="106">
        <f t="shared" si="103"/>
        <v>1601</v>
      </c>
      <c r="BR49" s="106">
        <f t="shared" si="103"/>
        <v>90734</v>
      </c>
      <c r="BS49" s="106">
        <f t="shared" si="103"/>
        <v>1814.68</v>
      </c>
      <c r="BT49" s="106">
        <f t="shared" si="103"/>
        <v>1814.68</v>
      </c>
      <c r="BU49" s="188">
        <v>14383.333333333334</v>
      </c>
      <c r="BV49" s="188">
        <f>SUM(BV51:BV223)</f>
        <v>228.5</v>
      </c>
      <c r="BW49" s="188">
        <f>SUM(BW51:BW223)</f>
        <v>228.5</v>
      </c>
      <c r="BX49" s="188">
        <f>SUM(BX51:BX223)</f>
        <v>3644.18</v>
      </c>
      <c r="BY49" s="188">
        <f>SUM(BY51:BY223)</f>
        <v>3644.18</v>
      </c>
      <c r="BZ49" s="189"/>
      <c r="CA49" s="537"/>
      <c r="CB49" s="188"/>
      <c r="CC49" s="188"/>
      <c r="CD49" s="188"/>
      <c r="CE49" s="485">
        <f>SUM(CE51:CE223)</f>
        <v>60</v>
      </c>
      <c r="CF49" s="188">
        <f>SUM(CF51:CF223)</f>
        <v>28</v>
      </c>
      <c r="CG49" s="188">
        <f t="shared" si="32"/>
        <v>88</v>
      </c>
      <c r="CH49" s="188"/>
      <c r="CI49" s="188"/>
      <c r="CJ49" s="188">
        <f t="shared" si="99"/>
        <v>0</v>
      </c>
      <c r="CK49" s="485">
        <f t="shared" ref="CK49:CP49" si="104">SUM(CK51:CK223)</f>
        <v>30</v>
      </c>
      <c r="CL49" s="188">
        <f t="shared" si="104"/>
        <v>2</v>
      </c>
      <c r="CM49" s="188">
        <f t="shared" si="104"/>
        <v>2</v>
      </c>
      <c r="CN49" s="188">
        <f t="shared" si="104"/>
        <v>745</v>
      </c>
      <c r="CO49" s="188">
        <f t="shared" si="104"/>
        <v>49.666666666666664</v>
      </c>
      <c r="CP49" s="187">
        <f t="shared" si="104"/>
        <v>49.666666666666664</v>
      </c>
      <c r="CQ49" s="537"/>
      <c r="CR49" s="485">
        <f>SUM(CR51:CR223)</f>
        <v>54</v>
      </c>
      <c r="CS49" s="188">
        <f>SUM(CS51:CS223)</f>
        <v>19</v>
      </c>
      <c r="CT49" s="188">
        <f t="shared" si="36"/>
        <v>73</v>
      </c>
      <c r="CU49" s="188"/>
      <c r="CV49" s="188"/>
      <c r="CW49" s="188">
        <f t="shared" si="37"/>
        <v>0</v>
      </c>
      <c r="CX49" s="188">
        <f t="shared" ref="CX49:DC49" si="105">SUM(CX51:CX223)</f>
        <v>0</v>
      </c>
      <c r="CY49" s="188">
        <f t="shared" si="105"/>
        <v>0</v>
      </c>
      <c r="CZ49" s="188">
        <f t="shared" si="105"/>
        <v>0</v>
      </c>
      <c r="DA49" s="188">
        <f t="shared" si="105"/>
        <v>2330</v>
      </c>
      <c r="DB49" s="188">
        <f t="shared" si="105"/>
        <v>155.33333333333334</v>
      </c>
      <c r="DC49" s="187">
        <f t="shared" si="105"/>
        <v>155.33333333333334</v>
      </c>
      <c r="DD49" s="33"/>
      <c r="DF49" s="1134"/>
      <c r="DG49" s="188">
        <f>SUM(DG51:DG223)</f>
        <v>205</v>
      </c>
      <c r="DH49" s="188">
        <f>SUM(DH51:DH223)</f>
        <v>196.99999999999997</v>
      </c>
      <c r="DI49" s="6"/>
      <c r="DJ49" s="188">
        <f t="shared" ref="DJ49:DO49" si="106">SUM(DJ51:DJ223)</f>
        <v>3821.3333333333335</v>
      </c>
      <c r="DK49" s="188">
        <f t="shared" si="106"/>
        <v>3821.3333333333335</v>
      </c>
      <c r="DL49" s="188">
        <f t="shared" si="106"/>
        <v>151</v>
      </c>
      <c r="DM49" s="188">
        <f t="shared" si="106"/>
        <v>48</v>
      </c>
      <c r="DN49" s="485">
        <f t="shared" si="106"/>
        <v>2396.3333333333335</v>
      </c>
      <c r="DO49" s="188">
        <f t="shared" si="106"/>
        <v>274.33333333333331</v>
      </c>
      <c r="DP49" s="632">
        <f>DJ49-DN49-DO49</f>
        <v>1150.6666666666667</v>
      </c>
      <c r="DQ49" s="632"/>
      <c r="DS49" s="192"/>
      <c r="DT49" s="192"/>
      <c r="DU49" s="192"/>
      <c r="DV49" s="192"/>
      <c r="DW49" s="192"/>
      <c r="DX49" s="192"/>
      <c r="DY49" s="192"/>
      <c r="DZ49" s="192"/>
    </row>
    <row r="50" spans="1:130" s="200" customFormat="1" ht="21.6" customHeight="1" x14ac:dyDescent="0.25">
      <c r="A50" s="193"/>
      <c r="B50" s="193"/>
      <c r="C50" s="131"/>
      <c r="D50" s="194"/>
      <c r="E50" s="37"/>
      <c r="F50" s="131"/>
      <c r="G50" s="131"/>
      <c r="H50" s="131"/>
      <c r="I50" s="131"/>
      <c r="J50" s="131"/>
      <c r="K50" s="131"/>
      <c r="L50" s="195"/>
      <c r="M50" s="196"/>
      <c r="N50" s="147"/>
      <c r="O50" s="131"/>
      <c r="P50" s="148"/>
      <c r="Q50" s="148"/>
      <c r="R50" s="148"/>
      <c r="S50" s="148"/>
      <c r="T50" s="197"/>
      <c r="U50" s="197"/>
      <c r="V50" s="197"/>
      <c r="W50" s="196"/>
      <c r="X50" s="196"/>
      <c r="Y50" s="196"/>
      <c r="Z50" s="179"/>
      <c r="AA50" s="197"/>
      <c r="AB50" s="197"/>
      <c r="AC50" s="197"/>
      <c r="AD50" s="196"/>
      <c r="AE50" s="196"/>
      <c r="AF50" s="198"/>
      <c r="AG50" s="476"/>
      <c r="AH50" s="131"/>
      <c r="AI50" s="131"/>
      <c r="AJ50" s="106"/>
      <c r="AK50" s="106"/>
      <c r="AL50" s="106"/>
      <c r="AM50" s="105"/>
      <c r="AN50" s="105"/>
      <c r="AO50" s="106"/>
      <c r="AP50" s="105"/>
      <c r="AQ50" s="105">
        <f t="shared" ref="AQ50:AQ97" si="107">AP50/15</f>
        <v>0</v>
      </c>
      <c r="AR50" s="106"/>
      <c r="AS50" s="97">
        <f t="shared" si="48"/>
        <v>0</v>
      </c>
      <c r="AT50" s="6"/>
      <c r="AU50" s="469"/>
      <c r="AV50" s="469"/>
      <c r="AW50" s="468"/>
      <c r="AX50" s="508"/>
      <c r="AY50" s="468"/>
      <c r="AZ50" s="468"/>
      <c r="BA50" s="468"/>
      <c r="BB50" s="469"/>
      <c r="BC50" s="469"/>
      <c r="BD50" s="468"/>
      <c r="BE50" s="105"/>
      <c r="BF50" s="468"/>
      <c r="BG50" s="100">
        <f t="shared" ref="BG50:BG76" si="108">BC50+AQ50+AN50</f>
        <v>0</v>
      </c>
      <c r="BH50" s="468"/>
      <c r="BI50" s="100">
        <f t="shared" si="98"/>
        <v>0</v>
      </c>
      <c r="BJ50" s="468"/>
      <c r="BK50" s="101">
        <f t="shared" si="28"/>
        <v>0</v>
      </c>
      <c r="BL50" s="468"/>
      <c r="BM50" s="179"/>
      <c r="BN50" s="179"/>
      <c r="BO50" s="468"/>
      <c r="BP50" s="468"/>
      <c r="BQ50" s="468"/>
      <c r="BR50" s="469"/>
      <c r="BS50" s="469"/>
      <c r="BT50" s="468"/>
      <c r="BU50" s="199"/>
      <c r="BV50" s="199"/>
      <c r="BW50" s="57"/>
      <c r="BX50" s="350">
        <f t="shared" si="19"/>
        <v>0</v>
      </c>
      <c r="BY50" s="352"/>
      <c r="BZ50" s="352">
        <f t="shared" ref="BZ50:BZ83" si="109">BK50-BX50</f>
        <v>0</v>
      </c>
      <c r="CA50" s="536"/>
      <c r="CB50" s="148"/>
      <c r="CC50" s="148"/>
      <c r="CD50" s="148"/>
      <c r="CE50" s="469"/>
      <c r="CF50" s="469"/>
      <c r="CG50" s="469">
        <f t="shared" si="32"/>
        <v>0</v>
      </c>
      <c r="CH50" s="469"/>
      <c r="CI50" s="469"/>
      <c r="CJ50" s="469">
        <f t="shared" si="99"/>
        <v>0</v>
      </c>
      <c r="CK50" s="199"/>
      <c r="CL50" s="199"/>
      <c r="CM50" s="57"/>
      <c r="CN50" s="469"/>
      <c r="CO50" s="469"/>
      <c r="CP50" s="468"/>
      <c r="CQ50" s="439"/>
      <c r="CR50" s="469"/>
      <c r="CS50" s="469"/>
      <c r="CT50" s="469">
        <f t="shared" si="36"/>
        <v>0</v>
      </c>
      <c r="CU50" s="469"/>
      <c r="CV50" s="469"/>
      <c r="CW50" s="469">
        <f t="shared" si="37"/>
        <v>0</v>
      </c>
      <c r="CX50" s="199"/>
      <c r="CY50" s="199"/>
      <c r="CZ50" s="57"/>
      <c r="DA50" s="469"/>
      <c r="DB50" s="455">
        <f t="shared" si="39"/>
        <v>0</v>
      </c>
      <c r="DC50" s="521"/>
      <c r="DD50" s="31"/>
      <c r="DF50" s="1135"/>
      <c r="DG50" s="674">
        <f t="shared" ref="DG50:DG76" si="110">AV50+CY50+DB50</f>
        <v>0</v>
      </c>
      <c r="DH50" s="1119">
        <f t="shared" ref="DH50:DH76" si="111">BC50+CL50+CO50</f>
        <v>0</v>
      </c>
      <c r="DI50" s="1119"/>
      <c r="DJ50" s="101"/>
      <c r="DK50" s="101"/>
      <c r="DL50" s="101">
        <f t="shared" ref="DL50:DL81" si="112">CT50+CG50+AC50</f>
        <v>0</v>
      </c>
      <c r="DM50" s="101"/>
      <c r="DN50" s="112"/>
      <c r="DO50" s="112"/>
      <c r="DP50" s="112"/>
      <c r="DQ50" s="112"/>
      <c r="DS50" s="201"/>
      <c r="DT50" s="201"/>
      <c r="DU50" s="201"/>
      <c r="DV50" s="201"/>
      <c r="DW50" s="201"/>
      <c r="DX50" s="201"/>
      <c r="DY50" s="201"/>
      <c r="DZ50" s="201"/>
    </row>
    <row r="51" spans="1:130" ht="21.6" customHeight="1" x14ac:dyDescent="0.25">
      <c r="A51" s="4" t="s">
        <v>28</v>
      </c>
      <c r="B51" s="4">
        <v>1</v>
      </c>
      <c r="C51" s="166" t="s">
        <v>29</v>
      </c>
      <c r="D51" s="166"/>
      <c r="E51" s="13" t="s">
        <v>380</v>
      </c>
      <c r="F51" s="162">
        <v>63</v>
      </c>
      <c r="G51" s="162">
        <v>24</v>
      </c>
      <c r="H51" s="162">
        <f>F51+G51</f>
        <v>87</v>
      </c>
      <c r="I51" s="162"/>
      <c r="J51" s="162">
        <v>885</v>
      </c>
      <c r="K51" s="162">
        <f>I51+J51</f>
        <v>885</v>
      </c>
      <c r="L51" s="163"/>
      <c r="M51" s="414"/>
      <c r="N51" s="46"/>
      <c r="O51" s="6"/>
      <c r="P51" s="165"/>
      <c r="Q51" s="165"/>
      <c r="R51" s="165"/>
      <c r="S51" s="203"/>
      <c r="T51" s="89"/>
      <c r="U51" s="89"/>
      <c r="V51" s="89">
        <f>T51+U51</f>
        <v>0</v>
      </c>
      <c r="W51" s="137"/>
      <c r="X51" s="137"/>
      <c r="Y51" s="90">
        <f>W51+X51</f>
        <v>0</v>
      </c>
      <c r="Z51" s="169"/>
      <c r="AA51" s="92"/>
      <c r="AB51" s="92"/>
      <c r="AC51" s="92">
        <f>AA51+AB51</f>
        <v>0</v>
      </c>
      <c r="AD51" s="93"/>
      <c r="AE51" s="93"/>
      <c r="AF51" s="94">
        <f>AD51+AE51</f>
        <v>0</v>
      </c>
      <c r="AG51" s="475"/>
      <c r="AH51" s="99">
        <v>1065</v>
      </c>
      <c r="AI51" s="99">
        <f>AH51/15</f>
        <v>71</v>
      </c>
      <c r="AJ51" s="138"/>
      <c r="AK51" s="138">
        <f t="shared" ref="AK51:AK59" si="113">AJ51/15</f>
        <v>0</v>
      </c>
      <c r="AL51" s="106">
        <f>SUM(AK51:AK59)</f>
        <v>90.333333333333329</v>
      </c>
      <c r="AM51" s="105"/>
      <c r="AN51" s="105">
        <f>AM51/15</f>
        <v>0</v>
      </c>
      <c r="AO51" s="106">
        <f>SUM(AN51:AN59)</f>
        <v>0</v>
      </c>
      <c r="AP51" s="105"/>
      <c r="AQ51" s="105">
        <f t="shared" si="107"/>
        <v>0</v>
      </c>
      <c r="AR51" s="106">
        <f>SUM(AQ51:AQ59)</f>
        <v>0</v>
      </c>
      <c r="AS51" s="97">
        <f t="shared" si="48"/>
        <v>0</v>
      </c>
      <c r="AT51" s="6">
        <f>SUM(AS51:AS59)</f>
        <v>90.333333333333329</v>
      </c>
      <c r="AU51" s="105"/>
      <c r="AV51" s="455">
        <f t="shared" ref="AV51:AV116" si="114">AU51/15</f>
        <v>0</v>
      </c>
      <c r="AW51" s="496">
        <f>SUM(AV51:AV59)</f>
        <v>0</v>
      </c>
      <c r="AX51" s="508"/>
      <c r="AY51" s="498"/>
      <c r="AZ51" s="100">
        <f>AY51/15</f>
        <v>0</v>
      </c>
      <c r="BA51" s="106">
        <f>SUM(AZ51:AZ59)</f>
        <v>0</v>
      </c>
      <c r="BB51" s="105"/>
      <c r="BC51" s="105">
        <f>BB51/15</f>
        <v>0</v>
      </c>
      <c r="BD51" s="106">
        <f>SUM(BC51:BC59)</f>
        <v>0</v>
      </c>
      <c r="BE51" s="105">
        <f t="shared" ref="BE51:BE59" si="115">AK51+AZ51</f>
        <v>0</v>
      </c>
      <c r="BF51" s="106">
        <f>SUM(BE51:BE59)</f>
        <v>90.333333333333329</v>
      </c>
      <c r="BG51" s="100">
        <f t="shared" si="108"/>
        <v>0</v>
      </c>
      <c r="BH51" s="106">
        <f>SUM(BG51:BG59)</f>
        <v>0</v>
      </c>
      <c r="BI51" s="100">
        <f t="shared" si="98"/>
        <v>0</v>
      </c>
      <c r="BJ51" s="106">
        <f>SUM(BI51:BI59)</f>
        <v>0</v>
      </c>
      <c r="BK51" s="101">
        <f t="shared" si="28"/>
        <v>0</v>
      </c>
      <c r="BL51" s="106">
        <f>SUM(BK51:BK59)</f>
        <v>90.333333333333329</v>
      </c>
      <c r="BM51" s="104">
        <v>3550</v>
      </c>
      <c r="BN51" s="104">
        <f>BM51/50</f>
        <v>71</v>
      </c>
      <c r="BO51" s="105"/>
      <c r="BP51" s="105">
        <f>BO51/50</f>
        <v>0</v>
      </c>
      <c r="BQ51" s="106">
        <f>SUM(BP51:BP59)</f>
        <v>0</v>
      </c>
      <c r="BR51" s="105"/>
      <c r="BS51" s="105">
        <f t="shared" ref="BS51:BS59" si="116">BR51/50</f>
        <v>0</v>
      </c>
      <c r="BT51" s="106">
        <f>SUM(BS51:BS59)</f>
        <v>52.230000000000004</v>
      </c>
      <c r="BU51" s="53"/>
      <c r="BV51" s="53">
        <f t="shared" ref="BV51:BV59" si="117">BU51/50</f>
        <v>0</v>
      </c>
      <c r="BW51" s="54">
        <f>SUM(BV51:BV59)</f>
        <v>90</v>
      </c>
      <c r="BX51" s="350">
        <f t="shared" si="19"/>
        <v>0</v>
      </c>
      <c r="BY51" s="287">
        <f>SUM(BX51:BX59)</f>
        <v>142.23000000000002</v>
      </c>
      <c r="BZ51" s="287">
        <f t="shared" si="109"/>
        <v>0</v>
      </c>
      <c r="CA51" s="508"/>
      <c r="CB51" s="165"/>
      <c r="CC51" s="165"/>
      <c r="CD51" s="203"/>
      <c r="CE51" s="504"/>
      <c r="CF51" s="105"/>
      <c r="CG51" s="105">
        <f t="shared" si="32"/>
        <v>0</v>
      </c>
      <c r="CH51" s="105"/>
      <c r="CI51" s="105"/>
      <c r="CJ51" s="105">
        <f t="shared" si="99"/>
        <v>0</v>
      </c>
      <c r="CK51" s="524"/>
      <c r="CL51" s="53">
        <f>CK51/15</f>
        <v>0</v>
      </c>
      <c r="CM51" s="54">
        <f>SUM(CL51:CL59)</f>
        <v>0</v>
      </c>
      <c r="CN51" s="105"/>
      <c r="CO51" s="100">
        <f>CN51/15</f>
        <v>0</v>
      </c>
      <c r="CP51" s="496">
        <f>SUM(CO51:CO59)</f>
        <v>0</v>
      </c>
      <c r="CQ51" s="439"/>
      <c r="CR51" s="504"/>
      <c r="CS51" s="105"/>
      <c r="CT51" s="105">
        <f t="shared" si="36"/>
        <v>0</v>
      </c>
      <c r="CU51" s="105"/>
      <c r="CV51" s="105"/>
      <c r="CW51" s="105">
        <f t="shared" si="37"/>
        <v>0</v>
      </c>
      <c r="CX51" s="53"/>
      <c r="CY51" s="109">
        <f>CX51/15</f>
        <v>0</v>
      </c>
      <c r="CZ51" s="54">
        <f>SUM(CY51:CY59)</f>
        <v>0</v>
      </c>
      <c r="DA51" s="105"/>
      <c r="DB51" s="455">
        <f t="shared" si="39"/>
        <v>0</v>
      </c>
      <c r="DC51" s="495">
        <f>SUM(DB51:DB59)</f>
        <v>13.666666666666666</v>
      </c>
      <c r="DD51" s="25"/>
      <c r="DF51" s="1133"/>
      <c r="DG51" s="674">
        <f t="shared" si="110"/>
        <v>0</v>
      </c>
      <c r="DH51" s="1119">
        <f t="shared" si="111"/>
        <v>0</v>
      </c>
      <c r="DI51" s="1119"/>
      <c r="DJ51" s="101">
        <f t="shared" ref="DJ51:DJ82" si="118">DC51+CO51+CL51+BC51+AZ51+AV51+AS51</f>
        <v>13.666666666666666</v>
      </c>
      <c r="DK51" s="101">
        <f>SUM(DJ51:DJ59)</f>
        <v>103.99999999999999</v>
      </c>
      <c r="DL51" s="101">
        <f t="shared" si="112"/>
        <v>0</v>
      </c>
      <c r="DM51" s="101"/>
      <c r="DN51" s="112"/>
      <c r="DO51" s="112"/>
      <c r="DP51" s="112"/>
      <c r="DQ51" s="112"/>
    </row>
    <row r="52" spans="1:130" ht="28.5" customHeight="1" x14ac:dyDescent="0.25">
      <c r="A52" s="4"/>
      <c r="B52" s="4"/>
      <c r="C52" s="166" t="s">
        <v>29</v>
      </c>
      <c r="D52" s="166" t="s">
        <v>431</v>
      </c>
      <c r="E52" s="2" t="s">
        <v>413</v>
      </c>
      <c r="F52" s="162"/>
      <c r="G52" s="162"/>
      <c r="H52" s="162"/>
      <c r="I52" s="162"/>
      <c r="J52" s="162"/>
      <c r="K52" s="162"/>
      <c r="L52" s="163"/>
      <c r="M52" s="414"/>
      <c r="N52" s="46"/>
      <c r="O52" s="6"/>
      <c r="P52" s="165"/>
      <c r="Q52" s="165"/>
      <c r="R52" s="165"/>
      <c r="S52" s="203"/>
      <c r="T52" s="89"/>
      <c r="U52" s="89"/>
      <c r="V52" s="89">
        <f>T52+U52</f>
        <v>0</v>
      </c>
      <c r="W52" s="137"/>
      <c r="X52" s="137"/>
      <c r="Y52" s="90">
        <f>W52+X52</f>
        <v>0</v>
      </c>
      <c r="Z52" s="169"/>
      <c r="AA52" s="92"/>
      <c r="AB52" s="92"/>
      <c r="AC52" s="92">
        <f t="shared" ref="AC52:AC59" si="119">AA52+AB52</f>
        <v>0</v>
      </c>
      <c r="AD52" s="93"/>
      <c r="AE52" s="93"/>
      <c r="AF52" s="94">
        <f t="shared" ref="AF52:AF59" si="120">AD52+AE52</f>
        <v>0</v>
      </c>
      <c r="AG52" s="475"/>
      <c r="AH52" s="99">
        <v>30</v>
      </c>
      <c r="AI52" s="99">
        <f t="shared" ref="AI52:AI59" si="121">AH52/15</f>
        <v>2</v>
      </c>
      <c r="AJ52" s="138">
        <v>30</v>
      </c>
      <c r="AK52" s="138">
        <f t="shared" si="113"/>
        <v>2</v>
      </c>
      <c r="AL52" s="106"/>
      <c r="AM52" s="105"/>
      <c r="AN52" s="105">
        <f t="shared" ref="AN52:AN59" si="122">AM52/15</f>
        <v>0</v>
      </c>
      <c r="AO52" s="106"/>
      <c r="AP52" s="105"/>
      <c r="AQ52" s="105">
        <f t="shared" si="107"/>
        <v>0</v>
      </c>
      <c r="AR52" s="106"/>
      <c r="AS52" s="97">
        <f t="shared" si="48"/>
        <v>2</v>
      </c>
      <c r="AT52" s="6"/>
      <c r="AU52" s="105"/>
      <c r="AV52" s="455">
        <f t="shared" si="114"/>
        <v>0</v>
      </c>
      <c r="AW52" s="496"/>
      <c r="AX52" s="508"/>
      <c r="AY52" s="498"/>
      <c r="AZ52" s="100">
        <f>AY52/15</f>
        <v>0</v>
      </c>
      <c r="BA52" s="106"/>
      <c r="BB52" s="105"/>
      <c r="BC52" s="105">
        <f t="shared" ref="BC52:BC59" si="123">BB52/15</f>
        <v>0</v>
      </c>
      <c r="BD52" s="106"/>
      <c r="BE52" s="105">
        <f t="shared" si="115"/>
        <v>2</v>
      </c>
      <c r="BF52" s="106"/>
      <c r="BG52" s="100">
        <f t="shared" si="108"/>
        <v>0</v>
      </c>
      <c r="BH52" s="106"/>
      <c r="BI52" s="100">
        <f t="shared" si="98"/>
        <v>0</v>
      </c>
      <c r="BJ52" s="106"/>
      <c r="BK52" s="101">
        <f t="shared" si="28"/>
        <v>2</v>
      </c>
      <c r="BL52" s="106"/>
      <c r="BM52" s="104"/>
      <c r="BN52" s="104"/>
      <c r="BO52" s="105"/>
      <c r="BP52" s="105">
        <f t="shared" ref="BP52:BP117" si="124">BO52/50</f>
        <v>0</v>
      </c>
      <c r="BQ52" s="106"/>
      <c r="BR52" s="231">
        <f>99+550</f>
        <v>649</v>
      </c>
      <c r="BS52" s="105">
        <f t="shared" si="116"/>
        <v>12.98</v>
      </c>
      <c r="BT52" s="106"/>
      <c r="BU52" s="53">
        <v>100</v>
      </c>
      <c r="BV52" s="53">
        <f t="shared" si="117"/>
        <v>2</v>
      </c>
      <c r="BW52" s="54"/>
      <c r="BX52" s="350">
        <f t="shared" si="19"/>
        <v>14.98</v>
      </c>
      <c r="BY52" s="211"/>
      <c r="BZ52" s="211">
        <f t="shared" si="109"/>
        <v>-12.98</v>
      </c>
      <c r="CA52" s="508"/>
      <c r="CB52" s="165"/>
      <c r="CC52" s="165"/>
      <c r="CD52" s="203"/>
      <c r="CE52" s="504"/>
      <c r="CF52" s="105"/>
      <c r="CG52" s="105">
        <f t="shared" si="32"/>
        <v>0</v>
      </c>
      <c r="CH52" s="105"/>
      <c r="CI52" s="105"/>
      <c r="CJ52" s="105">
        <f t="shared" si="99"/>
        <v>0</v>
      </c>
      <c r="CK52" s="524"/>
      <c r="CL52" s="53">
        <f t="shared" ref="CL52:CL59" si="125">CK52/15</f>
        <v>0</v>
      </c>
      <c r="CM52" s="54"/>
      <c r="CN52" s="105"/>
      <c r="CO52" s="100">
        <f t="shared" ref="CO52:CO117" si="126">CN52/15</f>
        <v>0</v>
      </c>
      <c r="CP52" s="496"/>
      <c r="CQ52" s="439"/>
      <c r="CR52" s="504"/>
      <c r="CS52" s="105"/>
      <c r="CT52" s="105">
        <f t="shared" si="36"/>
        <v>0</v>
      </c>
      <c r="CU52" s="105"/>
      <c r="CV52" s="105"/>
      <c r="CW52" s="105">
        <f t="shared" si="37"/>
        <v>0</v>
      </c>
      <c r="CX52" s="53"/>
      <c r="CY52" s="109">
        <f t="shared" ref="CY52:CY117" si="127">CX52/15</f>
        <v>0</v>
      </c>
      <c r="CZ52" s="54"/>
      <c r="DA52" s="105"/>
      <c r="DB52" s="455">
        <f t="shared" si="39"/>
        <v>0</v>
      </c>
      <c r="DC52" s="495"/>
      <c r="DD52" s="25"/>
      <c r="DF52" s="1133"/>
      <c r="DG52" s="674">
        <f t="shared" si="110"/>
        <v>0</v>
      </c>
      <c r="DH52" s="1119">
        <f t="shared" si="111"/>
        <v>0</v>
      </c>
      <c r="DI52" s="1119"/>
      <c r="DJ52" s="101">
        <f t="shared" si="118"/>
        <v>2</v>
      </c>
      <c r="DK52" s="101"/>
      <c r="DL52" s="101">
        <f t="shared" si="112"/>
        <v>0</v>
      </c>
      <c r="DM52" s="101"/>
      <c r="DN52" s="112"/>
      <c r="DO52" s="112"/>
      <c r="DP52" s="112"/>
      <c r="DQ52" s="112"/>
    </row>
    <row r="53" spans="1:130" ht="21.6" customHeight="1" x14ac:dyDescent="0.25">
      <c r="A53" s="4"/>
      <c r="B53" s="4"/>
      <c r="C53" s="166" t="s">
        <v>29</v>
      </c>
      <c r="D53" s="166" t="s">
        <v>431</v>
      </c>
      <c r="E53" s="3" t="s">
        <v>536</v>
      </c>
      <c r="F53" s="162"/>
      <c r="G53" s="162"/>
      <c r="H53" s="162"/>
      <c r="I53" s="162"/>
      <c r="J53" s="162"/>
      <c r="K53" s="162"/>
      <c r="L53" s="163"/>
      <c r="M53" s="414"/>
      <c r="N53" s="46"/>
      <c r="O53" s="6"/>
      <c r="P53" s="165"/>
      <c r="Q53" s="165"/>
      <c r="R53" s="165"/>
      <c r="S53" s="203"/>
      <c r="T53" s="89"/>
      <c r="U53" s="89"/>
      <c r="V53" s="89">
        <f t="shared" ref="V53:V54" si="128">T53+U53</f>
        <v>0</v>
      </c>
      <c r="W53" s="137"/>
      <c r="X53" s="137"/>
      <c r="Y53" s="90">
        <f t="shared" ref="Y53:Y59" si="129">W53+X53</f>
        <v>0</v>
      </c>
      <c r="Z53" s="169"/>
      <c r="AA53" s="92"/>
      <c r="AB53" s="92"/>
      <c r="AC53" s="92">
        <f t="shared" si="119"/>
        <v>0</v>
      </c>
      <c r="AD53" s="93"/>
      <c r="AE53" s="93"/>
      <c r="AF53" s="94">
        <f t="shared" si="120"/>
        <v>0</v>
      </c>
      <c r="AG53" s="475"/>
      <c r="AH53" s="99">
        <v>255</v>
      </c>
      <c r="AI53" s="99">
        <f t="shared" si="121"/>
        <v>17</v>
      </c>
      <c r="AJ53" s="138">
        <v>255</v>
      </c>
      <c r="AK53" s="138">
        <f t="shared" si="113"/>
        <v>17</v>
      </c>
      <c r="AL53" s="106"/>
      <c r="AM53" s="105"/>
      <c r="AN53" s="105">
        <f t="shared" si="122"/>
        <v>0</v>
      </c>
      <c r="AO53" s="106"/>
      <c r="AP53" s="105"/>
      <c r="AQ53" s="105">
        <f t="shared" si="107"/>
        <v>0</v>
      </c>
      <c r="AR53" s="106"/>
      <c r="AS53" s="97">
        <f t="shared" si="48"/>
        <v>17</v>
      </c>
      <c r="AT53" s="6"/>
      <c r="AU53" s="105"/>
      <c r="AV53" s="455">
        <f t="shared" si="114"/>
        <v>0</v>
      </c>
      <c r="AW53" s="496"/>
      <c r="AX53" s="508"/>
      <c r="AY53" s="498"/>
      <c r="AZ53" s="100"/>
      <c r="BA53" s="106"/>
      <c r="BB53" s="105"/>
      <c r="BC53" s="105">
        <f t="shared" si="123"/>
        <v>0</v>
      </c>
      <c r="BD53" s="106"/>
      <c r="BE53" s="105">
        <f t="shared" si="115"/>
        <v>17</v>
      </c>
      <c r="BF53" s="106"/>
      <c r="BG53" s="100">
        <f t="shared" si="108"/>
        <v>0</v>
      </c>
      <c r="BH53" s="106"/>
      <c r="BI53" s="100">
        <f t="shared" si="98"/>
        <v>0</v>
      </c>
      <c r="BJ53" s="106"/>
      <c r="BK53" s="101">
        <f t="shared" si="28"/>
        <v>17</v>
      </c>
      <c r="BL53" s="106"/>
      <c r="BM53" s="104"/>
      <c r="BN53" s="104">
        <f t="shared" ref="BN53:BN54" si="130">BM53/50</f>
        <v>0</v>
      </c>
      <c r="BO53" s="105"/>
      <c r="BP53" s="105">
        <f t="shared" si="124"/>
        <v>0</v>
      </c>
      <c r="BQ53" s="106"/>
      <c r="BR53" s="105"/>
      <c r="BS53" s="105">
        <f t="shared" si="116"/>
        <v>0</v>
      </c>
      <c r="BT53" s="106"/>
      <c r="BU53" s="53">
        <v>850</v>
      </c>
      <c r="BV53" s="53">
        <f t="shared" si="117"/>
        <v>17</v>
      </c>
      <c r="BW53" s="54"/>
      <c r="BX53" s="350">
        <f t="shared" si="19"/>
        <v>17</v>
      </c>
      <c r="BY53" s="211"/>
      <c r="BZ53" s="211">
        <f t="shared" si="109"/>
        <v>0</v>
      </c>
      <c r="CA53" s="508"/>
      <c r="CB53" s="165"/>
      <c r="CC53" s="165"/>
      <c r="CD53" s="203"/>
      <c r="CE53" s="504"/>
      <c r="CF53" s="105"/>
      <c r="CG53" s="105">
        <f t="shared" si="32"/>
        <v>0</v>
      </c>
      <c r="CH53" s="105"/>
      <c r="CI53" s="105"/>
      <c r="CJ53" s="105">
        <f t="shared" si="99"/>
        <v>0</v>
      </c>
      <c r="CK53" s="524"/>
      <c r="CL53" s="53">
        <f t="shared" si="125"/>
        <v>0</v>
      </c>
      <c r="CM53" s="54"/>
      <c r="CN53" s="105"/>
      <c r="CO53" s="100">
        <f t="shared" si="126"/>
        <v>0</v>
      </c>
      <c r="CP53" s="496"/>
      <c r="CQ53" s="439"/>
      <c r="CR53" s="504"/>
      <c r="CS53" s="105"/>
      <c r="CT53" s="105">
        <f t="shared" si="36"/>
        <v>0</v>
      </c>
      <c r="CU53" s="105"/>
      <c r="CV53" s="105"/>
      <c r="CW53" s="105">
        <f t="shared" si="37"/>
        <v>0</v>
      </c>
      <c r="CX53" s="53"/>
      <c r="CY53" s="109">
        <f t="shared" si="127"/>
        <v>0</v>
      </c>
      <c r="CZ53" s="54"/>
      <c r="DA53" s="231">
        <v>195</v>
      </c>
      <c r="DB53" s="455">
        <f t="shared" si="39"/>
        <v>13</v>
      </c>
      <c r="DC53" s="495"/>
      <c r="DD53" s="25"/>
      <c r="DF53" s="1133"/>
      <c r="DG53" s="674">
        <f t="shared" si="110"/>
        <v>13</v>
      </c>
      <c r="DH53" s="1119">
        <f t="shared" si="111"/>
        <v>0</v>
      </c>
      <c r="DI53" s="1119"/>
      <c r="DJ53" s="101">
        <f t="shared" si="118"/>
        <v>17</v>
      </c>
      <c r="DK53" s="101"/>
      <c r="DL53" s="101">
        <f t="shared" si="112"/>
        <v>0</v>
      </c>
      <c r="DM53" s="101"/>
      <c r="DN53" s="112"/>
      <c r="DO53" s="112"/>
      <c r="DP53" s="112"/>
      <c r="DQ53" s="112"/>
    </row>
    <row r="54" spans="1:130" ht="29.25" customHeight="1" x14ac:dyDescent="0.25">
      <c r="A54" s="4"/>
      <c r="B54" s="4"/>
      <c r="C54" s="166" t="s">
        <v>29</v>
      </c>
      <c r="D54" s="166"/>
      <c r="E54" s="2" t="s">
        <v>411</v>
      </c>
      <c r="F54" s="162"/>
      <c r="G54" s="162"/>
      <c r="H54" s="162"/>
      <c r="I54" s="162"/>
      <c r="J54" s="162"/>
      <c r="K54" s="162"/>
      <c r="L54" s="163"/>
      <c r="M54" s="414"/>
      <c r="N54" s="46"/>
      <c r="O54" s="6"/>
      <c r="P54" s="165"/>
      <c r="Q54" s="165"/>
      <c r="R54" s="165"/>
      <c r="S54" s="203"/>
      <c r="T54" s="89"/>
      <c r="U54" s="89"/>
      <c r="V54" s="89">
        <f t="shared" si="128"/>
        <v>0</v>
      </c>
      <c r="W54" s="137"/>
      <c r="X54" s="137"/>
      <c r="Y54" s="90">
        <f t="shared" si="129"/>
        <v>0</v>
      </c>
      <c r="Z54" s="169"/>
      <c r="AA54" s="92"/>
      <c r="AB54" s="92"/>
      <c r="AC54" s="92">
        <f t="shared" si="119"/>
        <v>0</v>
      </c>
      <c r="AD54" s="93"/>
      <c r="AE54" s="93"/>
      <c r="AF54" s="94">
        <f t="shared" si="120"/>
        <v>0</v>
      </c>
      <c r="AG54" s="475"/>
      <c r="AH54" s="99"/>
      <c r="AI54" s="99">
        <f t="shared" si="121"/>
        <v>0</v>
      </c>
      <c r="AJ54" s="138"/>
      <c r="AK54" s="138">
        <f t="shared" si="113"/>
        <v>0</v>
      </c>
      <c r="AL54" s="106"/>
      <c r="AM54" s="105"/>
      <c r="AN54" s="105">
        <f t="shared" si="122"/>
        <v>0</v>
      </c>
      <c r="AO54" s="106"/>
      <c r="AP54" s="105"/>
      <c r="AQ54" s="105">
        <f t="shared" si="107"/>
        <v>0</v>
      </c>
      <c r="AR54" s="106"/>
      <c r="AS54" s="97">
        <f t="shared" si="48"/>
        <v>0</v>
      </c>
      <c r="AT54" s="6"/>
      <c r="AU54" s="105"/>
      <c r="AV54" s="455">
        <f t="shared" si="114"/>
        <v>0</v>
      </c>
      <c r="AW54" s="496"/>
      <c r="AX54" s="508"/>
      <c r="AY54" s="498"/>
      <c r="AZ54" s="100">
        <f t="shared" ref="AZ54:AZ59" si="131">AY54/15</f>
        <v>0</v>
      </c>
      <c r="BA54" s="106"/>
      <c r="BB54" s="105"/>
      <c r="BC54" s="105">
        <f t="shared" si="123"/>
        <v>0</v>
      </c>
      <c r="BD54" s="106"/>
      <c r="BE54" s="105">
        <f t="shared" si="115"/>
        <v>0</v>
      </c>
      <c r="BF54" s="106"/>
      <c r="BG54" s="100">
        <f t="shared" si="108"/>
        <v>0</v>
      </c>
      <c r="BH54" s="106"/>
      <c r="BI54" s="100">
        <f t="shared" si="98"/>
        <v>0</v>
      </c>
      <c r="BJ54" s="106"/>
      <c r="BK54" s="101">
        <f t="shared" si="28"/>
        <v>0</v>
      </c>
      <c r="BL54" s="106"/>
      <c r="BM54" s="104"/>
      <c r="BN54" s="104">
        <f t="shared" si="130"/>
        <v>0</v>
      </c>
      <c r="BO54" s="105"/>
      <c r="BP54" s="105">
        <f t="shared" si="124"/>
        <v>0</v>
      </c>
      <c r="BQ54" s="106"/>
      <c r="BR54" s="231">
        <v>50</v>
      </c>
      <c r="BS54" s="105">
        <f t="shared" si="116"/>
        <v>1</v>
      </c>
      <c r="BT54" s="106"/>
      <c r="BU54" s="53"/>
      <c r="BV54" s="53">
        <f t="shared" si="117"/>
        <v>0</v>
      </c>
      <c r="BW54" s="54"/>
      <c r="BX54" s="350">
        <f t="shared" si="19"/>
        <v>1</v>
      </c>
      <c r="BY54" s="211"/>
      <c r="BZ54" s="211">
        <f t="shared" si="109"/>
        <v>-1</v>
      </c>
      <c r="CA54" s="508"/>
      <c r="CB54" s="165"/>
      <c r="CC54" s="165"/>
      <c r="CD54" s="203"/>
      <c r="CE54" s="504"/>
      <c r="CF54" s="105"/>
      <c r="CG54" s="105">
        <f t="shared" si="32"/>
        <v>0</v>
      </c>
      <c r="CH54" s="105"/>
      <c r="CI54" s="105"/>
      <c r="CJ54" s="105">
        <f t="shared" si="99"/>
        <v>0</v>
      </c>
      <c r="CK54" s="524"/>
      <c r="CL54" s="53">
        <f t="shared" si="125"/>
        <v>0</v>
      </c>
      <c r="CM54" s="54"/>
      <c r="CN54" s="105"/>
      <c r="CO54" s="100">
        <f t="shared" si="126"/>
        <v>0</v>
      </c>
      <c r="CP54" s="496"/>
      <c r="CQ54" s="439"/>
      <c r="CR54" s="504"/>
      <c r="CS54" s="105"/>
      <c r="CT54" s="105">
        <f t="shared" si="36"/>
        <v>0</v>
      </c>
      <c r="CU54" s="105"/>
      <c r="CV54" s="105"/>
      <c r="CW54" s="105">
        <f t="shared" si="37"/>
        <v>0</v>
      </c>
      <c r="CX54" s="53"/>
      <c r="CY54" s="109">
        <f t="shared" si="127"/>
        <v>0</v>
      </c>
      <c r="CZ54" s="54"/>
      <c r="DA54" s="105"/>
      <c r="DB54" s="455">
        <f t="shared" si="39"/>
        <v>0</v>
      </c>
      <c r="DC54" s="495"/>
      <c r="DD54" s="25"/>
      <c r="DF54" s="1133"/>
      <c r="DG54" s="674">
        <f t="shared" si="110"/>
        <v>0</v>
      </c>
      <c r="DH54" s="1119">
        <f t="shared" si="111"/>
        <v>0</v>
      </c>
      <c r="DI54" s="1119"/>
      <c r="DJ54" s="101">
        <f t="shared" si="118"/>
        <v>0</v>
      </c>
      <c r="DK54" s="101"/>
      <c r="DL54" s="101">
        <f t="shared" si="112"/>
        <v>0</v>
      </c>
      <c r="DM54" s="101"/>
      <c r="DN54" s="112"/>
      <c r="DO54" s="112"/>
      <c r="DP54" s="112"/>
      <c r="DQ54" s="112"/>
    </row>
    <row r="55" spans="1:130" ht="21.75" customHeight="1" x14ac:dyDescent="0.25">
      <c r="A55" s="4"/>
      <c r="B55" s="4"/>
      <c r="C55" s="204" t="s">
        <v>29</v>
      </c>
      <c r="D55" s="204" t="s">
        <v>431</v>
      </c>
      <c r="E55" s="3" t="s">
        <v>381</v>
      </c>
      <c r="F55" s="162"/>
      <c r="G55" s="162"/>
      <c r="H55" s="162"/>
      <c r="I55" s="162"/>
      <c r="J55" s="162"/>
      <c r="K55" s="162"/>
      <c r="L55" s="163"/>
      <c r="M55" s="414"/>
      <c r="N55" s="41"/>
      <c r="O55" s="6"/>
      <c r="P55" s="165"/>
      <c r="Q55" s="165"/>
      <c r="R55" s="165"/>
      <c r="S55" s="203"/>
      <c r="T55" s="89"/>
      <c r="U55" s="89"/>
      <c r="V55" s="89">
        <f>T55+U55</f>
        <v>0</v>
      </c>
      <c r="W55" s="137"/>
      <c r="X55" s="137"/>
      <c r="Y55" s="90">
        <f t="shared" si="129"/>
        <v>0</v>
      </c>
      <c r="Z55" s="169"/>
      <c r="AA55" s="92"/>
      <c r="AB55" s="92"/>
      <c r="AC55" s="92">
        <f t="shared" si="119"/>
        <v>0</v>
      </c>
      <c r="AD55" s="93"/>
      <c r="AE55" s="93"/>
      <c r="AF55" s="94">
        <f t="shared" si="120"/>
        <v>0</v>
      </c>
      <c r="AG55" s="475"/>
      <c r="AH55" s="99">
        <v>937.5</v>
      </c>
      <c r="AI55" s="99">
        <f t="shared" si="121"/>
        <v>62.5</v>
      </c>
      <c r="AJ55" s="138">
        <v>255</v>
      </c>
      <c r="AK55" s="138">
        <f t="shared" si="113"/>
        <v>17</v>
      </c>
      <c r="AL55" s="106"/>
      <c r="AM55" s="105"/>
      <c r="AN55" s="105">
        <f t="shared" si="122"/>
        <v>0</v>
      </c>
      <c r="AO55" s="106"/>
      <c r="AP55" s="105"/>
      <c r="AQ55" s="105">
        <f t="shared" si="107"/>
        <v>0</v>
      </c>
      <c r="AR55" s="106"/>
      <c r="AS55" s="97">
        <f t="shared" si="48"/>
        <v>17</v>
      </c>
      <c r="AT55" s="6"/>
      <c r="AU55" s="105"/>
      <c r="AV55" s="455">
        <f t="shared" si="114"/>
        <v>0</v>
      </c>
      <c r="AW55" s="496"/>
      <c r="AX55" s="508"/>
      <c r="AY55" s="498"/>
      <c r="AZ55" s="100">
        <f t="shared" si="131"/>
        <v>0</v>
      </c>
      <c r="BA55" s="106"/>
      <c r="BB55" s="105"/>
      <c r="BC55" s="105">
        <f t="shared" si="123"/>
        <v>0</v>
      </c>
      <c r="BD55" s="106"/>
      <c r="BE55" s="105">
        <f t="shared" si="115"/>
        <v>17</v>
      </c>
      <c r="BF55" s="106"/>
      <c r="BG55" s="100">
        <f t="shared" si="108"/>
        <v>0</v>
      </c>
      <c r="BH55" s="106"/>
      <c r="BI55" s="100">
        <f t="shared" si="98"/>
        <v>0</v>
      </c>
      <c r="BJ55" s="106"/>
      <c r="BK55" s="101">
        <f t="shared" si="28"/>
        <v>17</v>
      </c>
      <c r="BL55" s="106"/>
      <c r="BM55" s="104">
        <v>3125</v>
      </c>
      <c r="BN55" s="104">
        <f>BM55/50</f>
        <v>62.5</v>
      </c>
      <c r="BO55" s="105"/>
      <c r="BP55" s="105">
        <f t="shared" si="124"/>
        <v>0</v>
      </c>
      <c r="BQ55" s="106"/>
      <c r="BR55" s="105"/>
      <c r="BS55" s="105">
        <f t="shared" si="116"/>
        <v>0</v>
      </c>
      <c r="BT55" s="106"/>
      <c r="BU55" s="53">
        <v>850</v>
      </c>
      <c r="BV55" s="53">
        <f t="shared" si="117"/>
        <v>17</v>
      </c>
      <c r="BW55" s="54"/>
      <c r="BX55" s="350">
        <f t="shared" si="19"/>
        <v>17</v>
      </c>
      <c r="BY55" s="211"/>
      <c r="BZ55" s="211">
        <f t="shared" si="109"/>
        <v>0</v>
      </c>
      <c r="CA55" s="508"/>
      <c r="CB55" s="165"/>
      <c r="CC55" s="165"/>
      <c r="CD55" s="203"/>
      <c r="CE55" s="504"/>
      <c r="CF55" s="105"/>
      <c r="CG55" s="105">
        <f t="shared" si="32"/>
        <v>0</v>
      </c>
      <c r="CH55" s="105"/>
      <c r="CI55" s="105"/>
      <c r="CJ55" s="105">
        <f t="shared" si="99"/>
        <v>0</v>
      </c>
      <c r="CK55" s="524"/>
      <c r="CL55" s="53">
        <f t="shared" si="125"/>
        <v>0</v>
      </c>
      <c r="CM55" s="54"/>
      <c r="CN55" s="105"/>
      <c r="CO55" s="100">
        <f t="shared" si="126"/>
        <v>0</v>
      </c>
      <c r="CP55" s="496"/>
      <c r="CQ55" s="439"/>
      <c r="CR55" s="504"/>
      <c r="CS55" s="105"/>
      <c r="CT55" s="105">
        <f t="shared" si="36"/>
        <v>0</v>
      </c>
      <c r="CU55" s="105"/>
      <c r="CV55" s="105"/>
      <c r="CW55" s="105">
        <f t="shared" si="37"/>
        <v>0</v>
      </c>
      <c r="CX55" s="53"/>
      <c r="CY55" s="109">
        <f t="shared" si="127"/>
        <v>0</v>
      </c>
      <c r="CZ55" s="54"/>
      <c r="DA55" s="231">
        <v>10</v>
      </c>
      <c r="DB55" s="455">
        <f t="shared" si="39"/>
        <v>0.66666666666666663</v>
      </c>
      <c r="DC55" s="495"/>
      <c r="DD55" s="25"/>
      <c r="DF55" s="1133"/>
      <c r="DG55" s="674">
        <f t="shared" si="110"/>
        <v>0.66666666666666663</v>
      </c>
      <c r="DH55" s="1119">
        <f t="shared" si="111"/>
        <v>0</v>
      </c>
      <c r="DI55" s="1119"/>
      <c r="DJ55" s="101">
        <f t="shared" si="118"/>
        <v>17</v>
      </c>
      <c r="DK55" s="101"/>
      <c r="DL55" s="101">
        <f t="shared" si="112"/>
        <v>0</v>
      </c>
      <c r="DM55" s="101"/>
      <c r="DN55" s="112"/>
      <c r="DO55" s="112"/>
      <c r="DP55" s="112"/>
      <c r="DQ55" s="112"/>
    </row>
    <row r="56" spans="1:130" ht="21.6" customHeight="1" x14ac:dyDescent="0.25">
      <c r="A56" s="4"/>
      <c r="B56" s="4"/>
      <c r="C56" s="204" t="s">
        <v>29</v>
      </c>
      <c r="D56" s="204" t="s">
        <v>431</v>
      </c>
      <c r="E56" s="3" t="s">
        <v>382</v>
      </c>
      <c r="F56" s="162"/>
      <c r="G56" s="162"/>
      <c r="H56" s="162"/>
      <c r="I56" s="162"/>
      <c r="J56" s="162"/>
      <c r="K56" s="162"/>
      <c r="L56" s="163"/>
      <c r="M56" s="414"/>
      <c r="N56" s="41"/>
      <c r="O56" s="164"/>
      <c r="P56" s="165"/>
      <c r="Q56" s="165"/>
      <c r="R56" s="165"/>
      <c r="S56" s="203"/>
      <c r="T56" s="89"/>
      <c r="U56" s="89"/>
      <c r="V56" s="89">
        <f>T56+U56</f>
        <v>0</v>
      </c>
      <c r="W56" s="137"/>
      <c r="X56" s="137"/>
      <c r="Y56" s="90">
        <f t="shared" si="129"/>
        <v>0</v>
      </c>
      <c r="Z56" s="169"/>
      <c r="AA56" s="92"/>
      <c r="AB56" s="92"/>
      <c r="AC56" s="92">
        <f t="shared" si="119"/>
        <v>0</v>
      </c>
      <c r="AD56" s="93"/>
      <c r="AE56" s="93"/>
      <c r="AF56" s="94">
        <f t="shared" si="120"/>
        <v>0</v>
      </c>
      <c r="AG56" s="475"/>
      <c r="AH56" s="99">
        <v>645</v>
      </c>
      <c r="AI56" s="99">
        <f t="shared" si="121"/>
        <v>43</v>
      </c>
      <c r="AJ56" s="138">
        <v>450</v>
      </c>
      <c r="AK56" s="138">
        <f t="shared" si="113"/>
        <v>30</v>
      </c>
      <c r="AL56" s="106"/>
      <c r="AM56" s="105"/>
      <c r="AN56" s="105">
        <f t="shared" si="122"/>
        <v>0</v>
      </c>
      <c r="AO56" s="106"/>
      <c r="AP56" s="105"/>
      <c r="AQ56" s="105">
        <f t="shared" si="107"/>
        <v>0</v>
      </c>
      <c r="AR56" s="106"/>
      <c r="AS56" s="97">
        <f t="shared" si="48"/>
        <v>30</v>
      </c>
      <c r="AT56" s="6"/>
      <c r="AU56" s="105"/>
      <c r="AV56" s="455">
        <f t="shared" si="114"/>
        <v>0</v>
      </c>
      <c r="AW56" s="496"/>
      <c r="AX56" s="508"/>
      <c r="AY56" s="498"/>
      <c r="AZ56" s="100">
        <f t="shared" si="131"/>
        <v>0</v>
      </c>
      <c r="BA56" s="106"/>
      <c r="BB56" s="105"/>
      <c r="BC56" s="105">
        <f t="shared" si="123"/>
        <v>0</v>
      </c>
      <c r="BD56" s="106"/>
      <c r="BE56" s="105">
        <f t="shared" si="115"/>
        <v>30</v>
      </c>
      <c r="BF56" s="106"/>
      <c r="BG56" s="100">
        <f t="shared" si="108"/>
        <v>0</v>
      </c>
      <c r="BH56" s="106"/>
      <c r="BI56" s="100">
        <f t="shared" si="98"/>
        <v>0</v>
      </c>
      <c r="BJ56" s="106"/>
      <c r="BK56" s="101">
        <f t="shared" si="28"/>
        <v>30</v>
      </c>
      <c r="BL56" s="106"/>
      <c r="BM56" s="104">
        <v>2150</v>
      </c>
      <c r="BN56" s="104">
        <f>BM56/50</f>
        <v>43</v>
      </c>
      <c r="BO56" s="105"/>
      <c r="BP56" s="105">
        <f t="shared" si="124"/>
        <v>0</v>
      </c>
      <c r="BQ56" s="106"/>
      <c r="BR56" s="105"/>
      <c r="BS56" s="105">
        <f t="shared" si="116"/>
        <v>0</v>
      </c>
      <c r="BT56" s="106"/>
      <c r="BU56" s="53">
        <v>1500</v>
      </c>
      <c r="BV56" s="53">
        <f t="shared" si="117"/>
        <v>30</v>
      </c>
      <c r="BW56" s="54"/>
      <c r="BX56" s="350">
        <f t="shared" si="19"/>
        <v>30</v>
      </c>
      <c r="BY56" s="211"/>
      <c r="BZ56" s="211">
        <f t="shared" si="109"/>
        <v>0</v>
      </c>
      <c r="CA56" s="508"/>
      <c r="CB56" s="165"/>
      <c r="CC56" s="165"/>
      <c r="CD56" s="203"/>
      <c r="CE56" s="504"/>
      <c r="CF56" s="105"/>
      <c r="CG56" s="105">
        <f t="shared" si="32"/>
        <v>0</v>
      </c>
      <c r="CH56" s="105"/>
      <c r="CI56" s="105"/>
      <c r="CJ56" s="105">
        <f t="shared" si="99"/>
        <v>0</v>
      </c>
      <c r="CK56" s="524"/>
      <c r="CL56" s="53">
        <f t="shared" si="125"/>
        <v>0</v>
      </c>
      <c r="CM56" s="54"/>
      <c r="CN56" s="105"/>
      <c r="CO56" s="100">
        <f t="shared" si="126"/>
        <v>0</v>
      </c>
      <c r="CP56" s="496"/>
      <c r="CQ56" s="439"/>
      <c r="CR56" s="504"/>
      <c r="CS56" s="105"/>
      <c r="CT56" s="105">
        <f t="shared" si="36"/>
        <v>0</v>
      </c>
      <c r="CU56" s="105"/>
      <c r="CV56" s="105"/>
      <c r="CW56" s="105">
        <f t="shared" si="37"/>
        <v>0</v>
      </c>
      <c r="CX56" s="53"/>
      <c r="CY56" s="109">
        <f t="shared" si="127"/>
        <v>0</v>
      </c>
      <c r="CZ56" s="54"/>
      <c r="DA56" s="105"/>
      <c r="DB56" s="455">
        <f t="shared" si="39"/>
        <v>0</v>
      </c>
      <c r="DC56" s="495"/>
      <c r="DD56" s="25"/>
      <c r="DF56" s="1133"/>
      <c r="DG56" s="674">
        <f t="shared" si="110"/>
        <v>0</v>
      </c>
      <c r="DH56" s="1119">
        <f t="shared" si="111"/>
        <v>0</v>
      </c>
      <c r="DI56" s="1119"/>
      <c r="DJ56" s="101">
        <f t="shared" si="118"/>
        <v>30</v>
      </c>
      <c r="DK56" s="101"/>
      <c r="DL56" s="101">
        <f t="shared" si="112"/>
        <v>0</v>
      </c>
      <c r="DM56" s="101"/>
      <c r="DN56" s="112"/>
      <c r="DO56" s="112"/>
      <c r="DP56" s="112"/>
      <c r="DQ56" s="112"/>
    </row>
    <row r="57" spans="1:130" ht="21.6" customHeight="1" x14ac:dyDescent="0.25">
      <c r="A57" s="4"/>
      <c r="B57" s="4"/>
      <c r="C57" s="204" t="s">
        <v>29</v>
      </c>
      <c r="D57" s="204"/>
      <c r="E57" s="3" t="s">
        <v>383</v>
      </c>
      <c r="F57" s="162"/>
      <c r="G57" s="162"/>
      <c r="H57" s="162"/>
      <c r="I57" s="162"/>
      <c r="J57" s="162"/>
      <c r="K57" s="162"/>
      <c r="L57" s="163"/>
      <c r="M57" s="414"/>
      <c r="N57" s="41"/>
      <c r="O57" s="6"/>
      <c r="P57" s="165"/>
      <c r="Q57" s="165"/>
      <c r="R57" s="165"/>
      <c r="S57" s="203"/>
      <c r="T57" s="89"/>
      <c r="U57" s="89"/>
      <c r="V57" s="89">
        <f>T57+U57</f>
        <v>0</v>
      </c>
      <c r="W57" s="137"/>
      <c r="X57" s="137"/>
      <c r="Y57" s="90">
        <f t="shared" si="129"/>
        <v>0</v>
      </c>
      <c r="Z57" s="169"/>
      <c r="AA57" s="92"/>
      <c r="AB57" s="92"/>
      <c r="AC57" s="92">
        <f t="shared" si="119"/>
        <v>0</v>
      </c>
      <c r="AD57" s="93"/>
      <c r="AE57" s="93"/>
      <c r="AF57" s="94">
        <f t="shared" si="120"/>
        <v>0</v>
      </c>
      <c r="AG57" s="475"/>
      <c r="AH57" s="99">
        <v>210</v>
      </c>
      <c r="AI57" s="99">
        <f t="shared" si="121"/>
        <v>14</v>
      </c>
      <c r="AJ57" s="138"/>
      <c r="AK57" s="138">
        <f t="shared" si="113"/>
        <v>0</v>
      </c>
      <c r="AL57" s="106"/>
      <c r="AM57" s="105"/>
      <c r="AN57" s="105">
        <f t="shared" si="122"/>
        <v>0</v>
      </c>
      <c r="AO57" s="106"/>
      <c r="AP57" s="105"/>
      <c r="AQ57" s="105">
        <f t="shared" si="107"/>
        <v>0</v>
      </c>
      <c r="AR57" s="106"/>
      <c r="AS57" s="97">
        <f t="shared" si="48"/>
        <v>0</v>
      </c>
      <c r="AT57" s="6"/>
      <c r="AU57" s="105"/>
      <c r="AV57" s="455">
        <f t="shared" si="114"/>
        <v>0</v>
      </c>
      <c r="AW57" s="496"/>
      <c r="AX57" s="508"/>
      <c r="AY57" s="498"/>
      <c r="AZ57" s="100">
        <f t="shared" si="131"/>
        <v>0</v>
      </c>
      <c r="BA57" s="106"/>
      <c r="BB57" s="105"/>
      <c r="BC57" s="105">
        <f t="shared" si="123"/>
        <v>0</v>
      </c>
      <c r="BD57" s="106"/>
      <c r="BE57" s="105">
        <f t="shared" si="115"/>
        <v>0</v>
      </c>
      <c r="BF57" s="106"/>
      <c r="BG57" s="100">
        <f t="shared" si="108"/>
        <v>0</v>
      </c>
      <c r="BH57" s="106"/>
      <c r="BI57" s="100">
        <f t="shared" si="98"/>
        <v>0</v>
      </c>
      <c r="BJ57" s="106"/>
      <c r="BK57" s="101">
        <f t="shared" si="28"/>
        <v>0</v>
      </c>
      <c r="BL57" s="106"/>
      <c r="BM57" s="104">
        <v>700</v>
      </c>
      <c r="BN57" s="104">
        <f>BM57/50</f>
        <v>14</v>
      </c>
      <c r="BO57" s="105"/>
      <c r="BP57" s="105">
        <f t="shared" si="124"/>
        <v>0</v>
      </c>
      <c r="BQ57" s="106"/>
      <c r="BR57" s="105"/>
      <c r="BS57" s="105">
        <f t="shared" si="116"/>
        <v>0</v>
      </c>
      <c r="BT57" s="106"/>
      <c r="BU57" s="53">
        <v>0</v>
      </c>
      <c r="BV57" s="53">
        <f t="shared" si="117"/>
        <v>0</v>
      </c>
      <c r="BW57" s="54"/>
      <c r="BX57" s="350">
        <f t="shared" si="19"/>
        <v>0</v>
      </c>
      <c r="BY57" s="211"/>
      <c r="BZ57" s="211">
        <f t="shared" si="109"/>
        <v>0</v>
      </c>
      <c r="CA57" s="508"/>
      <c r="CB57" s="165"/>
      <c r="CC57" s="165"/>
      <c r="CD57" s="203"/>
      <c r="CE57" s="504"/>
      <c r="CF57" s="105"/>
      <c r="CG57" s="105">
        <f t="shared" si="32"/>
        <v>0</v>
      </c>
      <c r="CH57" s="105"/>
      <c r="CI57" s="105"/>
      <c r="CJ57" s="105">
        <f t="shared" si="99"/>
        <v>0</v>
      </c>
      <c r="CK57" s="524"/>
      <c r="CL57" s="53">
        <f t="shared" si="125"/>
        <v>0</v>
      </c>
      <c r="CM57" s="54"/>
      <c r="CN57" s="105"/>
      <c r="CO57" s="100">
        <f t="shared" si="126"/>
        <v>0</v>
      </c>
      <c r="CP57" s="496"/>
      <c r="CQ57" s="439"/>
      <c r="CR57" s="504"/>
      <c r="CS57" s="105"/>
      <c r="CT57" s="105">
        <f t="shared" si="36"/>
        <v>0</v>
      </c>
      <c r="CU57" s="105"/>
      <c r="CV57" s="105"/>
      <c r="CW57" s="105">
        <f t="shared" si="37"/>
        <v>0</v>
      </c>
      <c r="CX57" s="53"/>
      <c r="CY57" s="109">
        <f t="shared" si="127"/>
        <v>0</v>
      </c>
      <c r="CZ57" s="54"/>
      <c r="DA57" s="105"/>
      <c r="DB57" s="455">
        <f t="shared" si="39"/>
        <v>0</v>
      </c>
      <c r="DC57" s="495"/>
      <c r="DD57" s="25"/>
      <c r="DF57" s="1133"/>
      <c r="DG57" s="674">
        <f t="shared" si="110"/>
        <v>0</v>
      </c>
      <c r="DH57" s="1119">
        <f t="shared" si="111"/>
        <v>0</v>
      </c>
      <c r="DI57" s="1119"/>
      <c r="DJ57" s="101">
        <f t="shared" si="118"/>
        <v>0</v>
      </c>
      <c r="DK57" s="101"/>
      <c r="DL57" s="101">
        <f t="shared" si="112"/>
        <v>0</v>
      </c>
      <c r="DM57" s="101"/>
      <c r="DN57" s="112"/>
      <c r="DO57" s="112"/>
      <c r="DP57" s="112"/>
      <c r="DQ57" s="112"/>
    </row>
    <row r="58" spans="1:130" ht="27.75" customHeight="1" x14ac:dyDescent="0.25">
      <c r="A58" s="4"/>
      <c r="B58" s="4"/>
      <c r="C58" s="167" t="s">
        <v>29</v>
      </c>
      <c r="D58" s="167" t="s">
        <v>431</v>
      </c>
      <c r="E58" s="3" t="s">
        <v>788</v>
      </c>
      <c r="F58" s="162"/>
      <c r="G58" s="162"/>
      <c r="H58" s="162"/>
      <c r="I58" s="162"/>
      <c r="J58" s="162"/>
      <c r="K58" s="162"/>
      <c r="L58" s="163"/>
      <c r="M58" s="414"/>
      <c r="N58" s="41"/>
      <c r="O58" s="6"/>
      <c r="P58" s="165"/>
      <c r="Q58" s="165"/>
      <c r="R58" s="165"/>
      <c r="S58" s="203"/>
      <c r="T58" s="89"/>
      <c r="U58" s="89"/>
      <c r="V58" s="89">
        <f t="shared" ref="V58:V59" si="132">T58+U58</f>
        <v>0</v>
      </c>
      <c r="W58" s="137"/>
      <c r="X58" s="137"/>
      <c r="Y58" s="90">
        <f t="shared" si="129"/>
        <v>0</v>
      </c>
      <c r="Z58" s="169"/>
      <c r="AA58" s="92"/>
      <c r="AB58" s="92"/>
      <c r="AC58" s="92">
        <f t="shared" si="119"/>
        <v>0</v>
      </c>
      <c r="AD58" s="93"/>
      <c r="AE58" s="93"/>
      <c r="AF58" s="94">
        <f t="shared" si="120"/>
        <v>0</v>
      </c>
      <c r="AG58" s="475"/>
      <c r="AH58" s="99">
        <v>230</v>
      </c>
      <c r="AI58" s="99">
        <f t="shared" si="121"/>
        <v>15.333333333333334</v>
      </c>
      <c r="AJ58" s="138">
        <v>230</v>
      </c>
      <c r="AK58" s="138">
        <f t="shared" si="113"/>
        <v>15.333333333333334</v>
      </c>
      <c r="AL58" s="106"/>
      <c r="AM58" s="105"/>
      <c r="AN58" s="105">
        <f t="shared" si="122"/>
        <v>0</v>
      </c>
      <c r="AO58" s="106"/>
      <c r="AP58" s="105"/>
      <c r="AQ58" s="105">
        <f t="shared" si="107"/>
        <v>0</v>
      </c>
      <c r="AR58" s="106"/>
      <c r="AS58" s="97">
        <f t="shared" si="48"/>
        <v>15.333333333333334</v>
      </c>
      <c r="AT58" s="6"/>
      <c r="AU58" s="105"/>
      <c r="AV58" s="455">
        <f t="shared" si="114"/>
        <v>0</v>
      </c>
      <c r="AW58" s="496"/>
      <c r="AX58" s="508"/>
      <c r="AY58" s="498"/>
      <c r="AZ58" s="100">
        <f t="shared" si="131"/>
        <v>0</v>
      </c>
      <c r="BA58" s="106"/>
      <c r="BB58" s="105"/>
      <c r="BC58" s="105">
        <f t="shared" si="123"/>
        <v>0</v>
      </c>
      <c r="BD58" s="106"/>
      <c r="BE58" s="105">
        <f t="shared" si="115"/>
        <v>15.333333333333334</v>
      </c>
      <c r="BF58" s="106"/>
      <c r="BG58" s="100">
        <f t="shared" si="108"/>
        <v>0</v>
      </c>
      <c r="BH58" s="106"/>
      <c r="BI58" s="100">
        <f t="shared" si="98"/>
        <v>0</v>
      </c>
      <c r="BJ58" s="106"/>
      <c r="BK58" s="101">
        <f t="shared" si="28"/>
        <v>15.333333333333334</v>
      </c>
      <c r="BL58" s="106"/>
      <c r="BM58" s="104"/>
      <c r="BN58" s="104"/>
      <c r="BO58" s="105"/>
      <c r="BP58" s="105">
        <f t="shared" si="124"/>
        <v>0</v>
      </c>
      <c r="BQ58" s="106"/>
      <c r="BR58" s="231">
        <f>350+464</f>
        <v>814</v>
      </c>
      <c r="BS58" s="105">
        <f t="shared" si="116"/>
        <v>16.28</v>
      </c>
      <c r="BT58" s="106"/>
      <c r="BU58" s="53">
        <v>750</v>
      </c>
      <c r="BV58" s="53">
        <f t="shared" si="117"/>
        <v>15</v>
      </c>
      <c r="BW58" s="54"/>
      <c r="BX58" s="350">
        <f t="shared" si="19"/>
        <v>31.28</v>
      </c>
      <c r="BY58" s="211"/>
      <c r="BZ58" s="211">
        <f t="shared" si="109"/>
        <v>-15.946666666666667</v>
      </c>
      <c r="CA58" s="508"/>
      <c r="CB58" s="165"/>
      <c r="CC58" s="165"/>
      <c r="CD58" s="203"/>
      <c r="CE58" s="504"/>
      <c r="CF58" s="105"/>
      <c r="CG58" s="105">
        <f t="shared" si="32"/>
        <v>0</v>
      </c>
      <c r="CH58" s="105"/>
      <c r="CI58" s="105"/>
      <c r="CJ58" s="105">
        <f t="shared" si="99"/>
        <v>0</v>
      </c>
      <c r="CK58" s="524"/>
      <c r="CL58" s="53">
        <f t="shared" si="125"/>
        <v>0</v>
      </c>
      <c r="CM58" s="54"/>
      <c r="CN58" s="105"/>
      <c r="CO58" s="100">
        <f t="shared" si="126"/>
        <v>0</v>
      </c>
      <c r="CP58" s="496"/>
      <c r="CQ58" s="439"/>
      <c r="CR58" s="504"/>
      <c r="CS58" s="105"/>
      <c r="CT58" s="105">
        <f t="shared" si="36"/>
        <v>0</v>
      </c>
      <c r="CU58" s="105"/>
      <c r="CV58" s="105"/>
      <c r="CW58" s="105">
        <f t="shared" si="37"/>
        <v>0</v>
      </c>
      <c r="CX58" s="53"/>
      <c r="CY58" s="109">
        <f t="shared" si="127"/>
        <v>0</v>
      </c>
      <c r="CZ58" s="54"/>
      <c r="DA58" s="105"/>
      <c r="DB58" s="455">
        <f t="shared" si="39"/>
        <v>0</v>
      </c>
      <c r="DC58" s="495"/>
      <c r="DD58" s="25"/>
      <c r="DF58" s="1133"/>
      <c r="DG58" s="674">
        <f t="shared" si="110"/>
        <v>0</v>
      </c>
      <c r="DH58" s="1119">
        <f t="shared" si="111"/>
        <v>0</v>
      </c>
      <c r="DI58" s="1119"/>
      <c r="DJ58" s="101">
        <f t="shared" si="118"/>
        <v>15.333333333333334</v>
      </c>
      <c r="DK58" s="101"/>
      <c r="DL58" s="101">
        <f t="shared" si="112"/>
        <v>0</v>
      </c>
      <c r="DM58" s="101"/>
      <c r="DN58" s="112"/>
      <c r="DO58" s="112"/>
      <c r="DP58" s="112"/>
      <c r="DQ58" s="112"/>
    </row>
    <row r="59" spans="1:130" ht="21.6" customHeight="1" x14ac:dyDescent="0.25">
      <c r="A59" s="4"/>
      <c r="B59" s="4"/>
      <c r="C59" s="167" t="s">
        <v>29</v>
      </c>
      <c r="D59" s="167" t="s">
        <v>431</v>
      </c>
      <c r="E59" s="2" t="s">
        <v>129</v>
      </c>
      <c r="F59" s="162"/>
      <c r="G59" s="162"/>
      <c r="H59" s="162"/>
      <c r="I59" s="162"/>
      <c r="J59" s="162"/>
      <c r="K59" s="162"/>
      <c r="L59" s="163"/>
      <c r="M59" s="414"/>
      <c r="N59" s="41"/>
      <c r="O59" s="6"/>
      <c r="P59" s="165"/>
      <c r="Q59" s="165"/>
      <c r="R59" s="165"/>
      <c r="S59" s="203"/>
      <c r="T59" s="89"/>
      <c r="U59" s="89"/>
      <c r="V59" s="89">
        <f t="shared" si="132"/>
        <v>0</v>
      </c>
      <c r="W59" s="137"/>
      <c r="X59" s="137"/>
      <c r="Y59" s="90">
        <f t="shared" si="129"/>
        <v>0</v>
      </c>
      <c r="Z59" s="169"/>
      <c r="AA59" s="92"/>
      <c r="AB59" s="92"/>
      <c r="AC59" s="92">
        <f t="shared" si="119"/>
        <v>0</v>
      </c>
      <c r="AD59" s="93"/>
      <c r="AE59" s="93"/>
      <c r="AF59" s="94">
        <f t="shared" si="120"/>
        <v>0</v>
      </c>
      <c r="AG59" s="475"/>
      <c r="AH59" s="99">
        <v>135</v>
      </c>
      <c r="AI59" s="99">
        <f t="shared" si="121"/>
        <v>9</v>
      </c>
      <c r="AJ59" s="138">
        <v>135</v>
      </c>
      <c r="AK59" s="138">
        <f t="shared" si="113"/>
        <v>9</v>
      </c>
      <c r="AL59" s="106"/>
      <c r="AM59" s="105"/>
      <c r="AN59" s="105">
        <f t="shared" si="122"/>
        <v>0</v>
      </c>
      <c r="AO59" s="106"/>
      <c r="AP59" s="105"/>
      <c r="AQ59" s="105">
        <f t="shared" si="107"/>
        <v>0</v>
      </c>
      <c r="AR59" s="106"/>
      <c r="AS59" s="97">
        <f t="shared" si="48"/>
        <v>9</v>
      </c>
      <c r="AT59" s="6"/>
      <c r="AU59" s="105"/>
      <c r="AV59" s="455">
        <f t="shared" si="114"/>
        <v>0</v>
      </c>
      <c r="AW59" s="496"/>
      <c r="AX59" s="508"/>
      <c r="AY59" s="498"/>
      <c r="AZ59" s="100">
        <f t="shared" si="131"/>
        <v>0</v>
      </c>
      <c r="BA59" s="106"/>
      <c r="BB59" s="105"/>
      <c r="BC59" s="105">
        <f t="shared" si="123"/>
        <v>0</v>
      </c>
      <c r="BD59" s="106"/>
      <c r="BE59" s="105">
        <f t="shared" si="115"/>
        <v>9</v>
      </c>
      <c r="BF59" s="106"/>
      <c r="BG59" s="100">
        <f t="shared" si="108"/>
        <v>0</v>
      </c>
      <c r="BH59" s="106"/>
      <c r="BI59" s="100">
        <f t="shared" si="98"/>
        <v>0</v>
      </c>
      <c r="BJ59" s="106"/>
      <c r="BK59" s="101">
        <f t="shared" si="28"/>
        <v>9</v>
      </c>
      <c r="BL59" s="106"/>
      <c r="BM59" s="104"/>
      <c r="BN59" s="104"/>
      <c r="BO59" s="105"/>
      <c r="BP59" s="105">
        <f t="shared" si="124"/>
        <v>0</v>
      </c>
      <c r="BQ59" s="106"/>
      <c r="BR59" s="231">
        <f>448.5+650</f>
        <v>1098.5</v>
      </c>
      <c r="BS59" s="105">
        <f t="shared" si="116"/>
        <v>21.97</v>
      </c>
      <c r="BT59" s="106"/>
      <c r="BU59" s="53">
        <v>450</v>
      </c>
      <c r="BV59" s="53">
        <f t="shared" si="117"/>
        <v>9</v>
      </c>
      <c r="BW59" s="54"/>
      <c r="BX59" s="350">
        <f t="shared" si="19"/>
        <v>30.97</v>
      </c>
      <c r="BY59" s="211"/>
      <c r="BZ59" s="211">
        <f t="shared" si="109"/>
        <v>-21.97</v>
      </c>
      <c r="CA59" s="508"/>
      <c r="CB59" s="165"/>
      <c r="CC59" s="165"/>
      <c r="CD59" s="203"/>
      <c r="CE59" s="504"/>
      <c r="CF59" s="105"/>
      <c r="CG59" s="105">
        <f t="shared" si="32"/>
        <v>0</v>
      </c>
      <c r="CH59" s="105"/>
      <c r="CI59" s="105"/>
      <c r="CJ59" s="105">
        <f t="shared" si="99"/>
        <v>0</v>
      </c>
      <c r="CK59" s="524"/>
      <c r="CL59" s="53">
        <f t="shared" si="125"/>
        <v>0</v>
      </c>
      <c r="CM59" s="54"/>
      <c r="CN59" s="105"/>
      <c r="CO59" s="100">
        <f t="shared" si="126"/>
        <v>0</v>
      </c>
      <c r="CP59" s="496"/>
      <c r="CQ59" s="439"/>
      <c r="CR59" s="504"/>
      <c r="CS59" s="105"/>
      <c r="CT59" s="105">
        <f t="shared" si="36"/>
        <v>0</v>
      </c>
      <c r="CU59" s="105"/>
      <c r="CV59" s="105"/>
      <c r="CW59" s="105">
        <f t="shared" si="37"/>
        <v>0</v>
      </c>
      <c r="CX59" s="53"/>
      <c r="CY59" s="109">
        <f t="shared" si="127"/>
        <v>0</v>
      </c>
      <c r="CZ59" s="54"/>
      <c r="DA59" s="105"/>
      <c r="DB59" s="455">
        <f t="shared" si="39"/>
        <v>0</v>
      </c>
      <c r="DC59" s="495"/>
      <c r="DD59" s="25"/>
      <c r="DF59" s="1133"/>
      <c r="DG59" s="674">
        <f t="shared" si="110"/>
        <v>0</v>
      </c>
      <c r="DH59" s="1119">
        <f t="shared" si="111"/>
        <v>0</v>
      </c>
      <c r="DI59" s="1119"/>
      <c r="DJ59" s="101">
        <f t="shared" si="118"/>
        <v>9</v>
      </c>
      <c r="DK59" s="101"/>
      <c r="DL59" s="101">
        <f t="shared" si="112"/>
        <v>0</v>
      </c>
      <c r="DM59" s="101"/>
      <c r="DN59" s="112"/>
      <c r="DO59" s="112"/>
      <c r="DP59" s="112"/>
      <c r="DQ59" s="112"/>
    </row>
    <row r="60" spans="1:130" s="151" customFormat="1" ht="18" customHeight="1" x14ac:dyDescent="0.25">
      <c r="A60" s="141"/>
      <c r="B60" s="141"/>
      <c r="C60" s="143"/>
      <c r="D60" s="143"/>
      <c r="E60" s="22"/>
      <c r="F60" s="144"/>
      <c r="G60" s="144"/>
      <c r="H60" s="144"/>
      <c r="I60" s="144"/>
      <c r="J60" s="144"/>
      <c r="K60" s="144"/>
      <c r="L60" s="145"/>
      <c r="M60" s="146"/>
      <c r="N60" s="147"/>
      <c r="O60" s="131"/>
      <c r="P60" s="148"/>
      <c r="Q60" s="148"/>
      <c r="R60" s="148"/>
      <c r="S60" s="148"/>
      <c r="T60" s="123"/>
      <c r="U60" s="123"/>
      <c r="V60" s="123"/>
      <c r="W60" s="149"/>
      <c r="X60" s="149"/>
      <c r="Y60" s="124"/>
      <c r="Z60" s="125"/>
      <c r="AA60" s="123"/>
      <c r="AB60" s="123"/>
      <c r="AC60" s="123"/>
      <c r="AD60" s="124"/>
      <c r="AE60" s="124"/>
      <c r="AF60" s="126"/>
      <c r="AG60" s="474"/>
      <c r="AH60" s="129"/>
      <c r="AI60" s="129"/>
      <c r="AJ60" s="138"/>
      <c r="AK60" s="138"/>
      <c r="AL60" s="106"/>
      <c r="AM60" s="105"/>
      <c r="AN60" s="105"/>
      <c r="AO60" s="106"/>
      <c r="AP60" s="105"/>
      <c r="AQ60" s="105">
        <f t="shared" si="107"/>
        <v>0</v>
      </c>
      <c r="AR60" s="106"/>
      <c r="AS60" s="97">
        <f t="shared" si="48"/>
        <v>0</v>
      </c>
      <c r="AT60" s="6"/>
      <c r="AU60" s="105"/>
      <c r="AV60" s="455">
        <f t="shared" si="114"/>
        <v>0</v>
      </c>
      <c r="AW60" s="496"/>
      <c r="AX60" s="508"/>
      <c r="AY60" s="498"/>
      <c r="AZ60" s="100"/>
      <c r="BA60" s="101"/>
      <c r="BB60" s="100"/>
      <c r="BC60" s="100"/>
      <c r="BD60" s="101"/>
      <c r="BE60" s="105"/>
      <c r="BF60" s="106"/>
      <c r="BG60" s="100">
        <f t="shared" si="108"/>
        <v>0</v>
      </c>
      <c r="BH60" s="106"/>
      <c r="BI60" s="100">
        <f t="shared" si="98"/>
        <v>0</v>
      </c>
      <c r="BJ60" s="106"/>
      <c r="BK60" s="101">
        <f t="shared" si="28"/>
        <v>0</v>
      </c>
      <c r="BL60" s="106"/>
      <c r="BM60" s="130"/>
      <c r="BN60" s="130"/>
      <c r="BO60" s="105"/>
      <c r="BP60" s="105">
        <f t="shared" si="124"/>
        <v>0</v>
      </c>
      <c r="BQ60" s="106"/>
      <c r="BR60" s="105"/>
      <c r="BS60" s="105"/>
      <c r="BT60" s="106"/>
      <c r="BU60" s="53"/>
      <c r="BV60" s="53"/>
      <c r="BW60" s="54"/>
      <c r="BX60" s="350">
        <f t="shared" si="19"/>
        <v>0</v>
      </c>
      <c r="BY60" s="194"/>
      <c r="BZ60" s="194">
        <f t="shared" si="109"/>
        <v>0</v>
      </c>
      <c r="CA60" s="536"/>
      <c r="CB60" s="148"/>
      <c r="CC60" s="148"/>
      <c r="CD60" s="148"/>
      <c r="CE60" s="504"/>
      <c r="CF60" s="105"/>
      <c r="CG60" s="105">
        <f t="shared" si="32"/>
        <v>0</v>
      </c>
      <c r="CH60" s="105"/>
      <c r="CI60" s="105"/>
      <c r="CJ60" s="105">
        <f t="shared" si="99"/>
        <v>0</v>
      </c>
      <c r="CK60" s="523"/>
      <c r="CL60" s="102"/>
      <c r="CM60" s="103"/>
      <c r="CN60" s="100"/>
      <c r="CO60" s="100">
        <f t="shared" si="126"/>
        <v>0</v>
      </c>
      <c r="CP60" s="515"/>
      <c r="CQ60" s="441"/>
      <c r="CR60" s="504"/>
      <c r="CS60" s="105"/>
      <c r="CT60" s="105">
        <f t="shared" si="36"/>
        <v>0</v>
      </c>
      <c r="CU60" s="105"/>
      <c r="CV60" s="105"/>
      <c r="CW60" s="105">
        <f t="shared" si="37"/>
        <v>0</v>
      </c>
      <c r="CX60" s="53"/>
      <c r="CY60" s="109">
        <f t="shared" si="127"/>
        <v>0</v>
      </c>
      <c r="CZ60" s="54"/>
      <c r="DA60" s="105"/>
      <c r="DB60" s="455">
        <f t="shared" si="39"/>
        <v>0</v>
      </c>
      <c r="DC60" s="495"/>
      <c r="DD60" s="31"/>
      <c r="DF60" s="1133"/>
      <c r="DG60" s="674">
        <f t="shared" si="110"/>
        <v>0</v>
      </c>
      <c r="DH60" s="1119">
        <f t="shared" si="111"/>
        <v>0</v>
      </c>
      <c r="DI60" s="1119"/>
      <c r="DJ60" s="101">
        <f t="shared" si="118"/>
        <v>0</v>
      </c>
      <c r="DK60" s="101"/>
      <c r="DL60" s="101">
        <f t="shared" si="112"/>
        <v>0</v>
      </c>
      <c r="DM60" s="101"/>
      <c r="DN60" s="112"/>
      <c r="DO60" s="112"/>
      <c r="DP60" s="112"/>
      <c r="DQ60" s="112"/>
      <c r="DS60" s="152"/>
      <c r="DT60" s="152"/>
      <c r="DU60" s="152"/>
      <c r="DV60" s="152"/>
      <c r="DW60" s="152"/>
      <c r="DX60" s="152"/>
      <c r="DY60" s="152"/>
      <c r="DZ60" s="152"/>
    </row>
    <row r="61" spans="1:130" s="139" customFormat="1" ht="36" customHeight="1" x14ac:dyDescent="0.25">
      <c r="A61" s="4" t="s">
        <v>28</v>
      </c>
      <c r="B61" s="4">
        <v>1</v>
      </c>
      <c r="C61" s="153" t="s">
        <v>30</v>
      </c>
      <c r="D61" s="153" t="s">
        <v>437</v>
      </c>
      <c r="E61" s="13" t="s">
        <v>31</v>
      </c>
      <c r="F61" s="135">
        <v>57</v>
      </c>
      <c r="G61" s="135">
        <v>24</v>
      </c>
      <c r="H61" s="135"/>
      <c r="I61" s="135">
        <v>27</v>
      </c>
      <c r="J61" s="135">
        <v>3.7</v>
      </c>
      <c r="K61" s="135">
        <f t="shared" ref="K61:K73" si="133">I61+J61</f>
        <v>30.7</v>
      </c>
      <c r="L61" s="136"/>
      <c r="M61" s="5"/>
      <c r="N61" s="41"/>
      <c r="O61" s="6"/>
      <c r="P61" s="7"/>
      <c r="Q61" s="7"/>
      <c r="R61" s="7"/>
      <c r="S61" s="158"/>
      <c r="T61" s="89"/>
      <c r="U61" s="89"/>
      <c r="V61" s="89">
        <f t="shared" ref="V61:V73" si="134">T61+U61</f>
        <v>0</v>
      </c>
      <c r="W61" s="137"/>
      <c r="X61" s="137"/>
      <c r="Y61" s="90">
        <f t="shared" ref="Y61:Y73" si="135">W61+X61</f>
        <v>0</v>
      </c>
      <c r="Z61" s="91"/>
      <c r="AA61" s="92"/>
      <c r="AB61" s="92"/>
      <c r="AC61" s="92">
        <f t="shared" ref="AC61:AC73" si="136">AA61+AB61</f>
        <v>0</v>
      </c>
      <c r="AD61" s="93"/>
      <c r="AE61" s="93"/>
      <c r="AF61" s="94">
        <f t="shared" ref="AF61:AF73" si="137">AD61+AE61</f>
        <v>0</v>
      </c>
      <c r="AG61" s="473"/>
      <c r="AH61" s="99">
        <v>285</v>
      </c>
      <c r="AI61" s="99">
        <f t="shared" ref="AI61:AI73" si="138">AH61/15</f>
        <v>19</v>
      </c>
      <c r="AJ61" s="138">
        <v>285</v>
      </c>
      <c r="AK61" s="138">
        <f>AJ61/15</f>
        <v>19</v>
      </c>
      <c r="AL61" s="106">
        <f>SUM(AK61:AK73)</f>
        <v>37</v>
      </c>
      <c r="AM61" s="105"/>
      <c r="AN61" s="105">
        <f t="shared" ref="AN61:AN71" si="139">AM61/15</f>
        <v>0</v>
      </c>
      <c r="AO61" s="106">
        <f>SUM(AN61:AN73)</f>
        <v>35</v>
      </c>
      <c r="AP61" s="105"/>
      <c r="AQ61" s="105">
        <f t="shared" si="107"/>
        <v>0</v>
      </c>
      <c r="AR61" s="106">
        <f>SUM(AQ61:AQ73)</f>
        <v>12</v>
      </c>
      <c r="AS61" s="97">
        <f t="shared" si="48"/>
        <v>19</v>
      </c>
      <c r="AT61" s="6">
        <f>SUM(AS61:AS73)</f>
        <v>84</v>
      </c>
      <c r="AU61" s="105"/>
      <c r="AV61" s="455">
        <f t="shared" si="114"/>
        <v>0</v>
      </c>
      <c r="AW61" s="496">
        <f>SUM(AV61:AV73)</f>
        <v>23</v>
      </c>
      <c r="AX61" s="508"/>
      <c r="AY61" s="498">
        <v>180</v>
      </c>
      <c r="AZ61" s="100">
        <f>AY61/15</f>
        <v>12</v>
      </c>
      <c r="BA61" s="106">
        <f>SUM(AZ61:AZ73)</f>
        <v>22</v>
      </c>
      <c r="BB61" s="105"/>
      <c r="BC61" s="105">
        <f t="shared" ref="BC61:BC71" si="140">BB61/15</f>
        <v>0</v>
      </c>
      <c r="BD61" s="106">
        <f>SUM(BC61:BC73)</f>
        <v>0</v>
      </c>
      <c r="BE61" s="105">
        <f>AK61+AZ61</f>
        <v>31</v>
      </c>
      <c r="BF61" s="106">
        <f>SUM(BE61:BE73)</f>
        <v>59</v>
      </c>
      <c r="BG61" s="100">
        <f t="shared" si="108"/>
        <v>0</v>
      </c>
      <c r="BH61" s="106">
        <f>SUM(BG61:BG73)</f>
        <v>47</v>
      </c>
      <c r="BI61" s="100">
        <f t="shared" si="98"/>
        <v>0</v>
      </c>
      <c r="BJ61" s="106">
        <f>SUM(BI61:BI73)</f>
        <v>23</v>
      </c>
      <c r="BK61" s="101">
        <f t="shared" si="28"/>
        <v>31</v>
      </c>
      <c r="BL61" s="106">
        <f>SUM(BK61:BK73)</f>
        <v>129</v>
      </c>
      <c r="BM61" s="104">
        <v>950</v>
      </c>
      <c r="BN61" s="104">
        <f t="shared" ref="BN61:BN73" si="141">BM61/50</f>
        <v>19</v>
      </c>
      <c r="BO61" s="105">
        <v>950</v>
      </c>
      <c r="BP61" s="105">
        <f t="shared" si="124"/>
        <v>19</v>
      </c>
      <c r="BQ61" s="106">
        <f>SUM(BP61:BP73)</f>
        <v>37</v>
      </c>
      <c r="BR61" s="105">
        <v>600</v>
      </c>
      <c r="BS61" s="105">
        <f t="shared" ref="BS61:BS129" si="142">BR61/50</f>
        <v>12</v>
      </c>
      <c r="BT61" s="106">
        <f>SUM(BS61:BS73)</f>
        <v>93</v>
      </c>
      <c r="BU61" s="53"/>
      <c r="BV61" s="53">
        <f t="shared" ref="BV61:BV73" si="143">BU61/50</f>
        <v>0</v>
      </c>
      <c r="BW61" s="54">
        <f>SUM(BV61:BV73)</f>
        <v>0</v>
      </c>
      <c r="BX61" s="350">
        <f t="shared" si="19"/>
        <v>31</v>
      </c>
      <c r="BY61" s="211">
        <f>SUM(BX61:BX73)</f>
        <v>130</v>
      </c>
      <c r="BZ61" s="211">
        <f t="shared" si="109"/>
        <v>0</v>
      </c>
      <c r="CA61" s="508"/>
      <c r="CB61" s="7"/>
      <c r="CC61" s="7"/>
      <c r="CD61" s="158"/>
      <c r="CE61" s="504"/>
      <c r="CF61" s="105"/>
      <c r="CG61" s="105">
        <f t="shared" si="32"/>
        <v>0</v>
      </c>
      <c r="CH61" s="105"/>
      <c r="CI61" s="105"/>
      <c r="CJ61" s="105">
        <f t="shared" si="99"/>
        <v>0</v>
      </c>
      <c r="CK61" s="524"/>
      <c r="CL61" s="53">
        <f t="shared" ref="CL61:CL63" si="144">CK61/15</f>
        <v>0</v>
      </c>
      <c r="CM61" s="54">
        <f>SUM(CL61:CL73)</f>
        <v>0</v>
      </c>
      <c r="CN61" s="105"/>
      <c r="CO61" s="100">
        <f t="shared" si="126"/>
        <v>0</v>
      </c>
      <c r="CP61" s="496">
        <f>SUM(CO61:CO73)</f>
        <v>8</v>
      </c>
      <c r="CQ61" s="439"/>
      <c r="CR61" s="504"/>
      <c r="CS61" s="105"/>
      <c r="CT61" s="105">
        <f t="shared" si="36"/>
        <v>0</v>
      </c>
      <c r="CU61" s="105"/>
      <c r="CV61" s="105"/>
      <c r="CW61" s="105">
        <f t="shared" si="37"/>
        <v>0</v>
      </c>
      <c r="CX61" s="53"/>
      <c r="CY61" s="109">
        <f t="shared" si="127"/>
        <v>0</v>
      </c>
      <c r="CZ61" s="54">
        <f>SUM(CY61:CY73)</f>
        <v>0</v>
      </c>
      <c r="DA61" s="105"/>
      <c r="DB61" s="455">
        <f t="shared" si="39"/>
        <v>0</v>
      </c>
      <c r="DC61" s="495">
        <f>SUM(DB61:DB73)</f>
        <v>0</v>
      </c>
      <c r="DD61" s="24"/>
      <c r="DF61" s="1133"/>
      <c r="DG61" s="674">
        <f t="shared" si="110"/>
        <v>0</v>
      </c>
      <c r="DH61" s="1119">
        <f t="shared" si="111"/>
        <v>0</v>
      </c>
      <c r="DI61" s="1119"/>
      <c r="DJ61" s="101">
        <f t="shared" si="118"/>
        <v>31</v>
      </c>
      <c r="DK61" s="101">
        <f>SUM(DJ61:DJ73)</f>
        <v>137</v>
      </c>
      <c r="DL61" s="101">
        <f t="shared" si="112"/>
        <v>0</v>
      </c>
      <c r="DM61" s="101"/>
      <c r="DN61" s="112"/>
      <c r="DO61" s="112">
        <f>DJ61</f>
        <v>31</v>
      </c>
      <c r="DP61" s="112"/>
      <c r="DQ61" s="112"/>
      <c r="DS61" s="140"/>
      <c r="DT61" s="140"/>
      <c r="DU61" s="140"/>
      <c r="DV61" s="140"/>
      <c r="DW61" s="140"/>
      <c r="DX61" s="140"/>
      <c r="DY61" s="140"/>
      <c r="DZ61" s="140"/>
    </row>
    <row r="62" spans="1:130" ht="30" customHeight="1" x14ac:dyDescent="0.25">
      <c r="A62" s="4" t="s">
        <v>28</v>
      </c>
      <c r="B62" s="4">
        <v>2</v>
      </c>
      <c r="C62" s="166" t="s">
        <v>30</v>
      </c>
      <c r="D62" s="166"/>
      <c r="E62" s="1" t="s">
        <v>32</v>
      </c>
      <c r="F62" s="162">
        <v>26</v>
      </c>
      <c r="G62" s="162">
        <v>9</v>
      </c>
      <c r="H62" s="162"/>
      <c r="I62" s="162"/>
      <c r="J62" s="162">
        <v>15.4</v>
      </c>
      <c r="K62" s="162">
        <f t="shared" si="133"/>
        <v>15.4</v>
      </c>
      <c r="L62" s="163"/>
      <c r="M62" s="414"/>
      <c r="N62" s="46"/>
      <c r="O62" s="164"/>
      <c r="P62" s="165"/>
      <c r="Q62" s="165"/>
      <c r="R62" s="165"/>
      <c r="S62" s="203"/>
      <c r="T62" s="89"/>
      <c r="U62" s="89"/>
      <c r="V62" s="89">
        <f t="shared" si="134"/>
        <v>0</v>
      </c>
      <c r="W62" s="137"/>
      <c r="X62" s="137"/>
      <c r="Y62" s="90">
        <f t="shared" si="135"/>
        <v>0</v>
      </c>
      <c r="Z62" s="169"/>
      <c r="AA62" s="92"/>
      <c r="AB62" s="92"/>
      <c r="AC62" s="92">
        <f t="shared" si="136"/>
        <v>0</v>
      </c>
      <c r="AD62" s="93"/>
      <c r="AE62" s="93"/>
      <c r="AF62" s="94">
        <f t="shared" si="137"/>
        <v>0</v>
      </c>
      <c r="AG62" s="475"/>
      <c r="AH62" s="99"/>
      <c r="AI62" s="99">
        <f t="shared" si="138"/>
        <v>0</v>
      </c>
      <c r="AJ62" s="138"/>
      <c r="AK62" s="138">
        <f>AJ62/15</f>
        <v>0</v>
      </c>
      <c r="AL62" s="106"/>
      <c r="AM62" s="105"/>
      <c r="AN62" s="105">
        <f t="shared" si="139"/>
        <v>0</v>
      </c>
      <c r="AO62" s="106"/>
      <c r="AP62" s="105"/>
      <c r="AQ62" s="105">
        <f t="shared" si="107"/>
        <v>0</v>
      </c>
      <c r="AR62" s="106"/>
      <c r="AS62" s="97">
        <f t="shared" si="48"/>
        <v>0</v>
      </c>
      <c r="AT62" s="6"/>
      <c r="AU62" s="105"/>
      <c r="AV62" s="455">
        <f t="shared" si="114"/>
        <v>0</v>
      </c>
      <c r="AW62" s="496"/>
      <c r="AX62" s="508"/>
      <c r="AY62" s="498"/>
      <c r="AZ62" s="100">
        <f>AY62/15</f>
        <v>0</v>
      </c>
      <c r="BA62" s="106"/>
      <c r="BB62" s="105"/>
      <c r="BC62" s="105">
        <f t="shared" si="140"/>
        <v>0</v>
      </c>
      <c r="BD62" s="106"/>
      <c r="BE62" s="105">
        <f>AK62+AZ62</f>
        <v>0</v>
      </c>
      <c r="BF62" s="106"/>
      <c r="BG62" s="100">
        <f t="shared" si="108"/>
        <v>0</v>
      </c>
      <c r="BH62" s="106"/>
      <c r="BI62" s="100">
        <f t="shared" si="98"/>
        <v>0</v>
      </c>
      <c r="BJ62" s="106"/>
      <c r="BK62" s="101">
        <f t="shared" si="28"/>
        <v>0</v>
      </c>
      <c r="BL62" s="106"/>
      <c r="BM62" s="104"/>
      <c r="BN62" s="104">
        <f t="shared" si="141"/>
        <v>0</v>
      </c>
      <c r="BO62" s="105"/>
      <c r="BP62" s="105">
        <f t="shared" si="124"/>
        <v>0</v>
      </c>
      <c r="BQ62" s="106"/>
      <c r="BR62" s="105"/>
      <c r="BS62" s="105">
        <f t="shared" si="142"/>
        <v>0</v>
      </c>
      <c r="BT62" s="106"/>
      <c r="BU62" s="53"/>
      <c r="BV62" s="53">
        <f t="shared" si="143"/>
        <v>0</v>
      </c>
      <c r="BW62" s="54"/>
      <c r="BX62" s="350">
        <f t="shared" si="19"/>
        <v>0</v>
      </c>
      <c r="BY62" s="211"/>
      <c r="BZ62" s="211">
        <f t="shared" si="109"/>
        <v>0</v>
      </c>
      <c r="CA62" s="508"/>
      <c r="CB62" s="165"/>
      <c r="CC62" s="165"/>
      <c r="CD62" s="203"/>
      <c r="CE62" s="504"/>
      <c r="CF62" s="105"/>
      <c r="CG62" s="105">
        <f t="shared" si="32"/>
        <v>0</v>
      </c>
      <c r="CH62" s="105"/>
      <c r="CI62" s="105"/>
      <c r="CJ62" s="105">
        <f t="shared" si="99"/>
        <v>0</v>
      </c>
      <c r="CK62" s="524"/>
      <c r="CL62" s="53">
        <f t="shared" si="144"/>
        <v>0</v>
      </c>
      <c r="CM62" s="54"/>
      <c r="CN62" s="105"/>
      <c r="CO62" s="100">
        <f t="shared" si="126"/>
        <v>0</v>
      </c>
      <c r="CP62" s="496"/>
      <c r="CQ62" s="439"/>
      <c r="CR62" s="504"/>
      <c r="CS62" s="105"/>
      <c r="CT62" s="105">
        <f t="shared" si="36"/>
        <v>0</v>
      </c>
      <c r="CU62" s="105"/>
      <c r="CV62" s="105"/>
      <c r="CW62" s="105">
        <f t="shared" si="37"/>
        <v>0</v>
      </c>
      <c r="CX62" s="53"/>
      <c r="CY62" s="109">
        <f t="shared" si="127"/>
        <v>0</v>
      </c>
      <c r="CZ62" s="54"/>
      <c r="DA62" s="105"/>
      <c r="DB62" s="455">
        <f t="shared" si="39"/>
        <v>0</v>
      </c>
      <c r="DC62" s="495"/>
      <c r="DD62" s="25"/>
      <c r="DF62" s="1133"/>
      <c r="DG62" s="674">
        <f t="shared" si="110"/>
        <v>0</v>
      </c>
      <c r="DH62" s="1119">
        <f t="shared" si="111"/>
        <v>0</v>
      </c>
      <c r="DI62" s="1119"/>
      <c r="DJ62" s="101">
        <f t="shared" si="118"/>
        <v>0</v>
      </c>
      <c r="DK62" s="101"/>
      <c r="DL62" s="101">
        <f t="shared" si="112"/>
        <v>0</v>
      </c>
      <c r="DM62" s="101"/>
      <c r="DN62" s="112"/>
      <c r="DO62" s="112"/>
      <c r="DP62" s="112"/>
      <c r="DQ62" s="112"/>
    </row>
    <row r="63" spans="1:130" ht="26.25" customHeight="1" x14ac:dyDescent="0.25">
      <c r="A63" s="4" t="s">
        <v>28</v>
      </c>
      <c r="B63" s="4"/>
      <c r="C63" s="174" t="s">
        <v>30</v>
      </c>
      <c r="D63" s="174" t="s">
        <v>437</v>
      </c>
      <c r="E63" s="1" t="s">
        <v>33</v>
      </c>
      <c r="F63" s="162">
        <v>40</v>
      </c>
      <c r="G63" s="162">
        <v>51</v>
      </c>
      <c r="H63" s="162"/>
      <c r="I63" s="162">
        <v>15</v>
      </c>
      <c r="J63" s="162">
        <v>17.899999999999999</v>
      </c>
      <c r="K63" s="162">
        <f t="shared" si="133"/>
        <v>32.9</v>
      </c>
      <c r="L63" s="163"/>
      <c r="M63" s="414"/>
      <c r="N63" s="46"/>
      <c r="O63" s="164"/>
      <c r="P63" s="165"/>
      <c r="Q63" s="165"/>
      <c r="R63" s="165"/>
      <c r="S63" s="203"/>
      <c r="T63" s="89"/>
      <c r="U63" s="89"/>
      <c r="V63" s="89">
        <f t="shared" si="134"/>
        <v>0</v>
      </c>
      <c r="W63" s="137"/>
      <c r="X63" s="137"/>
      <c r="Y63" s="90">
        <f t="shared" si="135"/>
        <v>0</v>
      </c>
      <c r="Z63" s="169"/>
      <c r="AA63" s="92"/>
      <c r="AB63" s="92"/>
      <c r="AC63" s="92">
        <f t="shared" si="136"/>
        <v>0</v>
      </c>
      <c r="AD63" s="93"/>
      <c r="AE63" s="93"/>
      <c r="AF63" s="94">
        <f t="shared" si="137"/>
        <v>0</v>
      </c>
      <c r="AG63" s="475"/>
      <c r="AH63" s="99"/>
      <c r="AI63" s="99">
        <f t="shared" si="138"/>
        <v>0</v>
      </c>
      <c r="AJ63" s="138"/>
      <c r="AK63" s="138">
        <f>AJ63/15</f>
        <v>0</v>
      </c>
      <c r="AL63" s="106"/>
      <c r="AM63" s="105"/>
      <c r="AN63" s="105">
        <f t="shared" si="139"/>
        <v>0</v>
      </c>
      <c r="AO63" s="106"/>
      <c r="AP63" s="105"/>
      <c r="AQ63" s="105">
        <f t="shared" si="107"/>
        <v>0</v>
      </c>
      <c r="AR63" s="106"/>
      <c r="AS63" s="97">
        <f t="shared" si="48"/>
        <v>0</v>
      </c>
      <c r="AT63" s="6"/>
      <c r="AU63" s="105">
        <v>210</v>
      </c>
      <c r="AV63" s="455">
        <f>AU63/15</f>
        <v>14</v>
      </c>
      <c r="AW63" s="496"/>
      <c r="AX63" s="508"/>
      <c r="AY63" s="498"/>
      <c r="AZ63" s="100">
        <f>AY63/15</f>
        <v>0</v>
      </c>
      <c r="BA63" s="106"/>
      <c r="BB63" s="105"/>
      <c r="BC63" s="105">
        <f t="shared" si="140"/>
        <v>0</v>
      </c>
      <c r="BD63" s="106"/>
      <c r="BE63" s="105">
        <f>AK63+AZ63</f>
        <v>0</v>
      </c>
      <c r="BF63" s="106"/>
      <c r="BG63" s="100">
        <f t="shared" si="108"/>
        <v>0</v>
      </c>
      <c r="BH63" s="106"/>
      <c r="BI63" s="100">
        <f t="shared" si="98"/>
        <v>14</v>
      </c>
      <c r="BJ63" s="106"/>
      <c r="BK63" s="101">
        <f t="shared" si="28"/>
        <v>14</v>
      </c>
      <c r="BL63" s="106"/>
      <c r="BM63" s="104"/>
      <c r="BN63" s="104">
        <f t="shared" si="141"/>
        <v>0</v>
      </c>
      <c r="BO63" s="105"/>
      <c r="BP63" s="105">
        <f t="shared" si="124"/>
        <v>0</v>
      </c>
      <c r="BQ63" s="106"/>
      <c r="BR63" s="105">
        <v>700</v>
      </c>
      <c r="BS63" s="105">
        <f t="shared" si="142"/>
        <v>14</v>
      </c>
      <c r="BT63" s="106"/>
      <c r="BU63" s="53"/>
      <c r="BV63" s="53">
        <f t="shared" si="143"/>
        <v>0</v>
      </c>
      <c r="BW63" s="54"/>
      <c r="BX63" s="350">
        <f>BP63+BS63+BV63</f>
        <v>14</v>
      </c>
      <c r="BY63" s="211"/>
      <c r="BZ63" s="211">
        <f t="shared" si="109"/>
        <v>0</v>
      </c>
      <c r="CA63" s="508"/>
      <c r="CB63" s="165"/>
      <c r="CC63" s="165"/>
      <c r="CD63" s="203"/>
      <c r="CE63" s="504"/>
      <c r="CF63" s="105"/>
      <c r="CG63" s="105">
        <f t="shared" si="32"/>
        <v>0</v>
      </c>
      <c r="CH63" s="105"/>
      <c r="CI63" s="105"/>
      <c r="CJ63" s="105">
        <f t="shared" si="99"/>
        <v>0</v>
      </c>
      <c r="CK63" s="524"/>
      <c r="CL63" s="53">
        <f t="shared" si="144"/>
        <v>0</v>
      </c>
      <c r="CM63" s="54"/>
      <c r="CN63" s="105"/>
      <c r="CO63" s="100">
        <f t="shared" si="126"/>
        <v>0</v>
      </c>
      <c r="CP63" s="496"/>
      <c r="CQ63" s="439"/>
      <c r="CR63" s="504"/>
      <c r="CS63" s="105"/>
      <c r="CT63" s="105">
        <f t="shared" si="36"/>
        <v>0</v>
      </c>
      <c r="CU63" s="105"/>
      <c r="CV63" s="105"/>
      <c r="CW63" s="105">
        <f t="shared" si="37"/>
        <v>0</v>
      </c>
      <c r="CX63" s="53"/>
      <c r="CY63" s="109">
        <f t="shared" si="127"/>
        <v>0</v>
      </c>
      <c r="CZ63" s="54"/>
      <c r="DA63" s="105"/>
      <c r="DB63" s="455">
        <f t="shared" si="39"/>
        <v>0</v>
      </c>
      <c r="DC63" s="495"/>
      <c r="DD63" s="25"/>
      <c r="DF63" s="1133"/>
      <c r="DG63" s="674">
        <f t="shared" si="110"/>
        <v>14</v>
      </c>
      <c r="DH63" s="1119">
        <f t="shared" si="111"/>
        <v>0</v>
      </c>
      <c r="DI63" s="1119"/>
      <c r="DJ63" s="101">
        <f t="shared" si="118"/>
        <v>14</v>
      </c>
      <c r="DK63" s="101"/>
      <c r="DL63" s="101">
        <f t="shared" si="112"/>
        <v>0</v>
      </c>
      <c r="DM63" s="101"/>
      <c r="DN63" s="112"/>
      <c r="DO63" s="112">
        <f>DJ63</f>
        <v>14</v>
      </c>
      <c r="DP63" s="112"/>
      <c r="DQ63" s="112"/>
    </row>
    <row r="64" spans="1:130" ht="45" customHeight="1" x14ac:dyDescent="0.25">
      <c r="A64" s="4"/>
      <c r="B64" s="4"/>
      <c r="C64" s="174" t="s">
        <v>30</v>
      </c>
      <c r="D64" s="174" t="s">
        <v>431</v>
      </c>
      <c r="E64" s="1" t="s">
        <v>610</v>
      </c>
      <c r="F64" s="162"/>
      <c r="G64" s="162"/>
      <c r="H64" s="162"/>
      <c r="I64" s="162"/>
      <c r="J64" s="162"/>
      <c r="K64" s="162"/>
      <c r="L64" s="163"/>
      <c r="M64" s="414"/>
      <c r="N64" s="46"/>
      <c r="O64" s="164"/>
      <c r="P64" s="165"/>
      <c r="Q64" s="165"/>
      <c r="R64" s="165"/>
      <c r="S64" s="203"/>
      <c r="T64" s="89"/>
      <c r="U64" s="89"/>
      <c r="V64" s="89"/>
      <c r="W64" s="137"/>
      <c r="X64" s="137"/>
      <c r="Y64" s="90"/>
      <c r="Z64" s="169"/>
      <c r="AA64" s="92"/>
      <c r="AB64" s="92"/>
      <c r="AC64" s="92"/>
      <c r="AD64" s="93"/>
      <c r="AE64" s="93"/>
      <c r="AF64" s="94"/>
      <c r="AG64" s="475"/>
      <c r="AH64" s="99"/>
      <c r="AI64" s="99"/>
      <c r="AJ64" s="138"/>
      <c r="AK64" s="138"/>
      <c r="AL64" s="106"/>
      <c r="AM64" s="105"/>
      <c r="AN64" s="105"/>
      <c r="AO64" s="106"/>
      <c r="AP64" s="105"/>
      <c r="AQ64" s="105">
        <f t="shared" si="107"/>
        <v>0</v>
      </c>
      <c r="AR64" s="106"/>
      <c r="AS64" s="97">
        <f t="shared" si="48"/>
        <v>0</v>
      </c>
      <c r="AT64" s="6"/>
      <c r="AU64" s="105">
        <v>135</v>
      </c>
      <c r="AV64" s="455">
        <f t="shared" si="114"/>
        <v>9</v>
      </c>
      <c r="AW64" s="496"/>
      <c r="AX64" s="508"/>
      <c r="AY64" s="498"/>
      <c r="AZ64" s="100"/>
      <c r="BA64" s="106"/>
      <c r="BB64" s="105"/>
      <c r="BC64" s="105"/>
      <c r="BD64" s="106"/>
      <c r="BE64" s="105"/>
      <c r="BF64" s="106"/>
      <c r="BG64" s="100">
        <f t="shared" si="108"/>
        <v>0</v>
      </c>
      <c r="BH64" s="106"/>
      <c r="BI64" s="100">
        <f t="shared" si="98"/>
        <v>9</v>
      </c>
      <c r="BJ64" s="106"/>
      <c r="BK64" s="101">
        <f t="shared" si="28"/>
        <v>9</v>
      </c>
      <c r="BL64" s="106"/>
      <c r="BM64" s="104"/>
      <c r="BN64" s="104"/>
      <c r="BO64" s="105"/>
      <c r="BP64" s="105">
        <f t="shared" si="124"/>
        <v>0</v>
      </c>
      <c r="BQ64" s="106"/>
      <c r="BR64" s="105">
        <v>450</v>
      </c>
      <c r="BS64" s="105">
        <f t="shared" si="142"/>
        <v>9</v>
      </c>
      <c r="BT64" s="106"/>
      <c r="BU64" s="53"/>
      <c r="BV64" s="53">
        <f t="shared" si="143"/>
        <v>0</v>
      </c>
      <c r="BW64" s="54"/>
      <c r="BX64" s="350">
        <f t="shared" si="19"/>
        <v>9</v>
      </c>
      <c r="BY64" s="211"/>
      <c r="BZ64" s="211">
        <f t="shared" si="109"/>
        <v>0</v>
      </c>
      <c r="CA64" s="508"/>
      <c r="CB64" s="165"/>
      <c r="CC64" s="165"/>
      <c r="CD64" s="203"/>
      <c r="CE64" s="504"/>
      <c r="CF64" s="105"/>
      <c r="CG64" s="105"/>
      <c r="CH64" s="105"/>
      <c r="CI64" s="105"/>
      <c r="CJ64" s="105"/>
      <c r="CK64" s="524"/>
      <c r="CL64" s="53"/>
      <c r="CM64" s="54"/>
      <c r="CN64" s="105"/>
      <c r="CO64" s="100">
        <f t="shared" si="126"/>
        <v>0</v>
      </c>
      <c r="CP64" s="496"/>
      <c r="CQ64" s="439"/>
      <c r="CR64" s="504"/>
      <c r="CS64" s="105"/>
      <c r="CT64" s="105"/>
      <c r="CU64" s="105"/>
      <c r="CV64" s="105"/>
      <c r="CW64" s="105"/>
      <c r="CX64" s="53"/>
      <c r="CY64" s="109">
        <f t="shared" si="127"/>
        <v>0</v>
      </c>
      <c r="CZ64" s="54"/>
      <c r="DA64" s="105"/>
      <c r="DB64" s="455">
        <f t="shared" si="39"/>
        <v>0</v>
      </c>
      <c r="DC64" s="495"/>
      <c r="DD64" s="25"/>
      <c r="DF64" s="1133"/>
      <c r="DG64" s="674">
        <f t="shared" si="110"/>
        <v>9</v>
      </c>
      <c r="DH64" s="1119">
        <f t="shared" si="111"/>
        <v>0</v>
      </c>
      <c r="DI64" s="1119"/>
      <c r="DJ64" s="101">
        <f t="shared" si="118"/>
        <v>9</v>
      </c>
      <c r="DK64" s="101"/>
      <c r="DL64" s="101">
        <f t="shared" si="112"/>
        <v>0</v>
      </c>
      <c r="DM64" s="101"/>
      <c r="DN64" s="112"/>
      <c r="DO64" s="112"/>
      <c r="DP64" s="112"/>
      <c r="DQ64" s="112"/>
    </row>
    <row r="65" spans="1:130" ht="21.6" customHeight="1" x14ac:dyDescent="0.25">
      <c r="A65" s="4" t="s">
        <v>28</v>
      </c>
      <c r="B65" s="4"/>
      <c r="C65" s="166" t="s">
        <v>30</v>
      </c>
      <c r="D65" s="166" t="s">
        <v>431</v>
      </c>
      <c r="E65" s="1" t="s">
        <v>34</v>
      </c>
      <c r="F65" s="162">
        <v>32</v>
      </c>
      <c r="G65" s="162">
        <v>38</v>
      </c>
      <c r="H65" s="162"/>
      <c r="I65" s="162"/>
      <c r="J65" s="162">
        <v>18.600000000000001</v>
      </c>
      <c r="K65" s="162">
        <f t="shared" si="133"/>
        <v>18.600000000000001</v>
      </c>
      <c r="L65" s="163"/>
      <c r="M65" s="414"/>
      <c r="N65" s="46"/>
      <c r="O65" s="164"/>
      <c r="P65" s="165"/>
      <c r="Q65" s="165"/>
      <c r="R65" s="165"/>
      <c r="S65" s="203"/>
      <c r="T65" s="89"/>
      <c r="U65" s="89"/>
      <c r="V65" s="89">
        <f t="shared" si="134"/>
        <v>0</v>
      </c>
      <c r="W65" s="137"/>
      <c r="X65" s="137"/>
      <c r="Y65" s="90">
        <f t="shared" si="135"/>
        <v>0</v>
      </c>
      <c r="Z65" s="169"/>
      <c r="AA65" s="92"/>
      <c r="AB65" s="92"/>
      <c r="AC65" s="92">
        <f t="shared" si="136"/>
        <v>0</v>
      </c>
      <c r="AD65" s="93"/>
      <c r="AE65" s="93"/>
      <c r="AF65" s="94">
        <f t="shared" si="137"/>
        <v>0</v>
      </c>
      <c r="AG65" s="475"/>
      <c r="AH65" s="99"/>
      <c r="AI65" s="99">
        <f t="shared" si="138"/>
        <v>0</v>
      </c>
      <c r="AJ65" s="138"/>
      <c r="AK65" s="138">
        <f t="shared" ref="AK65:AK71" si="145">AJ65/15</f>
        <v>0</v>
      </c>
      <c r="AL65" s="106"/>
      <c r="AM65" s="105"/>
      <c r="AN65" s="105">
        <f t="shared" si="139"/>
        <v>0</v>
      </c>
      <c r="AO65" s="106"/>
      <c r="AP65" s="105"/>
      <c r="AQ65" s="105">
        <f t="shared" si="107"/>
        <v>0</v>
      </c>
      <c r="AR65" s="106"/>
      <c r="AS65" s="97">
        <f t="shared" si="48"/>
        <v>0</v>
      </c>
      <c r="AT65" s="6"/>
      <c r="AU65" s="105"/>
      <c r="AV65" s="455">
        <f t="shared" si="114"/>
        <v>0</v>
      </c>
      <c r="AW65" s="496"/>
      <c r="AX65" s="508"/>
      <c r="AY65" s="498">
        <v>150</v>
      </c>
      <c r="AZ65" s="100">
        <f t="shared" ref="AZ65:AZ73" si="146">AY65/15</f>
        <v>10</v>
      </c>
      <c r="BA65" s="106"/>
      <c r="BB65" s="105"/>
      <c r="BC65" s="105">
        <f t="shared" si="140"/>
        <v>0</v>
      </c>
      <c r="BD65" s="106"/>
      <c r="BE65" s="105">
        <f t="shared" ref="BE65:BE73" si="147">AK65+AZ65</f>
        <v>10</v>
      </c>
      <c r="BF65" s="106"/>
      <c r="BG65" s="100">
        <f t="shared" si="108"/>
        <v>0</v>
      </c>
      <c r="BH65" s="106"/>
      <c r="BI65" s="100">
        <f t="shared" si="98"/>
        <v>0</v>
      </c>
      <c r="BJ65" s="106"/>
      <c r="BK65" s="101">
        <f t="shared" si="28"/>
        <v>10</v>
      </c>
      <c r="BL65" s="106"/>
      <c r="BM65" s="104">
        <v>500</v>
      </c>
      <c r="BN65" s="104">
        <f t="shared" si="141"/>
        <v>10</v>
      </c>
      <c r="BO65" s="105"/>
      <c r="BP65" s="105">
        <f t="shared" si="124"/>
        <v>0</v>
      </c>
      <c r="BQ65" s="106"/>
      <c r="BR65" s="105">
        <v>500</v>
      </c>
      <c r="BS65" s="105">
        <f t="shared" si="142"/>
        <v>10</v>
      </c>
      <c r="BT65" s="106"/>
      <c r="BU65" s="53"/>
      <c r="BV65" s="53">
        <f t="shared" si="143"/>
        <v>0</v>
      </c>
      <c r="BW65" s="54"/>
      <c r="BX65" s="350">
        <f t="shared" si="19"/>
        <v>10</v>
      </c>
      <c r="BY65" s="211"/>
      <c r="BZ65" s="211">
        <f t="shared" si="109"/>
        <v>0</v>
      </c>
      <c r="CA65" s="508"/>
      <c r="CB65" s="165"/>
      <c r="CC65" s="165"/>
      <c r="CD65" s="203"/>
      <c r="CE65" s="504"/>
      <c r="CF65" s="105"/>
      <c r="CG65" s="105">
        <f t="shared" ref="CG65:CG81" si="148">CE65+CF65</f>
        <v>0</v>
      </c>
      <c r="CH65" s="105"/>
      <c r="CI65" s="105"/>
      <c r="CJ65" s="105">
        <f t="shared" ref="CJ65:CJ81" si="149">CH65+CI65</f>
        <v>0</v>
      </c>
      <c r="CK65" s="524"/>
      <c r="CL65" s="53">
        <f t="shared" ref="CL65:CL73" si="150">CK65/15</f>
        <v>0</v>
      </c>
      <c r="CM65" s="54"/>
      <c r="CN65" s="105"/>
      <c r="CO65" s="100">
        <f t="shared" si="126"/>
        <v>0</v>
      </c>
      <c r="CP65" s="496"/>
      <c r="CQ65" s="439"/>
      <c r="CR65" s="504"/>
      <c r="CS65" s="105"/>
      <c r="CT65" s="105">
        <f t="shared" si="36"/>
        <v>0</v>
      </c>
      <c r="CU65" s="105"/>
      <c r="CV65" s="105"/>
      <c r="CW65" s="105">
        <f t="shared" si="37"/>
        <v>0</v>
      </c>
      <c r="CX65" s="53"/>
      <c r="CY65" s="109">
        <f t="shared" si="127"/>
        <v>0</v>
      </c>
      <c r="CZ65" s="54"/>
      <c r="DA65" s="105"/>
      <c r="DB65" s="455">
        <f t="shared" si="39"/>
        <v>0</v>
      </c>
      <c r="DC65" s="495"/>
      <c r="DD65" s="25"/>
      <c r="DF65" s="1133"/>
      <c r="DG65" s="674">
        <f t="shared" si="110"/>
        <v>0</v>
      </c>
      <c r="DH65" s="1119">
        <f t="shared" si="111"/>
        <v>0</v>
      </c>
      <c r="DI65" s="1119"/>
      <c r="DJ65" s="101">
        <f t="shared" si="118"/>
        <v>10</v>
      </c>
      <c r="DK65" s="101"/>
      <c r="DL65" s="101">
        <f t="shared" si="112"/>
        <v>0</v>
      </c>
      <c r="DM65" s="101"/>
      <c r="DN65" s="112"/>
      <c r="DO65" s="112"/>
      <c r="DP65" s="112"/>
      <c r="DQ65" s="112"/>
    </row>
    <row r="66" spans="1:130" ht="21.6" customHeight="1" x14ac:dyDescent="0.25">
      <c r="A66" s="4" t="s">
        <v>28</v>
      </c>
      <c r="B66" s="4"/>
      <c r="C66" s="174" t="s">
        <v>30</v>
      </c>
      <c r="D66" s="174"/>
      <c r="E66" s="1" t="s">
        <v>35</v>
      </c>
      <c r="F66" s="162">
        <v>54</v>
      </c>
      <c r="G66" s="162">
        <v>9</v>
      </c>
      <c r="H66" s="162"/>
      <c r="I66" s="162"/>
      <c r="J66" s="162">
        <v>15.7</v>
      </c>
      <c r="K66" s="162">
        <f t="shared" si="133"/>
        <v>15.7</v>
      </c>
      <c r="L66" s="163"/>
      <c r="M66" s="414"/>
      <c r="N66" s="46"/>
      <c r="O66" s="164"/>
      <c r="P66" s="165"/>
      <c r="Q66" s="165"/>
      <c r="R66" s="165"/>
      <c r="S66" s="203"/>
      <c r="T66" s="89"/>
      <c r="U66" s="89"/>
      <c r="V66" s="89">
        <f t="shared" si="134"/>
        <v>0</v>
      </c>
      <c r="W66" s="137"/>
      <c r="X66" s="137"/>
      <c r="Y66" s="90">
        <f t="shared" si="135"/>
        <v>0</v>
      </c>
      <c r="Z66" s="169"/>
      <c r="AA66" s="92"/>
      <c r="AB66" s="92"/>
      <c r="AC66" s="92">
        <f t="shared" si="136"/>
        <v>0</v>
      </c>
      <c r="AD66" s="93"/>
      <c r="AE66" s="93"/>
      <c r="AF66" s="94">
        <f t="shared" si="137"/>
        <v>0</v>
      </c>
      <c r="AG66" s="475"/>
      <c r="AH66" s="99"/>
      <c r="AI66" s="99">
        <f t="shared" si="138"/>
        <v>0</v>
      </c>
      <c r="AJ66" s="138"/>
      <c r="AK66" s="138">
        <f t="shared" si="145"/>
        <v>0</v>
      </c>
      <c r="AL66" s="106"/>
      <c r="AM66" s="105"/>
      <c r="AN66" s="105">
        <f t="shared" si="139"/>
        <v>0</v>
      </c>
      <c r="AO66" s="106"/>
      <c r="AP66" s="105"/>
      <c r="AQ66" s="105">
        <f t="shared" si="107"/>
        <v>0</v>
      </c>
      <c r="AR66" s="106"/>
      <c r="AS66" s="97">
        <f t="shared" si="48"/>
        <v>0</v>
      </c>
      <c r="AT66" s="6"/>
      <c r="AU66" s="105"/>
      <c r="AV66" s="455">
        <f t="shared" si="114"/>
        <v>0</v>
      </c>
      <c r="AW66" s="496"/>
      <c r="AX66" s="508"/>
      <c r="AY66" s="498"/>
      <c r="AZ66" s="100">
        <f t="shared" si="146"/>
        <v>0</v>
      </c>
      <c r="BA66" s="106"/>
      <c r="BB66" s="105"/>
      <c r="BC66" s="105">
        <f t="shared" si="140"/>
        <v>0</v>
      </c>
      <c r="BD66" s="106"/>
      <c r="BE66" s="105">
        <f t="shared" si="147"/>
        <v>0</v>
      </c>
      <c r="BF66" s="106"/>
      <c r="BG66" s="100">
        <f t="shared" si="108"/>
        <v>0</v>
      </c>
      <c r="BH66" s="106"/>
      <c r="BI66" s="100">
        <f t="shared" si="98"/>
        <v>0</v>
      </c>
      <c r="BJ66" s="106"/>
      <c r="BK66" s="101">
        <f t="shared" si="28"/>
        <v>0</v>
      </c>
      <c r="BL66" s="106"/>
      <c r="BM66" s="104"/>
      <c r="BN66" s="104">
        <f t="shared" si="141"/>
        <v>0</v>
      </c>
      <c r="BO66" s="105"/>
      <c r="BP66" s="105">
        <f t="shared" si="124"/>
        <v>0</v>
      </c>
      <c r="BQ66" s="106"/>
      <c r="BR66" s="105"/>
      <c r="BS66" s="105">
        <f t="shared" si="142"/>
        <v>0</v>
      </c>
      <c r="BT66" s="106"/>
      <c r="BU66" s="53"/>
      <c r="BV66" s="53">
        <f t="shared" si="143"/>
        <v>0</v>
      </c>
      <c r="BW66" s="54"/>
      <c r="BX66" s="350">
        <f t="shared" si="19"/>
        <v>0</v>
      </c>
      <c r="BY66" s="211"/>
      <c r="BZ66" s="211">
        <f t="shared" si="109"/>
        <v>0</v>
      </c>
      <c r="CA66" s="508"/>
      <c r="CB66" s="165"/>
      <c r="CC66" s="165"/>
      <c r="CD66" s="203"/>
      <c r="CE66" s="504"/>
      <c r="CF66" s="105"/>
      <c r="CG66" s="105">
        <f t="shared" si="148"/>
        <v>0</v>
      </c>
      <c r="CH66" s="105"/>
      <c r="CI66" s="105"/>
      <c r="CJ66" s="105">
        <f t="shared" si="149"/>
        <v>0</v>
      </c>
      <c r="CK66" s="524"/>
      <c r="CL66" s="53">
        <f t="shared" si="150"/>
        <v>0</v>
      </c>
      <c r="CM66" s="54"/>
      <c r="CN66" s="105"/>
      <c r="CO66" s="100">
        <f t="shared" si="126"/>
        <v>0</v>
      </c>
      <c r="CP66" s="496"/>
      <c r="CQ66" s="439"/>
      <c r="CR66" s="504"/>
      <c r="CS66" s="105"/>
      <c r="CT66" s="105">
        <f t="shared" si="36"/>
        <v>0</v>
      </c>
      <c r="CU66" s="105"/>
      <c r="CV66" s="105"/>
      <c r="CW66" s="105">
        <f t="shared" si="37"/>
        <v>0</v>
      </c>
      <c r="CX66" s="53"/>
      <c r="CY66" s="109">
        <f t="shared" si="127"/>
        <v>0</v>
      </c>
      <c r="CZ66" s="54"/>
      <c r="DA66" s="105"/>
      <c r="DB66" s="455">
        <f t="shared" si="39"/>
        <v>0</v>
      </c>
      <c r="DC66" s="495"/>
      <c r="DD66" s="25"/>
      <c r="DF66" s="1133"/>
      <c r="DG66" s="674">
        <f t="shared" si="110"/>
        <v>0</v>
      </c>
      <c r="DH66" s="1119">
        <f t="shared" si="111"/>
        <v>0</v>
      </c>
      <c r="DI66" s="1119"/>
      <c r="DJ66" s="101">
        <f t="shared" si="118"/>
        <v>0</v>
      </c>
      <c r="DK66" s="101"/>
      <c r="DL66" s="101">
        <f t="shared" si="112"/>
        <v>0</v>
      </c>
      <c r="DM66" s="101"/>
      <c r="DN66" s="112"/>
      <c r="DO66" s="112"/>
      <c r="DP66" s="112"/>
      <c r="DQ66" s="112"/>
    </row>
    <row r="67" spans="1:130" ht="21.6" customHeight="1" x14ac:dyDescent="0.25">
      <c r="A67" s="4" t="s">
        <v>28</v>
      </c>
      <c r="B67" s="4"/>
      <c r="C67" s="166" t="s">
        <v>30</v>
      </c>
      <c r="D67" s="166" t="s">
        <v>431</v>
      </c>
      <c r="E67" s="1" t="s">
        <v>36</v>
      </c>
      <c r="F67" s="162">
        <v>29</v>
      </c>
      <c r="G67" s="162">
        <v>17</v>
      </c>
      <c r="H67" s="162"/>
      <c r="I67" s="162"/>
      <c r="J67" s="162">
        <v>20.6</v>
      </c>
      <c r="K67" s="162">
        <f t="shared" si="133"/>
        <v>20.6</v>
      </c>
      <c r="L67" s="163"/>
      <c r="M67" s="414"/>
      <c r="N67" s="46"/>
      <c r="O67" s="164"/>
      <c r="P67" s="165"/>
      <c r="Q67" s="165"/>
      <c r="R67" s="165"/>
      <c r="S67" s="203"/>
      <c r="T67" s="89"/>
      <c r="U67" s="89"/>
      <c r="V67" s="89">
        <f t="shared" si="134"/>
        <v>0</v>
      </c>
      <c r="W67" s="137"/>
      <c r="X67" s="137"/>
      <c r="Y67" s="90">
        <f t="shared" si="135"/>
        <v>0</v>
      </c>
      <c r="Z67" s="169"/>
      <c r="AA67" s="92"/>
      <c r="AB67" s="92"/>
      <c r="AC67" s="92">
        <f t="shared" si="136"/>
        <v>0</v>
      </c>
      <c r="AD67" s="93"/>
      <c r="AE67" s="93"/>
      <c r="AF67" s="94">
        <f t="shared" si="137"/>
        <v>0</v>
      </c>
      <c r="AG67" s="475"/>
      <c r="AH67" s="99">
        <v>135</v>
      </c>
      <c r="AI67" s="99">
        <f t="shared" si="138"/>
        <v>9</v>
      </c>
      <c r="AJ67" s="138"/>
      <c r="AK67" s="138">
        <f t="shared" si="145"/>
        <v>0</v>
      </c>
      <c r="AL67" s="106"/>
      <c r="AM67" s="105">
        <v>135</v>
      </c>
      <c r="AN67" s="105">
        <f t="shared" si="139"/>
        <v>9</v>
      </c>
      <c r="AO67" s="106"/>
      <c r="AP67" s="105"/>
      <c r="AQ67" s="105">
        <f t="shared" si="107"/>
        <v>0</v>
      </c>
      <c r="AR67" s="106"/>
      <c r="AS67" s="97">
        <f t="shared" si="48"/>
        <v>9</v>
      </c>
      <c r="AT67" s="6"/>
      <c r="AU67" s="105"/>
      <c r="AV67" s="455">
        <f t="shared" si="114"/>
        <v>0</v>
      </c>
      <c r="AW67" s="496"/>
      <c r="AX67" s="508"/>
      <c r="AY67" s="498"/>
      <c r="AZ67" s="100">
        <f t="shared" si="146"/>
        <v>0</v>
      </c>
      <c r="BA67" s="106"/>
      <c r="BB67" s="105"/>
      <c r="BC67" s="105">
        <f t="shared" si="140"/>
        <v>0</v>
      </c>
      <c r="BD67" s="106"/>
      <c r="BE67" s="105">
        <f t="shared" si="147"/>
        <v>0</v>
      </c>
      <c r="BF67" s="106"/>
      <c r="BG67" s="100">
        <f t="shared" si="108"/>
        <v>9</v>
      </c>
      <c r="BH67" s="106"/>
      <c r="BI67" s="100">
        <f t="shared" si="98"/>
        <v>0</v>
      </c>
      <c r="BJ67" s="106"/>
      <c r="BK67" s="101">
        <f t="shared" si="28"/>
        <v>9</v>
      </c>
      <c r="BL67" s="106"/>
      <c r="BM67" s="104">
        <v>100</v>
      </c>
      <c r="BN67" s="104">
        <f t="shared" si="141"/>
        <v>2</v>
      </c>
      <c r="BO67" s="105"/>
      <c r="BP67" s="105">
        <f t="shared" si="124"/>
        <v>0</v>
      </c>
      <c r="BQ67" s="106"/>
      <c r="BR67" s="105">
        <v>500</v>
      </c>
      <c r="BS67" s="105">
        <f>BR67/50</f>
        <v>10</v>
      </c>
      <c r="BT67" s="106"/>
      <c r="BU67" s="53"/>
      <c r="BV67" s="53">
        <f t="shared" si="143"/>
        <v>0</v>
      </c>
      <c r="BW67" s="54"/>
      <c r="BX67" s="350">
        <f t="shared" si="19"/>
        <v>10</v>
      </c>
      <c r="BY67" s="211"/>
      <c r="BZ67" s="211">
        <f t="shared" si="109"/>
        <v>-1</v>
      </c>
      <c r="CA67" s="508"/>
      <c r="CB67" s="165"/>
      <c r="CC67" s="165"/>
      <c r="CD67" s="203"/>
      <c r="CE67" s="504"/>
      <c r="CF67" s="105"/>
      <c r="CG67" s="105">
        <f t="shared" si="148"/>
        <v>0</v>
      </c>
      <c r="CH67" s="105"/>
      <c r="CI67" s="105"/>
      <c r="CJ67" s="105">
        <f t="shared" si="149"/>
        <v>0</v>
      </c>
      <c r="CK67" s="524"/>
      <c r="CL67" s="53">
        <f t="shared" si="150"/>
        <v>0</v>
      </c>
      <c r="CM67" s="54"/>
      <c r="CN67" s="105"/>
      <c r="CO67" s="100">
        <f t="shared" si="126"/>
        <v>0</v>
      </c>
      <c r="CP67" s="496"/>
      <c r="CQ67" s="439"/>
      <c r="CR67" s="504"/>
      <c r="CS67" s="105"/>
      <c r="CT67" s="105">
        <f t="shared" si="36"/>
        <v>0</v>
      </c>
      <c r="CU67" s="105"/>
      <c r="CV67" s="105"/>
      <c r="CW67" s="105">
        <f t="shared" si="37"/>
        <v>0</v>
      </c>
      <c r="CX67" s="53"/>
      <c r="CY67" s="109">
        <f t="shared" si="127"/>
        <v>0</v>
      </c>
      <c r="CZ67" s="54"/>
      <c r="DA67" s="105"/>
      <c r="DB67" s="455">
        <f t="shared" si="39"/>
        <v>0</v>
      </c>
      <c r="DC67" s="495"/>
      <c r="DD67" s="25"/>
      <c r="DF67" s="1133"/>
      <c r="DG67" s="674">
        <f t="shared" si="110"/>
        <v>0</v>
      </c>
      <c r="DH67" s="1119">
        <f t="shared" si="111"/>
        <v>0</v>
      </c>
      <c r="DI67" s="1119"/>
      <c r="DJ67" s="101">
        <f t="shared" si="118"/>
        <v>9</v>
      </c>
      <c r="DK67" s="101"/>
      <c r="DL67" s="101">
        <f t="shared" si="112"/>
        <v>0</v>
      </c>
      <c r="DM67" s="101"/>
      <c r="DN67" s="112"/>
      <c r="DO67" s="112"/>
      <c r="DP67" s="112"/>
      <c r="DQ67" s="112"/>
    </row>
    <row r="68" spans="1:130" ht="21.6" customHeight="1" x14ac:dyDescent="0.25">
      <c r="A68" s="4" t="s">
        <v>28</v>
      </c>
      <c r="B68" s="4"/>
      <c r="C68" s="166" t="s">
        <v>30</v>
      </c>
      <c r="D68" s="166" t="s">
        <v>431</v>
      </c>
      <c r="E68" s="1" t="s">
        <v>37</v>
      </c>
      <c r="F68" s="162">
        <v>50</v>
      </c>
      <c r="G68" s="162">
        <v>101</v>
      </c>
      <c r="H68" s="162"/>
      <c r="I68" s="162">
        <v>2</v>
      </c>
      <c r="J68" s="162">
        <v>34</v>
      </c>
      <c r="K68" s="162">
        <f t="shared" si="133"/>
        <v>36</v>
      </c>
      <c r="L68" s="163"/>
      <c r="M68" s="414"/>
      <c r="N68" s="46"/>
      <c r="O68" s="164"/>
      <c r="P68" s="165"/>
      <c r="Q68" s="165"/>
      <c r="R68" s="165"/>
      <c r="S68" s="203"/>
      <c r="T68" s="89"/>
      <c r="U68" s="89"/>
      <c r="V68" s="89">
        <f t="shared" si="134"/>
        <v>0</v>
      </c>
      <c r="W68" s="137"/>
      <c r="X68" s="137"/>
      <c r="Y68" s="90">
        <f t="shared" si="135"/>
        <v>0</v>
      </c>
      <c r="Z68" s="169"/>
      <c r="AA68" s="92"/>
      <c r="AB68" s="92"/>
      <c r="AC68" s="92">
        <f t="shared" si="136"/>
        <v>0</v>
      </c>
      <c r="AD68" s="93"/>
      <c r="AE68" s="93"/>
      <c r="AF68" s="94">
        <f t="shared" si="137"/>
        <v>0</v>
      </c>
      <c r="AG68" s="475"/>
      <c r="AH68" s="99">
        <v>180</v>
      </c>
      <c r="AI68" s="99">
        <f t="shared" si="138"/>
        <v>12</v>
      </c>
      <c r="AJ68" s="138"/>
      <c r="AK68" s="138">
        <f t="shared" si="145"/>
        <v>0</v>
      </c>
      <c r="AL68" s="106"/>
      <c r="AM68" s="105">
        <v>180</v>
      </c>
      <c r="AN68" s="105">
        <f t="shared" si="139"/>
        <v>12</v>
      </c>
      <c r="AO68" s="106"/>
      <c r="AP68" s="105"/>
      <c r="AQ68" s="105">
        <f t="shared" si="107"/>
        <v>0</v>
      </c>
      <c r="AR68" s="106"/>
      <c r="AS68" s="97">
        <f t="shared" si="48"/>
        <v>12</v>
      </c>
      <c r="AT68" s="6"/>
      <c r="AU68" s="105"/>
      <c r="AV68" s="455">
        <f t="shared" si="114"/>
        <v>0</v>
      </c>
      <c r="AW68" s="496"/>
      <c r="AX68" s="508"/>
      <c r="AY68" s="498"/>
      <c r="AZ68" s="100">
        <f t="shared" si="146"/>
        <v>0</v>
      </c>
      <c r="BA68" s="106"/>
      <c r="BB68" s="105"/>
      <c r="BC68" s="105">
        <f t="shared" si="140"/>
        <v>0</v>
      </c>
      <c r="BD68" s="106"/>
      <c r="BE68" s="105">
        <f t="shared" si="147"/>
        <v>0</v>
      </c>
      <c r="BF68" s="106"/>
      <c r="BG68" s="100">
        <f t="shared" si="108"/>
        <v>12</v>
      </c>
      <c r="BH68" s="106"/>
      <c r="BI68" s="100">
        <f t="shared" si="98"/>
        <v>0</v>
      </c>
      <c r="BJ68" s="106"/>
      <c r="BK68" s="101">
        <f t="shared" si="28"/>
        <v>12</v>
      </c>
      <c r="BL68" s="106"/>
      <c r="BM68" s="104">
        <v>600</v>
      </c>
      <c r="BN68" s="104">
        <f t="shared" si="141"/>
        <v>12</v>
      </c>
      <c r="BO68" s="105"/>
      <c r="BP68" s="105">
        <f t="shared" si="124"/>
        <v>0</v>
      </c>
      <c r="BQ68" s="106"/>
      <c r="BR68" s="105">
        <v>600</v>
      </c>
      <c r="BS68" s="105">
        <f t="shared" si="142"/>
        <v>12</v>
      </c>
      <c r="BT68" s="106"/>
      <c r="BU68" s="53"/>
      <c r="BV68" s="53">
        <f t="shared" si="143"/>
        <v>0</v>
      </c>
      <c r="BW68" s="54"/>
      <c r="BX68" s="350">
        <f t="shared" si="19"/>
        <v>12</v>
      </c>
      <c r="BY68" s="211"/>
      <c r="BZ68" s="211">
        <f t="shared" si="109"/>
        <v>0</v>
      </c>
      <c r="CA68" s="508"/>
      <c r="CB68" s="165"/>
      <c r="CC68" s="165"/>
      <c r="CD68" s="203"/>
      <c r="CE68" s="504"/>
      <c r="CF68" s="105"/>
      <c r="CG68" s="105">
        <f t="shared" si="148"/>
        <v>0</v>
      </c>
      <c r="CH68" s="105"/>
      <c r="CI68" s="105"/>
      <c r="CJ68" s="105">
        <f t="shared" si="149"/>
        <v>0</v>
      </c>
      <c r="CK68" s="524"/>
      <c r="CL68" s="53">
        <f t="shared" si="150"/>
        <v>0</v>
      </c>
      <c r="CM68" s="54"/>
      <c r="CN68" s="105"/>
      <c r="CO68" s="100">
        <f t="shared" si="126"/>
        <v>0</v>
      </c>
      <c r="CP68" s="496"/>
      <c r="CQ68" s="439"/>
      <c r="CR68" s="504"/>
      <c r="CS68" s="105"/>
      <c r="CT68" s="105">
        <f t="shared" si="36"/>
        <v>0</v>
      </c>
      <c r="CU68" s="105"/>
      <c r="CV68" s="105"/>
      <c r="CW68" s="105">
        <f t="shared" si="37"/>
        <v>0</v>
      </c>
      <c r="CX68" s="53"/>
      <c r="CY68" s="109">
        <f t="shared" si="127"/>
        <v>0</v>
      </c>
      <c r="CZ68" s="54"/>
      <c r="DA68" s="105"/>
      <c r="DB68" s="455">
        <f t="shared" si="39"/>
        <v>0</v>
      </c>
      <c r="DC68" s="495"/>
      <c r="DD68" s="25"/>
      <c r="DF68" s="1133"/>
      <c r="DG68" s="674">
        <f t="shared" si="110"/>
        <v>0</v>
      </c>
      <c r="DH68" s="1119">
        <f t="shared" si="111"/>
        <v>0</v>
      </c>
      <c r="DI68" s="1119"/>
      <c r="DJ68" s="101">
        <f t="shared" si="118"/>
        <v>12</v>
      </c>
      <c r="DK68" s="101"/>
      <c r="DL68" s="101">
        <f t="shared" si="112"/>
        <v>0</v>
      </c>
      <c r="DM68" s="101"/>
      <c r="DN68" s="112"/>
      <c r="DO68" s="112"/>
      <c r="DP68" s="112"/>
      <c r="DQ68" s="112"/>
    </row>
    <row r="69" spans="1:130" ht="21.6" customHeight="1" x14ac:dyDescent="0.25">
      <c r="A69" s="4" t="s">
        <v>28</v>
      </c>
      <c r="B69" s="4"/>
      <c r="C69" s="166" t="s">
        <v>30</v>
      </c>
      <c r="D69" s="166" t="s">
        <v>431</v>
      </c>
      <c r="E69" s="1" t="s">
        <v>38</v>
      </c>
      <c r="F69" s="162">
        <v>35</v>
      </c>
      <c r="G69" s="162">
        <v>62</v>
      </c>
      <c r="H69" s="162"/>
      <c r="I69" s="162"/>
      <c r="J69" s="162">
        <v>24</v>
      </c>
      <c r="K69" s="162">
        <f t="shared" si="133"/>
        <v>24</v>
      </c>
      <c r="L69" s="163"/>
      <c r="M69" s="414"/>
      <c r="N69" s="46"/>
      <c r="O69" s="164"/>
      <c r="P69" s="165"/>
      <c r="Q69" s="165"/>
      <c r="R69" s="165"/>
      <c r="S69" s="203"/>
      <c r="T69" s="89"/>
      <c r="U69" s="89"/>
      <c r="V69" s="89">
        <f t="shared" si="134"/>
        <v>0</v>
      </c>
      <c r="W69" s="137"/>
      <c r="X69" s="137"/>
      <c r="Y69" s="90">
        <f t="shared" si="135"/>
        <v>0</v>
      </c>
      <c r="Z69" s="169"/>
      <c r="AA69" s="92"/>
      <c r="AB69" s="92"/>
      <c r="AC69" s="92">
        <f t="shared" si="136"/>
        <v>0</v>
      </c>
      <c r="AD69" s="93"/>
      <c r="AE69" s="93"/>
      <c r="AF69" s="94">
        <f t="shared" si="137"/>
        <v>0</v>
      </c>
      <c r="AG69" s="475"/>
      <c r="AH69" s="99">
        <v>210</v>
      </c>
      <c r="AI69" s="99">
        <f t="shared" si="138"/>
        <v>14</v>
      </c>
      <c r="AJ69" s="138"/>
      <c r="AK69" s="138">
        <f t="shared" si="145"/>
        <v>0</v>
      </c>
      <c r="AL69" s="106"/>
      <c r="AM69" s="105">
        <v>210</v>
      </c>
      <c r="AN69" s="105">
        <f t="shared" si="139"/>
        <v>14</v>
      </c>
      <c r="AO69" s="106"/>
      <c r="AP69" s="105"/>
      <c r="AQ69" s="105">
        <f t="shared" si="107"/>
        <v>0</v>
      </c>
      <c r="AR69" s="106"/>
      <c r="AS69" s="97">
        <f t="shared" si="48"/>
        <v>14</v>
      </c>
      <c r="AT69" s="6"/>
      <c r="AU69" s="105"/>
      <c r="AV69" s="455">
        <f t="shared" si="114"/>
        <v>0</v>
      </c>
      <c r="AW69" s="496"/>
      <c r="AX69" s="508"/>
      <c r="AY69" s="498"/>
      <c r="AZ69" s="100">
        <f t="shared" si="146"/>
        <v>0</v>
      </c>
      <c r="BA69" s="106"/>
      <c r="BB69" s="105"/>
      <c r="BC69" s="105">
        <f t="shared" si="140"/>
        <v>0</v>
      </c>
      <c r="BD69" s="106"/>
      <c r="BE69" s="105">
        <f t="shared" si="147"/>
        <v>0</v>
      </c>
      <c r="BF69" s="106"/>
      <c r="BG69" s="100">
        <f t="shared" si="108"/>
        <v>14</v>
      </c>
      <c r="BH69" s="106"/>
      <c r="BI69" s="100">
        <f t="shared" si="98"/>
        <v>0</v>
      </c>
      <c r="BJ69" s="106"/>
      <c r="BK69" s="101">
        <f t="shared" si="28"/>
        <v>14</v>
      </c>
      <c r="BL69" s="106"/>
      <c r="BM69" s="104">
        <v>700</v>
      </c>
      <c r="BN69" s="104">
        <f t="shared" si="141"/>
        <v>14</v>
      </c>
      <c r="BO69" s="105"/>
      <c r="BP69" s="105">
        <f t="shared" si="124"/>
        <v>0</v>
      </c>
      <c r="BQ69" s="106"/>
      <c r="BR69" s="105">
        <v>700</v>
      </c>
      <c r="BS69" s="105">
        <f t="shared" si="142"/>
        <v>14</v>
      </c>
      <c r="BT69" s="106"/>
      <c r="BU69" s="53"/>
      <c r="BV69" s="53">
        <f t="shared" si="143"/>
        <v>0</v>
      </c>
      <c r="BW69" s="54"/>
      <c r="BX69" s="350">
        <f t="shared" si="19"/>
        <v>14</v>
      </c>
      <c r="BY69" s="211"/>
      <c r="BZ69" s="211">
        <f t="shared" si="109"/>
        <v>0</v>
      </c>
      <c r="CA69" s="508"/>
      <c r="CB69" s="165"/>
      <c r="CC69" s="165"/>
      <c r="CD69" s="203"/>
      <c r="CE69" s="504"/>
      <c r="CF69" s="105"/>
      <c r="CG69" s="105">
        <f t="shared" si="148"/>
        <v>0</v>
      </c>
      <c r="CH69" s="105"/>
      <c r="CI69" s="105"/>
      <c r="CJ69" s="105">
        <f t="shared" si="149"/>
        <v>0</v>
      </c>
      <c r="CK69" s="524"/>
      <c r="CL69" s="53">
        <f t="shared" si="150"/>
        <v>0</v>
      </c>
      <c r="CM69" s="54"/>
      <c r="CN69" s="105"/>
      <c r="CO69" s="100">
        <f t="shared" si="126"/>
        <v>0</v>
      </c>
      <c r="CP69" s="496"/>
      <c r="CQ69" s="439"/>
      <c r="CR69" s="504"/>
      <c r="CS69" s="105"/>
      <c r="CT69" s="105">
        <f t="shared" si="36"/>
        <v>0</v>
      </c>
      <c r="CU69" s="105"/>
      <c r="CV69" s="105"/>
      <c r="CW69" s="105">
        <f t="shared" si="37"/>
        <v>0</v>
      </c>
      <c r="CX69" s="53"/>
      <c r="CY69" s="109">
        <f t="shared" si="127"/>
        <v>0</v>
      </c>
      <c r="CZ69" s="54"/>
      <c r="DA69" s="105"/>
      <c r="DB69" s="455">
        <f t="shared" si="39"/>
        <v>0</v>
      </c>
      <c r="DC69" s="495"/>
      <c r="DD69" s="25"/>
      <c r="DF69" s="1133"/>
      <c r="DG69" s="674">
        <f t="shared" si="110"/>
        <v>0</v>
      </c>
      <c r="DH69" s="1119">
        <f t="shared" si="111"/>
        <v>0</v>
      </c>
      <c r="DI69" s="1119"/>
      <c r="DJ69" s="101">
        <f t="shared" si="118"/>
        <v>14</v>
      </c>
      <c r="DK69" s="101"/>
      <c r="DL69" s="101">
        <f t="shared" si="112"/>
        <v>0</v>
      </c>
      <c r="DM69" s="101"/>
      <c r="DN69" s="112"/>
      <c r="DO69" s="112"/>
      <c r="DP69" s="112"/>
      <c r="DQ69" s="112"/>
    </row>
    <row r="70" spans="1:130" ht="31.5" customHeight="1" x14ac:dyDescent="0.25">
      <c r="A70" s="4" t="s">
        <v>28</v>
      </c>
      <c r="B70" s="4"/>
      <c r="C70" s="166" t="s">
        <v>30</v>
      </c>
      <c r="D70" s="166"/>
      <c r="E70" s="1" t="s">
        <v>39</v>
      </c>
      <c r="F70" s="162">
        <v>37</v>
      </c>
      <c r="G70" s="162">
        <v>39</v>
      </c>
      <c r="H70" s="162"/>
      <c r="I70" s="162">
        <v>1</v>
      </c>
      <c r="J70" s="162">
        <v>22.5</v>
      </c>
      <c r="K70" s="162">
        <f t="shared" si="133"/>
        <v>23.5</v>
      </c>
      <c r="L70" s="163"/>
      <c r="M70" s="414"/>
      <c r="N70" s="46"/>
      <c r="O70" s="164"/>
      <c r="P70" s="165"/>
      <c r="Q70" s="165"/>
      <c r="R70" s="165"/>
      <c r="S70" s="203"/>
      <c r="T70" s="89"/>
      <c r="U70" s="89"/>
      <c r="V70" s="89">
        <f t="shared" si="134"/>
        <v>0</v>
      </c>
      <c r="W70" s="137"/>
      <c r="X70" s="137"/>
      <c r="Y70" s="90">
        <f t="shared" si="135"/>
        <v>0</v>
      </c>
      <c r="Z70" s="169"/>
      <c r="AA70" s="92"/>
      <c r="AB70" s="92"/>
      <c r="AC70" s="92">
        <f t="shared" si="136"/>
        <v>0</v>
      </c>
      <c r="AD70" s="93"/>
      <c r="AE70" s="93"/>
      <c r="AF70" s="94">
        <f t="shared" si="137"/>
        <v>0</v>
      </c>
      <c r="AG70" s="475"/>
      <c r="AH70" s="99"/>
      <c r="AI70" s="99">
        <f t="shared" si="138"/>
        <v>0</v>
      </c>
      <c r="AJ70" s="138"/>
      <c r="AK70" s="138">
        <f t="shared" si="145"/>
        <v>0</v>
      </c>
      <c r="AL70" s="106"/>
      <c r="AM70" s="105"/>
      <c r="AN70" s="105">
        <f t="shared" si="139"/>
        <v>0</v>
      </c>
      <c r="AO70" s="106"/>
      <c r="AP70" s="105"/>
      <c r="AQ70" s="105">
        <f t="shared" si="107"/>
        <v>0</v>
      </c>
      <c r="AR70" s="106"/>
      <c r="AS70" s="97">
        <f t="shared" si="48"/>
        <v>0</v>
      </c>
      <c r="AT70" s="6"/>
      <c r="AU70" s="105"/>
      <c r="AV70" s="455">
        <f t="shared" si="114"/>
        <v>0</v>
      </c>
      <c r="AW70" s="496"/>
      <c r="AX70" s="508"/>
      <c r="AY70" s="498"/>
      <c r="AZ70" s="100">
        <f t="shared" si="146"/>
        <v>0</v>
      </c>
      <c r="BA70" s="106"/>
      <c r="BB70" s="105"/>
      <c r="BC70" s="105">
        <f t="shared" si="140"/>
        <v>0</v>
      </c>
      <c r="BD70" s="106"/>
      <c r="BE70" s="105">
        <f t="shared" si="147"/>
        <v>0</v>
      </c>
      <c r="BF70" s="106"/>
      <c r="BG70" s="100">
        <f t="shared" si="108"/>
        <v>0</v>
      </c>
      <c r="BH70" s="106"/>
      <c r="BI70" s="100">
        <f t="shared" si="98"/>
        <v>0</v>
      </c>
      <c r="BJ70" s="106"/>
      <c r="BK70" s="101">
        <f t="shared" si="28"/>
        <v>0</v>
      </c>
      <c r="BL70" s="106"/>
      <c r="BM70" s="104"/>
      <c r="BN70" s="104">
        <f t="shared" si="141"/>
        <v>0</v>
      </c>
      <c r="BO70" s="105"/>
      <c r="BP70" s="105">
        <f t="shared" si="124"/>
        <v>0</v>
      </c>
      <c r="BQ70" s="106"/>
      <c r="BR70" s="105"/>
      <c r="BS70" s="105">
        <f t="shared" si="142"/>
        <v>0</v>
      </c>
      <c r="BT70" s="106"/>
      <c r="BU70" s="53"/>
      <c r="BV70" s="53">
        <f t="shared" si="143"/>
        <v>0</v>
      </c>
      <c r="BW70" s="54"/>
      <c r="BX70" s="350">
        <f t="shared" si="19"/>
        <v>0</v>
      </c>
      <c r="BY70" s="211"/>
      <c r="BZ70" s="211">
        <f t="shared" si="109"/>
        <v>0</v>
      </c>
      <c r="CA70" s="508"/>
      <c r="CB70" s="165"/>
      <c r="CC70" s="165"/>
      <c r="CD70" s="203"/>
      <c r="CE70" s="504"/>
      <c r="CF70" s="105"/>
      <c r="CG70" s="105">
        <f t="shared" si="148"/>
        <v>0</v>
      </c>
      <c r="CH70" s="105"/>
      <c r="CI70" s="105"/>
      <c r="CJ70" s="105">
        <f t="shared" si="149"/>
        <v>0</v>
      </c>
      <c r="CK70" s="524"/>
      <c r="CL70" s="53">
        <f t="shared" si="150"/>
        <v>0</v>
      </c>
      <c r="CM70" s="54"/>
      <c r="CN70" s="105"/>
      <c r="CO70" s="100">
        <f t="shared" si="126"/>
        <v>0</v>
      </c>
      <c r="CP70" s="496"/>
      <c r="CQ70" s="439"/>
      <c r="CR70" s="504"/>
      <c r="CS70" s="105"/>
      <c r="CT70" s="105">
        <f t="shared" si="36"/>
        <v>0</v>
      </c>
      <c r="CU70" s="105"/>
      <c r="CV70" s="105"/>
      <c r="CW70" s="105">
        <f t="shared" si="37"/>
        <v>0</v>
      </c>
      <c r="CX70" s="53"/>
      <c r="CY70" s="109">
        <f t="shared" si="127"/>
        <v>0</v>
      </c>
      <c r="CZ70" s="54"/>
      <c r="DA70" s="105"/>
      <c r="DB70" s="455">
        <f t="shared" si="39"/>
        <v>0</v>
      </c>
      <c r="DC70" s="495"/>
      <c r="DD70" s="25"/>
      <c r="DF70" s="1133"/>
      <c r="DG70" s="674">
        <f t="shared" si="110"/>
        <v>0</v>
      </c>
      <c r="DH70" s="1119">
        <f t="shared" si="111"/>
        <v>0</v>
      </c>
      <c r="DI70" s="1119"/>
      <c r="DJ70" s="101">
        <f t="shared" si="118"/>
        <v>0</v>
      </c>
      <c r="DK70" s="101"/>
      <c r="DL70" s="101">
        <f t="shared" si="112"/>
        <v>0</v>
      </c>
      <c r="DM70" s="101"/>
      <c r="DN70" s="112"/>
      <c r="DO70" s="112"/>
      <c r="DP70" s="112"/>
      <c r="DQ70" s="112"/>
    </row>
    <row r="71" spans="1:130" ht="51.75" customHeight="1" x14ac:dyDescent="0.25">
      <c r="A71" s="4" t="s">
        <v>28</v>
      </c>
      <c r="B71" s="4"/>
      <c r="C71" s="166" t="s">
        <v>30</v>
      </c>
      <c r="D71" s="166" t="s">
        <v>431</v>
      </c>
      <c r="E71" s="1" t="s">
        <v>40</v>
      </c>
      <c r="F71" s="162">
        <v>35</v>
      </c>
      <c r="G71" s="162">
        <v>77</v>
      </c>
      <c r="H71" s="162"/>
      <c r="I71" s="162"/>
      <c r="J71" s="162">
        <v>28.5</v>
      </c>
      <c r="K71" s="162">
        <f t="shared" si="133"/>
        <v>28.5</v>
      </c>
      <c r="L71" s="163"/>
      <c r="M71" s="414"/>
      <c r="N71" s="46"/>
      <c r="O71" s="164"/>
      <c r="P71" s="165"/>
      <c r="Q71" s="165"/>
      <c r="R71" s="165"/>
      <c r="S71" s="203"/>
      <c r="T71" s="89"/>
      <c r="U71" s="89"/>
      <c r="V71" s="89">
        <f t="shared" si="134"/>
        <v>0</v>
      </c>
      <c r="W71" s="137"/>
      <c r="X71" s="137"/>
      <c r="Y71" s="90">
        <f t="shared" si="135"/>
        <v>0</v>
      </c>
      <c r="Z71" s="169"/>
      <c r="AA71" s="92"/>
      <c r="AB71" s="92"/>
      <c r="AC71" s="92">
        <f t="shared" si="136"/>
        <v>0</v>
      </c>
      <c r="AD71" s="93"/>
      <c r="AE71" s="93"/>
      <c r="AF71" s="94">
        <f t="shared" si="137"/>
        <v>0</v>
      </c>
      <c r="AG71" s="475"/>
      <c r="AH71" s="99">
        <v>180</v>
      </c>
      <c r="AI71" s="99">
        <f t="shared" si="138"/>
        <v>12</v>
      </c>
      <c r="AJ71" s="138"/>
      <c r="AK71" s="138">
        <f t="shared" si="145"/>
        <v>0</v>
      </c>
      <c r="AL71" s="106"/>
      <c r="AM71" s="105"/>
      <c r="AN71" s="105">
        <f t="shared" si="139"/>
        <v>0</v>
      </c>
      <c r="AO71" s="106"/>
      <c r="AP71" s="105">
        <v>180</v>
      </c>
      <c r="AQ71" s="105">
        <f t="shared" si="107"/>
        <v>12</v>
      </c>
      <c r="AR71" s="106"/>
      <c r="AS71" s="97">
        <f t="shared" si="48"/>
        <v>12</v>
      </c>
      <c r="AT71" s="6"/>
      <c r="AU71" s="105"/>
      <c r="AV71" s="455">
        <f t="shared" si="114"/>
        <v>0</v>
      </c>
      <c r="AW71" s="496"/>
      <c r="AX71" s="508"/>
      <c r="AY71" s="498"/>
      <c r="AZ71" s="100">
        <f t="shared" si="146"/>
        <v>0</v>
      </c>
      <c r="BA71" s="106"/>
      <c r="BB71" s="105"/>
      <c r="BC71" s="105">
        <f t="shared" si="140"/>
        <v>0</v>
      </c>
      <c r="BD71" s="106"/>
      <c r="BE71" s="105">
        <f t="shared" si="147"/>
        <v>0</v>
      </c>
      <c r="BF71" s="106"/>
      <c r="BG71" s="100">
        <f t="shared" si="108"/>
        <v>12</v>
      </c>
      <c r="BH71" s="106"/>
      <c r="BI71" s="100">
        <f t="shared" si="98"/>
        <v>0</v>
      </c>
      <c r="BJ71" s="106"/>
      <c r="BK71" s="101">
        <f t="shared" si="28"/>
        <v>12</v>
      </c>
      <c r="BL71" s="106"/>
      <c r="BM71" s="104">
        <v>600</v>
      </c>
      <c r="BN71" s="104">
        <f t="shared" si="141"/>
        <v>12</v>
      </c>
      <c r="BO71" s="105"/>
      <c r="BP71" s="105">
        <f t="shared" si="124"/>
        <v>0</v>
      </c>
      <c r="BQ71" s="106"/>
      <c r="BR71" s="105">
        <v>600</v>
      </c>
      <c r="BS71" s="105">
        <f t="shared" si="142"/>
        <v>12</v>
      </c>
      <c r="BT71" s="106"/>
      <c r="BU71" s="109"/>
      <c r="BV71" s="53">
        <f>BU71/50</f>
        <v>0</v>
      </c>
      <c r="BW71" s="54"/>
      <c r="BX71" s="350">
        <f t="shared" si="19"/>
        <v>12</v>
      </c>
      <c r="BY71" s="211"/>
      <c r="BZ71" s="211">
        <f t="shared" si="109"/>
        <v>0</v>
      </c>
      <c r="CA71" s="508"/>
      <c r="CB71" s="165"/>
      <c r="CC71" s="165"/>
      <c r="CD71" s="203"/>
      <c r="CE71" s="504"/>
      <c r="CF71" s="105"/>
      <c r="CG71" s="105">
        <f t="shared" si="148"/>
        <v>0</v>
      </c>
      <c r="CH71" s="105"/>
      <c r="CI71" s="105"/>
      <c r="CJ71" s="105">
        <f t="shared" si="149"/>
        <v>0</v>
      </c>
      <c r="CK71" s="524"/>
      <c r="CL71" s="53">
        <f t="shared" si="150"/>
        <v>0</v>
      </c>
      <c r="CM71" s="54"/>
      <c r="CN71" s="105"/>
      <c r="CO71" s="100">
        <f t="shared" si="126"/>
        <v>0</v>
      </c>
      <c r="CP71" s="496"/>
      <c r="CQ71" s="439"/>
      <c r="CR71" s="504"/>
      <c r="CS71" s="105"/>
      <c r="CT71" s="105">
        <f t="shared" si="36"/>
        <v>0</v>
      </c>
      <c r="CU71" s="105"/>
      <c r="CV71" s="105"/>
      <c r="CW71" s="105">
        <f t="shared" si="37"/>
        <v>0</v>
      </c>
      <c r="CX71" s="53"/>
      <c r="CY71" s="109">
        <f t="shared" si="127"/>
        <v>0</v>
      </c>
      <c r="CZ71" s="54"/>
      <c r="DA71" s="105"/>
      <c r="DB71" s="455">
        <f t="shared" si="39"/>
        <v>0</v>
      </c>
      <c r="DC71" s="495"/>
      <c r="DD71" s="25"/>
      <c r="DF71" s="1133"/>
      <c r="DG71" s="674">
        <f t="shared" si="110"/>
        <v>0</v>
      </c>
      <c r="DH71" s="1119">
        <f t="shared" si="111"/>
        <v>0</v>
      </c>
      <c r="DI71" s="1119"/>
      <c r="DJ71" s="101">
        <f t="shared" si="118"/>
        <v>12</v>
      </c>
      <c r="DK71" s="101"/>
      <c r="DL71" s="101">
        <f t="shared" si="112"/>
        <v>0</v>
      </c>
      <c r="DM71" s="101"/>
      <c r="DN71" s="112"/>
      <c r="DO71" s="112"/>
      <c r="DP71" s="112"/>
      <c r="DQ71" s="112"/>
    </row>
    <row r="72" spans="1:130" ht="49.5" customHeight="1" x14ac:dyDescent="0.25">
      <c r="A72" s="4"/>
      <c r="B72" s="4"/>
      <c r="C72" s="166" t="s">
        <v>30</v>
      </c>
      <c r="D72" s="166" t="s">
        <v>431</v>
      </c>
      <c r="E72" s="1" t="s">
        <v>537</v>
      </c>
      <c r="F72" s="162"/>
      <c r="G72" s="162"/>
      <c r="H72" s="162"/>
      <c r="I72" s="162"/>
      <c r="J72" s="162"/>
      <c r="K72" s="162"/>
      <c r="L72" s="163"/>
      <c r="M72" s="414"/>
      <c r="N72" s="46"/>
      <c r="O72" s="206"/>
      <c r="P72" s="165"/>
      <c r="Q72" s="165"/>
      <c r="R72" s="165"/>
      <c r="S72" s="203"/>
      <c r="T72" s="89"/>
      <c r="U72" s="89"/>
      <c r="V72" s="89">
        <f t="shared" si="134"/>
        <v>0</v>
      </c>
      <c r="W72" s="137"/>
      <c r="X72" s="137"/>
      <c r="Y72" s="90">
        <f t="shared" si="135"/>
        <v>0</v>
      </c>
      <c r="Z72" s="169"/>
      <c r="AA72" s="92"/>
      <c r="AB72" s="92"/>
      <c r="AC72" s="92"/>
      <c r="AD72" s="93"/>
      <c r="AE72" s="93"/>
      <c r="AF72" s="94"/>
      <c r="AG72" s="475"/>
      <c r="AH72" s="99"/>
      <c r="AI72" s="99"/>
      <c r="AJ72" s="138"/>
      <c r="AK72" s="138"/>
      <c r="AL72" s="106"/>
      <c r="AM72" s="105"/>
      <c r="AN72" s="105"/>
      <c r="AO72" s="106"/>
      <c r="AP72" s="105"/>
      <c r="AQ72" s="105">
        <f t="shared" si="107"/>
        <v>0</v>
      </c>
      <c r="AR72" s="106"/>
      <c r="AS72" s="97">
        <f t="shared" si="48"/>
        <v>0</v>
      </c>
      <c r="AT72" s="6"/>
      <c r="AU72" s="105"/>
      <c r="AV72" s="455">
        <f t="shared" si="114"/>
        <v>0</v>
      </c>
      <c r="AW72" s="496"/>
      <c r="AX72" s="508"/>
      <c r="AY72" s="498"/>
      <c r="AZ72" s="100">
        <f t="shared" si="146"/>
        <v>0</v>
      </c>
      <c r="BA72" s="106"/>
      <c r="BB72" s="105"/>
      <c r="BC72" s="105"/>
      <c r="BD72" s="106"/>
      <c r="BE72" s="105">
        <f t="shared" si="147"/>
        <v>0</v>
      </c>
      <c r="BF72" s="106"/>
      <c r="BG72" s="100">
        <f t="shared" si="108"/>
        <v>0</v>
      </c>
      <c r="BH72" s="106"/>
      <c r="BI72" s="100">
        <f t="shared" si="98"/>
        <v>0</v>
      </c>
      <c r="BJ72" s="106"/>
      <c r="BK72" s="101">
        <f t="shared" si="28"/>
        <v>0</v>
      </c>
      <c r="BL72" s="106"/>
      <c r="BM72" s="104">
        <v>400</v>
      </c>
      <c r="BN72" s="104">
        <f t="shared" si="141"/>
        <v>8</v>
      </c>
      <c r="BO72" s="105"/>
      <c r="BP72" s="105">
        <f t="shared" si="124"/>
        <v>0</v>
      </c>
      <c r="BQ72" s="106"/>
      <c r="BR72" s="105"/>
      <c r="BS72" s="105">
        <f t="shared" si="142"/>
        <v>0</v>
      </c>
      <c r="BT72" s="106"/>
      <c r="BU72" s="53"/>
      <c r="BV72" s="53">
        <f t="shared" si="143"/>
        <v>0</v>
      </c>
      <c r="BW72" s="54"/>
      <c r="BX72" s="350">
        <f t="shared" si="19"/>
        <v>0</v>
      </c>
      <c r="BY72" s="211"/>
      <c r="BZ72" s="211">
        <f t="shared" si="109"/>
        <v>0</v>
      </c>
      <c r="CA72" s="508"/>
      <c r="CB72" s="165" t="s">
        <v>265</v>
      </c>
      <c r="CC72" s="165"/>
      <c r="CD72" s="203" t="s">
        <v>688</v>
      </c>
      <c r="CE72" s="504"/>
      <c r="CF72" s="105"/>
      <c r="CG72" s="105">
        <f t="shared" si="148"/>
        <v>0</v>
      </c>
      <c r="CH72" s="105"/>
      <c r="CI72" s="105"/>
      <c r="CJ72" s="105">
        <f t="shared" si="149"/>
        <v>0</v>
      </c>
      <c r="CK72" s="524"/>
      <c r="CL72" s="53">
        <f t="shared" si="150"/>
        <v>0</v>
      </c>
      <c r="CM72" s="54"/>
      <c r="CN72" s="105">
        <v>120</v>
      </c>
      <c r="CO72" s="100">
        <f t="shared" si="126"/>
        <v>8</v>
      </c>
      <c r="CP72" s="496"/>
      <c r="CQ72" s="439"/>
      <c r="CR72" s="504"/>
      <c r="CS72" s="105"/>
      <c r="CT72" s="105">
        <f t="shared" si="36"/>
        <v>0</v>
      </c>
      <c r="CU72" s="105"/>
      <c r="CV72" s="105"/>
      <c r="CW72" s="105">
        <f t="shared" si="37"/>
        <v>0</v>
      </c>
      <c r="CX72" s="53"/>
      <c r="CY72" s="109">
        <f t="shared" si="127"/>
        <v>0</v>
      </c>
      <c r="CZ72" s="54"/>
      <c r="DA72" s="105"/>
      <c r="DB72" s="455">
        <f t="shared" si="39"/>
        <v>0</v>
      </c>
      <c r="DC72" s="495"/>
      <c r="DD72" s="25"/>
      <c r="DF72" s="1133"/>
      <c r="DG72" s="674">
        <f t="shared" si="110"/>
        <v>0</v>
      </c>
      <c r="DH72" s="1119">
        <f t="shared" si="111"/>
        <v>8</v>
      </c>
      <c r="DI72" s="1119"/>
      <c r="DJ72" s="101">
        <f t="shared" si="118"/>
        <v>8</v>
      </c>
      <c r="DK72" s="101"/>
      <c r="DL72" s="101">
        <f t="shared" si="112"/>
        <v>0</v>
      </c>
      <c r="DM72" s="101"/>
      <c r="DN72" s="112"/>
      <c r="DO72" s="112"/>
      <c r="DP72" s="112"/>
      <c r="DQ72" s="112"/>
    </row>
    <row r="73" spans="1:130" ht="21.6" customHeight="1" x14ac:dyDescent="0.25">
      <c r="A73" s="4" t="s">
        <v>28</v>
      </c>
      <c r="B73" s="4"/>
      <c r="C73" s="204" t="s">
        <v>30</v>
      </c>
      <c r="D73" s="204" t="s">
        <v>431</v>
      </c>
      <c r="E73" s="13" t="s">
        <v>41</v>
      </c>
      <c r="F73" s="162">
        <v>80</v>
      </c>
      <c r="G73" s="162">
        <v>30</v>
      </c>
      <c r="H73" s="162"/>
      <c r="I73" s="162">
        <v>3.5</v>
      </c>
      <c r="J73" s="162">
        <v>30.9</v>
      </c>
      <c r="K73" s="162">
        <f t="shared" si="133"/>
        <v>34.4</v>
      </c>
      <c r="L73" s="163"/>
      <c r="M73" s="414"/>
      <c r="N73" s="46"/>
      <c r="O73" s="1216"/>
      <c r="P73" s="165"/>
      <c r="Q73" s="165"/>
      <c r="R73" s="165"/>
      <c r="S73" s="203"/>
      <c r="T73" s="89"/>
      <c r="U73" s="89"/>
      <c r="V73" s="89">
        <f t="shared" si="134"/>
        <v>0</v>
      </c>
      <c r="W73" s="137"/>
      <c r="X73" s="137"/>
      <c r="Y73" s="90">
        <f t="shared" si="135"/>
        <v>0</v>
      </c>
      <c r="Z73" s="169"/>
      <c r="AA73" s="92"/>
      <c r="AB73" s="92"/>
      <c r="AC73" s="92">
        <f t="shared" si="136"/>
        <v>0</v>
      </c>
      <c r="AD73" s="93"/>
      <c r="AE73" s="93"/>
      <c r="AF73" s="94">
        <f t="shared" si="137"/>
        <v>0</v>
      </c>
      <c r="AG73" s="475"/>
      <c r="AH73" s="99">
        <v>270</v>
      </c>
      <c r="AI73" s="99">
        <f t="shared" si="138"/>
        <v>18</v>
      </c>
      <c r="AJ73" s="138">
        <v>270</v>
      </c>
      <c r="AK73" s="138">
        <f>AJ73/15</f>
        <v>18</v>
      </c>
      <c r="AL73" s="106"/>
      <c r="AM73" s="105"/>
      <c r="AN73" s="105">
        <f t="shared" ref="AN73" si="151">AM73/15</f>
        <v>0</v>
      </c>
      <c r="AO73" s="106"/>
      <c r="AP73" s="105"/>
      <c r="AQ73" s="105">
        <f t="shared" si="107"/>
        <v>0</v>
      </c>
      <c r="AR73" s="106"/>
      <c r="AS73" s="97">
        <f t="shared" si="48"/>
        <v>18</v>
      </c>
      <c r="AT73" s="6"/>
      <c r="AU73" s="105"/>
      <c r="AV73" s="455">
        <f t="shared" si="114"/>
        <v>0</v>
      </c>
      <c r="AW73" s="496"/>
      <c r="AX73" s="508"/>
      <c r="AY73" s="498"/>
      <c r="AZ73" s="100">
        <f t="shared" si="146"/>
        <v>0</v>
      </c>
      <c r="BA73" s="106"/>
      <c r="BB73" s="105"/>
      <c r="BC73" s="105">
        <f t="shared" ref="BC73" si="152">BB73/15</f>
        <v>0</v>
      </c>
      <c r="BD73" s="106"/>
      <c r="BE73" s="105">
        <f t="shared" si="147"/>
        <v>18</v>
      </c>
      <c r="BF73" s="106"/>
      <c r="BG73" s="100">
        <f t="shared" si="108"/>
        <v>0</v>
      </c>
      <c r="BH73" s="106"/>
      <c r="BI73" s="100">
        <f t="shared" si="98"/>
        <v>0</v>
      </c>
      <c r="BJ73" s="106"/>
      <c r="BK73" s="101">
        <f t="shared" si="28"/>
        <v>18</v>
      </c>
      <c r="BL73" s="106"/>
      <c r="BM73" s="104">
        <v>900</v>
      </c>
      <c r="BN73" s="104">
        <f t="shared" si="141"/>
        <v>18</v>
      </c>
      <c r="BO73" s="105">
        <v>900</v>
      </c>
      <c r="BP73" s="105">
        <f t="shared" si="124"/>
        <v>18</v>
      </c>
      <c r="BQ73" s="106"/>
      <c r="BR73" s="105"/>
      <c r="BS73" s="105">
        <f t="shared" si="142"/>
        <v>0</v>
      </c>
      <c r="BT73" s="106"/>
      <c r="BU73" s="53"/>
      <c r="BV73" s="53">
        <f t="shared" si="143"/>
        <v>0</v>
      </c>
      <c r="BW73" s="54"/>
      <c r="BX73" s="350">
        <f t="shared" si="19"/>
        <v>18</v>
      </c>
      <c r="BY73" s="211"/>
      <c r="BZ73" s="211">
        <f t="shared" si="109"/>
        <v>0</v>
      </c>
      <c r="CA73" s="508"/>
      <c r="CB73" s="165"/>
      <c r="CC73" s="165"/>
      <c r="CD73" s="203"/>
      <c r="CE73" s="504"/>
      <c r="CF73" s="105"/>
      <c r="CG73" s="105">
        <f t="shared" si="148"/>
        <v>0</v>
      </c>
      <c r="CH73" s="105"/>
      <c r="CI73" s="105"/>
      <c r="CJ73" s="105">
        <f t="shared" si="149"/>
        <v>0</v>
      </c>
      <c r="CK73" s="524"/>
      <c r="CL73" s="53">
        <f t="shared" si="150"/>
        <v>0</v>
      </c>
      <c r="CM73" s="54"/>
      <c r="CN73" s="105"/>
      <c r="CO73" s="100">
        <f t="shared" si="126"/>
        <v>0</v>
      </c>
      <c r="CP73" s="496"/>
      <c r="CQ73" s="439"/>
      <c r="CR73" s="504"/>
      <c r="CS73" s="105"/>
      <c r="CT73" s="105">
        <f t="shared" si="36"/>
        <v>0</v>
      </c>
      <c r="CU73" s="105"/>
      <c r="CV73" s="105"/>
      <c r="CW73" s="105">
        <f t="shared" si="37"/>
        <v>0</v>
      </c>
      <c r="CX73" s="53"/>
      <c r="CY73" s="109">
        <f t="shared" si="127"/>
        <v>0</v>
      </c>
      <c r="CZ73" s="54"/>
      <c r="DA73" s="105"/>
      <c r="DB73" s="455">
        <f t="shared" si="39"/>
        <v>0</v>
      </c>
      <c r="DC73" s="495"/>
      <c r="DD73" s="25" t="s">
        <v>373</v>
      </c>
      <c r="DF73" s="1133"/>
      <c r="DG73" s="674">
        <f t="shared" si="110"/>
        <v>0</v>
      </c>
      <c r="DH73" s="1119">
        <f t="shared" si="111"/>
        <v>0</v>
      </c>
      <c r="DI73" s="1119"/>
      <c r="DJ73" s="101">
        <f t="shared" si="118"/>
        <v>18</v>
      </c>
      <c r="DK73" s="101"/>
      <c r="DL73" s="101">
        <f t="shared" si="112"/>
        <v>0</v>
      </c>
      <c r="DM73" s="101"/>
      <c r="DN73" s="112"/>
      <c r="DO73" s="112"/>
      <c r="DP73" s="112"/>
      <c r="DQ73" s="112"/>
    </row>
    <row r="74" spans="1:130" s="151" customFormat="1" ht="21.6" customHeight="1" x14ac:dyDescent="0.25">
      <c r="A74" s="141"/>
      <c r="B74" s="141"/>
      <c r="C74" s="142"/>
      <c r="D74" s="143"/>
      <c r="E74" s="22"/>
      <c r="F74" s="144"/>
      <c r="G74" s="144"/>
      <c r="H74" s="144"/>
      <c r="I74" s="144"/>
      <c r="J74" s="144"/>
      <c r="K74" s="144"/>
      <c r="L74" s="145"/>
      <c r="M74" s="146"/>
      <c r="N74" s="147"/>
      <c r="O74" s="161"/>
      <c r="P74" s="148"/>
      <c r="Q74" s="148"/>
      <c r="R74" s="148"/>
      <c r="S74" s="148"/>
      <c r="T74" s="123"/>
      <c r="U74" s="123"/>
      <c r="V74" s="123"/>
      <c r="W74" s="149"/>
      <c r="X74" s="149"/>
      <c r="Y74" s="124"/>
      <c r="Z74" s="125"/>
      <c r="AA74" s="123"/>
      <c r="AB74" s="123"/>
      <c r="AC74" s="123"/>
      <c r="AD74" s="124"/>
      <c r="AE74" s="124"/>
      <c r="AF74" s="126"/>
      <c r="AG74" s="474"/>
      <c r="AH74" s="129"/>
      <c r="AI74" s="129"/>
      <c r="AJ74" s="138"/>
      <c r="AK74" s="138"/>
      <c r="AL74" s="106"/>
      <c r="AM74" s="105"/>
      <c r="AN74" s="105"/>
      <c r="AO74" s="106"/>
      <c r="AP74" s="105"/>
      <c r="AQ74" s="105">
        <f t="shared" si="107"/>
        <v>0</v>
      </c>
      <c r="AR74" s="106"/>
      <c r="AS74" s="97">
        <f t="shared" si="48"/>
        <v>0</v>
      </c>
      <c r="AT74" s="6"/>
      <c r="AU74" s="105"/>
      <c r="AV74" s="455">
        <f t="shared" si="114"/>
        <v>0</v>
      </c>
      <c r="AW74" s="496"/>
      <c r="AX74" s="508"/>
      <c r="AY74" s="498"/>
      <c r="AZ74" s="100"/>
      <c r="BA74" s="101"/>
      <c r="BB74" s="100"/>
      <c r="BC74" s="100"/>
      <c r="BD74" s="101"/>
      <c r="BE74" s="105"/>
      <c r="BF74" s="106"/>
      <c r="BG74" s="100">
        <f t="shared" si="108"/>
        <v>0</v>
      </c>
      <c r="BH74" s="106"/>
      <c r="BI74" s="100">
        <f t="shared" si="98"/>
        <v>0</v>
      </c>
      <c r="BJ74" s="106"/>
      <c r="BK74" s="101">
        <f t="shared" si="28"/>
        <v>0</v>
      </c>
      <c r="BL74" s="106"/>
      <c r="BM74" s="130"/>
      <c r="BN74" s="130"/>
      <c r="BO74" s="105"/>
      <c r="BP74" s="105">
        <f t="shared" si="124"/>
        <v>0</v>
      </c>
      <c r="BQ74" s="106"/>
      <c r="BR74" s="105"/>
      <c r="BS74" s="105"/>
      <c r="BT74" s="106"/>
      <c r="BU74" s="53"/>
      <c r="BV74" s="53"/>
      <c r="BW74" s="54"/>
      <c r="BX74" s="350">
        <f t="shared" si="19"/>
        <v>0</v>
      </c>
      <c r="BY74" s="194"/>
      <c r="BZ74" s="194">
        <f t="shared" si="109"/>
        <v>0</v>
      </c>
      <c r="CA74" s="536"/>
      <c r="CB74" s="148"/>
      <c r="CC74" s="148"/>
      <c r="CD74" s="148"/>
      <c r="CE74" s="504"/>
      <c r="CF74" s="105"/>
      <c r="CG74" s="105">
        <f t="shared" si="148"/>
        <v>0</v>
      </c>
      <c r="CH74" s="105"/>
      <c r="CI74" s="105"/>
      <c r="CJ74" s="105">
        <f t="shared" si="149"/>
        <v>0</v>
      </c>
      <c r="CK74" s="523"/>
      <c r="CL74" s="102"/>
      <c r="CM74" s="103"/>
      <c r="CN74" s="100"/>
      <c r="CO74" s="100">
        <f t="shared" si="126"/>
        <v>0</v>
      </c>
      <c r="CP74" s="515"/>
      <c r="CQ74" s="441"/>
      <c r="CR74" s="504"/>
      <c r="CS74" s="105"/>
      <c r="CT74" s="105">
        <f t="shared" si="36"/>
        <v>0</v>
      </c>
      <c r="CU74" s="105"/>
      <c r="CV74" s="105"/>
      <c r="CW74" s="105">
        <f t="shared" si="37"/>
        <v>0</v>
      </c>
      <c r="CX74" s="53"/>
      <c r="CY74" s="109">
        <f t="shared" si="127"/>
        <v>0</v>
      </c>
      <c r="CZ74" s="54"/>
      <c r="DA74" s="105"/>
      <c r="DB74" s="455">
        <f t="shared" si="39"/>
        <v>0</v>
      </c>
      <c r="DC74" s="495"/>
      <c r="DD74" s="31"/>
      <c r="DF74" s="1133"/>
      <c r="DG74" s="674">
        <f t="shared" si="110"/>
        <v>0</v>
      </c>
      <c r="DH74" s="1119">
        <f t="shared" si="111"/>
        <v>0</v>
      </c>
      <c r="DI74" s="1119"/>
      <c r="DJ74" s="101">
        <f t="shared" si="118"/>
        <v>0</v>
      </c>
      <c r="DK74" s="101"/>
      <c r="DL74" s="101">
        <f t="shared" si="112"/>
        <v>0</v>
      </c>
      <c r="DM74" s="101"/>
      <c r="DN74" s="112"/>
      <c r="DO74" s="112"/>
      <c r="DP74" s="112"/>
      <c r="DQ74" s="112"/>
      <c r="DS74" s="152"/>
      <c r="DT74" s="152"/>
      <c r="DU74" s="152"/>
      <c r="DV74" s="152"/>
      <c r="DW74" s="152"/>
      <c r="DX74" s="152"/>
      <c r="DY74" s="152"/>
      <c r="DZ74" s="152"/>
    </row>
    <row r="75" spans="1:130" s="139" customFormat="1" ht="32.25" customHeight="1" x14ac:dyDescent="0.25">
      <c r="A75" s="4"/>
      <c r="B75" s="4"/>
      <c r="C75" s="182" t="s">
        <v>42</v>
      </c>
      <c r="D75" s="182" t="s">
        <v>431</v>
      </c>
      <c r="E75" s="3" t="s">
        <v>280</v>
      </c>
      <c r="F75" s="135"/>
      <c r="G75" s="135"/>
      <c r="H75" s="135"/>
      <c r="I75" s="135"/>
      <c r="J75" s="135"/>
      <c r="K75" s="135"/>
      <c r="L75" s="136"/>
      <c r="M75" s="5"/>
      <c r="N75" s="41"/>
      <c r="O75" s="6"/>
      <c r="P75" s="7"/>
      <c r="Q75" s="7"/>
      <c r="R75" s="7"/>
      <c r="S75" s="158"/>
      <c r="T75" s="89"/>
      <c r="U75" s="89"/>
      <c r="V75" s="89">
        <f t="shared" ref="V75:V86" si="153">T75+U75</f>
        <v>0</v>
      </c>
      <c r="W75" s="137"/>
      <c r="X75" s="137"/>
      <c r="Y75" s="90">
        <f t="shared" ref="Y75:Y88" si="154">W75+X75</f>
        <v>0</v>
      </c>
      <c r="Z75" s="91"/>
      <c r="AA75" s="92"/>
      <c r="AB75" s="92"/>
      <c r="AC75" s="92">
        <f t="shared" ref="AC75:AC88" si="155">AA75+AB75</f>
        <v>0</v>
      </c>
      <c r="AD75" s="93"/>
      <c r="AE75" s="93"/>
      <c r="AF75" s="94">
        <f t="shared" ref="AF75:AF88" si="156">AD75+AE75</f>
        <v>0</v>
      </c>
      <c r="AG75" s="473"/>
      <c r="AH75" s="99">
        <v>330</v>
      </c>
      <c r="AI75" s="99">
        <f t="shared" ref="AI75:AI88" si="157">AH75/15</f>
        <v>22</v>
      </c>
      <c r="AJ75" s="138">
        <v>330</v>
      </c>
      <c r="AK75" s="138">
        <f t="shared" ref="AK75:AK88" si="158">AJ75/15</f>
        <v>22</v>
      </c>
      <c r="AL75" s="106">
        <f>SUM(AK75:AK88)</f>
        <v>142</v>
      </c>
      <c r="AM75" s="105"/>
      <c r="AN75" s="105">
        <f t="shared" ref="AN75:AN88" si="159">AM75/15</f>
        <v>0</v>
      </c>
      <c r="AO75" s="106">
        <f>SUM(AN75:AN88)</f>
        <v>0</v>
      </c>
      <c r="AP75" s="105"/>
      <c r="AQ75" s="105">
        <f t="shared" si="107"/>
        <v>0</v>
      </c>
      <c r="AR75" s="106">
        <f>SUM(AQ75:AQ88)</f>
        <v>0</v>
      </c>
      <c r="AS75" s="97">
        <f t="shared" ref="AS75:AS140" si="160">AN75+AK75+AQ75</f>
        <v>22</v>
      </c>
      <c r="AT75" s="6">
        <f>SUM(AS75:AS88)</f>
        <v>142</v>
      </c>
      <c r="AU75" s="105"/>
      <c r="AV75" s="455">
        <f t="shared" si="114"/>
        <v>0</v>
      </c>
      <c r="AW75" s="496">
        <f>SUM(AV75:AV88)</f>
        <v>0</v>
      </c>
      <c r="AX75" s="508"/>
      <c r="AY75" s="498">
        <v>375</v>
      </c>
      <c r="AZ75" s="100">
        <f t="shared" ref="AZ75:AZ88" si="161">AY75/15</f>
        <v>25</v>
      </c>
      <c r="BA75" s="106">
        <f>SUM(AZ75:AZ88)</f>
        <v>137.33333333333331</v>
      </c>
      <c r="BB75" s="105"/>
      <c r="BC75" s="105">
        <f t="shared" ref="BC75:BC88" si="162">BB75/15</f>
        <v>0</v>
      </c>
      <c r="BD75" s="106">
        <f>SUM(BC75:BC88)</f>
        <v>0</v>
      </c>
      <c r="BE75" s="105">
        <f>AK75+AZ75</f>
        <v>47</v>
      </c>
      <c r="BF75" s="106">
        <f>SUM(BE75:BE88)</f>
        <v>279.33333333333331</v>
      </c>
      <c r="BG75" s="100">
        <f t="shared" si="108"/>
        <v>0</v>
      </c>
      <c r="BH75" s="106">
        <f>SUM(BG75:BG88)</f>
        <v>0</v>
      </c>
      <c r="BI75" s="100">
        <f t="shared" si="98"/>
        <v>0</v>
      </c>
      <c r="BJ75" s="106">
        <f>SUM(BI75:BI88)</f>
        <v>0</v>
      </c>
      <c r="BK75" s="101">
        <f t="shared" ref="BK75:BK140" si="163">BG75+BE75+BI75</f>
        <v>47</v>
      </c>
      <c r="BL75" s="106">
        <f>SUM(BK75:BK88)</f>
        <v>279.33333333333331</v>
      </c>
      <c r="BM75" s="104">
        <f>1150+1200</f>
        <v>2350</v>
      </c>
      <c r="BN75" s="104">
        <f t="shared" ref="BN75:BN88" si="164">BM75/50</f>
        <v>47</v>
      </c>
      <c r="BO75" s="105">
        <v>2350</v>
      </c>
      <c r="BP75" s="105">
        <f t="shared" si="124"/>
        <v>47</v>
      </c>
      <c r="BQ75" s="106">
        <f>SUM(BP75:BP88)</f>
        <v>243</v>
      </c>
      <c r="BR75" s="105"/>
      <c r="BS75" s="105">
        <f t="shared" si="142"/>
        <v>0</v>
      </c>
      <c r="BT75" s="106">
        <f>SUM(BS75:BS88)</f>
        <v>36</v>
      </c>
      <c r="BU75" s="53"/>
      <c r="BV75" s="53">
        <f t="shared" ref="BV75:BV88" si="165">BU75/50</f>
        <v>0</v>
      </c>
      <c r="BW75" s="54">
        <f>SUM(BV75:BV88)</f>
        <v>0</v>
      </c>
      <c r="BX75" s="350">
        <f t="shared" ref="BX75:BX140" si="166">BP75+BS75+BV75</f>
        <v>47</v>
      </c>
      <c r="BY75" s="287">
        <f>SUM(BX75:BX88)</f>
        <v>279</v>
      </c>
      <c r="BZ75" s="287">
        <f t="shared" si="109"/>
        <v>0</v>
      </c>
      <c r="CA75" s="508"/>
      <c r="CB75" s="7"/>
      <c r="CC75" s="7"/>
      <c r="CD75" s="158"/>
      <c r="CE75" s="504"/>
      <c r="CF75" s="105"/>
      <c r="CG75" s="105">
        <f t="shared" si="148"/>
        <v>0</v>
      </c>
      <c r="CH75" s="105"/>
      <c r="CI75" s="105"/>
      <c r="CJ75" s="105">
        <f t="shared" si="149"/>
        <v>0</v>
      </c>
      <c r="CK75" s="524"/>
      <c r="CL75" s="53">
        <f t="shared" ref="CL75:CL88" si="167">CK75/15</f>
        <v>0</v>
      </c>
      <c r="CM75" s="54">
        <f>SUM(CL75:CL88)</f>
        <v>0</v>
      </c>
      <c r="CN75" s="105"/>
      <c r="CO75" s="100">
        <f t="shared" si="126"/>
        <v>0</v>
      </c>
      <c r="CP75" s="496">
        <f>SUM(CO75:CO88)</f>
        <v>0</v>
      </c>
      <c r="CQ75" s="439"/>
      <c r="CR75" s="504"/>
      <c r="CS75" s="105"/>
      <c r="CT75" s="105">
        <f t="shared" ref="CT75:CT142" si="168">CR75+CS75</f>
        <v>0</v>
      </c>
      <c r="CU75" s="105"/>
      <c r="CV75" s="105"/>
      <c r="CW75" s="105">
        <f t="shared" ref="CW75:CW142" si="169">CU75+CV75</f>
        <v>0</v>
      </c>
      <c r="CX75" s="53"/>
      <c r="CY75" s="109">
        <f t="shared" si="127"/>
        <v>0</v>
      </c>
      <c r="CZ75" s="54">
        <f>SUM(CY75:CY88)</f>
        <v>0</v>
      </c>
      <c r="DA75" s="105"/>
      <c r="DB75" s="455">
        <f t="shared" ref="DB75:DB140" si="170">DA75/15</f>
        <v>0</v>
      </c>
      <c r="DC75" s="495">
        <f>SUM(DB75:DB88)</f>
        <v>0</v>
      </c>
      <c r="DD75" s="27"/>
      <c r="DF75" s="1133"/>
      <c r="DG75" s="674">
        <f t="shared" si="110"/>
        <v>0</v>
      </c>
      <c r="DH75" s="1119">
        <f t="shared" si="111"/>
        <v>0</v>
      </c>
      <c r="DI75" s="1119"/>
      <c r="DJ75" s="101">
        <f t="shared" si="118"/>
        <v>47</v>
      </c>
      <c r="DK75" s="101">
        <f>SUM(DJ75:DJ88)</f>
        <v>279.33333333333331</v>
      </c>
      <c r="DL75" s="101">
        <f t="shared" si="112"/>
        <v>0</v>
      </c>
      <c r="DM75" s="101"/>
      <c r="DN75" s="112"/>
      <c r="DO75" s="112"/>
      <c r="DP75" s="112"/>
      <c r="DQ75" s="112"/>
      <c r="DS75" s="140"/>
      <c r="DT75" s="140"/>
      <c r="DU75" s="140"/>
      <c r="DV75" s="140"/>
      <c r="DW75" s="140"/>
      <c r="DX75" s="140"/>
      <c r="DY75" s="140"/>
      <c r="DZ75" s="140"/>
    </row>
    <row r="76" spans="1:130" s="139" customFormat="1" ht="45.75" customHeight="1" x14ac:dyDescent="0.25">
      <c r="A76" s="4" t="s">
        <v>28</v>
      </c>
      <c r="B76" s="4">
        <v>1</v>
      </c>
      <c r="C76" s="182" t="s">
        <v>42</v>
      </c>
      <c r="D76" s="182" t="s">
        <v>437</v>
      </c>
      <c r="E76" s="13" t="s">
        <v>43</v>
      </c>
      <c r="F76" s="135">
        <v>97</v>
      </c>
      <c r="G76" s="135">
        <v>23</v>
      </c>
      <c r="H76" s="135">
        <f t="shared" ref="H76:H88" si="171">F76+G76</f>
        <v>120</v>
      </c>
      <c r="I76" s="135">
        <v>45.9</v>
      </c>
      <c r="J76" s="135"/>
      <c r="K76" s="135">
        <f t="shared" ref="K76:K88" si="172">I76+J76</f>
        <v>45.9</v>
      </c>
      <c r="L76" s="136"/>
      <c r="M76" s="5"/>
      <c r="N76" s="41"/>
      <c r="O76" s="6"/>
      <c r="P76" s="7"/>
      <c r="Q76" s="7"/>
      <c r="R76" s="7"/>
      <c r="S76" s="158"/>
      <c r="T76" s="89"/>
      <c r="U76" s="89"/>
      <c r="V76" s="89">
        <f t="shared" si="153"/>
        <v>0</v>
      </c>
      <c r="W76" s="137"/>
      <c r="X76" s="137"/>
      <c r="Y76" s="90">
        <f t="shared" si="154"/>
        <v>0</v>
      </c>
      <c r="Z76" s="91"/>
      <c r="AA76" s="92"/>
      <c r="AB76" s="92"/>
      <c r="AC76" s="92">
        <f t="shared" si="155"/>
        <v>0</v>
      </c>
      <c r="AD76" s="93"/>
      <c r="AE76" s="93"/>
      <c r="AF76" s="94">
        <f t="shared" si="156"/>
        <v>0</v>
      </c>
      <c r="AG76" s="473"/>
      <c r="AH76" s="99">
        <v>48</v>
      </c>
      <c r="AI76" s="99">
        <f t="shared" si="157"/>
        <v>3.2</v>
      </c>
      <c r="AJ76" s="138">
        <v>45</v>
      </c>
      <c r="AK76" s="138">
        <f t="shared" si="158"/>
        <v>3</v>
      </c>
      <c r="AL76" s="106"/>
      <c r="AM76" s="105"/>
      <c r="AN76" s="105">
        <f t="shared" si="159"/>
        <v>0</v>
      </c>
      <c r="AO76" s="106"/>
      <c r="AP76" s="105"/>
      <c r="AQ76" s="105">
        <f t="shared" si="107"/>
        <v>0</v>
      </c>
      <c r="AR76" s="106"/>
      <c r="AS76" s="97">
        <f t="shared" si="160"/>
        <v>3</v>
      </c>
      <c r="AT76" s="6"/>
      <c r="AU76" s="105"/>
      <c r="AV76" s="455">
        <f t="shared" si="114"/>
        <v>0</v>
      </c>
      <c r="AW76" s="496"/>
      <c r="AX76" s="508"/>
      <c r="AY76" s="498">
        <v>510</v>
      </c>
      <c r="AZ76" s="100">
        <f t="shared" si="161"/>
        <v>34</v>
      </c>
      <c r="BA76" s="106"/>
      <c r="BB76" s="105"/>
      <c r="BC76" s="105">
        <f t="shared" si="162"/>
        <v>0</v>
      </c>
      <c r="BD76" s="106"/>
      <c r="BE76" s="105">
        <f>AK76+AZ76</f>
        <v>37</v>
      </c>
      <c r="BF76" s="106"/>
      <c r="BG76" s="100">
        <f t="shared" si="108"/>
        <v>0</v>
      </c>
      <c r="BH76" s="106"/>
      <c r="BI76" s="100">
        <f t="shared" si="98"/>
        <v>0</v>
      </c>
      <c r="BJ76" s="106"/>
      <c r="BK76" s="101">
        <f t="shared" si="163"/>
        <v>37</v>
      </c>
      <c r="BL76" s="106"/>
      <c r="BM76" s="104">
        <f>1700+160</f>
        <v>1860</v>
      </c>
      <c r="BN76" s="104">
        <f t="shared" si="164"/>
        <v>37.200000000000003</v>
      </c>
      <c r="BO76" s="105">
        <v>1850</v>
      </c>
      <c r="BP76" s="105">
        <f t="shared" si="124"/>
        <v>37</v>
      </c>
      <c r="BQ76" s="106"/>
      <c r="BR76" s="105"/>
      <c r="BS76" s="105">
        <f t="shared" si="142"/>
        <v>0</v>
      </c>
      <c r="BT76" s="106"/>
      <c r="BU76" s="53"/>
      <c r="BV76" s="53">
        <f t="shared" si="165"/>
        <v>0</v>
      </c>
      <c r="BW76" s="54"/>
      <c r="BX76" s="350">
        <f t="shared" si="166"/>
        <v>37</v>
      </c>
      <c r="BY76" s="211"/>
      <c r="BZ76" s="211">
        <f t="shared" si="109"/>
        <v>0</v>
      </c>
      <c r="CA76" s="508"/>
      <c r="CB76" s="7"/>
      <c r="CC76" s="7"/>
      <c r="CD76" s="158"/>
      <c r="CE76" s="504"/>
      <c r="CF76" s="105"/>
      <c r="CG76" s="105">
        <f t="shared" si="148"/>
        <v>0</v>
      </c>
      <c r="CH76" s="105"/>
      <c r="CI76" s="105"/>
      <c r="CJ76" s="105">
        <f t="shared" si="149"/>
        <v>0</v>
      </c>
      <c r="CK76" s="524"/>
      <c r="CL76" s="53">
        <f t="shared" si="167"/>
        <v>0</v>
      </c>
      <c r="CM76" s="54"/>
      <c r="CN76" s="105"/>
      <c r="CO76" s="100">
        <f t="shared" si="126"/>
        <v>0</v>
      </c>
      <c r="CP76" s="496"/>
      <c r="CQ76" s="439"/>
      <c r="CR76" s="504"/>
      <c r="CS76" s="105"/>
      <c r="CT76" s="105">
        <f t="shared" si="168"/>
        <v>0</v>
      </c>
      <c r="CU76" s="105"/>
      <c r="CV76" s="105"/>
      <c r="CW76" s="105">
        <f t="shared" si="169"/>
        <v>0</v>
      </c>
      <c r="CX76" s="53"/>
      <c r="CY76" s="109">
        <f t="shared" si="127"/>
        <v>0</v>
      </c>
      <c r="CZ76" s="54"/>
      <c r="DA76" s="105"/>
      <c r="DB76" s="455">
        <f t="shared" si="170"/>
        <v>0</v>
      </c>
      <c r="DC76" s="495"/>
      <c r="DD76" s="27"/>
      <c r="DF76" s="1133"/>
      <c r="DG76" s="674">
        <f t="shared" si="110"/>
        <v>0</v>
      </c>
      <c r="DH76" s="1119">
        <f t="shared" si="111"/>
        <v>0</v>
      </c>
      <c r="DI76" s="1119"/>
      <c r="DJ76" s="101">
        <f t="shared" si="118"/>
        <v>37</v>
      </c>
      <c r="DK76" s="101"/>
      <c r="DL76" s="101">
        <f t="shared" si="112"/>
        <v>0</v>
      </c>
      <c r="DM76" s="101"/>
      <c r="DN76" s="112"/>
      <c r="DO76" s="112">
        <f>DJ76</f>
        <v>37</v>
      </c>
      <c r="DP76" s="112"/>
      <c r="DQ76" s="112"/>
      <c r="DS76" s="140"/>
      <c r="DT76" s="140"/>
      <c r="DU76" s="140"/>
      <c r="DV76" s="140"/>
      <c r="DW76" s="140"/>
      <c r="DX76" s="140"/>
      <c r="DY76" s="140"/>
      <c r="DZ76" s="140"/>
    </row>
    <row r="77" spans="1:130" s="725" customFormat="1" ht="36" customHeight="1" x14ac:dyDescent="0.25">
      <c r="A77" s="4"/>
      <c r="B77" s="4"/>
      <c r="C77" s="182" t="s">
        <v>42</v>
      </c>
      <c r="D77" s="182" t="s">
        <v>437</v>
      </c>
      <c r="E77" s="13" t="s">
        <v>770</v>
      </c>
      <c r="F77" s="135"/>
      <c r="G77" s="135"/>
      <c r="H77" s="135"/>
      <c r="I77" s="135"/>
      <c r="J77" s="135"/>
      <c r="K77" s="135"/>
      <c r="L77" s="136"/>
      <c r="M77" s="5"/>
      <c r="N77" s="41"/>
      <c r="O77" s="6"/>
      <c r="P77" s="7"/>
      <c r="Q77" s="7"/>
      <c r="R77" s="7"/>
      <c r="S77" s="158"/>
      <c r="T77" s="89"/>
      <c r="U77" s="89"/>
      <c r="V77" s="89"/>
      <c r="W77" s="137"/>
      <c r="X77" s="137"/>
      <c r="Y77" s="90"/>
      <c r="Z77" s="91"/>
      <c r="AA77" s="92"/>
      <c r="AB77" s="92"/>
      <c r="AC77" s="92"/>
      <c r="AD77" s="93"/>
      <c r="AE77" s="93"/>
      <c r="AF77" s="94"/>
      <c r="AG77" s="473"/>
      <c r="AH77" s="99"/>
      <c r="AI77" s="99"/>
      <c r="AJ77" s="138"/>
      <c r="AK77" s="138"/>
      <c r="AL77" s="106"/>
      <c r="AM77" s="105"/>
      <c r="AN77" s="105"/>
      <c r="AO77" s="106"/>
      <c r="AP77" s="105"/>
      <c r="AQ77" s="105"/>
      <c r="AR77" s="106"/>
      <c r="AS77" s="97"/>
      <c r="AT77" s="6"/>
      <c r="AU77" s="105"/>
      <c r="AV77" s="455"/>
      <c r="AW77" s="496"/>
      <c r="AX77" s="508"/>
      <c r="AY77" s="498"/>
      <c r="AZ77" s="100"/>
      <c r="BA77" s="106"/>
      <c r="BB77" s="105"/>
      <c r="BC77" s="105"/>
      <c r="BD77" s="106"/>
      <c r="BE77" s="105"/>
      <c r="BF77" s="106"/>
      <c r="BG77" s="100"/>
      <c r="BH77" s="106"/>
      <c r="BI77" s="100"/>
      <c r="BJ77" s="106"/>
      <c r="BK77" s="101"/>
      <c r="BL77" s="106"/>
      <c r="BM77" s="104"/>
      <c r="BN77" s="104"/>
      <c r="BO77" s="105"/>
      <c r="BP77" s="105"/>
      <c r="BQ77" s="106"/>
      <c r="BR77" s="105"/>
      <c r="BS77" s="105"/>
      <c r="BT77" s="106"/>
      <c r="BU77" s="53"/>
      <c r="BV77" s="53"/>
      <c r="BW77" s="54"/>
      <c r="BX77" s="350"/>
      <c r="BY77" s="211"/>
      <c r="BZ77" s="211"/>
      <c r="CA77" s="508"/>
      <c r="CB77" s="7"/>
      <c r="CC77" s="7"/>
      <c r="CD77" s="158"/>
      <c r="CE77" s="504"/>
      <c r="CF77" s="105"/>
      <c r="CG77" s="105"/>
      <c r="CH77" s="105"/>
      <c r="CI77" s="105"/>
      <c r="CJ77" s="105"/>
      <c r="CK77" s="524"/>
      <c r="CL77" s="53"/>
      <c r="CM77" s="54"/>
      <c r="CN77" s="105"/>
      <c r="CO77" s="100"/>
      <c r="CP77" s="496"/>
      <c r="CQ77" s="439"/>
      <c r="CR77" s="504"/>
      <c r="CS77" s="105"/>
      <c r="CT77" s="105">
        <f t="shared" si="168"/>
        <v>0</v>
      </c>
      <c r="CU77" s="105"/>
      <c r="CV77" s="105"/>
      <c r="CW77" s="105">
        <f t="shared" si="169"/>
        <v>0</v>
      </c>
      <c r="CX77" s="53"/>
      <c r="CY77" s="109"/>
      <c r="CZ77" s="54"/>
      <c r="DA77" s="105"/>
      <c r="DB77" s="455">
        <f t="shared" si="170"/>
        <v>0</v>
      </c>
      <c r="DC77" s="495"/>
      <c r="DD77" s="27"/>
      <c r="DF77" s="1133"/>
      <c r="DG77" s="674"/>
      <c r="DH77" s="1119"/>
      <c r="DI77" s="1119"/>
      <c r="DJ77" s="101">
        <f t="shared" si="118"/>
        <v>0</v>
      </c>
      <c r="DK77" s="101"/>
      <c r="DL77" s="101">
        <f t="shared" si="112"/>
        <v>0</v>
      </c>
      <c r="DM77" s="101"/>
      <c r="DN77" s="112"/>
      <c r="DO77" s="112">
        <f>DJ77</f>
        <v>0</v>
      </c>
      <c r="DP77" s="112"/>
      <c r="DQ77" s="112"/>
      <c r="DS77" s="140"/>
      <c r="DT77" s="140"/>
      <c r="DU77" s="140"/>
      <c r="DV77" s="140"/>
      <c r="DW77" s="140"/>
      <c r="DX77" s="140"/>
      <c r="DY77" s="140"/>
      <c r="DZ77" s="140"/>
    </row>
    <row r="78" spans="1:130" ht="21.6" customHeight="1" x14ac:dyDescent="0.25">
      <c r="A78" s="4" t="s">
        <v>28</v>
      </c>
      <c r="B78" s="4">
        <v>3</v>
      </c>
      <c r="C78" s="167" t="s">
        <v>42</v>
      </c>
      <c r="D78" s="167" t="s">
        <v>431</v>
      </c>
      <c r="E78" s="13" t="s">
        <v>44</v>
      </c>
      <c r="F78" s="162">
        <v>47</v>
      </c>
      <c r="G78" s="162">
        <v>3</v>
      </c>
      <c r="H78" s="162">
        <f t="shared" si="171"/>
        <v>50</v>
      </c>
      <c r="I78" s="162"/>
      <c r="J78" s="162">
        <v>34.6</v>
      </c>
      <c r="K78" s="162">
        <f t="shared" si="172"/>
        <v>34.6</v>
      </c>
      <c r="L78" s="163"/>
      <c r="M78" s="414"/>
      <c r="N78" s="46"/>
      <c r="O78" s="164"/>
      <c r="P78" s="165"/>
      <c r="Q78" s="165"/>
      <c r="R78" s="165"/>
      <c r="S78" s="158"/>
      <c r="T78" s="89"/>
      <c r="U78" s="89"/>
      <c r="V78" s="89">
        <f t="shared" si="153"/>
        <v>0</v>
      </c>
      <c r="W78" s="137"/>
      <c r="X78" s="137"/>
      <c r="Y78" s="90">
        <f t="shared" si="154"/>
        <v>0</v>
      </c>
      <c r="Z78" s="169"/>
      <c r="AA78" s="92"/>
      <c r="AB78" s="92"/>
      <c r="AC78" s="92">
        <f t="shared" si="155"/>
        <v>0</v>
      </c>
      <c r="AD78" s="93"/>
      <c r="AE78" s="93"/>
      <c r="AF78" s="94">
        <f t="shared" si="156"/>
        <v>0</v>
      </c>
      <c r="AG78" s="475"/>
      <c r="AH78" s="99">
        <v>315</v>
      </c>
      <c r="AI78" s="99">
        <f t="shared" si="157"/>
        <v>21</v>
      </c>
      <c r="AJ78" s="138">
        <v>315</v>
      </c>
      <c r="AK78" s="138">
        <f t="shared" si="158"/>
        <v>21</v>
      </c>
      <c r="AL78" s="106"/>
      <c r="AM78" s="105"/>
      <c r="AN78" s="105">
        <f t="shared" si="159"/>
        <v>0</v>
      </c>
      <c r="AO78" s="106"/>
      <c r="AP78" s="105"/>
      <c r="AQ78" s="105">
        <f t="shared" si="107"/>
        <v>0</v>
      </c>
      <c r="AR78" s="106"/>
      <c r="AS78" s="97">
        <f t="shared" si="160"/>
        <v>21</v>
      </c>
      <c r="AT78" s="6"/>
      <c r="AU78" s="105"/>
      <c r="AV78" s="455">
        <f t="shared" si="114"/>
        <v>0</v>
      </c>
      <c r="AW78" s="496"/>
      <c r="AX78" s="508"/>
      <c r="AY78" s="498"/>
      <c r="AZ78" s="100">
        <f t="shared" si="161"/>
        <v>0</v>
      </c>
      <c r="BA78" s="106"/>
      <c r="BB78" s="105"/>
      <c r="BC78" s="105">
        <f t="shared" si="162"/>
        <v>0</v>
      </c>
      <c r="BD78" s="106"/>
      <c r="BE78" s="105">
        <f>AK78+AZ78</f>
        <v>21</v>
      </c>
      <c r="BF78" s="106"/>
      <c r="BG78" s="100">
        <f>BC78+AQ78+AN78</f>
        <v>0</v>
      </c>
      <c r="BH78" s="106"/>
      <c r="BI78" s="100">
        <f>AV78</f>
        <v>0</v>
      </c>
      <c r="BJ78" s="106"/>
      <c r="BK78" s="101">
        <f t="shared" si="163"/>
        <v>21</v>
      </c>
      <c r="BL78" s="106"/>
      <c r="BM78" s="104">
        <v>1050</v>
      </c>
      <c r="BN78" s="104">
        <f t="shared" si="164"/>
        <v>21</v>
      </c>
      <c r="BO78" s="105">
        <v>1050</v>
      </c>
      <c r="BP78" s="105">
        <f t="shared" si="124"/>
        <v>21</v>
      </c>
      <c r="BQ78" s="106"/>
      <c r="BR78" s="105"/>
      <c r="BS78" s="105">
        <f t="shared" si="142"/>
        <v>0</v>
      </c>
      <c r="BT78" s="106"/>
      <c r="BU78" s="53"/>
      <c r="BV78" s="53">
        <f t="shared" si="165"/>
        <v>0</v>
      </c>
      <c r="BW78" s="54"/>
      <c r="BX78" s="350">
        <f t="shared" si="166"/>
        <v>21</v>
      </c>
      <c r="BY78" s="211"/>
      <c r="BZ78" s="211">
        <f t="shared" si="109"/>
        <v>0</v>
      </c>
      <c r="CA78" s="508"/>
      <c r="CB78" s="165"/>
      <c r="CC78" s="165"/>
      <c r="CD78" s="158"/>
      <c r="CE78" s="504"/>
      <c r="CF78" s="105"/>
      <c r="CG78" s="105">
        <f t="shared" si="148"/>
        <v>0</v>
      </c>
      <c r="CH78" s="105"/>
      <c r="CI78" s="105"/>
      <c r="CJ78" s="105">
        <f t="shared" si="149"/>
        <v>0</v>
      </c>
      <c r="CK78" s="524"/>
      <c r="CL78" s="53">
        <f t="shared" si="167"/>
        <v>0</v>
      </c>
      <c r="CM78" s="54"/>
      <c r="CN78" s="105"/>
      <c r="CO78" s="100">
        <f t="shared" si="126"/>
        <v>0</v>
      </c>
      <c r="CP78" s="496"/>
      <c r="CQ78" s="439"/>
      <c r="CR78" s="504"/>
      <c r="CS78" s="105"/>
      <c r="CT78" s="105">
        <f t="shared" si="168"/>
        <v>0</v>
      </c>
      <c r="CU78" s="105"/>
      <c r="CV78" s="105"/>
      <c r="CW78" s="105">
        <f t="shared" si="169"/>
        <v>0</v>
      </c>
      <c r="CX78" s="53"/>
      <c r="CY78" s="109">
        <f t="shared" si="127"/>
        <v>0</v>
      </c>
      <c r="CZ78" s="54"/>
      <c r="DA78" s="105"/>
      <c r="DB78" s="455">
        <f t="shared" si="170"/>
        <v>0</v>
      </c>
      <c r="DC78" s="495"/>
      <c r="DD78" s="27"/>
      <c r="DF78" s="1133"/>
      <c r="DG78" s="674">
        <f>AV78+CY78+DB78</f>
        <v>0</v>
      </c>
      <c r="DH78" s="1119">
        <f>BC78+CL78+CO78</f>
        <v>0</v>
      </c>
      <c r="DI78" s="1119"/>
      <c r="DJ78" s="101">
        <f t="shared" si="118"/>
        <v>21</v>
      </c>
      <c r="DK78" s="101"/>
      <c r="DL78" s="101">
        <f t="shared" si="112"/>
        <v>0</v>
      </c>
      <c r="DM78" s="101"/>
      <c r="DN78" s="112"/>
      <c r="DO78" s="112"/>
      <c r="DP78" s="112"/>
      <c r="DQ78" s="112"/>
    </row>
    <row r="79" spans="1:130" s="139" customFormat="1" ht="21.6" customHeight="1" x14ac:dyDescent="0.25">
      <c r="A79" s="4" t="s">
        <v>28</v>
      </c>
      <c r="B79" s="4">
        <v>4</v>
      </c>
      <c r="C79" s="182" t="s">
        <v>42</v>
      </c>
      <c r="D79" s="182" t="s">
        <v>437</v>
      </c>
      <c r="E79" s="13" t="s">
        <v>45</v>
      </c>
      <c r="F79" s="135">
        <v>67</v>
      </c>
      <c r="G79" s="135">
        <v>11</v>
      </c>
      <c r="H79" s="135">
        <f t="shared" si="171"/>
        <v>78</v>
      </c>
      <c r="I79" s="135">
        <v>23.1</v>
      </c>
      <c r="J79" s="135"/>
      <c r="K79" s="135">
        <f t="shared" si="172"/>
        <v>23.1</v>
      </c>
      <c r="L79" s="136"/>
      <c r="M79" s="5"/>
      <c r="N79" s="41"/>
      <c r="O79" s="6"/>
      <c r="P79" s="7"/>
      <c r="Q79" s="7"/>
      <c r="R79" s="7"/>
      <c r="S79" s="158"/>
      <c r="T79" s="89"/>
      <c r="U79" s="89"/>
      <c r="V79" s="89">
        <f t="shared" si="153"/>
        <v>0</v>
      </c>
      <c r="W79" s="137"/>
      <c r="X79" s="137"/>
      <c r="Y79" s="90">
        <f t="shared" si="154"/>
        <v>0</v>
      </c>
      <c r="Z79" s="91"/>
      <c r="AA79" s="92"/>
      <c r="AB79" s="92"/>
      <c r="AC79" s="92">
        <f t="shared" si="155"/>
        <v>0</v>
      </c>
      <c r="AD79" s="93"/>
      <c r="AE79" s="93"/>
      <c r="AF79" s="94">
        <f t="shared" si="156"/>
        <v>0</v>
      </c>
      <c r="AG79" s="473"/>
      <c r="AH79" s="99">
        <v>186</v>
      </c>
      <c r="AI79" s="99">
        <f t="shared" si="157"/>
        <v>12.4</v>
      </c>
      <c r="AJ79" s="138">
        <v>185</v>
      </c>
      <c r="AK79" s="138">
        <f t="shared" si="158"/>
        <v>12.333333333333334</v>
      </c>
      <c r="AL79" s="106"/>
      <c r="AM79" s="105"/>
      <c r="AN79" s="105">
        <f t="shared" si="159"/>
        <v>0</v>
      </c>
      <c r="AO79" s="106"/>
      <c r="AP79" s="105"/>
      <c r="AQ79" s="105">
        <f t="shared" si="107"/>
        <v>0</v>
      </c>
      <c r="AR79" s="106"/>
      <c r="AS79" s="97">
        <f t="shared" si="160"/>
        <v>12.333333333333334</v>
      </c>
      <c r="AT79" s="6"/>
      <c r="AU79" s="105"/>
      <c r="AV79" s="455">
        <f t="shared" si="114"/>
        <v>0</v>
      </c>
      <c r="AW79" s="496"/>
      <c r="AX79" s="508"/>
      <c r="AY79" s="498">
        <v>30</v>
      </c>
      <c r="AZ79" s="100">
        <f t="shared" si="161"/>
        <v>2</v>
      </c>
      <c r="BA79" s="106"/>
      <c r="BB79" s="105"/>
      <c r="BC79" s="105">
        <f t="shared" si="162"/>
        <v>0</v>
      </c>
      <c r="BD79" s="106"/>
      <c r="BE79" s="105">
        <f>AK79+AZ79</f>
        <v>14.333333333333334</v>
      </c>
      <c r="BF79" s="106"/>
      <c r="BG79" s="100">
        <f>BC79+AQ79+AN79</f>
        <v>0</v>
      </c>
      <c r="BH79" s="106"/>
      <c r="BI79" s="100">
        <f>AV79</f>
        <v>0</v>
      </c>
      <c r="BJ79" s="106"/>
      <c r="BK79" s="101">
        <f t="shared" si="163"/>
        <v>14.333333333333334</v>
      </c>
      <c r="BL79" s="106"/>
      <c r="BM79" s="104">
        <f>100+620</f>
        <v>720</v>
      </c>
      <c r="BN79" s="104">
        <f t="shared" si="164"/>
        <v>14.4</v>
      </c>
      <c r="BO79" s="105">
        <v>700</v>
      </c>
      <c r="BP79" s="105">
        <f t="shared" si="124"/>
        <v>14</v>
      </c>
      <c r="BQ79" s="106"/>
      <c r="BR79" s="105"/>
      <c r="BS79" s="105">
        <f t="shared" si="142"/>
        <v>0</v>
      </c>
      <c r="BT79" s="106"/>
      <c r="BU79" s="53"/>
      <c r="BV79" s="53">
        <f t="shared" si="165"/>
        <v>0</v>
      </c>
      <c r="BW79" s="54"/>
      <c r="BX79" s="350">
        <f t="shared" si="166"/>
        <v>14</v>
      </c>
      <c r="BY79" s="211"/>
      <c r="BZ79" s="211">
        <f t="shared" si="109"/>
        <v>0.33333333333333393</v>
      </c>
      <c r="CA79" s="508"/>
      <c r="CB79" s="7"/>
      <c r="CC79" s="7"/>
      <c r="CD79" s="158"/>
      <c r="CE79" s="504"/>
      <c r="CF79" s="105"/>
      <c r="CG79" s="105">
        <f t="shared" si="148"/>
        <v>0</v>
      </c>
      <c r="CH79" s="105"/>
      <c r="CI79" s="105"/>
      <c r="CJ79" s="105">
        <f t="shared" si="149"/>
        <v>0</v>
      </c>
      <c r="CK79" s="524"/>
      <c r="CL79" s="53">
        <f t="shared" si="167"/>
        <v>0</v>
      </c>
      <c r="CM79" s="54"/>
      <c r="CN79" s="105"/>
      <c r="CO79" s="100">
        <f t="shared" si="126"/>
        <v>0</v>
      </c>
      <c r="CP79" s="496"/>
      <c r="CQ79" s="439"/>
      <c r="CR79" s="504"/>
      <c r="CS79" s="105"/>
      <c r="CT79" s="105">
        <f t="shared" si="168"/>
        <v>0</v>
      </c>
      <c r="CU79" s="105"/>
      <c r="CV79" s="105"/>
      <c r="CW79" s="105">
        <f t="shared" si="169"/>
        <v>0</v>
      </c>
      <c r="CX79" s="53"/>
      <c r="CY79" s="109">
        <f t="shared" si="127"/>
        <v>0</v>
      </c>
      <c r="CZ79" s="54"/>
      <c r="DA79" s="105"/>
      <c r="DB79" s="455">
        <f t="shared" si="170"/>
        <v>0</v>
      </c>
      <c r="DC79" s="495"/>
      <c r="DD79" s="27"/>
      <c r="DF79" s="1133"/>
      <c r="DG79" s="674">
        <f>AV79+CY79+DB79</f>
        <v>0</v>
      </c>
      <c r="DH79" s="1119">
        <f>BC79+CL79+CO79</f>
        <v>0</v>
      </c>
      <c r="DI79" s="1119"/>
      <c r="DJ79" s="101">
        <f t="shared" si="118"/>
        <v>14.333333333333334</v>
      </c>
      <c r="DK79" s="101"/>
      <c r="DL79" s="101">
        <f t="shared" si="112"/>
        <v>0</v>
      </c>
      <c r="DM79" s="101"/>
      <c r="DN79" s="112"/>
      <c r="DO79" s="112">
        <f>DJ79</f>
        <v>14.333333333333334</v>
      </c>
      <c r="DP79" s="112"/>
      <c r="DQ79" s="112"/>
      <c r="DS79" s="140"/>
      <c r="DT79" s="140"/>
      <c r="DU79" s="140"/>
      <c r="DV79" s="140"/>
      <c r="DW79" s="140"/>
      <c r="DX79" s="140"/>
      <c r="DY79" s="140"/>
      <c r="DZ79" s="140"/>
    </row>
    <row r="80" spans="1:130" s="139" customFormat="1" ht="21.6" customHeight="1" x14ac:dyDescent="0.25">
      <c r="A80" s="4" t="s">
        <v>28</v>
      </c>
      <c r="B80" s="4">
        <v>6</v>
      </c>
      <c r="C80" s="182" t="s">
        <v>42</v>
      </c>
      <c r="D80" s="182" t="s">
        <v>431</v>
      </c>
      <c r="E80" s="13" t="s">
        <v>46</v>
      </c>
      <c r="F80" s="135">
        <v>118</v>
      </c>
      <c r="G80" s="135">
        <v>17</v>
      </c>
      <c r="H80" s="135">
        <f t="shared" si="171"/>
        <v>135</v>
      </c>
      <c r="I80" s="135"/>
      <c r="J80" s="135">
        <v>134.30000000000001</v>
      </c>
      <c r="K80" s="135">
        <f t="shared" si="172"/>
        <v>134.30000000000001</v>
      </c>
      <c r="L80" s="136"/>
      <c r="M80" s="5"/>
      <c r="N80" s="41"/>
      <c r="O80" s="6"/>
      <c r="P80" s="7"/>
      <c r="Q80" s="7"/>
      <c r="R80" s="7"/>
      <c r="S80" s="158"/>
      <c r="T80" s="89"/>
      <c r="U80" s="89"/>
      <c r="V80" s="89">
        <f t="shared" si="153"/>
        <v>0</v>
      </c>
      <c r="W80" s="137"/>
      <c r="X80" s="137"/>
      <c r="Y80" s="90">
        <f t="shared" si="154"/>
        <v>0</v>
      </c>
      <c r="Z80" s="91"/>
      <c r="AA80" s="92"/>
      <c r="AB80" s="92"/>
      <c r="AC80" s="92">
        <f t="shared" si="155"/>
        <v>0</v>
      </c>
      <c r="AD80" s="93"/>
      <c r="AE80" s="93"/>
      <c r="AF80" s="94">
        <f t="shared" si="156"/>
        <v>0</v>
      </c>
      <c r="AG80" s="473"/>
      <c r="AH80" s="99">
        <v>55</v>
      </c>
      <c r="AI80" s="99">
        <f t="shared" si="157"/>
        <v>3.6666666666666665</v>
      </c>
      <c r="AJ80" s="138">
        <v>55</v>
      </c>
      <c r="AK80" s="138">
        <f t="shared" si="158"/>
        <v>3.6666666666666665</v>
      </c>
      <c r="AL80" s="106"/>
      <c r="AM80" s="105"/>
      <c r="AN80" s="105">
        <f t="shared" si="159"/>
        <v>0</v>
      </c>
      <c r="AO80" s="106"/>
      <c r="AP80" s="105"/>
      <c r="AQ80" s="105">
        <f t="shared" si="107"/>
        <v>0</v>
      </c>
      <c r="AR80" s="106"/>
      <c r="AS80" s="97">
        <f t="shared" si="160"/>
        <v>3.6666666666666665</v>
      </c>
      <c r="AT80" s="6"/>
      <c r="AU80" s="105"/>
      <c r="AV80" s="455">
        <f t="shared" si="114"/>
        <v>0</v>
      </c>
      <c r="AW80" s="496"/>
      <c r="AX80" s="508"/>
      <c r="AY80" s="498">
        <v>470</v>
      </c>
      <c r="AZ80" s="100">
        <f t="shared" si="161"/>
        <v>31.333333333333332</v>
      </c>
      <c r="BA80" s="106"/>
      <c r="BB80" s="105"/>
      <c r="BC80" s="105">
        <f t="shared" si="162"/>
        <v>0</v>
      </c>
      <c r="BD80" s="106"/>
      <c r="BE80" s="105">
        <f>AK80+AZ80</f>
        <v>35</v>
      </c>
      <c r="BF80" s="106"/>
      <c r="BG80" s="100">
        <f>BC80+AQ80+AN80</f>
        <v>0</v>
      </c>
      <c r="BH80" s="106"/>
      <c r="BI80" s="100">
        <f>AV80</f>
        <v>0</v>
      </c>
      <c r="BJ80" s="106"/>
      <c r="BK80" s="101">
        <f t="shared" si="163"/>
        <v>35</v>
      </c>
      <c r="BL80" s="106"/>
      <c r="BM80" s="104">
        <f>1753.5</f>
        <v>1753.5</v>
      </c>
      <c r="BN80" s="104">
        <f t="shared" si="164"/>
        <v>35.07</v>
      </c>
      <c r="BO80" s="105">
        <v>1750</v>
      </c>
      <c r="BP80" s="105">
        <f t="shared" si="124"/>
        <v>35</v>
      </c>
      <c r="BQ80" s="106"/>
      <c r="BR80" s="105"/>
      <c r="BS80" s="105">
        <f t="shared" si="142"/>
        <v>0</v>
      </c>
      <c r="BT80" s="106"/>
      <c r="BU80" s="53"/>
      <c r="BV80" s="53">
        <f t="shared" si="165"/>
        <v>0</v>
      </c>
      <c r="BW80" s="54"/>
      <c r="BX80" s="350">
        <f t="shared" si="166"/>
        <v>35</v>
      </c>
      <c r="BY80" s="211"/>
      <c r="BZ80" s="211">
        <f t="shared" si="109"/>
        <v>0</v>
      </c>
      <c r="CA80" s="508"/>
      <c r="CB80" s="7"/>
      <c r="CC80" s="7"/>
      <c r="CD80" s="158"/>
      <c r="CE80" s="504"/>
      <c r="CF80" s="105"/>
      <c r="CG80" s="105">
        <f t="shared" si="148"/>
        <v>0</v>
      </c>
      <c r="CH80" s="105"/>
      <c r="CI80" s="105"/>
      <c r="CJ80" s="105">
        <f t="shared" si="149"/>
        <v>0</v>
      </c>
      <c r="CK80" s="524"/>
      <c r="CL80" s="53">
        <f t="shared" si="167"/>
        <v>0</v>
      </c>
      <c r="CM80" s="54"/>
      <c r="CN80" s="105"/>
      <c r="CO80" s="100">
        <f t="shared" si="126"/>
        <v>0</v>
      </c>
      <c r="CP80" s="496"/>
      <c r="CQ80" s="439"/>
      <c r="CR80" s="504"/>
      <c r="CS80" s="105"/>
      <c r="CT80" s="105">
        <f t="shared" si="168"/>
        <v>0</v>
      </c>
      <c r="CU80" s="105"/>
      <c r="CV80" s="105"/>
      <c r="CW80" s="105">
        <f t="shared" si="169"/>
        <v>0</v>
      </c>
      <c r="CX80" s="53"/>
      <c r="CY80" s="109">
        <f t="shared" si="127"/>
        <v>0</v>
      </c>
      <c r="CZ80" s="54"/>
      <c r="DA80" s="105"/>
      <c r="DB80" s="455">
        <f t="shared" si="170"/>
        <v>0</v>
      </c>
      <c r="DC80" s="495"/>
      <c r="DD80" s="27"/>
      <c r="DF80" s="1133"/>
      <c r="DG80" s="674">
        <f>AV80+CY80+DB80</f>
        <v>0</v>
      </c>
      <c r="DH80" s="1119">
        <f>BC80+CL80+CO80</f>
        <v>0</v>
      </c>
      <c r="DI80" s="1119"/>
      <c r="DJ80" s="101">
        <f t="shared" si="118"/>
        <v>35</v>
      </c>
      <c r="DK80" s="101"/>
      <c r="DL80" s="101">
        <f t="shared" si="112"/>
        <v>0</v>
      </c>
      <c r="DM80" s="101"/>
      <c r="DN80" s="112"/>
      <c r="DO80" s="112"/>
      <c r="DP80" s="112"/>
      <c r="DQ80" s="112"/>
      <c r="DS80" s="140"/>
      <c r="DT80" s="140"/>
      <c r="DU80" s="140"/>
      <c r="DV80" s="140"/>
      <c r="DW80" s="140"/>
      <c r="DX80" s="140"/>
      <c r="DY80" s="140"/>
      <c r="DZ80" s="140"/>
    </row>
    <row r="81" spans="1:130" s="139" customFormat="1" ht="21.6" customHeight="1" x14ac:dyDescent="0.25">
      <c r="A81" s="4" t="s">
        <v>28</v>
      </c>
      <c r="B81" s="4">
        <v>7</v>
      </c>
      <c r="C81" s="182" t="s">
        <v>42</v>
      </c>
      <c r="D81" s="182" t="s">
        <v>431</v>
      </c>
      <c r="E81" s="13" t="s">
        <v>379</v>
      </c>
      <c r="F81" s="135">
        <v>28</v>
      </c>
      <c r="G81" s="135">
        <v>6</v>
      </c>
      <c r="H81" s="135">
        <f t="shared" si="171"/>
        <v>34</v>
      </c>
      <c r="I81" s="135"/>
      <c r="J81" s="135">
        <v>17.600000000000001</v>
      </c>
      <c r="K81" s="135">
        <f t="shared" si="172"/>
        <v>17.600000000000001</v>
      </c>
      <c r="L81" s="136"/>
      <c r="M81" s="5"/>
      <c r="N81" s="41"/>
      <c r="O81" s="6"/>
      <c r="P81" s="7"/>
      <c r="Q81" s="7"/>
      <c r="R81" s="7"/>
      <c r="S81" s="158"/>
      <c r="T81" s="89"/>
      <c r="U81" s="89"/>
      <c r="V81" s="89">
        <f t="shared" si="153"/>
        <v>0</v>
      </c>
      <c r="W81" s="137"/>
      <c r="X81" s="137"/>
      <c r="Y81" s="90">
        <f t="shared" si="154"/>
        <v>0</v>
      </c>
      <c r="Z81" s="91"/>
      <c r="AA81" s="92"/>
      <c r="AB81" s="92"/>
      <c r="AC81" s="92">
        <f t="shared" si="155"/>
        <v>0</v>
      </c>
      <c r="AD81" s="93"/>
      <c r="AE81" s="93"/>
      <c r="AF81" s="94">
        <f t="shared" si="156"/>
        <v>0</v>
      </c>
      <c r="AG81" s="473"/>
      <c r="AH81" s="99">
        <v>240</v>
      </c>
      <c r="AI81" s="99">
        <f t="shared" si="157"/>
        <v>16</v>
      </c>
      <c r="AJ81" s="138">
        <v>240</v>
      </c>
      <c r="AK81" s="138">
        <f t="shared" si="158"/>
        <v>16</v>
      </c>
      <c r="AL81" s="106"/>
      <c r="AM81" s="105"/>
      <c r="AN81" s="105">
        <f t="shared" si="159"/>
        <v>0</v>
      </c>
      <c r="AO81" s="106"/>
      <c r="AP81" s="105"/>
      <c r="AQ81" s="105">
        <f t="shared" si="107"/>
        <v>0</v>
      </c>
      <c r="AR81" s="106"/>
      <c r="AS81" s="97">
        <f t="shared" si="160"/>
        <v>16</v>
      </c>
      <c r="AT81" s="6"/>
      <c r="AU81" s="105"/>
      <c r="AV81" s="455">
        <f t="shared" si="114"/>
        <v>0</v>
      </c>
      <c r="AW81" s="496"/>
      <c r="AX81" s="508"/>
      <c r="AY81" s="498"/>
      <c r="AZ81" s="100">
        <f t="shared" si="161"/>
        <v>0</v>
      </c>
      <c r="BA81" s="106"/>
      <c r="BB81" s="105"/>
      <c r="BC81" s="105">
        <f t="shared" si="162"/>
        <v>0</v>
      </c>
      <c r="BD81" s="106"/>
      <c r="BE81" s="105">
        <f>AK81+AZ81</f>
        <v>16</v>
      </c>
      <c r="BF81" s="106"/>
      <c r="BG81" s="100">
        <f>BC81+AQ81+AN81</f>
        <v>0</v>
      </c>
      <c r="BH81" s="106"/>
      <c r="BI81" s="100">
        <f>AV81</f>
        <v>0</v>
      </c>
      <c r="BJ81" s="106"/>
      <c r="BK81" s="101">
        <f t="shared" si="163"/>
        <v>16</v>
      </c>
      <c r="BL81" s="106"/>
      <c r="BM81" s="104">
        <v>800</v>
      </c>
      <c r="BN81" s="104">
        <f t="shared" si="164"/>
        <v>16</v>
      </c>
      <c r="BO81" s="105">
        <v>800</v>
      </c>
      <c r="BP81" s="105">
        <f t="shared" si="124"/>
        <v>16</v>
      </c>
      <c r="BQ81" s="106"/>
      <c r="BR81" s="105"/>
      <c r="BS81" s="105">
        <f t="shared" si="142"/>
        <v>0</v>
      </c>
      <c r="BT81" s="106"/>
      <c r="BU81" s="53"/>
      <c r="BV81" s="53">
        <f t="shared" si="165"/>
        <v>0</v>
      </c>
      <c r="BW81" s="54"/>
      <c r="BX81" s="350">
        <f t="shared" si="166"/>
        <v>16</v>
      </c>
      <c r="BY81" s="211"/>
      <c r="BZ81" s="211">
        <f t="shared" si="109"/>
        <v>0</v>
      </c>
      <c r="CA81" s="508"/>
      <c r="CB81" s="7"/>
      <c r="CC81" s="7"/>
      <c r="CD81" s="158"/>
      <c r="CE81" s="504"/>
      <c r="CF81" s="105"/>
      <c r="CG81" s="105">
        <f t="shared" si="148"/>
        <v>0</v>
      </c>
      <c r="CH81" s="105"/>
      <c r="CI81" s="105"/>
      <c r="CJ81" s="105">
        <f t="shared" si="149"/>
        <v>0</v>
      </c>
      <c r="CK81" s="524"/>
      <c r="CL81" s="53">
        <f t="shared" si="167"/>
        <v>0</v>
      </c>
      <c r="CM81" s="54"/>
      <c r="CN81" s="105"/>
      <c r="CO81" s="100">
        <f t="shared" si="126"/>
        <v>0</v>
      </c>
      <c r="CP81" s="496"/>
      <c r="CQ81" s="439"/>
      <c r="CR81" s="504"/>
      <c r="CS81" s="105"/>
      <c r="CT81" s="105">
        <f t="shared" si="168"/>
        <v>0</v>
      </c>
      <c r="CU81" s="105"/>
      <c r="CV81" s="105"/>
      <c r="CW81" s="105">
        <f t="shared" si="169"/>
        <v>0</v>
      </c>
      <c r="CX81" s="53"/>
      <c r="CY81" s="109">
        <f t="shared" si="127"/>
        <v>0</v>
      </c>
      <c r="CZ81" s="54"/>
      <c r="DA81" s="105"/>
      <c r="DB81" s="455">
        <f t="shared" si="170"/>
        <v>0</v>
      </c>
      <c r="DC81" s="495"/>
      <c r="DD81" s="27"/>
      <c r="DF81" s="1133"/>
      <c r="DG81" s="674">
        <f>AV81+CY81+DB81</f>
        <v>0</v>
      </c>
      <c r="DH81" s="1119">
        <f>BC81+CL81+CO81</f>
        <v>0</v>
      </c>
      <c r="DI81" s="1119"/>
      <c r="DJ81" s="101">
        <f t="shared" si="118"/>
        <v>16</v>
      </c>
      <c r="DK81" s="101"/>
      <c r="DL81" s="101">
        <f t="shared" si="112"/>
        <v>0</v>
      </c>
      <c r="DM81" s="101"/>
      <c r="DN81" s="112"/>
      <c r="DO81" s="112"/>
      <c r="DP81" s="112"/>
      <c r="DQ81" s="112"/>
      <c r="DS81" s="140"/>
      <c r="DT81" s="140"/>
      <c r="DU81" s="140"/>
      <c r="DV81" s="140"/>
      <c r="DW81" s="140"/>
      <c r="DX81" s="140"/>
      <c r="DY81" s="140"/>
      <c r="DZ81" s="140"/>
    </row>
    <row r="82" spans="1:130" s="725" customFormat="1" ht="21.6" customHeight="1" x14ac:dyDescent="0.25">
      <c r="A82" s="4"/>
      <c r="B82" s="4"/>
      <c r="C82" s="182" t="s">
        <v>42</v>
      </c>
      <c r="D82" s="182" t="s">
        <v>437</v>
      </c>
      <c r="E82" s="13" t="s">
        <v>771</v>
      </c>
      <c r="F82" s="135"/>
      <c r="G82" s="135"/>
      <c r="H82" s="135"/>
      <c r="I82" s="135"/>
      <c r="J82" s="135"/>
      <c r="K82" s="135"/>
      <c r="L82" s="136"/>
      <c r="M82" s="5"/>
      <c r="N82" s="41"/>
      <c r="O82" s="6"/>
      <c r="P82" s="7"/>
      <c r="Q82" s="7"/>
      <c r="R82" s="7"/>
      <c r="S82" s="158"/>
      <c r="T82" s="89"/>
      <c r="U82" s="89"/>
      <c r="V82" s="89"/>
      <c r="W82" s="137"/>
      <c r="X82" s="137"/>
      <c r="Y82" s="90"/>
      <c r="Z82" s="91"/>
      <c r="AA82" s="92"/>
      <c r="AB82" s="92"/>
      <c r="AC82" s="92"/>
      <c r="AD82" s="93"/>
      <c r="AE82" s="93"/>
      <c r="AF82" s="94"/>
      <c r="AG82" s="473"/>
      <c r="AH82" s="99"/>
      <c r="AI82" s="99"/>
      <c r="AJ82" s="138"/>
      <c r="AK82" s="138"/>
      <c r="AL82" s="106"/>
      <c r="AM82" s="105"/>
      <c r="AN82" s="105"/>
      <c r="AO82" s="106"/>
      <c r="AP82" s="105"/>
      <c r="AQ82" s="105"/>
      <c r="AR82" s="106"/>
      <c r="AS82" s="97"/>
      <c r="AT82" s="6"/>
      <c r="AU82" s="105"/>
      <c r="AV82" s="455"/>
      <c r="AW82" s="496"/>
      <c r="AX82" s="508"/>
      <c r="AY82" s="498"/>
      <c r="AZ82" s="100"/>
      <c r="BA82" s="106"/>
      <c r="BB82" s="105"/>
      <c r="BC82" s="105"/>
      <c r="BD82" s="106"/>
      <c r="BE82" s="105"/>
      <c r="BF82" s="106"/>
      <c r="BG82" s="100"/>
      <c r="BH82" s="106"/>
      <c r="BI82" s="100"/>
      <c r="BJ82" s="106"/>
      <c r="BK82" s="101"/>
      <c r="BL82" s="106"/>
      <c r="BM82" s="104"/>
      <c r="BN82" s="104"/>
      <c r="BO82" s="105"/>
      <c r="BP82" s="105"/>
      <c r="BQ82" s="106"/>
      <c r="BR82" s="105"/>
      <c r="BS82" s="105"/>
      <c r="BT82" s="106"/>
      <c r="BU82" s="53"/>
      <c r="BV82" s="53"/>
      <c r="BW82" s="54"/>
      <c r="BX82" s="350"/>
      <c r="BY82" s="211"/>
      <c r="BZ82" s="211"/>
      <c r="CA82" s="508"/>
      <c r="CB82" s="7"/>
      <c r="CC82" s="7"/>
      <c r="CD82" s="158"/>
      <c r="CE82" s="504"/>
      <c r="CF82" s="105"/>
      <c r="CG82" s="105"/>
      <c r="CH82" s="105"/>
      <c r="CI82" s="105"/>
      <c r="CJ82" s="105"/>
      <c r="CK82" s="524"/>
      <c r="CL82" s="53"/>
      <c r="CM82" s="54"/>
      <c r="CN82" s="105"/>
      <c r="CO82" s="100"/>
      <c r="CP82" s="496"/>
      <c r="CQ82" s="439"/>
      <c r="CR82" s="504"/>
      <c r="CS82" s="105"/>
      <c r="CT82" s="105"/>
      <c r="CU82" s="105"/>
      <c r="CV82" s="105"/>
      <c r="CW82" s="105"/>
      <c r="CX82" s="53"/>
      <c r="CY82" s="109"/>
      <c r="CZ82" s="54"/>
      <c r="DA82" s="105"/>
      <c r="DB82" s="455"/>
      <c r="DC82" s="495"/>
      <c r="DD82" s="27"/>
      <c r="DF82" s="1133"/>
      <c r="DG82" s="674"/>
      <c r="DH82" s="1119"/>
      <c r="DI82" s="1119"/>
      <c r="DJ82" s="101">
        <f t="shared" si="118"/>
        <v>0</v>
      </c>
      <c r="DK82" s="101"/>
      <c r="DL82" s="101">
        <f t="shared" ref="DL82:DL113" si="173">CT82+CG82+AC82</f>
        <v>0</v>
      </c>
      <c r="DM82" s="101"/>
      <c r="DN82" s="112"/>
      <c r="DO82" s="112">
        <f>DJ82</f>
        <v>0</v>
      </c>
      <c r="DP82" s="112"/>
      <c r="DQ82" s="112"/>
      <c r="DS82" s="140"/>
      <c r="DT82" s="140"/>
      <c r="DU82" s="140"/>
      <c r="DV82" s="140"/>
      <c r="DW82" s="140"/>
      <c r="DX82" s="140"/>
      <c r="DY82" s="140"/>
      <c r="DZ82" s="140"/>
    </row>
    <row r="83" spans="1:130" s="139" customFormat="1" ht="21.6" customHeight="1" x14ac:dyDescent="0.25">
      <c r="A83" s="4"/>
      <c r="B83" s="4"/>
      <c r="C83" s="182" t="s">
        <v>42</v>
      </c>
      <c r="D83" s="182" t="s">
        <v>431</v>
      </c>
      <c r="E83" s="13" t="s">
        <v>611</v>
      </c>
      <c r="F83" s="135"/>
      <c r="G83" s="135"/>
      <c r="H83" s="135"/>
      <c r="I83" s="135"/>
      <c r="J83" s="135"/>
      <c r="K83" s="135"/>
      <c r="L83" s="136"/>
      <c r="M83" s="5"/>
      <c r="N83" s="41"/>
      <c r="O83" s="6"/>
      <c r="P83" s="7"/>
      <c r="Q83" s="7"/>
      <c r="R83" s="7"/>
      <c r="S83" s="158"/>
      <c r="T83" s="89"/>
      <c r="U83" s="89"/>
      <c r="V83" s="89"/>
      <c r="W83" s="137"/>
      <c r="X83" s="137"/>
      <c r="Y83" s="90"/>
      <c r="Z83" s="91"/>
      <c r="AA83" s="92"/>
      <c r="AB83" s="92"/>
      <c r="AC83" s="92">
        <f t="shared" si="155"/>
        <v>0</v>
      </c>
      <c r="AD83" s="93"/>
      <c r="AE83" s="93"/>
      <c r="AF83" s="94">
        <f t="shared" si="156"/>
        <v>0</v>
      </c>
      <c r="AG83" s="473"/>
      <c r="AH83" s="99"/>
      <c r="AI83" s="99"/>
      <c r="AJ83" s="138">
        <v>255</v>
      </c>
      <c r="AK83" s="138">
        <f t="shared" si="158"/>
        <v>17</v>
      </c>
      <c r="AL83" s="106"/>
      <c r="AM83" s="105"/>
      <c r="AN83" s="105">
        <f t="shared" si="159"/>
        <v>0</v>
      </c>
      <c r="AO83" s="106"/>
      <c r="AP83" s="105"/>
      <c r="AQ83" s="105">
        <f t="shared" si="107"/>
        <v>0</v>
      </c>
      <c r="AR83" s="106"/>
      <c r="AS83" s="97">
        <f t="shared" si="160"/>
        <v>17</v>
      </c>
      <c r="AT83" s="6"/>
      <c r="AU83" s="105"/>
      <c r="AV83" s="455">
        <f t="shared" si="114"/>
        <v>0</v>
      </c>
      <c r="AW83" s="496"/>
      <c r="AX83" s="508"/>
      <c r="AY83" s="498">
        <v>285</v>
      </c>
      <c r="AZ83" s="100">
        <f t="shared" si="161"/>
        <v>19</v>
      </c>
      <c r="BA83" s="106"/>
      <c r="BB83" s="105"/>
      <c r="BC83" s="105">
        <f t="shared" si="162"/>
        <v>0</v>
      </c>
      <c r="BD83" s="106"/>
      <c r="BE83" s="105">
        <f t="shared" ref="BE83:BE88" si="174">AK83+AZ83</f>
        <v>36</v>
      </c>
      <c r="BF83" s="106"/>
      <c r="BG83" s="100">
        <f t="shared" ref="BG83:BG114" si="175">BC83+AQ83+AN83</f>
        <v>0</v>
      </c>
      <c r="BH83" s="106"/>
      <c r="BI83" s="100">
        <f t="shared" ref="BI83:BI114" si="176">AV83</f>
        <v>0</v>
      </c>
      <c r="BJ83" s="106"/>
      <c r="BK83" s="101">
        <f t="shared" si="163"/>
        <v>36</v>
      </c>
      <c r="BL83" s="106"/>
      <c r="BM83" s="104"/>
      <c r="BN83" s="104"/>
      <c r="BO83" s="105"/>
      <c r="BP83" s="105">
        <f t="shared" si="124"/>
        <v>0</v>
      </c>
      <c r="BQ83" s="106"/>
      <c r="BR83" s="105">
        <f>950+850</f>
        <v>1800</v>
      </c>
      <c r="BS83" s="105">
        <f t="shared" si="142"/>
        <v>36</v>
      </c>
      <c r="BT83" s="106"/>
      <c r="BU83" s="53"/>
      <c r="BV83" s="53">
        <f t="shared" si="165"/>
        <v>0</v>
      </c>
      <c r="BW83" s="54"/>
      <c r="BX83" s="350">
        <f t="shared" si="166"/>
        <v>36</v>
      </c>
      <c r="BY83" s="211"/>
      <c r="BZ83" s="211">
        <f t="shared" si="109"/>
        <v>0</v>
      </c>
      <c r="CA83" s="508"/>
      <c r="CB83" s="7"/>
      <c r="CC83" s="7"/>
      <c r="CD83" s="158"/>
      <c r="CE83" s="504"/>
      <c r="CF83" s="105"/>
      <c r="CG83" s="105"/>
      <c r="CH83" s="105"/>
      <c r="CI83" s="105"/>
      <c r="CJ83" s="105"/>
      <c r="CK83" s="524"/>
      <c r="CL83" s="53">
        <f t="shared" si="167"/>
        <v>0</v>
      </c>
      <c r="CM83" s="54"/>
      <c r="CN83" s="105"/>
      <c r="CO83" s="100">
        <f t="shared" si="126"/>
        <v>0</v>
      </c>
      <c r="CP83" s="496"/>
      <c r="CQ83" s="439"/>
      <c r="CR83" s="504"/>
      <c r="CS83" s="105"/>
      <c r="CT83" s="105"/>
      <c r="CU83" s="105"/>
      <c r="CV83" s="105"/>
      <c r="CW83" s="105"/>
      <c r="CX83" s="53"/>
      <c r="CY83" s="109">
        <f t="shared" si="127"/>
        <v>0</v>
      </c>
      <c r="CZ83" s="54"/>
      <c r="DA83" s="105"/>
      <c r="DB83" s="455">
        <f t="shared" si="170"/>
        <v>0</v>
      </c>
      <c r="DC83" s="495"/>
      <c r="DD83" s="27"/>
      <c r="DF83" s="1133"/>
      <c r="DG83" s="674">
        <f t="shared" ref="DG83:DG114" si="177">AV83+CY83+DB83</f>
        <v>0</v>
      </c>
      <c r="DH83" s="1119">
        <f t="shared" ref="DH83:DH114" si="178">BC83+CL83+CO83</f>
        <v>0</v>
      </c>
      <c r="DI83" s="1119"/>
      <c r="DJ83" s="101">
        <f t="shared" ref="DJ83:DJ114" si="179">DC83+CO83+CL83+BC83+AZ83+AV83+AS83</f>
        <v>36</v>
      </c>
      <c r="DK83" s="101"/>
      <c r="DL83" s="101">
        <f t="shared" si="173"/>
        <v>0</v>
      </c>
      <c r="DM83" s="101"/>
      <c r="DN83" s="112"/>
      <c r="DO83" s="112"/>
      <c r="DP83" s="112"/>
      <c r="DQ83" s="112"/>
      <c r="DS83" s="140"/>
      <c r="DT83" s="140"/>
      <c r="DU83" s="140"/>
      <c r="DV83" s="140"/>
      <c r="DW83" s="140"/>
      <c r="DX83" s="140"/>
      <c r="DY83" s="140"/>
      <c r="DZ83" s="140"/>
    </row>
    <row r="84" spans="1:130" s="222" customFormat="1" ht="21.6" customHeight="1" x14ac:dyDescent="0.25">
      <c r="A84" s="207" t="s">
        <v>28</v>
      </c>
      <c r="B84" s="207">
        <v>11</v>
      </c>
      <c r="C84" s="182" t="s">
        <v>42</v>
      </c>
      <c r="D84" s="182" t="s">
        <v>437</v>
      </c>
      <c r="E84" s="17" t="s">
        <v>47</v>
      </c>
      <c r="F84" s="208">
        <v>26</v>
      </c>
      <c r="G84" s="208">
        <v>7</v>
      </c>
      <c r="H84" s="208">
        <f t="shared" si="171"/>
        <v>33</v>
      </c>
      <c r="I84" s="208">
        <v>12</v>
      </c>
      <c r="J84" s="208"/>
      <c r="K84" s="208">
        <f t="shared" si="172"/>
        <v>12</v>
      </c>
      <c r="L84" s="209"/>
      <c r="M84" s="210"/>
      <c r="N84" s="177"/>
      <c r="O84" s="211"/>
      <c r="P84" s="212"/>
      <c r="Q84" s="212"/>
      <c r="R84" s="212"/>
      <c r="S84" s="158"/>
      <c r="T84" s="213"/>
      <c r="U84" s="213"/>
      <c r="V84" s="213">
        <f t="shared" si="153"/>
        <v>0</v>
      </c>
      <c r="W84" s="214"/>
      <c r="X84" s="214"/>
      <c r="Y84" s="215">
        <f t="shared" si="154"/>
        <v>0</v>
      </c>
      <c r="Z84" s="216"/>
      <c r="AA84" s="217"/>
      <c r="AB84" s="217"/>
      <c r="AC84" s="92">
        <f t="shared" si="155"/>
        <v>0</v>
      </c>
      <c r="AD84" s="218"/>
      <c r="AE84" s="218"/>
      <c r="AF84" s="94">
        <f t="shared" si="156"/>
        <v>0</v>
      </c>
      <c r="AG84" s="477"/>
      <c r="AH84" s="219"/>
      <c r="AI84" s="219">
        <f t="shared" si="157"/>
        <v>0</v>
      </c>
      <c r="AJ84" s="221"/>
      <c r="AK84" s="138">
        <f t="shared" si="158"/>
        <v>0</v>
      </c>
      <c r="AL84" s="106"/>
      <c r="AM84" s="105"/>
      <c r="AN84" s="105">
        <f t="shared" si="159"/>
        <v>0</v>
      </c>
      <c r="AO84" s="106"/>
      <c r="AP84" s="105"/>
      <c r="AQ84" s="105">
        <f t="shared" si="107"/>
        <v>0</v>
      </c>
      <c r="AR84" s="106"/>
      <c r="AS84" s="97">
        <f t="shared" si="160"/>
        <v>0</v>
      </c>
      <c r="AT84" s="6"/>
      <c r="AU84" s="105"/>
      <c r="AV84" s="455">
        <f t="shared" si="114"/>
        <v>0</v>
      </c>
      <c r="AW84" s="496"/>
      <c r="AX84" s="508"/>
      <c r="AY84" s="500">
        <v>135</v>
      </c>
      <c r="AZ84" s="100">
        <f t="shared" si="161"/>
        <v>9</v>
      </c>
      <c r="BA84" s="106"/>
      <c r="BB84" s="105"/>
      <c r="BC84" s="105">
        <f t="shared" si="162"/>
        <v>0</v>
      </c>
      <c r="BD84" s="106"/>
      <c r="BE84" s="105">
        <f t="shared" si="174"/>
        <v>9</v>
      </c>
      <c r="BF84" s="106"/>
      <c r="BG84" s="100">
        <f t="shared" si="175"/>
        <v>0</v>
      </c>
      <c r="BH84" s="106"/>
      <c r="BI84" s="100">
        <f t="shared" si="176"/>
        <v>0</v>
      </c>
      <c r="BJ84" s="106"/>
      <c r="BK84" s="101">
        <f t="shared" si="163"/>
        <v>9</v>
      </c>
      <c r="BL84" s="106"/>
      <c r="BM84" s="219">
        <v>450</v>
      </c>
      <c r="BN84" s="219">
        <f t="shared" si="164"/>
        <v>9</v>
      </c>
      <c r="BO84" s="221">
        <v>450</v>
      </c>
      <c r="BP84" s="105">
        <f t="shared" si="124"/>
        <v>9</v>
      </c>
      <c r="BQ84" s="106"/>
      <c r="BR84" s="105"/>
      <c r="BS84" s="105">
        <f t="shared" si="142"/>
        <v>0</v>
      </c>
      <c r="BT84" s="106"/>
      <c r="BU84" s="53"/>
      <c r="BV84" s="53">
        <f t="shared" si="165"/>
        <v>0</v>
      </c>
      <c r="BW84" s="54"/>
      <c r="BX84" s="350">
        <f t="shared" si="166"/>
        <v>9</v>
      </c>
      <c r="BY84" s="211"/>
      <c r="BZ84" s="211">
        <f t="shared" ref="BZ84:BZ115" si="180">BK84-BX84</f>
        <v>0</v>
      </c>
      <c r="CA84" s="508"/>
      <c r="CB84" s="212"/>
      <c r="CC84" s="212"/>
      <c r="CD84" s="158"/>
      <c r="CE84" s="504"/>
      <c r="CF84" s="105"/>
      <c r="CG84" s="105">
        <f t="shared" ref="CG84:CG98" si="181">CE84+CF84</f>
        <v>0</v>
      </c>
      <c r="CH84" s="105"/>
      <c r="CI84" s="105"/>
      <c r="CJ84" s="105">
        <f t="shared" ref="CJ84:CJ98" si="182">CH84+CI84</f>
        <v>0</v>
      </c>
      <c r="CK84" s="524"/>
      <c r="CL84" s="53">
        <f t="shared" si="167"/>
        <v>0</v>
      </c>
      <c r="CM84" s="54"/>
      <c r="CN84" s="105"/>
      <c r="CO84" s="100">
        <f t="shared" si="126"/>
        <v>0</v>
      </c>
      <c r="CP84" s="496"/>
      <c r="CQ84" s="439"/>
      <c r="CR84" s="504"/>
      <c r="CS84" s="105"/>
      <c r="CT84" s="105">
        <f t="shared" si="168"/>
        <v>0</v>
      </c>
      <c r="CU84" s="105"/>
      <c r="CV84" s="105"/>
      <c r="CW84" s="105">
        <f t="shared" si="169"/>
        <v>0</v>
      </c>
      <c r="CX84" s="53"/>
      <c r="CY84" s="109">
        <f t="shared" si="127"/>
        <v>0</v>
      </c>
      <c r="CZ84" s="54"/>
      <c r="DA84" s="105"/>
      <c r="DB84" s="455">
        <f t="shared" si="170"/>
        <v>0</v>
      </c>
      <c r="DC84" s="495"/>
      <c r="DD84" s="27"/>
      <c r="DF84" s="1133"/>
      <c r="DG84" s="674">
        <f t="shared" si="177"/>
        <v>0</v>
      </c>
      <c r="DH84" s="1119">
        <f t="shared" si="178"/>
        <v>0</v>
      </c>
      <c r="DI84" s="1119"/>
      <c r="DJ84" s="101">
        <f t="shared" si="179"/>
        <v>9</v>
      </c>
      <c r="DK84" s="101"/>
      <c r="DL84" s="101">
        <f t="shared" si="173"/>
        <v>0</v>
      </c>
      <c r="DM84" s="101"/>
      <c r="DN84" s="112"/>
      <c r="DO84" s="112">
        <f>DJ84</f>
        <v>9</v>
      </c>
      <c r="DP84" s="112"/>
      <c r="DQ84" s="112"/>
      <c r="DS84" s="223"/>
      <c r="DT84" s="223"/>
      <c r="DU84" s="223"/>
      <c r="DV84" s="223"/>
      <c r="DW84" s="223"/>
      <c r="DX84" s="223"/>
      <c r="DY84" s="223"/>
      <c r="DZ84" s="223"/>
    </row>
    <row r="85" spans="1:130" s="139" customFormat="1" ht="21.6" customHeight="1" x14ac:dyDescent="0.25">
      <c r="A85" s="4" t="s">
        <v>28</v>
      </c>
      <c r="B85" s="4">
        <v>12</v>
      </c>
      <c r="C85" s="182" t="s">
        <v>42</v>
      </c>
      <c r="D85" s="182" t="s">
        <v>431</v>
      </c>
      <c r="E85" s="13" t="s">
        <v>775</v>
      </c>
      <c r="F85" s="135">
        <v>59</v>
      </c>
      <c r="G85" s="135">
        <v>7</v>
      </c>
      <c r="H85" s="135">
        <f t="shared" si="171"/>
        <v>66</v>
      </c>
      <c r="I85" s="135"/>
      <c r="J85" s="135">
        <v>20.7</v>
      </c>
      <c r="K85" s="135">
        <f t="shared" si="172"/>
        <v>20.7</v>
      </c>
      <c r="L85" s="136"/>
      <c r="M85" s="5"/>
      <c r="N85" s="41"/>
      <c r="O85" s="6"/>
      <c r="P85" s="7"/>
      <c r="Q85" s="7"/>
      <c r="R85" s="7"/>
      <c r="S85" s="158"/>
      <c r="T85" s="89"/>
      <c r="U85" s="89"/>
      <c r="V85" s="89">
        <f t="shared" si="153"/>
        <v>0</v>
      </c>
      <c r="W85" s="137"/>
      <c r="X85" s="137"/>
      <c r="Y85" s="90">
        <f t="shared" si="154"/>
        <v>0</v>
      </c>
      <c r="Z85" s="91"/>
      <c r="AA85" s="92"/>
      <c r="AB85" s="92"/>
      <c r="AC85" s="92">
        <f t="shared" si="155"/>
        <v>0</v>
      </c>
      <c r="AD85" s="93"/>
      <c r="AE85" s="93"/>
      <c r="AF85" s="94">
        <f t="shared" si="156"/>
        <v>0</v>
      </c>
      <c r="AG85" s="473"/>
      <c r="AH85" s="99">
        <v>240</v>
      </c>
      <c r="AI85" s="99">
        <f t="shared" si="157"/>
        <v>16</v>
      </c>
      <c r="AJ85" s="138">
        <v>240</v>
      </c>
      <c r="AK85" s="138">
        <f t="shared" si="158"/>
        <v>16</v>
      </c>
      <c r="AL85" s="106"/>
      <c r="AM85" s="105"/>
      <c r="AN85" s="105">
        <f t="shared" si="159"/>
        <v>0</v>
      </c>
      <c r="AO85" s="106"/>
      <c r="AP85" s="105"/>
      <c r="AQ85" s="105">
        <f t="shared" si="107"/>
        <v>0</v>
      </c>
      <c r="AR85" s="106"/>
      <c r="AS85" s="97">
        <f t="shared" si="160"/>
        <v>16</v>
      </c>
      <c r="AT85" s="6"/>
      <c r="AU85" s="105"/>
      <c r="AV85" s="455">
        <f t="shared" si="114"/>
        <v>0</v>
      </c>
      <c r="AW85" s="496"/>
      <c r="AX85" s="508"/>
      <c r="AY85" s="498"/>
      <c r="AZ85" s="100">
        <f t="shared" si="161"/>
        <v>0</v>
      </c>
      <c r="BA85" s="106"/>
      <c r="BB85" s="105"/>
      <c r="BC85" s="105">
        <f t="shared" si="162"/>
        <v>0</v>
      </c>
      <c r="BD85" s="106"/>
      <c r="BE85" s="105">
        <f t="shared" si="174"/>
        <v>16</v>
      </c>
      <c r="BF85" s="106"/>
      <c r="BG85" s="100">
        <f t="shared" si="175"/>
        <v>0</v>
      </c>
      <c r="BH85" s="106"/>
      <c r="BI85" s="100">
        <f t="shared" si="176"/>
        <v>0</v>
      </c>
      <c r="BJ85" s="106"/>
      <c r="BK85" s="101">
        <f t="shared" si="163"/>
        <v>16</v>
      </c>
      <c r="BL85" s="106"/>
      <c r="BM85" s="104">
        <v>800</v>
      </c>
      <c r="BN85" s="104">
        <f t="shared" si="164"/>
        <v>16</v>
      </c>
      <c r="BO85" s="105">
        <v>800</v>
      </c>
      <c r="BP85" s="105">
        <f t="shared" si="124"/>
        <v>16</v>
      </c>
      <c r="BQ85" s="106"/>
      <c r="BR85" s="105"/>
      <c r="BS85" s="105">
        <f t="shared" si="142"/>
        <v>0</v>
      </c>
      <c r="BT85" s="106"/>
      <c r="BU85" s="53"/>
      <c r="BV85" s="53">
        <f t="shared" si="165"/>
        <v>0</v>
      </c>
      <c r="BW85" s="54"/>
      <c r="BX85" s="350">
        <f t="shared" si="166"/>
        <v>16</v>
      </c>
      <c r="BY85" s="211"/>
      <c r="BZ85" s="211">
        <f t="shared" si="180"/>
        <v>0</v>
      </c>
      <c r="CA85" s="508"/>
      <c r="CB85" s="7"/>
      <c r="CC85" s="7"/>
      <c r="CD85" s="158"/>
      <c r="CE85" s="504"/>
      <c r="CF85" s="105"/>
      <c r="CG85" s="105">
        <f t="shared" si="181"/>
        <v>0</v>
      </c>
      <c r="CH85" s="105"/>
      <c r="CI85" s="105"/>
      <c r="CJ85" s="105">
        <f t="shared" si="182"/>
        <v>0</v>
      </c>
      <c r="CK85" s="524"/>
      <c r="CL85" s="53">
        <f t="shared" si="167"/>
        <v>0</v>
      </c>
      <c r="CM85" s="54"/>
      <c r="CN85" s="105"/>
      <c r="CO85" s="100">
        <f t="shared" si="126"/>
        <v>0</v>
      </c>
      <c r="CP85" s="496"/>
      <c r="CQ85" s="439"/>
      <c r="CR85" s="504"/>
      <c r="CS85" s="105"/>
      <c r="CT85" s="105">
        <f t="shared" si="168"/>
        <v>0</v>
      </c>
      <c r="CU85" s="105"/>
      <c r="CV85" s="105"/>
      <c r="CW85" s="105">
        <f t="shared" si="169"/>
        <v>0</v>
      </c>
      <c r="CX85" s="53"/>
      <c r="CY85" s="109">
        <f t="shared" si="127"/>
        <v>0</v>
      </c>
      <c r="CZ85" s="54"/>
      <c r="DA85" s="105"/>
      <c r="DB85" s="455">
        <f t="shared" si="170"/>
        <v>0</v>
      </c>
      <c r="DC85" s="495"/>
      <c r="DD85" s="27"/>
      <c r="DF85" s="1133"/>
      <c r="DG85" s="674">
        <f t="shared" si="177"/>
        <v>0</v>
      </c>
      <c r="DH85" s="1119">
        <f t="shared" si="178"/>
        <v>0</v>
      </c>
      <c r="DI85" s="1119"/>
      <c r="DJ85" s="101">
        <f t="shared" si="179"/>
        <v>16</v>
      </c>
      <c r="DK85" s="101"/>
      <c r="DL85" s="101">
        <f t="shared" si="173"/>
        <v>0</v>
      </c>
      <c r="DM85" s="101"/>
      <c r="DN85" s="112"/>
      <c r="DO85" s="112"/>
      <c r="DP85" s="112"/>
      <c r="DQ85" s="112"/>
      <c r="DS85" s="140"/>
      <c r="DT85" s="140"/>
      <c r="DU85" s="140"/>
      <c r="DV85" s="140"/>
      <c r="DW85" s="140"/>
      <c r="DX85" s="140"/>
      <c r="DY85" s="140"/>
      <c r="DZ85" s="140"/>
    </row>
    <row r="86" spans="1:130" s="139" customFormat="1" ht="21.6" customHeight="1" x14ac:dyDescent="0.25">
      <c r="A86" s="4" t="s">
        <v>28</v>
      </c>
      <c r="B86" s="4">
        <v>13</v>
      </c>
      <c r="C86" s="182" t="s">
        <v>42</v>
      </c>
      <c r="D86" s="182" t="s">
        <v>437</v>
      </c>
      <c r="E86" s="13" t="s">
        <v>48</v>
      </c>
      <c r="F86" s="135">
        <v>35</v>
      </c>
      <c r="G86" s="135">
        <v>6</v>
      </c>
      <c r="H86" s="135">
        <f t="shared" si="171"/>
        <v>41</v>
      </c>
      <c r="I86" s="135">
        <v>28.5</v>
      </c>
      <c r="J86" s="135"/>
      <c r="K86" s="135">
        <f t="shared" si="172"/>
        <v>28.5</v>
      </c>
      <c r="L86" s="136"/>
      <c r="M86" s="5"/>
      <c r="N86" s="41"/>
      <c r="O86" s="6"/>
      <c r="P86" s="7"/>
      <c r="Q86" s="7"/>
      <c r="R86" s="7"/>
      <c r="S86" s="158"/>
      <c r="T86" s="89"/>
      <c r="U86" s="89"/>
      <c r="V86" s="89">
        <f t="shared" si="153"/>
        <v>0</v>
      </c>
      <c r="W86" s="137"/>
      <c r="X86" s="137"/>
      <c r="Y86" s="90">
        <f t="shared" si="154"/>
        <v>0</v>
      </c>
      <c r="Z86" s="91"/>
      <c r="AA86" s="92"/>
      <c r="AB86" s="92"/>
      <c r="AC86" s="92">
        <f t="shared" si="155"/>
        <v>0</v>
      </c>
      <c r="AD86" s="93"/>
      <c r="AE86" s="93"/>
      <c r="AF86" s="94">
        <f t="shared" si="156"/>
        <v>0</v>
      </c>
      <c r="AG86" s="473"/>
      <c r="AH86" s="99">
        <v>255</v>
      </c>
      <c r="AI86" s="99">
        <f t="shared" si="157"/>
        <v>17</v>
      </c>
      <c r="AJ86" s="138"/>
      <c r="AK86" s="138">
        <f t="shared" si="158"/>
        <v>0</v>
      </c>
      <c r="AL86" s="106"/>
      <c r="AM86" s="105"/>
      <c r="AN86" s="105">
        <f t="shared" si="159"/>
        <v>0</v>
      </c>
      <c r="AO86" s="106"/>
      <c r="AP86" s="105"/>
      <c r="AQ86" s="105">
        <f t="shared" si="107"/>
        <v>0</v>
      </c>
      <c r="AR86" s="106"/>
      <c r="AS86" s="97">
        <f t="shared" si="160"/>
        <v>0</v>
      </c>
      <c r="AT86" s="6"/>
      <c r="AU86" s="105"/>
      <c r="AV86" s="455">
        <f t="shared" si="114"/>
        <v>0</v>
      </c>
      <c r="AW86" s="496"/>
      <c r="AX86" s="508"/>
      <c r="AY86" s="498">
        <v>255</v>
      </c>
      <c r="AZ86" s="100">
        <f t="shared" si="161"/>
        <v>17</v>
      </c>
      <c r="BA86" s="106"/>
      <c r="BB86" s="105"/>
      <c r="BC86" s="105">
        <f t="shared" si="162"/>
        <v>0</v>
      </c>
      <c r="BD86" s="106"/>
      <c r="BE86" s="105">
        <f t="shared" si="174"/>
        <v>17</v>
      </c>
      <c r="BF86" s="106"/>
      <c r="BG86" s="100">
        <f t="shared" si="175"/>
        <v>0</v>
      </c>
      <c r="BH86" s="106"/>
      <c r="BI86" s="100">
        <f t="shared" si="176"/>
        <v>0</v>
      </c>
      <c r="BJ86" s="106"/>
      <c r="BK86" s="101">
        <f t="shared" si="163"/>
        <v>17</v>
      </c>
      <c r="BL86" s="106"/>
      <c r="BM86" s="104">
        <v>850</v>
      </c>
      <c r="BN86" s="104">
        <f t="shared" si="164"/>
        <v>17</v>
      </c>
      <c r="BO86" s="105">
        <v>850</v>
      </c>
      <c r="BP86" s="105">
        <f t="shared" si="124"/>
        <v>17</v>
      </c>
      <c r="BQ86" s="106"/>
      <c r="BR86" s="105"/>
      <c r="BS86" s="105">
        <f t="shared" si="142"/>
        <v>0</v>
      </c>
      <c r="BT86" s="106"/>
      <c r="BU86" s="53"/>
      <c r="BV86" s="53">
        <f t="shared" si="165"/>
        <v>0</v>
      </c>
      <c r="BW86" s="54"/>
      <c r="BX86" s="350">
        <f t="shared" si="166"/>
        <v>17</v>
      </c>
      <c r="BY86" s="211"/>
      <c r="BZ86" s="211">
        <f t="shared" si="180"/>
        <v>0</v>
      </c>
      <c r="CA86" s="508"/>
      <c r="CB86" s="7"/>
      <c r="CC86" s="7"/>
      <c r="CD86" s="158"/>
      <c r="CE86" s="504"/>
      <c r="CF86" s="105"/>
      <c r="CG86" s="105">
        <f t="shared" si="181"/>
        <v>0</v>
      </c>
      <c r="CH86" s="105"/>
      <c r="CI86" s="105"/>
      <c r="CJ86" s="105">
        <f t="shared" si="182"/>
        <v>0</v>
      </c>
      <c r="CK86" s="524"/>
      <c r="CL86" s="53">
        <f t="shared" si="167"/>
        <v>0</v>
      </c>
      <c r="CM86" s="54"/>
      <c r="CN86" s="105"/>
      <c r="CO86" s="100">
        <f t="shared" si="126"/>
        <v>0</v>
      </c>
      <c r="CP86" s="496"/>
      <c r="CQ86" s="439"/>
      <c r="CR86" s="504"/>
      <c r="CS86" s="105"/>
      <c r="CT86" s="105">
        <f t="shared" si="168"/>
        <v>0</v>
      </c>
      <c r="CU86" s="105"/>
      <c r="CV86" s="105"/>
      <c r="CW86" s="105">
        <f t="shared" si="169"/>
        <v>0</v>
      </c>
      <c r="CX86" s="53"/>
      <c r="CY86" s="109">
        <f t="shared" si="127"/>
        <v>0</v>
      </c>
      <c r="CZ86" s="54"/>
      <c r="DA86" s="105"/>
      <c r="DB86" s="455">
        <f t="shared" si="170"/>
        <v>0</v>
      </c>
      <c r="DC86" s="495"/>
      <c r="DD86" s="27"/>
      <c r="DF86" s="1133"/>
      <c r="DG86" s="674">
        <f t="shared" si="177"/>
        <v>0</v>
      </c>
      <c r="DH86" s="1119">
        <f t="shared" si="178"/>
        <v>0</v>
      </c>
      <c r="DI86" s="1119"/>
      <c r="DJ86" s="101">
        <f t="shared" si="179"/>
        <v>17</v>
      </c>
      <c r="DK86" s="101"/>
      <c r="DL86" s="101">
        <f t="shared" si="173"/>
        <v>0</v>
      </c>
      <c r="DM86" s="101"/>
      <c r="DN86" s="112"/>
      <c r="DO86" s="112">
        <f>DJ86</f>
        <v>17</v>
      </c>
      <c r="DP86" s="112"/>
      <c r="DQ86" s="112"/>
      <c r="DS86" s="140"/>
      <c r="DT86" s="140"/>
      <c r="DU86" s="140"/>
      <c r="DV86" s="140"/>
      <c r="DW86" s="140"/>
      <c r="DX86" s="140"/>
      <c r="DY86" s="140"/>
      <c r="DZ86" s="140"/>
    </row>
    <row r="87" spans="1:130" ht="21.6" customHeight="1" x14ac:dyDescent="0.25">
      <c r="A87" s="4" t="s">
        <v>28</v>
      </c>
      <c r="B87" s="4">
        <v>15</v>
      </c>
      <c r="C87" s="167" t="s">
        <v>42</v>
      </c>
      <c r="D87" s="167" t="s">
        <v>437</v>
      </c>
      <c r="E87" s="13" t="s">
        <v>49</v>
      </c>
      <c r="F87" s="162">
        <v>107</v>
      </c>
      <c r="G87" s="162">
        <v>16</v>
      </c>
      <c r="H87" s="162">
        <f t="shared" si="171"/>
        <v>123</v>
      </c>
      <c r="I87" s="162"/>
      <c r="J87" s="162">
        <v>39.4</v>
      </c>
      <c r="K87" s="162">
        <f t="shared" si="172"/>
        <v>39.4</v>
      </c>
      <c r="L87" s="163"/>
      <c r="M87" s="414"/>
      <c r="N87" s="46"/>
      <c r="O87" s="164"/>
      <c r="P87" s="165"/>
      <c r="Q87" s="165"/>
      <c r="R87" s="165"/>
      <c r="S87" s="158"/>
      <c r="T87" s="89"/>
      <c r="U87" s="89"/>
      <c r="V87" s="89">
        <v>26</v>
      </c>
      <c r="W87" s="137"/>
      <c r="X87" s="137"/>
      <c r="Y87" s="90">
        <f t="shared" si="154"/>
        <v>0</v>
      </c>
      <c r="Z87" s="169"/>
      <c r="AA87" s="92"/>
      <c r="AB87" s="92"/>
      <c r="AC87" s="92">
        <f t="shared" si="155"/>
        <v>0</v>
      </c>
      <c r="AD87" s="93"/>
      <c r="AE87" s="93"/>
      <c r="AF87" s="94">
        <f t="shared" si="156"/>
        <v>0</v>
      </c>
      <c r="AG87" s="475"/>
      <c r="AH87" s="99">
        <v>285</v>
      </c>
      <c r="AI87" s="99">
        <f t="shared" si="157"/>
        <v>19</v>
      </c>
      <c r="AJ87" s="138">
        <v>285</v>
      </c>
      <c r="AK87" s="138">
        <f t="shared" si="158"/>
        <v>19</v>
      </c>
      <c r="AL87" s="106"/>
      <c r="AM87" s="105"/>
      <c r="AN87" s="105">
        <f t="shared" si="159"/>
        <v>0</v>
      </c>
      <c r="AO87" s="106"/>
      <c r="AP87" s="105"/>
      <c r="AQ87" s="105">
        <f t="shared" si="107"/>
        <v>0</v>
      </c>
      <c r="AR87" s="106"/>
      <c r="AS87" s="97">
        <f t="shared" si="160"/>
        <v>19</v>
      </c>
      <c r="AT87" s="6"/>
      <c r="AU87" s="105"/>
      <c r="AV87" s="455">
        <f t="shared" si="114"/>
        <v>0</v>
      </c>
      <c r="AW87" s="496"/>
      <c r="AX87" s="508"/>
      <c r="AY87" s="498"/>
      <c r="AZ87" s="100">
        <f t="shared" si="161"/>
        <v>0</v>
      </c>
      <c r="BA87" s="106"/>
      <c r="BB87" s="105"/>
      <c r="BC87" s="105">
        <f t="shared" si="162"/>
        <v>0</v>
      </c>
      <c r="BD87" s="106"/>
      <c r="BE87" s="105">
        <f t="shared" si="174"/>
        <v>19</v>
      </c>
      <c r="BF87" s="106"/>
      <c r="BG87" s="100">
        <f t="shared" si="175"/>
        <v>0</v>
      </c>
      <c r="BH87" s="106"/>
      <c r="BI87" s="100">
        <f t="shared" si="176"/>
        <v>0</v>
      </c>
      <c r="BJ87" s="106"/>
      <c r="BK87" s="101">
        <f t="shared" si="163"/>
        <v>19</v>
      </c>
      <c r="BL87" s="106"/>
      <c r="BM87" s="104">
        <v>972.5</v>
      </c>
      <c r="BN87" s="104">
        <f t="shared" si="164"/>
        <v>19.45</v>
      </c>
      <c r="BO87" s="105">
        <v>950</v>
      </c>
      <c r="BP87" s="105">
        <f t="shared" si="124"/>
        <v>19</v>
      </c>
      <c r="BQ87" s="106"/>
      <c r="BR87" s="105"/>
      <c r="BS87" s="105">
        <f t="shared" si="142"/>
        <v>0</v>
      </c>
      <c r="BT87" s="106"/>
      <c r="BU87" s="53"/>
      <c r="BV87" s="53">
        <f t="shared" si="165"/>
        <v>0</v>
      </c>
      <c r="BW87" s="54"/>
      <c r="BX87" s="350">
        <f t="shared" si="166"/>
        <v>19</v>
      </c>
      <c r="BY87" s="211"/>
      <c r="BZ87" s="211">
        <f t="shared" si="180"/>
        <v>0</v>
      </c>
      <c r="CA87" s="508"/>
      <c r="CB87" s="165"/>
      <c r="CC87" s="165"/>
      <c r="CD87" s="158"/>
      <c r="CE87" s="504"/>
      <c r="CF87" s="105"/>
      <c r="CG87" s="105">
        <f t="shared" si="181"/>
        <v>0</v>
      </c>
      <c r="CH87" s="105"/>
      <c r="CI87" s="105"/>
      <c r="CJ87" s="105">
        <f t="shared" si="182"/>
        <v>0</v>
      </c>
      <c r="CK87" s="524"/>
      <c r="CL87" s="53">
        <f t="shared" si="167"/>
        <v>0</v>
      </c>
      <c r="CM87" s="54"/>
      <c r="CN87" s="105"/>
      <c r="CO87" s="100">
        <f t="shared" si="126"/>
        <v>0</v>
      </c>
      <c r="CP87" s="496"/>
      <c r="CQ87" s="439"/>
      <c r="CR87" s="504"/>
      <c r="CS87" s="105"/>
      <c r="CT87" s="105">
        <f t="shared" si="168"/>
        <v>0</v>
      </c>
      <c r="CU87" s="105"/>
      <c r="CV87" s="105"/>
      <c r="CW87" s="105">
        <f t="shared" si="169"/>
        <v>0</v>
      </c>
      <c r="CX87" s="53"/>
      <c r="CY87" s="109">
        <f t="shared" si="127"/>
        <v>0</v>
      </c>
      <c r="CZ87" s="54"/>
      <c r="DA87" s="105"/>
      <c r="DB87" s="455">
        <f t="shared" si="170"/>
        <v>0</v>
      </c>
      <c r="DC87" s="495"/>
      <c r="DD87" s="27" t="s">
        <v>414</v>
      </c>
      <c r="DF87" s="1133"/>
      <c r="DG87" s="674">
        <f t="shared" si="177"/>
        <v>0</v>
      </c>
      <c r="DH87" s="1119">
        <f t="shared" si="178"/>
        <v>0</v>
      </c>
      <c r="DI87" s="1119"/>
      <c r="DJ87" s="101">
        <f t="shared" si="179"/>
        <v>19</v>
      </c>
      <c r="DK87" s="101"/>
      <c r="DL87" s="101">
        <f t="shared" si="173"/>
        <v>0</v>
      </c>
      <c r="DM87" s="101"/>
      <c r="DN87" s="112"/>
      <c r="DO87" s="112">
        <f>DJ87</f>
        <v>19</v>
      </c>
      <c r="DP87" s="112"/>
      <c r="DQ87" s="112"/>
    </row>
    <row r="88" spans="1:130" ht="21.6" customHeight="1" x14ac:dyDescent="0.25">
      <c r="A88" s="4" t="s">
        <v>28</v>
      </c>
      <c r="B88" s="4">
        <v>16</v>
      </c>
      <c r="C88" s="167" t="s">
        <v>42</v>
      </c>
      <c r="D88" s="167" t="s">
        <v>431</v>
      </c>
      <c r="E88" s="13" t="s">
        <v>50</v>
      </c>
      <c r="F88" s="162">
        <v>16</v>
      </c>
      <c r="G88" s="162">
        <v>3</v>
      </c>
      <c r="H88" s="162">
        <f t="shared" si="171"/>
        <v>19</v>
      </c>
      <c r="I88" s="162"/>
      <c r="J88" s="162">
        <v>12.5</v>
      </c>
      <c r="K88" s="162">
        <f t="shared" si="172"/>
        <v>12.5</v>
      </c>
      <c r="L88" s="163"/>
      <c r="M88" s="414"/>
      <c r="N88" s="46"/>
      <c r="O88" s="164"/>
      <c r="P88" s="165"/>
      <c r="Q88" s="165"/>
      <c r="R88" s="165"/>
      <c r="S88" s="158"/>
      <c r="T88" s="89"/>
      <c r="U88" s="89"/>
      <c r="V88" s="89">
        <f>T88+U88</f>
        <v>0</v>
      </c>
      <c r="W88" s="137"/>
      <c r="X88" s="137"/>
      <c r="Y88" s="90">
        <f t="shared" si="154"/>
        <v>0</v>
      </c>
      <c r="Z88" s="169"/>
      <c r="AA88" s="92"/>
      <c r="AB88" s="92"/>
      <c r="AC88" s="92">
        <f t="shared" si="155"/>
        <v>0</v>
      </c>
      <c r="AD88" s="93"/>
      <c r="AE88" s="93"/>
      <c r="AF88" s="94">
        <f t="shared" si="156"/>
        <v>0</v>
      </c>
      <c r="AG88" s="475"/>
      <c r="AH88" s="99">
        <v>180</v>
      </c>
      <c r="AI88" s="99">
        <f t="shared" si="157"/>
        <v>12</v>
      </c>
      <c r="AJ88" s="138">
        <v>180</v>
      </c>
      <c r="AK88" s="138">
        <f t="shared" si="158"/>
        <v>12</v>
      </c>
      <c r="AL88" s="106"/>
      <c r="AM88" s="105"/>
      <c r="AN88" s="105">
        <f t="shared" si="159"/>
        <v>0</v>
      </c>
      <c r="AO88" s="106"/>
      <c r="AP88" s="105"/>
      <c r="AQ88" s="105">
        <f t="shared" si="107"/>
        <v>0</v>
      </c>
      <c r="AR88" s="106"/>
      <c r="AS88" s="97">
        <f t="shared" si="160"/>
        <v>12</v>
      </c>
      <c r="AT88" s="6"/>
      <c r="AU88" s="105"/>
      <c r="AV88" s="455">
        <f t="shared" si="114"/>
        <v>0</v>
      </c>
      <c r="AW88" s="496"/>
      <c r="AX88" s="508"/>
      <c r="AY88" s="498"/>
      <c r="AZ88" s="100">
        <f t="shared" si="161"/>
        <v>0</v>
      </c>
      <c r="BA88" s="106"/>
      <c r="BB88" s="105"/>
      <c r="BC88" s="105">
        <f t="shared" si="162"/>
        <v>0</v>
      </c>
      <c r="BD88" s="106"/>
      <c r="BE88" s="105">
        <f t="shared" si="174"/>
        <v>12</v>
      </c>
      <c r="BF88" s="106"/>
      <c r="BG88" s="100">
        <f t="shared" si="175"/>
        <v>0</v>
      </c>
      <c r="BH88" s="106"/>
      <c r="BI88" s="100">
        <f t="shared" si="176"/>
        <v>0</v>
      </c>
      <c r="BJ88" s="106"/>
      <c r="BK88" s="101">
        <f t="shared" si="163"/>
        <v>12</v>
      </c>
      <c r="BL88" s="106"/>
      <c r="BM88" s="104">
        <v>600</v>
      </c>
      <c r="BN88" s="104">
        <f t="shared" si="164"/>
        <v>12</v>
      </c>
      <c r="BO88" s="105">
        <v>600</v>
      </c>
      <c r="BP88" s="105">
        <f t="shared" si="124"/>
        <v>12</v>
      </c>
      <c r="BQ88" s="106"/>
      <c r="BR88" s="105"/>
      <c r="BS88" s="105">
        <f t="shared" si="142"/>
        <v>0</v>
      </c>
      <c r="BT88" s="106"/>
      <c r="BU88" s="53"/>
      <c r="BV88" s="53">
        <f t="shared" si="165"/>
        <v>0</v>
      </c>
      <c r="BW88" s="54"/>
      <c r="BX88" s="350">
        <f t="shared" si="166"/>
        <v>12</v>
      </c>
      <c r="BY88" s="211"/>
      <c r="BZ88" s="211">
        <f t="shared" si="180"/>
        <v>0</v>
      </c>
      <c r="CA88" s="508"/>
      <c r="CB88" s="165"/>
      <c r="CC88" s="165"/>
      <c r="CD88" s="158"/>
      <c r="CE88" s="504"/>
      <c r="CF88" s="105"/>
      <c r="CG88" s="105">
        <f t="shared" si="181"/>
        <v>0</v>
      </c>
      <c r="CH88" s="105"/>
      <c r="CI88" s="105"/>
      <c r="CJ88" s="105">
        <f t="shared" si="182"/>
        <v>0</v>
      </c>
      <c r="CK88" s="524"/>
      <c r="CL88" s="53">
        <f t="shared" si="167"/>
        <v>0</v>
      </c>
      <c r="CM88" s="54"/>
      <c r="CN88" s="105"/>
      <c r="CO88" s="100">
        <f t="shared" si="126"/>
        <v>0</v>
      </c>
      <c r="CP88" s="496"/>
      <c r="CQ88" s="439"/>
      <c r="CR88" s="504"/>
      <c r="CS88" s="105"/>
      <c r="CT88" s="105">
        <f t="shared" si="168"/>
        <v>0</v>
      </c>
      <c r="CU88" s="105"/>
      <c r="CV88" s="105"/>
      <c r="CW88" s="105">
        <f t="shared" si="169"/>
        <v>0</v>
      </c>
      <c r="CX88" s="53"/>
      <c r="CY88" s="109">
        <f t="shared" si="127"/>
        <v>0</v>
      </c>
      <c r="CZ88" s="54"/>
      <c r="DA88" s="105"/>
      <c r="DB88" s="455">
        <f t="shared" si="170"/>
        <v>0</v>
      </c>
      <c r="DC88" s="495"/>
      <c r="DD88" s="27"/>
      <c r="DF88" s="1133"/>
      <c r="DG88" s="674">
        <f t="shared" si="177"/>
        <v>0</v>
      </c>
      <c r="DH88" s="1119">
        <f t="shared" si="178"/>
        <v>0</v>
      </c>
      <c r="DI88" s="1119"/>
      <c r="DJ88" s="101">
        <f t="shared" si="179"/>
        <v>12</v>
      </c>
      <c r="DK88" s="101"/>
      <c r="DL88" s="101">
        <f t="shared" si="173"/>
        <v>0</v>
      </c>
      <c r="DM88" s="101"/>
      <c r="DN88" s="112"/>
      <c r="DO88" s="112"/>
      <c r="DP88" s="112"/>
      <c r="DQ88" s="112"/>
    </row>
    <row r="89" spans="1:130" s="151" customFormat="1" ht="21.6" customHeight="1" x14ac:dyDescent="0.25">
      <c r="A89" s="141"/>
      <c r="B89" s="141"/>
      <c r="C89" s="143"/>
      <c r="D89" s="143"/>
      <c r="E89" s="22"/>
      <c r="F89" s="144"/>
      <c r="G89" s="144"/>
      <c r="H89" s="144"/>
      <c r="I89" s="144"/>
      <c r="J89" s="144"/>
      <c r="K89" s="144"/>
      <c r="L89" s="145"/>
      <c r="M89" s="146"/>
      <c r="N89" s="147"/>
      <c r="O89" s="179"/>
      <c r="P89" s="148"/>
      <c r="Q89" s="148"/>
      <c r="R89" s="148"/>
      <c r="S89" s="148"/>
      <c r="T89" s="123"/>
      <c r="U89" s="123"/>
      <c r="V89" s="123"/>
      <c r="W89" s="149"/>
      <c r="X89" s="149"/>
      <c r="Y89" s="124"/>
      <c r="Z89" s="125"/>
      <c r="AA89" s="123"/>
      <c r="AB89" s="123"/>
      <c r="AC89" s="123"/>
      <c r="AD89" s="124"/>
      <c r="AE89" s="124"/>
      <c r="AF89" s="126"/>
      <c r="AG89" s="474"/>
      <c r="AH89" s="129"/>
      <c r="AI89" s="129"/>
      <c r="AJ89" s="138"/>
      <c r="AK89" s="138"/>
      <c r="AL89" s="106"/>
      <c r="AM89" s="105"/>
      <c r="AN89" s="105"/>
      <c r="AO89" s="106"/>
      <c r="AP89" s="105"/>
      <c r="AQ89" s="105">
        <f t="shared" si="107"/>
        <v>0</v>
      </c>
      <c r="AR89" s="106"/>
      <c r="AS89" s="97">
        <f t="shared" si="160"/>
        <v>0</v>
      </c>
      <c r="AT89" s="6"/>
      <c r="AU89" s="105"/>
      <c r="AV89" s="455">
        <f t="shared" si="114"/>
        <v>0</v>
      </c>
      <c r="AW89" s="496"/>
      <c r="AX89" s="508"/>
      <c r="AY89" s="498"/>
      <c r="AZ89" s="100"/>
      <c r="BA89" s="101"/>
      <c r="BB89" s="100"/>
      <c r="BC89" s="100"/>
      <c r="BD89" s="101"/>
      <c r="BE89" s="105"/>
      <c r="BF89" s="106"/>
      <c r="BG89" s="100">
        <f t="shared" si="175"/>
        <v>0</v>
      </c>
      <c r="BH89" s="106"/>
      <c r="BI89" s="100">
        <f t="shared" si="176"/>
        <v>0</v>
      </c>
      <c r="BJ89" s="106"/>
      <c r="BK89" s="101">
        <f t="shared" si="163"/>
        <v>0</v>
      </c>
      <c r="BL89" s="106"/>
      <c r="BM89" s="130"/>
      <c r="BN89" s="130"/>
      <c r="BO89" s="105"/>
      <c r="BP89" s="105">
        <f t="shared" si="124"/>
        <v>0</v>
      </c>
      <c r="BQ89" s="106"/>
      <c r="BR89" s="105"/>
      <c r="BS89" s="105"/>
      <c r="BT89" s="106"/>
      <c r="BU89" s="53"/>
      <c r="BV89" s="53"/>
      <c r="BW89" s="54"/>
      <c r="BX89" s="350">
        <f t="shared" si="166"/>
        <v>0</v>
      </c>
      <c r="BY89" s="194"/>
      <c r="BZ89" s="194">
        <f t="shared" si="180"/>
        <v>0</v>
      </c>
      <c r="CA89" s="536"/>
      <c r="CB89" s="148"/>
      <c r="CC89" s="148"/>
      <c r="CD89" s="148"/>
      <c r="CE89" s="504"/>
      <c r="CF89" s="105"/>
      <c r="CG89" s="105">
        <f t="shared" si="181"/>
        <v>0</v>
      </c>
      <c r="CH89" s="105"/>
      <c r="CI89" s="105"/>
      <c r="CJ89" s="105">
        <f t="shared" si="182"/>
        <v>0</v>
      </c>
      <c r="CK89" s="523"/>
      <c r="CL89" s="102"/>
      <c r="CM89" s="103"/>
      <c r="CN89" s="100"/>
      <c r="CO89" s="100">
        <f t="shared" si="126"/>
        <v>0</v>
      </c>
      <c r="CP89" s="515"/>
      <c r="CQ89" s="441"/>
      <c r="CR89" s="504"/>
      <c r="CS89" s="105"/>
      <c r="CT89" s="105">
        <f t="shared" si="168"/>
        <v>0</v>
      </c>
      <c r="CU89" s="105"/>
      <c r="CV89" s="105"/>
      <c r="CW89" s="105">
        <f t="shared" si="169"/>
        <v>0</v>
      </c>
      <c r="CX89" s="53"/>
      <c r="CY89" s="109">
        <f t="shared" si="127"/>
        <v>0</v>
      </c>
      <c r="CZ89" s="54"/>
      <c r="DA89" s="105"/>
      <c r="DB89" s="455">
        <f t="shared" si="170"/>
        <v>0</v>
      </c>
      <c r="DC89" s="495"/>
      <c r="DD89" s="38"/>
      <c r="DF89" s="1133"/>
      <c r="DG89" s="674">
        <f t="shared" si="177"/>
        <v>0</v>
      </c>
      <c r="DH89" s="1119">
        <f t="shared" si="178"/>
        <v>0</v>
      </c>
      <c r="DI89" s="1119"/>
      <c r="DJ89" s="101">
        <f t="shared" si="179"/>
        <v>0</v>
      </c>
      <c r="DK89" s="101"/>
      <c r="DL89" s="101">
        <f t="shared" si="173"/>
        <v>0</v>
      </c>
      <c r="DM89" s="101"/>
      <c r="DN89" s="112"/>
      <c r="DO89" s="112"/>
      <c r="DP89" s="112"/>
      <c r="DQ89" s="112"/>
      <c r="DS89" s="152"/>
      <c r="DT89" s="152"/>
      <c r="DU89" s="152"/>
      <c r="DV89" s="152"/>
      <c r="DW89" s="152"/>
      <c r="DX89" s="152"/>
      <c r="DY89" s="152"/>
      <c r="DZ89" s="152"/>
    </row>
    <row r="90" spans="1:130" s="139" customFormat="1" ht="21.6" customHeight="1" x14ac:dyDescent="0.25">
      <c r="A90" s="207"/>
      <c r="B90" s="207"/>
      <c r="C90" s="167" t="s">
        <v>51</v>
      </c>
      <c r="D90" s="167"/>
      <c r="E90" s="42" t="s">
        <v>392</v>
      </c>
      <c r="F90" s="208"/>
      <c r="G90" s="208"/>
      <c r="H90" s="208"/>
      <c r="I90" s="208"/>
      <c r="J90" s="208"/>
      <c r="K90" s="225">
        <f>I90+J90</f>
        <v>0</v>
      </c>
      <c r="L90" s="226"/>
      <c r="M90" s="186"/>
      <c r="N90" s="177"/>
      <c r="O90" s="227"/>
      <c r="P90" s="228"/>
      <c r="Q90" s="228"/>
      <c r="R90" s="228"/>
      <c r="S90" s="229"/>
      <c r="T90" s="213"/>
      <c r="U90" s="213"/>
      <c r="V90" s="213">
        <f>T90+U90</f>
        <v>0</v>
      </c>
      <c r="W90" s="214"/>
      <c r="X90" s="214"/>
      <c r="Y90" s="215">
        <f>W90+X90</f>
        <v>0</v>
      </c>
      <c r="Z90" s="230"/>
      <c r="AA90" s="217"/>
      <c r="AB90" s="217"/>
      <c r="AC90" s="92">
        <f t="shared" ref="AC90:AC106" si="183">AA90+AB90</f>
        <v>0</v>
      </c>
      <c r="AD90" s="218"/>
      <c r="AE90" s="218"/>
      <c r="AF90" s="94">
        <f t="shared" ref="AF90:AF106" si="184">AD90+AE90</f>
        <v>0</v>
      </c>
      <c r="AG90" s="478"/>
      <c r="AH90" s="219"/>
      <c r="AI90" s="219">
        <f t="shared" ref="AI90:AI106" si="185">AH90/15</f>
        <v>0</v>
      </c>
      <c r="AJ90" s="221"/>
      <c r="AK90" s="138">
        <f t="shared" ref="AK90:AK106" si="186">AJ90/15</f>
        <v>0</v>
      </c>
      <c r="AL90" s="106">
        <f>SUM(AK90:AK106)</f>
        <v>82.333333333333343</v>
      </c>
      <c r="AM90" s="105"/>
      <c r="AN90" s="105">
        <f t="shared" ref="AN90:AN106" si="187">AM90/15</f>
        <v>0</v>
      </c>
      <c r="AO90" s="106">
        <f>SUM(AN90:AN106)</f>
        <v>489.66666666666663</v>
      </c>
      <c r="AP90" s="105"/>
      <c r="AQ90" s="105">
        <f t="shared" si="107"/>
        <v>0</v>
      </c>
      <c r="AR90" s="106">
        <f>SUM(AQ90:AQ106)</f>
        <v>0</v>
      </c>
      <c r="AS90" s="97">
        <f t="shared" si="160"/>
        <v>0</v>
      </c>
      <c r="AT90" s="6">
        <f>SUM(AS90:AS106)</f>
        <v>572</v>
      </c>
      <c r="AU90" s="105"/>
      <c r="AV90" s="455">
        <f t="shared" si="114"/>
        <v>0</v>
      </c>
      <c r="AW90" s="496">
        <f>SUM(AV90:AV106)</f>
        <v>0</v>
      </c>
      <c r="AX90" s="508"/>
      <c r="AY90" s="500"/>
      <c r="AZ90" s="100">
        <f t="shared" ref="AZ90:AZ106" si="188">AY90/15</f>
        <v>0</v>
      </c>
      <c r="BA90" s="106">
        <f>SUM(AZ90:AZ106)</f>
        <v>128</v>
      </c>
      <c r="BB90" s="105"/>
      <c r="BC90" s="105">
        <f t="shared" ref="BC90:BC106" si="189">BB90/15</f>
        <v>0</v>
      </c>
      <c r="BD90" s="106">
        <f>SUM(BC90:BC106)</f>
        <v>5</v>
      </c>
      <c r="BE90" s="105">
        <f t="shared" ref="BE90:BE106" si="190">AK90+AZ90</f>
        <v>0</v>
      </c>
      <c r="BF90" s="106">
        <f>SUM(BE90:BE106)</f>
        <v>210.33333333333334</v>
      </c>
      <c r="BG90" s="100">
        <f t="shared" si="175"/>
        <v>0</v>
      </c>
      <c r="BH90" s="106">
        <f>SUM(BG90:BG106)</f>
        <v>494.66666666666663</v>
      </c>
      <c r="BI90" s="100">
        <f t="shared" si="176"/>
        <v>0</v>
      </c>
      <c r="BJ90" s="106">
        <f>SUM(BI90:BI106)</f>
        <v>0</v>
      </c>
      <c r="BK90" s="101">
        <f t="shared" si="163"/>
        <v>0</v>
      </c>
      <c r="BL90" s="106">
        <f>SUM(BK90:BK106)</f>
        <v>705</v>
      </c>
      <c r="BM90" s="219"/>
      <c r="BN90" s="219">
        <f t="shared" ref="BN90:BN106" si="191">BM90/50</f>
        <v>0</v>
      </c>
      <c r="BO90" s="221"/>
      <c r="BP90" s="105">
        <f t="shared" si="124"/>
        <v>0</v>
      </c>
      <c r="BQ90" s="106">
        <f>SUM(BP90:BP106)</f>
        <v>88</v>
      </c>
      <c r="BR90" s="105"/>
      <c r="BS90" s="105">
        <f t="shared" ref="BS90:BS106" si="192">BR90/50</f>
        <v>0</v>
      </c>
      <c r="BT90" s="106">
        <f>SUM(BS90:BS106)</f>
        <v>612</v>
      </c>
      <c r="BU90" s="53"/>
      <c r="BV90" s="53">
        <f t="shared" ref="BV90:BV106" si="193">BU90/50</f>
        <v>0</v>
      </c>
      <c r="BW90" s="54">
        <f>SUM(BV90:BV106)</f>
        <v>0</v>
      </c>
      <c r="BX90" s="350">
        <f t="shared" si="166"/>
        <v>0</v>
      </c>
      <c r="BY90" s="211">
        <f>SUM(BX90:BX106)</f>
        <v>700</v>
      </c>
      <c r="BZ90" s="211">
        <f t="shared" si="180"/>
        <v>0</v>
      </c>
      <c r="CA90" s="508"/>
      <c r="CB90" s="228"/>
      <c r="CC90" s="228"/>
      <c r="CD90" s="229"/>
      <c r="CE90" s="504"/>
      <c r="CF90" s="105"/>
      <c r="CG90" s="105">
        <f t="shared" si="181"/>
        <v>0</v>
      </c>
      <c r="CH90" s="105"/>
      <c r="CI90" s="105"/>
      <c r="CJ90" s="105">
        <f t="shared" si="182"/>
        <v>0</v>
      </c>
      <c r="CK90" s="524"/>
      <c r="CL90" s="53">
        <f t="shared" ref="CL90:CL106" si="194">CK90/15</f>
        <v>0</v>
      </c>
      <c r="CM90" s="54">
        <f>SUM(CL90:CL106)</f>
        <v>0</v>
      </c>
      <c r="CN90" s="105"/>
      <c r="CO90" s="100">
        <f t="shared" si="126"/>
        <v>0</v>
      </c>
      <c r="CP90" s="496">
        <f>SUM(CO90:CO106)</f>
        <v>0</v>
      </c>
      <c r="CQ90" s="439"/>
      <c r="CR90" s="504"/>
      <c r="CS90" s="105"/>
      <c r="CT90" s="105">
        <f t="shared" si="168"/>
        <v>0</v>
      </c>
      <c r="CU90" s="105"/>
      <c r="CV90" s="105"/>
      <c r="CW90" s="105">
        <f t="shared" si="169"/>
        <v>0</v>
      </c>
      <c r="CX90" s="53"/>
      <c r="CY90" s="109">
        <f t="shared" si="127"/>
        <v>0</v>
      </c>
      <c r="CZ90" s="54">
        <f>SUM(CY90:CY106)</f>
        <v>0</v>
      </c>
      <c r="DA90" s="105"/>
      <c r="DB90" s="455">
        <f t="shared" si="170"/>
        <v>0</v>
      </c>
      <c r="DC90" s="495">
        <f>SUM(DB90:DB106)</f>
        <v>0</v>
      </c>
      <c r="DD90" s="29"/>
      <c r="DE90" s="222"/>
      <c r="DF90" s="1133"/>
      <c r="DG90" s="674">
        <f t="shared" si="177"/>
        <v>0</v>
      </c>
      <c r="DH90" s="1119">
        <f t="shared" si="178"/>
        <v>0</v>
      </c>
      <c r="DI90" s="1119"/>
      <c r="DJ90" s="101">
        <f t="shared" si="179"/>
        <v>0</v>
      </c>
      <c r="DK90" s="101">
        <f>SUM(DJ90:DJ106)</f>
        <v>705</v>
      </c>
      <c r="DL90" s="101">
        <f t="shared" si="173"/>
        <v>0</v>
      </c>
      <c r="DM90" s="101"/>
      <c r="DN90" s="112"/>
      <c r="DO90" s="112"/>
      <c r="DP90" s="112"/>
      <c r="DQ90" s="112"/>
      <c r="DR90" s="222"/>
      <c r="DS90" s="223"/>
      <c r="DT90" s="223"/>
      <c r="DU90" s="223"/>
      <c r="DV90" s="140"/>
      <c r="DW90" s="140"/>
      <c r="DX90" s="140"/>
      <c r="DY90" s="140"/>
      <c r="DZ90" s="140"/>
    </row>
    <row r="91" spans="1:130" s="139" customFormat="1" ht="21.6" customHeight="1" x14ac:dyDescent="0.25">
      <c r="A91" s="4"/>
      <c r="B91" s="4"/>
      <c r="C91" s="134" t="s">
        <v>51</v>
      </c>
      <c r="D91" s="134" t="s">
        <v>431</v>
      </c>
      <c r="E91" s="3" t="s">
        <v>303</v>
      </c>
      <c r="F91" s="135"/>
      <c r="G91" s="135"/>
      <c r="H91" s="135"/>
      <c r="I91" s="135"/>
      <c r="J91" s="135"/>
      <c r="K91" s="135"/>
      <c r="L91" s="136"/>
      <c r="M91" s="5"/>
      <c r="N91" s="41"/>
      <c r="O91" s="153"/>
      <c r="P91" s="7"/>
      <c r="Q91" s="7"/>
      <c r="R91" s="7"/>
      <c r="S91" s="158"/>
      <c r="T91" s="89"/>
      <c r="U91" s="89"/>
      <c r="V91" s="89">
        <f>T91+U91</f>
        <v>0</v>
      </c>
      <c r="W91" s="137"/>
      <c r="X91" s="137"/>
      <c r="Y91" s="90">
        <f>W91+X91</f>
        <v>0</v>
      </c>
      <c r="Z91" s="91"/>
      <c r="AA91" s="92"/>
      <c r="AB91" s="92"/>
      <c r="AC91" s="92">
        <f t="shared" si="183"/>
        <v>0</v>
      </c>
      <c r="AD91" s="93"/>
      <c r="AE91" s="93"/>
      <c r="AF91" s="94">
        <f t="shared" si="184"/>
        <v>0</v>
      </c>
      <c r="AG91" s="473"/>
      <c r="AH91" s="99">
        <v>130</v>
      </c>
      <c r="AI91" s="99">
        <f t="shared" si="185"/>
        <v>8.6666666666666661</v>
      </c>
      <c r="AJ91" s="138">
        <v>130</v>
      </c>
      <c r="AK91" s="138">
        <f t="shared" si="186"/>
        <v>8.6666666666666661</v>
      </c>
      <c r="AL91" s="106"/>
      <c r="AM91" s="105">
        <v>30</v>
      </c>
      <c r="AN91" s="105">
        <f t="shared" si="187"/>
        <v>2</v>
      </c>
      <c r="AO91" s="106"/>
      <c r="AP91" s="105"/>
      <c r="AQ91" s="105">
        <f t="shared" si="107"/>
        <v>0</v>
      </c>
      <c r="AR91" s="106"/>
      <c r="AS91" s="97">
        <f t="shared" si="160"/>
        <v>10.666666666666666</v>
      </c>
      <c r="AT91" s="6"/>
      <c r="AU91" s="105"/>
      <c r="AV91" s="455">
        <f t="shared" si="114"/>
        <v>0</v>
      </c>
      <c r="AW91" s="496"/>
      <c r="AX91" s="508"/>
      <c r="AY91" s="498">
        <v>80</v>
      </c>
      <c r="AZ91" s="100">
        <f t="shared" si="188"/>
        <v>5.333333333333333</v>
      </c>
      <c r="BA91" s="106"/>
      <c r="BB91" s="105"/>
      <c r="BC91" s="105">
        <f t="shared" si="189"/>
        <v>0</v>
      </c>
      <c r="BD91" s="106"/>
      <c r="BE91" s="105">
        <f t="shared" si="190"/>
        <v>14</v>
      </c>
      <c r="BF91" s="106"/>
      <c r="BG91" s="100">
        <f t="shared" si="175"/>
        <v>2</v>
      </c>
      <c r="BH91" s="106"/>
      <c r="BI91" s="100">
        <f t="shared" si="176"/>
        <v>0</v>
      </c>
      <c r="BJ91" s="106"/>
      <c r="BK91" s="101">
        <f t="shared" si="163"/>
        <v>16</v>
      </c>
      <c r="BL91" s="106"/>
      <c r="BM91" s="104">
        <f>442.5+268</f>
        <v>710.5</v>
      </c>
      <c r="BN91" s="104">
        <f t="shared" si="191"/>
        <v>14.21</v>
      </c>
      <c r="BO91" s="105">
        <v>700</v>
      </c>
      <c r="BP91" s="105">
        <f t="shared" si="124"/>
        <v>14</v>
      </c>
      <c r="BQ91" s="106"/>
      <c r="BR91" s="105">
        <v>100</v>
      </c>
      <c r="BS91" s="105">
        <f t="shared" si="192"/>
        <v>2</v>
      </c>
      <c r="BT91" s="106"/>
      <c r="BU91" s="53"/>
      <c r="BV91" s="53">
        <f t="shared" si="193"/>
        <v>0</v>
      </c>
      <c r="BW91" s="54"/>
      <c r="BX91" s="350">
        <f t="shared" si="166"/>
        <v>16</v>
      </c>
      <c r="BY91" s="211"/>
      <c r="BZ91" s="211">
        <f t="shared" si="180"/>
        <v>0</v>
      </c>
      <c r="CA91" s="508"/>
      <c r="CB91" s="7"/>
      <c r="CC91" s="7"/>
      <c r="CD91" s="158"/>
      <c r="CE91" s="504"/>
      <c r="CF91" s="105"/>
      <c r="CG91" s="105">
        <f t="shared" si="181"/>
        <v>0</v>
      </c>
      <c r="CH91" s="105"/>
      <c r="CI91" s="105"/>
      <c r="CJ91" s="105">
        <f t="shared" si="182"/>
        <v>0</v>
      </c>
      <c r="CK91" s="525"/>
      <c r="CL91" s="54">
        <f t="shared" si="194"/>
        <v>0</v>
      </c>
      <c r="CM91" s="54"/>
      <c r="CN91" s="105"/>
      <c r="CO91" s="100">
        <f t="shared" si="126"/>
        <v>0</v>
      </c>
      <c r="CP91" s="496"/>
      <c r="CQ91" s="439"/>
      <c r="CR91" s="504"/>
      <c r="CS91" s="105"/>
      <c r="CT91" s="105">
        <f t="shared" si="168"/>
        <v>0</v>
      </c>
      <c r="CU91" s="105"/>
      <c r="CV91" s="105"/>
      <c r="CW91" s="105">
        <f t="shared" si="169"/>
        <v>0</v>
      </c>
      <c r="CX91" s="53"/>
      <c r="CY91" s="109">
        <f t="shared" si="127"/>
        <v>0</v>
      </c>
      <c r="CZ91" s="54"/>
      <c r="DA91" s="105"/>
      <c r="DB91" s="455">
        <f t="shared" si="170"/>
        <v>0</v>
      </c>
      <c r="DC91" s="495"/>
      <c r="DD91" s="27" t="s">
        <v>374</v>
      </c>
      <c r="DF91" s="1133"/>
      <c r="DG91" s="674">
        <f t="shared" si="177"/>
        <v>0</v>
      </c>
      <c r="DH91" s="1119">
        <f t="shared" si="178"/>
        <v>0</v>
      </c>
      <c r="DI91" s="1119"/>
      <c r="DJ91" s="101">
        <f t="shared" si="179"/>
        <v>16</v>
      </c>
      <c r="DK91" s="101"/>
      <c r="DL91" s="101">
        <f t="shared" si="173"/>
        <v>0</v>
      </c>
      <c r="DM91" s="101"/>
      <c r="DN91" s="112"/>
      <c r="DO91" s="112"/>
      <c r="DP91" s="112"/>
      <c r="DQ91" s="112"/>
      <c r="DS91" s="140"/>
      <c r="DT91" s="140"/>
      <c r="DU91" s="140"/>
      <c r="DV91" s="140"/>
      <c r="DW91" s="140"/>
      <c r="DX91" s="140"/>
      <c r="DY91" s="140"/>
      <c r="DZ91" s="140"/>
    </row>
    <row r="92" spans="1:130" s="139" customFormat="1" ht="21.6" customHeight="1" x14ac:dyDescent="0.25">
      <c r="A92" s="4"/>
      <c r="B92" s="4"/>
      <c r="C92" s="153" t="s">
        <v>51</v>
      </c>
      <c r="D92" s="153" t="s">
        <v>429</v>
      </c>
      <c r="E92" s="3" t="s">
        <v>362</v>
      </c>
      <c r="F92" s="135"/>
      <c r="G92" s="135"/>
      <c r="H92" s="135"/>
      <c r="I92" s="135"/>
      <c r="J92" s="135"/>
      <c r="K92" s="135"/>
      <c r="L92" s="136"/>
      <c r="M92" s="5"/>
      <c r="N92" s="41"/>
      <c r="O92" s="153"/>
      <c r="P92" s="7"/>
      <c r="Q92" s="7"/>
      <c r="R92" s="7"/>
      <c r="S92" s="158"/>
      <c r="T92" s="89"/>
      <c r="U92" s="89"/>
      <c r="V92" s="89">
        <f>T92+U92</f>
        <v>0</v>
      </c>
      <c r="W92" s="137"/>
      <c r="X92" s="137"/>
      <c r="Y92" s="90">
        <f>W92+X92</f>
        <v>0</v>
      </c>
      <c r="Z92" s="91"/>
      <c r="AA92" s="92"/>
      <c r="AB92" s="92"/>
      <c r="AC92" s="92">
        <f t="shared" si="183"/>
        <v>0</v>
      </c>
      <c r="AD92" s="93"/>
      <c r="AE92" s="93"/>
      <c r="AF92" s="94">
        <f t="shared" si="184"/>
        <v>0</v>
      </c>
      <c r="AG92" s="473"/>
      <c r="AH92" s="99">
        <f>355+65</f>
        <v>420</v>
      </c>
      <c r="AI92" s="99">
        <f t="shared" si="185"/>
        <v>28</v>
      </c>
      <c r="AJ92" s="138"/>
      <c r="AK92" s="138">
        <f t="shared" si="186"/>
        <v>0</v>
      </c>
      <c r="AL92" s="106"/>
      <c r="AM92" s="105">
        <v>355</v>
      </c>
      <c r="AN92" s="105">
        <f t="shared" si="187"/>
        <v>23.666666666666668</v>
      </c>
      <c r="AO92" s="106"/>
      <c r="AP92" s="105"/>
      <c r="AQ92" s="105">
        <f t="shared" si="107"/>
        <v>0</v>
      </c>
      <c r="AR92" s="106"/>
      <c r="AS92" s="97">
        <f t="shared" si="160"/>
        <v>23.666666666666668</v>
      </c>
      <c r="AT92" s="6"/>
      <c r="AU92" s="105"/>
      <c r="AV92" s="455">
        <f t="shared" si="114"/>
        <v>0</v>
      </c>
      <c r="AW92" s="496"/>
      <c r="AX92" s="508"/>
      <c r="AY92" s="498">
        <v>50</v>
      </c>
      <c r="AZ92" s="100">
        <f t="shared" si="188"/>
        <v>3.3333333333333335</v>
      </c>
      <c r="BA92" s="106"/>
      <c r="BB92" s="105"/>
      <c r="BC92" s="105">
        <f t="shared" si="189"/>
        <v>0</v>
      </c>
      <c r="BD92" s="106"/>
      <c r="BE92" s="105">
        <f t="shared" si="190"/>
        <v>3.3333333333333335</v>
      </c>
      <c r="BF92" s="106"/>
      <c r="BG92" s="100">
        <f t="shared" si="175"/>
        <v>23.666666666666668</v>
      </c>
      <c r="BH92" s="106"/>
      <c r="BI92" s="100">
        <f t="shared" si="176"/>
        <v>0</v>
      </c>
      <c r="BJ92" s="106"/>
      <c r="BK92" s="101">
        <f t="shared" si="163"/>
        <v>27</v>
      </c>
      <c r="BL92" s="106"/>
      <c r="BM92" s="104">
        <f>1350+218</f>
        <v>1568</v>
      </c>
      <c r="BN92" s="104">
        <f t="shared" si="191"/>
        <v>31.36</v>
      </c>
      <c r="BO92" s="105"/>
      <c r="BP92" s="105">
        <f t="shared" si="124"/>
        <v>0</v>
      </c>
      <c r="BQ92" s="106"/>
      <c r="BR92" s="105">
        <f>1150+150</f>
        <v>1300</v>
      </c>
      <c r="BS92" s="105">
        <f t="shared" si="192"/>
        <v>26</v>
      </c>
      <c r="BT92" s="106"/>
      <c r="BU92" s="53"/>
      <c r="BV92" s="53">
        <f t="shared" si="193"/>
        <v>0</v>
      </c>
      <c r="BW92" s="54"/>
      <c r="BX92" s="350">
        <f t="shared" si="166"/>
        <v>26</v>
      </c>
      <c r="BY92" s="211"/>
      <c r="BZ92" s="211">
        <f t="shared" si="180"/>
        <v>1</v>
      </c>
      <c r="CA92" s="508"/>
      <c r="CB92" s="7"/>
      <c r="CC92" s="7"/>
      <c r="CD92" s="158"/>
      <c r="CE92" s="504"/>
      <c r="CF92" s="105"/>
      <c r="CG92" s="105">
        <f t="shared" si="181"/>
        <v>0</v>
      </c>
      <c r="CH92" s="105"/>
      <c r="CI92" s="105"/>
      <c r="CJ92" s="105">
        <f t="shared" si="182"/>
        <v>0</v>
      </c>
      <c r="CK92" s="524"/>
      <c r="CL92" s="53">
        <f t="shared" si="194"/>
        <v>0</v>
      </c>
      <c r="CM92" s="54"/>
      <c r="CN92" s="105"/>
      <c r="CO92" s="100">
        <f t="shared" si="126"/>
        <v>0</v>
      </c>
      <c r="CP92" s="496"/>
      <c r="CQ92" s="439"/>
      <c r="CR92" s="504"/>
      <c r="CS92" s="105"/>
      <c r="CT92" s="105">
        <f t="shared" si="168"/>
        <v>0</v>
      </c>
      <c r="CU92" s="105"/>
      <c r="CV92" s="105"/>
      <c r="CW92" s="105">
        <f t="shared" si="169"/>
        <v>0</v>
      </c>
      <c r="CX92" s="53"/>
      <c r="CY92" s="109">
        <f t="shared" si="127"/>
        <v>0</v>
      </c>
      <c r="CZ92" s="54"/>
      <c r="DA92" s="105"/>
      <c r="DB92" s="455">
        <f t="shared" si="170"/>
        <v>0</v>
      </c>
      <c r="DC92" s="495"/>
      <c r="DD92" s="24"/>
      <c r="DF92" s="1133"/>
      <c r="DG92" s="674">
        <f t="shared" si="177"/>
        <v>0</v>
      </c>
      <c r="DH92" s="1119">
        <f t="shared" si="178"/>
        <v>0</v>
      </c>
      <c r="DI92" s="1119"/>
      <c r="DJ92" s="101">
        <f t="shared" si="179"/>
        <v>27</v>
      </c>
      <c r="DK92" s="101"/>
      <c r="DL92" s="101">
        <f t="shared" si="173"/>
        <v>0</v>
      </c>
      <c r="DM92" s="101">
        <f>DL92</f>
        <v>0</v>
      </c>
      <c r="DN92" s="112">
        <f>DJ92</f>
        <v>27</v>
      </c>
      <c r="DO92" s="112"/>
      <c r="DP92" s="112"/>
      <c r="DQ92" s="112"/>
      <c r="DS92" s="140"/>
      <c r="DT92" s="140"/>
      <c r="DU92" s="140"/>
      <c r="DV92" s="140"/>
      <c r="DW92" s="140"/>
      <c r="DX92" s="140"/>
      <c r="DY92" s="140"/>
      <c r="DZ92" s="140"/>
    </row>
    <row r="93" spans="1:130" s="139" customFormat="1" ht="21.6" customHeight="1" x14ac:dyDescent="0.25">
      <c r="A93" s="4"/>
      <c r="B93" s="4"/>
      <c r="C93" s="134" t="s">
        <v>51</v>
      </c>
      <c r="D93" s="134" t="s">
        <v>429</v>
      </c>
      <c r="E93" s="20" t="s">
        <v>349</v>
      </c>
      <c r="F93" s="135"/>
      <c r="G93" s="135"/>
      <c r="H93" s="135"/>
      <c r="I93" s="135"/>
      <c r="J93" s="135"/>
      <c r="K93" s="135"/>
      <c r="L93" s="136"/>
      <c r="M93" s="5"/>
      <c r="N93" s="41"/>
      <c r="O93" s="6"/>
      <c r="P93" s="7"/>
      <c r="Q93" s="7"/>
      <c r="R93" s="7"/>
      <c r="S93" s="158"/>
      <c r="T93" s="89"/>
      <c r="U93" s="89"/>
      <c r="V93" s="89"/>
      <c r="W93" s="137"/>
      <c r="X93" s="137"/>
      <c r="Y93" s="90"/>
      <c r="Z93" s="91"/>
      <c r="AA93" s="92"/>
      <c r="AB93" s="92"/>
      <c r="AC93" s="92">
        <f t="shared" si="183"/>
        <v>0</v>
      </c>
      <c r="AD93" s="93"/>
      <c r="AE93" s="93"/>
      <c r="AF93" s="94">
        <f t="shared" si="184"/>
        <v>0</v>
      </c>
      <c r="AG93" s="473"/>
      <c r="AH93" s="99">
        <v>250</v>
      </c>
      <c r="AI93" s="99">
        <f t="shared" si="185"/>
        <v>16.666666666666668</v>
      </c>
      <c r="AJ93" s="138">
        <v>250</v>
      </c>
      <c r="AK93" s="138">
        <f t="shared" si="186"/>
        <v>16.666666666666668</v>
      </c>
      <c r="AL93" s="106"/>
      <c r="AM93" s="105"/>
      <c r="AN93" s="105">
        <f t="shared" si="187"/>
        <v>0</v>
      </c>
      <c r="AO93" s="106"/>
      <c r="AP93" s="105"/>
      <c r="AQ93" s="105">
        <f t="shared" si="107"/>
        <v>0</v>
      </c>
      <c r="AR93" s="106"/>
      <c r="AS93" s="97">
        <f t="shared" si="160"/>
        <v>16.666666666666668</v>
      </c>
      <c r="AT93" s="6"/>
      <c r="AU93" s="105"/>
      <c r="AV93" s="455">
        <f t="shared" si="114"/>
        <v>0</v>
      </c>
      <c r="AW93" s="496"/>
      <c r="AX93" s="508"/>
      <c r="AY93" s="498"/>
      <c r="AZ93" s="100">
        <f t="shared" si="188"/>
        <v>0</v>
      </c>
      <c r="BA93" s="106"/>
      <c r="BB93" s="105"/>
      <c r="BC93" s="105">
        <f t="shared" si="189"/>
        <v>0</v>
      </c>
      <c r="BD93" s="106"/>
      <c r="BE93" s="105">
        <f t="shared" si="190"/>
        <v>16.666666666666668</v>
      </c>
      <c r="BF93" s="106"/>
      <c r="BG93" s="100">
        <f t="shared" si="175"/>
        <v>0</v>
      </c>
      <c r="BH93" s="106"/>
      <c r="BI93" s="100">
        <f t="shared" si="176"/>
        <v>0</v>
      </c>
      <c r="BJ93" s="106"/>
      <c r="BK93" s="101">
        <f t="shared" si="163"/>
        <v>16.666666666666668</v>
      </c>
      <c r="BL93" s="106"/>
      <c r="BM93" s="104">
        <v>833.5</v>
      </c>
      <c r="BN93" s="104">
        <f t="shared" si="191"/>
        <v>16.670000000000002</v>
      </c>
      <c r="BO93" s="105">
        <v>800</v>
      </c>
      <c r="BP93" s="105">
        <f t="shared" si="124"/>
        <v>16</v>
      </c>
      <c r="BQ93" s="106"/>
      <c r="BR93" s="105"/>
      <c r="BS93" s="105">
        <f t="shared" si="192"/>
        <v>0</v>
      </c>
      <c r="BT93" s="106"/>
      <c r="BU93" s="53"/>
      <c r="BV93" s="53">
        <f t="shared" si="193"/>
        <v>0</v>
      </c>
      <c r="BW93" s="54"/>
      <c r="BX93" s="350">
        <f t="shared" si="166"/>
        <v>16</v>
      </c>
      <c r="BY93" s="211"/>
      <c r="BZ93" s="211">
        <f t="shared" si="180"/>
        <v>0.66666666666666785</v>
      </c>
      <c r="CA93" s="508"/>
      <c r="CB93" s="7"/>
      <c r="CC93" s="7"/>
      <c r="CD93" s="158"/>
      <c r="CE93" s="504"/>
      <c r="CF93" s="105"/>
      <c r="CG93" s="105">
        <f t="shared" si="181"/>
        <v>0</v>
      </c>
      <c r="CH93" s="105"/>
      <c r="CI93" s="105"/>
      <c r="CJ93" s="105">
        <f t="shared" si="182"/>
        <v>0</v>
      </c>
      <c r="CK93" s="524"/>
      <c r="CL93" s="53">
        <f t="shared" si="194"/>
        <v>0</v>
      </c>
      <c r="CM93" s="54"/>
      <c r="CN93" s="105"/>
      <c r="CO93" s="100">
        <f t="shared" si="126"/>
        <v>0</v>
      </c>
      <c r="CP93" s="496"/>
      <c r="CQ93" s="439"/>
      <c r="CR93" s="504"/>
      <c r="CS93" s="105"/>
      <c r="CT93" s="105">
        <f t="shared" si="168"/>
        <v>0</v>
      </c>
      <c r="CU93" s="105"/>
      <c r="CV93" s="105"/>
      <c r="CW93" s="105">
        <f t="shared" si="169"/>
        <v>0</v>
      </c>
      <c r="CX93" s="53"/>
      <c r="CY93" s="109">
        <f t="shared" si="127"/>
        <v>0</v>
      </c>
      <c r="CZ93" s="54"/>
      <c r="DA93" s="105"/>
      <c r="DB93" s="455">
        <f t="shared" si="170"/>
        <v>0</v>
      </c>
      <c r="DC93" s="495"/>
      <c r="DD93" s="27" t="s">
        <v>350</v>
      </c>
      <c r="DF93" s="1133"/>
      <c r="DG93" s="674">
        <f t="shared" si="177"/>
        <v>0</v>
      </c>
      <c r="DH93" s="1119">
        <f t="shared" si="178"/>
        <v>0</v>
      </c>
      <c r="DI93" s="1119"/>
      <c r="DJ93" s="101">
        <f t="shared" si="179"/>
        <v>16.666666666666668</v>
      </c>
      <c r="DK93" s="101"/>
      <c r="DL93" s="1124">
        <f t="shared" si="173"/>
        <v>0</v>
      </c>
      <c r="DM93" s="1124">
        <f t="shared" ref="DM93:DM95" si="195">DL93</f>
        <v>0</v>
      </c>
      <c r="DN93" s="112">
        <f>DJ93</f>
        <v>16.666666666666668</v>
      </c>
      <c r="DO93" s="112"/>
      <c r="DP93" s="112"/>
      <c r="DQ93" s="112"/>
      <c r="DS93" s="140"/>
      <c r="DT93" s="140"/>
      <c r="DU93" s="140"/>
      <c r="DV93" s="140"/>
      <c r="DW93" s="140"/>
      <c r="DX93" s="140"/>
      <c r="DY93" s="140"/>
      <c r="DZ93" s="140"/>
    </row>
    <row r="94" spans="1:130" s="222" customFormat="1" ht="21.6" customHeight="1" x14ac:dyDescent="0.25">
      <c r="A94" s="4" t="s">
        <v>28</v>
      </c>
      <c r="B94" s="4">
        <v>4</v>
      </c>
      <c r="C94" s="153" t="s">
        <v>51</v>
      </c>
      <c r="D94" s="153" t="s">
        <v>429</v>
      </c>
      <c r="E94" s="13" t="s">
        <v>52</v>
      </c>
      <c r="F94" s="135">
        <v>20</v>
      </c>
      <c r="G94" s="135">
        <v>3</v>
      </c>
      <c r="H94" s="135">
        <f>F94+G94</f>
        <v>23</v>
      </c>
      <c r="I94" s="135">
        <v>25</v>
      </c>
      <c r="J94" s="135"/>
      <c r="K94" s="135">
        <f>I94+J94</f>
        <v>25</v>
      </c>
      <c r="L94" s="163"/>
      <c r="M94" s="5"/>
      <c r="N94" s="41"/>
      <c r="O94" s="164"/>
      <c r="P94" s="165"/>
      <c r="Q94" s="165"/>
      <c r="R94" s="165"/>
      <c r="S94" s="203"/>
      <c r="T94" s="89"/>
      <c r="U94" s="89"/>
      <c r="V94" s="89">
        <f t="shared" ref="V94:V106" si="196">T94+U94</f>
        <v>0</v>
      </c>
      <c r="W94" s="137"/>
      <c r="X94" s="137"/>
      <c r="Y94" s="90">
        <f t="shared" ref="Y94:Y106" si="197">W94+X94</f>
        <v>0</v>
      </c>
      <c r="Z94" s="169"/>
      <c r="AA94" s="92"/>
      <c r="AB94" s="92"/>
      <c r="AC94" s="92">
        <f t="shared" si="183"/>
        <v>0</v>
      </c>
      <c r="AD94" s="93"/>
      <c r="AE94" s="93"/>
      <c r="AF94" s="94">
        <f t="shared" si="184"/>
        <v>0</v>
      </c>
      <c r="AG94" s="475"/>
      <c r="AH94" s="99">
        <v>250</v>
      </c>
      <c r="AI94" s="99">
        <f t="shared" si="185"/>
        <v>16.666666666666668</v>
      </c>
      <c r="AJ94" s="138">
        <v>250</v>
      </c>
      <c r="AK94" s="138">
        <f t="shared" si="186"/>
        <v>16.666666666666668</v>
      </c>
      <c r="AL94" s="106"/>
      <c r="AM94" s="105"/>
      <c r="AN94" s="105">
        <f t="shared" si="187"/>
        <v>0</v>
      </c>
      <c r="AO94" s="106"/>
      <c r="AP94" s="105"/>
      <c r="AQ94" s="105">
        <f t="shared" si="107"/>
        <v>0</v>
      </c>
      <c r="AR94" s="106"/>
      <c r="AS94" s="97">
        <f t="shared" si="160"/>
        <v>16.666666666666668</v>
      </c>
      <c r="AT94" s="6"/>
      <c r="AU94" s="105"/>
      <c r="AV94" s="455">
        <f t="shared" si="114"/>
        <v>0</v>
      </c>
      <c r="AW94" s="496"/>
      <c r="AX94" s="508"/>
      <c r="AY94" s="498"/>
      <c r="AZ94" s="100">
        <f t="shared" si="188"/>
        <v>0</v>
      </c>
      <c r="BA94" s="106"/>
      <c r="BB94" s="105"/>
      <c r="BC94" s="105">
        <f t="shared" si="189"/>
        <v>0</v>
      </c>
      <c r="BD94" s="106"/>
      <c r="BE94" s="105">
        <f t="shared" si="190"/>
        <v>16.666666666666668</v>
      </c>
      <c r="BF94" s="106"/>
      <c r="BG94" s="100">
        <f t="shared" si="175"/>
        <v>0</v>
      </c>
      <c r="BH94" s="106"/>
      <c r="BI94" s="100">
        <f t="shared" si="176"/>
        <v>0</v>
      </c>
      <c r="BJ94" s="106"/>
      <c r="BK94" s="101">
        <f t="shared" si="163"/>
        <v>16.666666666666668</v>
      </c>
      <c r="BL94" s="106"/>
      <c r="BM94" s="104">
        <v>830</v>
      </c>
      <c r="BN94" s="104">
        <f t="shared" si="191"/>
        <v>16.600000000000001</v>
      </c>
      <c r="BO94" s="105">
        <v>800</v>
      </c>
      <c r="BP94" s="105">
        <f t="shared" si="124"/>
        <v>16</v>
      </c>
      <c r="BQ94" s="106"/>
      <c r="BR94" s="105"/>
      <c r="BS94" s="105">
        <f t="shared" si="192"/>
        <v>0</v>
      </c>
      <c r="BT94" s="106"/>
      <c r="BU94" s="53"/>
      <c r="BV94" s="53">
        <f t="shared" si="193"/>
        <v>0</v>
      </c>
      <c r="BW94" s="54"/>
      <c r="BX94" s="350">
        <f t="shared" si="166"/>
        <v>16</v>
      </c>
      <c r="BY94" s="211"/>
      <c r="BZ94" s="211">
        <f t="shared" si="180"/>
        <v>0.66666666666666785</v>
      </c>
      <c r="CA94" s="508"/>
      <c r="CB94" s="165"/>
      <c r="CC94" s="165"/>
      <c r="CD94" s="203"/>
      <c r="CE94" s="504"/>
      <c r="CF94" s="105"/>
      <c r="CG94" s="105">
        <f t="shared" si="181"/>
        <v>0</v>
      </c>
      <c r="CH94" s="105"/>
      <c r="CI94" s="105"/>
      <c r="CJ94" s="105">
        <f t="shared" si="182"/>
        <v>0</v>
      </c>
      <c r="CK94" s="524"/>
      <c r="CL94" s="53">
        <f t="shared" si="194"/>
        <v>0</v>
      </c>
      <c r="CM94" s="54"/>
      <c r="CN94" s="105"/>
      <c r="CO94" s="100">
        <f t="shared" si="126"/>
        <v>0</v>
      </c>
      <c r="CP94" s="496"/>
      <c r="CQ94" s="439"/>
      <c r="CR94" s="504"/>
      <c r="CS94" s="105"/>
      <c r="CT94" s="105">
        <f t="shared" si="168"/>
        <v>0</v>
      </c>
      <c r="CU94" s="105"/>
      <c r="CV94" s="105"/>
      <c r="CW94" s="105">
        <f t="shared" si="169"/>
        <v>0</v>
      </c>
      <c r="CX94" s="53"/>
      <c r="CY94" s="109">
        <f t="shared" si="127"/>
        <v>0</v>
      </c>
      <c r="CZ94" s="54"/>
      <c r="DA94" s="105"/>
      <c r="DB94" s="455">
        <f t="shared" si="170"/>
        <v>0</v>
      </c>
      <c r="DC94" s="495"/>
      <c r="DD94" s="25"/>
      <c r="DE94" s="139"/>
      <c r="DF94" s="1133"/>
      <c r="DG94" s="674">
        <f t="shared" si="177"/>
        <v>0</v>
      </c>
      <c r="DH94" s="1119">
        <f t="shared" si="178"/>
        <v>0</v>
      </c>
      <c r="DI94" s="1119"/>
      <c r="DJ94" s="101">
        <f t="shared" si="179"/>
        <v>16.666666666666668</v>
      </c>
      <c r="DK94" s="101"/>
      <c r="DL94" s="101">
        <f t="shared" si="173"/>
        <v>0</v>
      </c>
      <c r="DM94" s="101">
        <f t="shared" si="195"/>
        <v>0</v>
      </c>
      <c r="DN94" s="112">
        <f>DJ94</f>
        <v>16.666666666666668</v>
      </c>
      <c r="DO94" s="112"/>
      <c r="DP94" s="112"/>
      <c r="DQ94" s="112"/>
      <c r="DR94" s="139"/>
      <c r="DS94" s="140"/>
      <c r="DT94" s="140"/>
      <c r="DU94" s="140"/>
      <c r="DV94" s="223"/>
      <c r="DW94" s="223"/>
      <c r="DX94" s="223"/>
      <c r="DY94" s="223"/>
      <c r="DZ94" s="223"/>
    </row>
    <row r="95" spans="1:130" s="139" customFormat="1" ht="21.6" customHeight="1" x14ac:dyDescent="0.25">
      <c r="A95" s="207"/>
      <c r="B95" s="207"/>
      <c r="C95" s="182" t="s">
        <v>51</v>
      </c>
      <c r="D95" s="182" t="s">
        <v>429</v>
      </c>
      <c r="E95" s="17" t="s">
        <v>54</v>
      </c>
      <c r="F95" s="208">
        <v>51</v>
      </c>
      <c r="G95" s="208">
        <v>8</v>
      </c>
      <c r="H95" s="208">
        <f>F95+G95</f>
        <v>59</v>
      </c>
      <c r="I95" s="208">
        <v>31.99</v>
      </c>
      <c r="J95" s="208"/>
      <c r="K95" s="208">
        <f>I95+J95</f>
        <v>31.99</v>
      </c>
      <c r="L95" s="209"/>
      <c r="M95" s="210"/>
      <c r="N95" s="177"/>
      <c r="O95" s="232"/>
      <c r="P95" s="212"/>
      <c r="Q95" s="212"/>
      <c r="R95" s="212"/>
      <c r="S95" s="233"/>
      <c r="T95" s="213"/>
      <c r="U95" s="213"/>
      <c r="V95" s="213">
        <f t="shared" si="196"/>
        <v>0</v>
      </c>
      <c r="W95" s="214"/>
      <c r="X95" s="214"/>
      <c r="Y95" s="215">
        <f t="shared" si="197"/>
        <v>0</v>
      </c>
      <c r="Z95" s="216"/>
      <c r="AA95" s="217"/>
      <c r="AB95" s="217"/>
      <c r="AC95" s="92">
        <f t="shared" si="183"/>
        <v>0</v>
      </c>
      <c r="AD95" s="218"/>
      <c r="AE95" s="218"/>
      <c r="AF95" s="94">
        <f t="shared" si="184"/>
        <v>0</v>
      </c>
      <c r="AG95" s="477"/>
      <c r="AH95" s="219">
        <v>125</v>
      </c>
      <c r="AI95" s="219">
        <f t="shared" si="185"/>
        <v>8.3333333333333339</v>
      </c>
      <c r="AJ95" s="221">
        <v>125</v>
      </c>
      <c r="AK95" s="138">
        <f t="shared" si="186"/>
        <v>8.3333333333333339</v>
      </c>
      <c r="AL95" s="106"/>
      <c r="AM95" s="105"/>
      <c r="AN95" s="105">
        <f t="shared" si="187"/>
        <v>0</v>
      </c>
      <c r="AO95" s="106"/>
      <c r="AP95" s="105"/>
      <c r="AQ95" s="105">
        <f t="shared" si="107"/>
        <v>0</v>
      </c>
      <c r="AR95" s="106"/>
      <c r="AS95" s="97">
        <f t="shared" si="160"/>
        <v>8.3333333333333339</v>
      </c>
      <c r="AT95" s="6"/>
      <c r="AU95" s="105"/>
      <c r="AV95" s="455">
        <f t="shared" si="114"/>
        <v>0</v>
      </c>
      <c r="AW95" s="496"/>
      <c r="AX95" s="508"/>
      <c r="AY95" s="500">
        <v>25</v>
      </c>
      <c r="AZ95" s="100">
        <f t="shared" si="188"/>
        <v>1.6666666666666667</v>
      </c>
      <c r="BA95" s="106"/>
      <c r="BB95" s="105"/>
      <c r="BC95" s="105">
        <f t="shared" si="189"/>
        <v>0</v>
      </c>
      <c r="BD95" s="106"/>
      <c r="BE95" s="105">
        <f t="shared" si="190"/>
        <v>10</v>
      </c>
      <c r="BF95" s="106"/>
      <c r="BG95" s="100">
        <f t="shared" si="175"/>
        <v>0</v>
      </c>
      <c r="BH95" s="106"/>
      <c r="BI95" s="100">
        <f t="shared" si="176"/>
        <v>0</v>
      </c>
      <c r="BJ95" s="106"/>
      <c r="BK95" s="101">
        <f t="shared" si="163"/>
        <v>10</v>
      </c>
      <c r="BL95" s="106"/>
      <c r="BM95" s="219">
        <f>419+83</f>
        <v>502</v>
      </c>
      <c r="BN95" s="219">
        <f t="shared" si="191"/>
        <v>10.039999999999999</v>
      </c>
      <c r="BO95" s="221">
        <v>500</v>
      </c>
      <c r="BP95" s="105">
        <f t="shared" si="124"/>
        <v>10</v>
      </c>
      <c r="BQ95" s="106"/>
      <c r="BR95" s="105"/>
      <c r="BS95" s="105">
        <f t="shared" si="192"/>
        <v>0</v>
      </c>
      <c r="BT95" s="106"/>
      <c r="BU95" s="53"/>
      <c r="BV95" s="53">
        <f t="shared" si="193"/>
        <v>0</v>
      </c>
      <c r="BW95" s="54"/>
      <c r="BX95" s="350">
        <f t="shared" si="166"/>
        <v>10</v>
      </c>
      <c r="BY95" s="211"/>
      <c r="BZ95" s="211">
        <f t="shared" si="180"/>
        <v>0</v>
      </c>
      <c r="CA95" s="508"/>
      <c r="CB95" s="212"/>
      <c r="CC95" s="212"/>
      <c r="CD95" s="233"/>
      <c r="CE95" s="504"/>
      <c r="CF95" s="105"/>
      <c r="CG95" s="105">
        <f t="shared" si="181"/>
        <v>0</v>
      </c>
      <c r="CH95" s="105"/>
      <c r="CI95" s="105"/>
      <c r="CJ95" s="105">
        <f t="shared" si="182"/>
        <v>0</v>
      </c>
      <c r="CK95" s="524"/>
      <c r="CL95" s="53">
        <f t="shared" si="194"/>
        <v>0</v>
      </c>
      <c r="CM95" s="54"/>
      <c r="CN95" s="105"/>
      <c r="CO95" s="100">
        <f t="shared" si="126"/>
        <v>0</v>
      </c>
      <c r="CP95" s="496"/>
      <c r="CQ95" s="439"/>
      <c r="CR95" s="504"/>
      <c r="CS95" s="105"/>
      <c r="CT95" s="105">
        <f t="shared" si="168"/>
        <v>0</v>
      </c>
      <c r="CU95" s="105"/>
      <c r="CV95" s="105"/>
      <c r="CW95" s="105">
        <f t="shared" si="169"/>
        <v>0</v>
      </c>
      <c r="CX95" s="53"/>
      <c r="CY95" s="109">
        <f t="shared" si="127"/>
        <v>0</v>
      </c>
      <c r="CZ95" s="54"/>
      <c r="DA95" s="105"/>
      <c r="DB95" s="455">
        <f t="shared" si="170"/>
        <v>0</v>
      </c>
      <c r="DC95" s="495"/>
      <c r="DD95" s="32"/>
      <c r="DE95" s="222"/>
      <c r="DF95" s="1133"/>
      <c r="DG95" s="674">
        <f t="shared" si="177"/>
        <v>0</v>
      </c>
      <c r="DH95" s="1119">
        <f t="shared" si="178"/>
        <v>0</v>
      </c>
      <c r="DI95" s="1119"/>
      <c r="DJ95" s="101">
        <f t="shared" si="179"/>
        <v>10</v>
      </c>
      <c r="DK95" s="101"/>
      <c r="DL95" s="101">
        <f t="shared" si="173"/>
        <v>0</v>
      </c>
      <c r="DM95" s="101">
        <f t="shared" si="195"/>
        <v>0</v>
      </c>
      <c r="DN95" s="112">
        <f>DJ95</f>
        <v>10</v>
      </c>
      <c r="DO95" s="112"/>
      <c r="DP95" s="112"/>
      <c r="DQ95" s="112"/>
      <c r="DR95" s="222"/>
      <c r="DS95" s="223"/>
      <c r="DT95" s="223"/>
      <c r="DU95" s="223"/>
      <c r="DV95" s="140"/>
      <c r="DW95" s="140"/>
      <c r="DX95" s="140"/>
      <c r="DY95" s="140"/>
      <c r="DZ95" s="140"/>
    </row>
    <row r="96" spans="1:130" s="139" customFormat="1" ht="28.5" customHeight="1" x14ac:dyDescent="0.25">
      <c r="A96" s="4" t="s">
        <v>28</v>
      </c>
      <c r="B96" s="4">
        <v>6</v>
      </c>
      <c r="C96" s="153" t="s">
        <v>51</v>
      </c>
      <c r="D96" s="153" t="s">
        <v>437</v>
      </c>
      <c r="E96" s="13" t="s">
        <v>53</v>
      </c>
      <c r="F96" s="135">
        <v>17</v>
      </c>
      <c r="G96" s="135">
        <v>2</v>
      </c>
      <c r="H96" s="135">
        <f>F96+G96</f>
        <v>19</v>
      </c>
      <c r="I96" s="135">
        <v>22.5</v>
      </c>
      <c r="J96" s="135"/>
      <c r="K96" s="135">
        <f>I96+J96</f>
        <v>22.5</v>
      </c>
      <c r="L96" s="163"/>
      <c r="M96" s="5"/>
      <c r="N96" s="41"/>
      <c r="O96" s="206"/>
      <c r="P96" s="165"/>
      <c r="Q96" s="165"/>
      <c r="R96" s="165"/>
      <c r="S96" s="203"/>
      <c r="T96" s="89"/>
      <c r="U96" s="89"/>
      <c r="V96" s="89">
        <f t="shared" si="196"/>
        <v>0</v>
      </c>
      <c r="W96" s="137"/>
      <c r="X96" s="137"/>
      <c r="Y96" s="90">
        <f t="shared" si="197"/>
        <v>0</v>
      </c>
      <c r="Z96" s="169"/>
      <c r="AA96" s="92"/>
      <c r="AB96" s="92"/>
      <c r="AC96" s="92">
        <f t="shared" si="183"/>
        <v>0</v>
      </c>
      <c r="AD96" s="93"/>
      <c r="AE96" s="93"/>
      <c r="AF96" s="94">
        <f t="shared" si="184"/>
        <v>0</v>
      </c>
      <c r="AG96" s="475"/>
      <c r="AH96" s="99">
        <v>150</v>
      </c>
      <c r="AI96" s="99">
        <f t="shared" si="185"/>
        <v>10</v>
      </c>
      <c r="AJ96" s="138">
        <v>150</v>
      </c>
      <c r="AK96" s="138">
        <f t="shared" si="186"/>
        <v>10</v>
      </c>
      <c r="AL96" s="106"/>
      <c r="AM96" s="105"/>
      <c r="AN96" s="105">
        <f t="shared" si="187"/>
        <v>0</v>
      </c>
      <c r="AO96" s="106"/>
      <c r="AP96" s="105"/>
      <c r="AQ96" s="105">
        <f t="shared" si="107"/>
        <v>0</v>
      </c>
      <c r="AR96" s="106"/>
      <c r="AS96" s="97">
        <f t="shared" si="160"/>
        <v>10</v>
      </c>
      <c r="AT96" s="6"/>
      <c r="AU96" s="105"/>
      <c r="AV96" s="455">
        <f t="shared" si="114"/>
        <v>0</v>
      </c>
      <c r="AW96" s="496"/>
      <c r="AX96" s="508"/>
      <c r="AY96" s="498">
        <v>10</v>
      </c>
      <c r="AZ96" s="100">
        <f t="shared" si="188"/>
        <v>0.66666666666666663</v>
      </c>
      <c r="BA96" s="106"/>
      <c r="BB96" s="105"/>
      <c r="BC96" s="105">
        <f t="shared" si="189"/>
        <v>0</v>
      </c>
      <c r="BD96" s="106"/>
      <c r="BE96" s="105">
        <f t="shared" si="190"/>
        <v>10.666666666666666</v>
      </c>
      <c r="BF96" s="106"/>
      <c r="BG96" s="100">
        <f t="shared" si="175"/>
        <v>0</v>
      </c>
      <c r="BH96" s="106"/>
      <c r="BI96" s="100">
        <f t="shared" si="176"/>
        <v>0</v>
      </c>
      <c r="BJ96" s="106"/>
      <c r="BK96" s="101">
        <f t="shared" si="163"/>
        <v>10.666666666666666</v>
      </c>
      <c r="BL96" s="106"/>
      <c r="BM96" s="104">
        <f>511.5+35</f>
        <v>546.5</v>
      </c>
      <c r="BN96" s="104">
        <f t="shared" si="191"/>
        <v>10.93</v>
      </c>
      <c r="BO96" s="105">
        <v>500</v>
      </c>
      <c r="BP96" s="105">
        <f t="shared" si="124"/>
        <v>10</v>
      </c>
      <c r="BQ96" s="106"/>
      <c r="BR96" s="105"/>
      <c r="BS96" s="105">
        <f t="shared" si="192"/>
        <v>0</v>
      </c>
      <c r="BT96" s="106"/>
      <c r="BU96" s="53"/>
      <c r="BV96" s="53">
        <f t="shared" si="193"/>
        <v>0</v>
      </c>
      <c r="BW96" s="54"/>
      <c r="BX96" s="350">
        <f t="shared" si="166"/>
        <v>10</v>
      </c>
      <c r="BY96" s="211"/>
      <c r="BZ96" s="211">
        <f t="shared" si="180"/>
        <v>0.66666666666666607</v>
      </c>
      <c r="CA96" s="508"/>
      <c r="CB96" s="165"/>
      <c r="CC96" s="165"/>
      <c r="CD96" s="203"/>
      <c r="CE96" s="504"/>
      <c r="CF96" s="105"/>
      <c r="CG96" s="105">
        <f t="shared" si="181"/>
        <v>0</v>
      </c>
      <c r="CH96" s="105"/>
      <c r="CI96" s="105"/>
      <c r="CJ96" s="105">
        <f t="shared" si="182"/>
        <v>0</v>
      </c>
      <c r="CK96" s="524"/>
      <c r="CL96" s="53">
        <f t="shared" si="194"/>
        <v>0</v>
      </c>
      <c r="CM96" s="54"/>
      <c r="CN96" s="105"/>
      <c r="CO96" s="100">
        <f t="shared" si="126"/>
        <v>0</v>
      </c>
      <c r="CP96" s="496"/>
      <c r="CQ96" s="439"/>
      <c r="CR96" s="504"/>
      <c r="CS96" s="105"/>
      <c r="CT96" s="105">
        <f t="shared" si="168"/>
        <v>0</v>
      </c>
      <c r="CU96" s="105"/>
      <c r="CV96" s="105"/>
      <c r="CW96" s="105">
        <f t="shared" si="169"/>
        <v>0</v>
      </c>
      <c r="CX96" s="53"/>
      <c r="CY96" s="109">
        <f t="shared" si="127"/>
        <v>0</v>
      </c>
      <c r="CZ96" s="54"/>
      <c r="DA96" s="105"/>
      <c r="DB96" s="455">
        <f t="shared" si="170"/>
        <v>0</v>
      </c>
      <c r="DC96" s="495"/>
      <c r="DD96" s="26" t="s">
        <v>393</v>
      </c>
      <c r="DF96" s="1133"/>
      <c r="DG96" s="674">
        <f t="shared" si="177"/>
        <v>0</v>
      </c>
      <c r="DH96" s="1119">
        <f t="shared" si="178"/>
        <v>0</v>
      </c>
      <c r="DI96" s="1119"/>
      <c r="DJ96" s="101">
        <f t="shared" si="179"/>
        <v>10.666666666666666</v>
      </c>
      <c r="DK96" s="101"/>
      <c r="DL96" s="101">
        <f t="shared" si="173"/>
        <v>0</v>
      </c>
      <c r="DM96" s="101"/>
      <c r="DN96" s="112"/>
      <c r="DO96" s="112">
        <f>DJ96</f>
        <v>10.666666666666666</v>
      </c>
      <c r="DP96" s="112"/>
      <c r="DQ96" s="112"/>
      <c r="DS96" s="140"/>
      <c r="DT96" s="140"/>
      <c r="DU96" s="140"/>
      <c r="DV96" s="140"/>
      <c r="DW96" s="140"/>
      <c r="DX96" s="140"/>
      <c r="DY96" s="140"/>
      <c r="DZ96" s="140"/>
    </row>
    <row r="97" spans="1:130" s="139" customFormat="1" ht="37.5" customHeight="1" x14ac:dyDescent="0.25">
      <c r="A97" s="4"/>
      <c r="B97" s="4"/>
      <c r="C97" s="153" t="s">
        <v>51</v>
      </c>
      <c r="D97" s="153"/>
      <c r="E97" s="13" t="s">
        <v>53</v>
      </c>
      <c r="F97" s="135">
        <v>17</v>
      </c>
      <c r="G97" s="135">
        <v>2</v>
      </c>
      <c r="H97" s="135">
        <f>F97+G97</f>
        <v>19</v>
      </c>
      <c r="I97" s="135">
        <v>22.5</v>
      </c>
      <c r="J97" s="135"/>
      <c r="K97" s="135">
        <f>I97+J97</f>
        <v>22.5</v>
      </c>
      <c r="L97" s="136"/>
      <c r="M97" s="5"/>
      <c r="N97" s="41"/>
      <c r="O97" s="156"/>
      <c r="P97" s="7"/>
      <c r="Q97" s="7"/>
      <c r="R97" s="7"/>
      <c r="S97" s="158"/>
      <c r="T97" s="89"/>
      <c r="U97" s="89"/>
      <c r="V97" s="89">
        <f t="shared" si="196"/>
        <v>0</v>
      </c>
      <c r="W97" s="137"/>
      <c r="X97" s="137"/>
      <c r="Y97" s="90">
        <f t="shared" si="197"/>
        <v>0</v>
      </c>
      <c r="Z97" s="91"/>
      <c r="AA97" s="92"/>
      <c r="AB97" s="92"/>
      <c r="AC97" s="92">
        <f t="shared" si="183"/>
        <v>0</v>
      </c>
      <c r="AD97" s="93"/>
      <c r="AE97" s="93"/>
      <c r="AF97" s="94">
        <f t="shared" si="184"/>
        <v>0</v>
      </c>
      <c r="AG97" s="473"/>
      <c r="AH97" s="99">
        <v>150</v>
      </c>
      <c r="AI97" s="99">
        <f t="shared" si="185"/>
        <v>10</v>
      </c>
      <c r="AJ97" s="138"/>
      <c r="AK97" s="138">
        <f t="shared" si="186"/>
        <v>0</v>
      </c>
      <c r="AL97" s="106"/>
      <c r="AM97" s="105"/>
      <c r="AN97" s="105">
        <f t="shared" si="187"/>
        <v>0</v>
      </c>
      <c r="AO97" s="106"/>
      <c r="AP97" s="105"/>
      <c r="AQ97" s="105">
        <f t="shared" si="107"/>
        <v>0</v>
      </c>
      <c r="AR97" s="106"/>
      <c r="AS97" s="97">
        <f t="shared" si="160"/>
        <v>0</v>
      </c>
      <c r="AT97" s="6"/>
      <c r="AU97" s="105"/>
      <c r="AV97" s="455">
        <f t="shared" si="114"/>
        <v>0</v>
      </c>
      <c r="AW97" s="496"/>
      <c r="AX97" s="508"/>
      <c r="AY97" s="498"/>
      <c r="AZ97" s="100">
        <f t="shared" si="188"/>
        <v>0</v>
      </c>
      <c r="BA97" s="106"/>
      <c r="BB97" s="105"/>
      <c r="BC97" s="105">
        <f t="shared" si="189"/>
        <v>0</v>
      </c>
      <c r="BD97" s="106"/>
      <c r="BE97" s="105">
        <f t="shared" si="190"/>
        <v>0</v>
      </c>
      <c r="BF97" s="106"/>
      <c r="BG97" s="100">
        <f t="shared" si="175"/>
        <v>0</v>
      </c>
      <c r="BH97" s="106"/>
      <c r="BI97" s="100">
        <f t="shared" si="176"/>
        <v>0</v>
      </c>
      <c r="BJ97" s="106"/>
      <c r="BK97" s="101">
        <f t="shared" si="163"/>
        <v>0</v>
      </c>
      <c r="BL97" s="106"/>
      <c r="BM97" s="104">
        <v>546.5</v>
      </c>
      <c r="BN97" s="104">
        <f t="shared" si="191"/>
        <v>10.93</v>
      </c>
      <c r="BO97" s="105"/>
      <c r="BP97" s="105">
        <f t="shared" si="124"/>
        <v>0</v>
      </c>
      <c r="BQ97" s="106"/>
      <c r="BR97" s="105"/>
      <c r="BS97" s="105">
        <f t="shared" si="192"/>
        <v>0</v>
      </c>
      <c r="BT97" s="106"/>
      <c r="BU97" s="53"/>
      <c r="BV97" s="53">
        <f t="shared" si="193"/>
        <v>0</v>
      </c>
      <c r="BW97" s="54"/>
      <c r="BX97" s="350">
        <f t="shared" si="166"/>
        <v>0</v>
      </c>
      <c r="BY97" s="211"/>
      <c r="BZ97" s="211">
        <f t="shared" si="180"/>
        <v>0</v>
      </c>
      <c r="CA97" s="508"/>
      <c r="CB97" s="7"/>
      <c r="CC97" s="7"/>
      <c r="CD97" s="158"/>
      <c r="CE97" s="504"/>
      <c r="CF97" s="105"/>
      <c r="CG97" s="105">
        <f t="shared" si="181"/>
        <v>0</v>
      </c>
      <c r="CH97" s="105"/>
      <c r="CI97" s="105"/>
      <c r="CJ97" s="105">
        <f t="shared" si="182"/>
        <v>0</v>
      </c>
      <c r="CK97" s="524"/>
      <c r="CL97" s="53">
        <f t="shared" si="194"/>
        <v>0</v>
      </c>
      <c r="CM97" s="54"/>
      <c r="CN97" s="105"/>
      <c r="CO97" s="100">
        <f t="shared" si="126"/>
        <v>0</v>
      </c>
      <c r="CP97" s="496"/>
      <c r="CQ97" s="439"/>
      <c r="CR97" s="504"/>
      <c r="CS97" s="105"/>
      <c r="CT97" s="105">
        <f t="shared" si="168"/>
        <v>0</v>
      </c>
      <c r="CU97" s="105"/>
      <c r="CV97" s="105"/>
      <c r="CW97" s="105">
        <f t="shared" si="169"/>
        <v>0</v>
      </c>
      <c r="CX97" s="53"/>
      <c r="CY97" s="109">
        <f t="shared" si="127"/>
        <v>0</v>
      </c>
      <c r="CZ97" s="54"/>
      <c r="DA97" s="105"/>
      <c r="DB97" s="455">
        <f t="shared" si="170"/>
        <v>0</v>
      </c>
      <c r="DC97" s="495"/>
      <c r="DD97" s="24"/>
      <c r="DF97" s="1133"/>
      <c r="DG97" s="674">
        <f t="shared" si="177"/>
        <v>0</v>
      </c>
      <c r="DH97" s="1119">
        <f t="shared" si="178"/>
        <v>0</v>
      </c>
      <c r="DI97" s="1119"/>
      <c r="DJ97" s="101">
        <f t="shared" si="179"/>
        <v>0</v>
      </c>
      <c r="DK97" s="101"/>
      <c r="DL97" s="101">
        <f t="shared" si="173"/>
        <v>0</v>
      </c>
      <c r="DM97" s="101"/>
      <c r="DN97" s="112"/>
      <c r="DO97" s="112"/>
      <c r="DP97" s="112"/>
      <c r="DQ97" s="112"/>
      <c r="DS97" s="140"/>
      <c r="DT97" s="140"/>
      <c r="DU97" s="140"/>
      <c r="DV97" s="140"/>
      <c r="DW97" s="140"/>
      <c r="DX97" s="140"/>
      <c r="DY97" s="140"/>
      <c r="DZ97" s="140"/>
    </row>
    <row r="98" spans="1:130" s="139" customFormat="1" ht="21.6" customHeight="1" x14ac:dyDescent="0.25">
      <c r="A98" s="207"/>
      <c r="B98" s="207"/>
      <c r="C98" s="167" t="s">
        <v>51</v>
      </c>
      <c r="D98" s="167" t="s">
        <v>429</v>
      </c>
      <c r="E98" s="16" t="s">
        <v>56</v>
      </c>
      <c r="F98" s="208"/>
      <c r="G98" s="208"/>
      <c r="H98" s="208"/>
      <c r="I98" s="208">
        <v>69</v>
      </c>
      <c r="J98" s="208"/>
      <c r="K98" s="225">
        <f>I98+J98</f>
        <v>69</v>
      </c>
      <c r="L98" s="226"/>
      <c r="M98" s="186"/>
      <c r="N98" s="177"/>
      <c r="O98" s="234"/>
      <c r="P98" s="228"/>
      <c r="Q98" s="228"/>
      <c r="R98" s="228"/>
      <c r="S98" s="229"/>
      <c r="T98" s="213"/>
      <c r="U98" s="213"/>
      <c r="V98" s="213">
        <f t="shared" si="196"/>
        <v>0</v>
      </c>
      <c r="W98" s="214"/>
      <c r="X98" s="214"/>
      <c r="Y98" s="215">
        <f t="shared" si="197"/>
        <v>0</v>
      </c>
      <c r="Z98" s="230"/>
      <c r="AA98" s="217"/>
      <c r="AB98" s="217"/>
      <c r="AC98" s="92">
        <f t="shared" si="183"/>
        <v>0</v>
      </c>
      <c r="AD98" s="218"/>
      <c r="AE98" s="218"/>
      <c r="AF98" s="94">
        <f t="shared" si="184"/>
        <v>0</v>
      </c>
      <c r="AG98" s="478"/>
      <c r="AH98" s="219"/>
      <c r="AI98" s="219">
        <f t="shared" si="185"/>
        <v>0</v>
      </c>
      <c r="AJ98" s="221"/>
      <c r="AK98" s="138">
        <f t="shared" si="186"/>
        <v>0</v>
      </c>
      <c r="AL98" s="106"/>
      <c r="AM98" s="105">
        <v>595</v>
      </c>
      <c r="AN98" s="105">
        <f t="shared" si="187"/>
        <v>39.666666666666664</v>
      </c>
      <c r="AO98" s="106"/>
      <c r="AP98" s="105"/>
      <c r="AQ98" s="105"/>
      <c r="AR98" s="106"/>
      <c r="AS98" s="97">
        <f t="shared" si="160"/>
        <v>39.666666666666664</v>
      </c>
      <c r="AT98" s="6"/>
      <c r="AU98" s="105"/>
      <c r="AV98" s="455">
        <f t="shared" si="114"/>
        <v>0</v>
      </c>
      <c r="AW98" s="496"/>
      <c r="AX98" s="508"/>
      <c r="AY98" s="500">
        <v>350</v>
      </c>
      <c r="AZ98" s="100">
        <f t="shared" si="188"/>
        <v>23.333333333333332</v>
      </c>
      <c r="BA98" s="106"/>
      <c r="BB98" s="105">
        <v>75</v>
      </c>
      <c r="BC98" s="105">
        <f t="shared" si="189"/>
        <v>5</v>
      </c>
      <c r="BD98" s="106"/>
      <c r="BE98" s="105">
        <f t="shared" si="190"/>
        <v>23.333333333333332</v>
      </c>
      <c r="BF98" s="106"/>
      <c r="BG98" s="100">
        <f t="shared" si="175"/>
        <v>44.666666666666664</v>
      </c>
      <c r="BH98" s="106"/>
      <c r="BI98" s="100">
        <f t="shared" si="176"/>
        <v>0</v>
      </c>
      <c r="BJ98" s="106"/>
      <c r="BK98" s="101">
        <f t="shared" si="163"/>
        <v>68</v>
      </c>
      <c r="BL98" s="106"/>
      <c r="BM98" s="219"/>
      <c r="BN98" s="219">
        <f t="shared" si="191"/>
        <v>0</v>
      </c>
      <c r="BO98" s="221"/>
      <c r="BP98" s="105">
        <f t="shared" si="124"/>
        <v>0</v>
      </c>
      <c r="BQ98" s="106"/>
      <c r="BR98" s="105">
        <f>1950+1400</f>
        <v>3350</v>
      </c>
      <c r="BS98" s="105">
        <f t="shared" si="192"/>
        <v>67</v>
      </c>
      <c r="BT98" s="106"/>
      <c r="BU98" s="53"/>
      <c r="BV98" s="53">
        <f t="shared" si="193"/>
        <v>0</v>
      </c>
      <c r="BW98" s="54"/>
      <c r="BX98" s="350">
        <f t="shared" si="166"/>
        <v>67</v>
      </c>
      <c r="BY98" s="211"/>
      <c r="BZ98" s="211">
        <f t="shared" si="180"/>
        <v>1</v>
      </c>
      <c r="CA98" s="508"/>
      <c r="CB98" s="228"/>
      <c r="CC98" s="228"/>
      <c r="CD98" s="229"/>
      <c r="CE98" s="504"/>
      <c r="CF98" s="105"/>
      <c r="CG98" s="105">
        <f t="shared" si="181"/>
        <v>0</v>
      </c>
      <c r="CH98" s="105"/>
      <c r="CI98" s="105"/>
      <c r="CJ98" s="105">
        <f t="shared" si="182"/>
        <v>0</v>
      </c>
      <c r="CK98" s="524"/>
      <c r="CL98" s="53">
        <f t="shared" si="194"/>
        <v>0</v>
      </c>
      <c r="CM98" s="54"/>
      <c r="CN98" s="105"/>
      <c r="CO98" s="100">
        <f t="shared" si="126"/>
        <v>0</v>
      </c>
      <c r="CP98" s="496"/>
      <c r="CQ98" s="439"/>
      <c r="CR98" s="504"/>
      <c r="CS98" s="105"/>
      <c r="CT98" s="105"/>
      <c r="CU98" s="105"/>
      <c r="CV98" s="105"/>
      <c r="CW98" s="105"/>
      <c r="CX98" s="53"/>
      <c r="CY98" s="109">
        <f t="shared" si="127"/>
        <v>0</v>
      </c>
      <c r="CZ98" s="54"/>
      <c r="DA98" s="105"/>
      <c r="DB98" s="455">
        <f t="shared" si="170"/>
        <v>0</v>
      </c>
      <c r="DC98" s="495"/>
      <c r="DD98" s="29"/>
      <c r="DE98" s="222"/>
      <c r="DF98" s="1133"/>
      <c r="DG98" s="674">
        <f t="shared" si="177"/>
        <v>0</v>
      </c>
      <c r="DH98" s="1119">
        <f t="shared" si="178"/>
        <v>5</v>
      </c>
      <c r="DI98" s="1119"/>
      <c r="DJ98" s="101">
        <f t="shared" si="179"/>
        <v>68</v>
      </c>
      <c r="DK98" s="101"/>
      <c r="DL98" s="1124">
        <f t="shared" si="173"/>
        <v>0</v>
      </c>
      <c r="DM98" s="1124">
        <f t="shared" ref="DM98:DM105" si="198">DL98</f>
        <v>0</v>
      </c>
      <c r="DN98" s="112">
        <f t="shared" ref="DN98:DN106" si="199">DJ98</f>
        <v>68</v>
      </c>
      <c r="DO98" s="112"/>
      <c r="DP98" s="112"/>
      <c r="DQ98" s="112"/>
      <c r="DR98" s="222"/>
      <c r="DS98" s="223"/>
      <c r="DT98" s="223"/>
      <c r="DU98" s="223"/>
      <c r="DV98" s="140"/>
      <c r="DW98" s="140"/>
      <c r="DX98" s="140"/>
      <c r="DY98" s="140"/>
      <c r="DZ98" s="140"/>
    </row>
    <row r="99" spans="1:130" s="139" customFormat="1" ht="21.6" customHeight="1" x14ac:dyDescent="0.25">
      <c r="A99" s="4"/>
      <c r="B99" s="4"/>
      <c r="C99" s="153" t="s">
        <v>51</v>
      </c>
      <c r="D99" s="153" t="s">
        <v>429</v>
      </c>
      <c r="E99" s="3" t="s">
        <v>541</v>
      </c>
      <c r="F99" s="135"/>
      <c r="G99" s="135"/>
      <c r="H99" s="135"/>
      <c r="I99" s="135"/>
      <c r="J99" s="135"/>
      <c r="K99" s="135"/>
      <c r="L99" s="136"/>
      <c r="M99" s="5"/>
      <c r="N99" s="41"/>
      <c r="O99" s="156"/>
      <c r="P99" s="7"/>
      <c r="Q99" s="7"/>
      <c r="R99" s="7"/>
      <c r="S99" s="158"/>
      <c r="T99" s="89"/>
      <c r="U99" s="89"/>
      <c r="V99" s="89">
        <f t="shared" si="196"/>
        <v>0</v>
      </c>
      <c r="W99" s="137"/>
      <c r="X99" s="137"/>
      <c r="Y99" s="90">
        <f t="shared" si="197"/>
        <v>0</v>
      </c>
      <c r="Z99" s="91"/>
      <c r="AA99" s="92"/>
      <c r="AB99" s="92"/>
      <c r="AC99" s="92">
        <f t="shared" si="183"/>
        <v>0</v>
      </c>
      <c r="AD99" s="93"/>
      <c r="AE99" s="93"/>
      <c r="AF99" s="235">
        <f t="shared" si="184"/>
        <v>0</v>
      </c>
      <c r="AG99" s="473"/>
      <c r="AH99" s="99">
        <v>1050</v>
      </c>
      <c r="AI99" s="99">
        <f t="shared" si="185"/>
        <v>70</v>
      </c>
      <c r="AJ99" s="138"/>
      <c r="AK99" s="138">
        <f t="shared" si="186"/>
        <v>0</v>
      </c>
      <c r="AL99" s="106"/>
      <c r="AM99" s="105">
        <v>1050</v>
      </c>
      <c r="AN99" s="105">
        <f t="shared" si="187"/>
        <v>70</v>
      </c>
      <c r="AO99" s="106"/>
      <c r="AP99" s="105"/>
      <c r="AQ99" s="105">
        <f t="shared" ref="AQ99:AQ130" si="200">AP99/15</f>
        <v>0</v>
      </c>
      <c r="AR99" s="106"/>
      <c r="AS99" s="97">
        <f t="shared" si="160"/>
        <v>70</v>
      </c>
      <c r="AT99" s="6"/>
      <c r="AU99" s="105"/>
      <c r="AV99" s="455">
        <f t="shared" si="114"/>
        <v>0</v>
      </c>
      <c r="AW99" s="496"/>
      <c r="AX99" s="508"/>
      <c r="AY99" s="498"/>
      <c r="AZ99" s="100">
        <f t="shared" si="188"/>
        <v>0</v>
      </c>
      <c r="BA99" s="106"/>
      <c r="BB99" s="105"/>
      <c r="BC99" s="105">
        <f t="shared" si="189"/>
        <v>0</v>
      </c>
      <c r="BD99" s="106"/>
      <c r="BE99" s="105">
        <f t="shared" si="190"/>
        <v>0</v>
      </c>
      <c r="BF99" s="106"/>
      <c r="BG99" s="100">
        <f t="shared" si="175"/>
        <v>70</v>
      </c>
      <c r="BH99" s="106"/>
      <c r="BI99" s="100">
        <f t="shared" si="176"/>
        <v>0</v>
      </c>
      <c r="BJ99" s="106"/>
      <c r="BK99" s="101">
        <f t="shared" si="163"/>
        <v>70</v>
      </c>
      <c r="BL99" s="106"/>
      <c r="BM99" s="104">
        <v>3500</v>
      </c>
      <c r="BN99" s="104">
        <f t="shared" si="191"/>
        <v>70</v>
      </c>
      <c r="BO99" s="105"/>
      <c r="BP99" s="105">
        <f t="shared" si="124"/>
        <v>0</v>
      </c>
      <c r="BQ99" s="106"/>
      <c r="BR99" s="105">
        <v>3500</v>
      </c>
      <c r="BS99" s="105">
        <f t="shared" si="192"/>
        <v>70</v>
      </c>
      <c r="BT99" s="106"/>
      <c r="BU99" s="53"/>
      <c r="BV99" s="53">
        <f t="shared" si="193"/>
        <v>0</v>
      </c>
      <c r="BW99" s="54"/>
      <c r="BX99" s="350">
        <f t="shared" si="166"/>
        <v>70</v>
      </c>
      <c r="BY99" s="211"/>
      <c r="BZ99" s="211">
        <f t="shared" si="180"/>
        <v>0</v>
      </c>
      <c r="CA99" s="508"/>
      <c r="CB99" s="7"/>
      <c r="CC99" s="7"/>
      <c r="CD99" s="158"/>
      <c r="CE99" s="504"/>
      <c r="CF99" s="105"/>
      <c r="CG99" s="105">
        <f t="shared" ref="CG99:CG155" si="201">CE99+CF99</f>
        <v>0</v>
      </c>
      <c r="CH99" s="105"/>
      <c r="CI99" s="105"/>
      <c r="CJ99" s="105">
        <f t="shared" ref="CJ99:CJ155" si="202">CH99+CI99</f>
        <v>0</v>
      </c>
      <c r="CK99" s="524"/>
      <c r="CL99" s="53">
        <f t="shared" si="194"/>
        <v>0</v>
      </c>
      <c r="CM99" s="54"/>
      <c r="CN99" s="105"/>
      <c r="CO99" s="100">
        <f t="shared" si="126"/>
        <v>0</v>
      </c>
      <c r="CP99" s="496"/>
      <c r="CQ99" s="439"/>
      <c r="CR99" s="504"/>
      <c r="CS99" s="105"/>
      <c r="CT99" s="105">
        <f t="shared" ref="CT99:CT106" si="203">CR99+CS99</f>
        <v>0</v>
      </c>
      <c r="CU99" s="105"/>
      <c r="CV99" s="105"/>
      <c r="CW99" s="105">
        <f t="shared" ref="CW99:CW106" si="204">CU99+CV99</f>
        <v>0</v>
      </c>
      <c r="CX99" s="53"/>
      <c r="CY99" s="109">
        <f t="shared" si="127"/>
        <v>0</v>
      </c>
      <c r="CZ99" s="54"/>
      <c r="DA99" s="105"/>
      <c r="DB99" s="455">
        <f t="shared" si="170"/>
        <v>0</v>
      </c>
      <c r="DC99" s="495"/>
      <c r="DD99" s="24"/>
      <c r="DF99" s="1133"/>
      <c r="DG99" s="674">
        <f t="shared" si="177"/>
        <v>0</v>
      </c>
      <c r="DH99" s="1119">
        <f t="shared" si="178"/>
        <v>0</v>
      </c>
      <c r="DI99" s="1119"/>
      <c r="DJ99" s="101">
        <f t="shared" si="179"/>
        <v>70</v>
      </c>
      <c r="DK99" s="101"/>
      <c r="DL99" s="101">
        <f t="shared" si="173"/>
        <v>0</v>
      </c>
      <c r="DM99" s="101">
        <f t="shared" si="198"/>
        <v>0</v>
      </c>
      <c r="DN99" s="112">
        <f t="shared" si="199"/>
        <v>70</v>
      </c>
      <c r="DO99" s="112"/>
      <c r="DP99" s="112"/>
      <c r="DQ99" s="112"/>
      <c r="DS99" s="140"/>
      <c r="DT99" s="140"/>
      <c r="DU99" s="140"/>
      <c r="DV99" s="140"/>
      <c r="DW99" s="140"/>
      <c r="DX99" s="140"/>
      <c r="DY99" s="140"/>
      <c r="DZ99" s="140"/>
    </row>
    <row r="100" spans="1:130" s="139" customFormat="1" ht="21.6" customHeight="1" x14ac:dyDescent="0.25">
      <c r="A100" s="4"/>
      <c r="B100" s="4"/>
      <c r="C100" s="153" t="s">
        <v>51</v>
      </c>
      <c r="D100" s="153" t="s">
        <v>429</v>
      </c>
      <c r="E100" s="3" t="s">
        <v>87</v>
      </c>
      <c r="F100" s="135"/>
      <c r="G100" s="135"/>
      <c r="H100" s="135"/>
      <c r="I100" s="135"/>
      <c r="J100" s="135"/>
      <c r="K100" s="135"/>
      <c r="L100" s="136"/>
      <c r="M100" s="5"/>
      <c r="N100" s="41"/>
      <c r="O100" s="156"/>
      <c r="P100" s="7"/>
      <c r="Q100" s="7"/>
      <c r="R100" s="7"/>
      <c r="S100" s="158"/>
      <c r="T100" s="89"/>
      <c r="U100" s="89"/>
      <c r="V100" s="89">
        <f t="shared" si="196"/>
        <v>0</v>
      </c>
      <c r="W100" s="137"/>
      <c r="X100" s="137"/>
      <c r="Y100" s="90">
        <f t="shared" si="197"/>
        <v>0</v>
      </c>
      <c r="Z100" s="91"/>
      <c r="AA100" s="92"/>
      <c r="AB100" s="92"/>
      <c r="AC100" s="92">
        <f t="shared" si="183"/>
        <v>0</v>
      </c>
      <c r="AD100" s="93"/>
      <c r="AE100" s="93"/>
      <c r="AF100" s="94">
        <f t="shared" si="184"/>
        <v>0</v>
      </c>
      <c r="AG100" s="473"/>
      <c r="AH100" s="99">
        <v>720</v>
      </c>
      <c r="AI100" s="99">
        <f t="shared" si="185"/>
        <v>48</v>
      </c>
      <c r="AJ100" s="138"/>
      <c r="AK100" s="138">
        <f t="shared" si="186"/>
        <v>0</v>
      </c>
      <c r="AL100" s="106"/>
      <c r="AM100" s="105">
        <v>720</v>
      </c>
      <c r="AN100" s="105">
        <f t="shared" si="187"/>
        <v>48</v>
      </c>
      <c r="AO100" s="106"/>
      <c r="AP100" s="105"/>
      <c r="AQ100" s="105">
        <f t="shared" si="200"/>
        <v>0</v>
      </c>
      <c r="AR100" s="106"/>
      <c r="AS100" s="97">
        <f t="shared" si="160"/>
        <v>48</v>
      </c>
      <c r="AT100" s="6"/>
      <c r="AU100" s="105"/>
      <c r="AV100" s="455">
        <f t="shared" si="114"/>
        <v>0</v>
      </c>
      <c r="AW100" s="496"/>
      <c r="AX100" s="508"/>
      <c r="AY100" s="498">
        <v>585</v>
      </c>
      <c r="AZ100" s="100">
        <f t="shared" si="188"/>
        <v>39</v>
      </c>
      <c r="BA100" s="106"/>
      <c r="BB100" s="105"/>
      <c r="BC100" s="105">
        <f t="shared" si="189"/>
        <v>0</v>
      </c>
      <c r="BD100" s="106"/>
      <c r="BE100" s="105">
        <f t="shared" si="190"/>
        <v>39</v>
      </c>
      <c r="BF100" s="106"/>
      <c r="BG100" s="100">
        <f t="shared" si="175"/>
        <v>48</v>
      </c>
      <c r="BH100" s="106"/>
      <c r="BI100" s="100">
        <f t="shared" si="176"/>
        <v>0</v>
      </c>
      <c r="BJ100" s="106"/>
      <c r="BK100" s="101">
        <f t="shared" si="163"/>
        <v>87</v>
      </c>
      <c r="BL100" s="106"/>
      <c r="BM100" s="104">
        <v>4350</v>
      </c>
      <c r="BN100" s="104">
        <f t="shared" si="191"/>
        <v>87</v>
      </c>
      <c r="BO100" s="105"/>
      <c r="BP100" s="105">
        <f t="shared" si="124"/>
        <v>0</v>
      </c>
      <c r="BQ100" s="106"/>
      <c r="BR100" s="105">
        <f>1950+2400</f>
        <v>4350</v>
      </c>
      <c r="BS100" s="105">
        <f t="shared" si="192"/>
        <v>87</v>
      </c>
      <c r="BT100" s="106"/>
      <c r="BU100" s="53"/>
      <c r="BV100" s="53">
        <f t="shared" si="193"/>
        <v>0</v>
      </c>
      <c r="BW100" s="54"/>
      <c r="BX100" s="350">
        <f t="shared" si="166"/>
        <v>87</v>
      </c>
      <c r="BY100" s="211"/>
      <c r="BZ100" s="211">
        <f t="shared" si="180"/>
        <v>0</v>
      </c>
      <c r="CA100" s="508"/>
      <c r="CB100" s="7"/>
      <c r="CC100" s="7"/>
      <c r="CD100" s="158"/>
      <c r="CE100" s="504"/>
      <c r="CF100" s="105"/>
      <c r="CG100" s="105">
        <f t="shared" si="201"/>
        <v>0</v>
      </c>
      <c r="CH100" s="105"/>
      <c r="CI100" s="105"/>
      <c r="CJ100" s="105">
        <f t="shared" si="202"/>
        <v>0</v>
      </c>
      <c r="CK100" s="524"/>
      <c r="CL100" s="53">
        <f t="shared" si="194"/>
        <v>0</v>
      </c>
      <c r="CM100" s="54"/>
      <c r="CN100" s="105"/>
      <c r="CO100" s="100">
        <f t="shared" si="126"/>
        <v>0</v>
      </c>
      <c r="CP100" s="496"/>
      <c r="CQ100" s="439"/>
      <c r="CR100" s="504"/>
      <c r="CS100" s="105"/>
      <c r="CT100" s="105">
        <f t="shared" si="203"/>
        <v>0</v>
      </c>
      <c r="CU100" s="105"/>
      <c r="CV100" s="105"/>
      <c r="CW100" s="105">
        <f t="shared" si="204"/>
        <v>0</v>
      </c>
      <c r="CX100" s="53"/>
      <c r="CY100" s="109">
        <f t="shared" si="127"/>
        <v>0</v>
      </c>
      <c r="CZ100" s="54"/>
      <c r="DA100" s="105"/>
      <c r="DB100" s="455">
        <f t="shared" si="170"/>
        <v>0</v>
      </c>
      <c r="DC100" s="495"/>
      <c r="DD100" s="24"/>
      <c r="DF100" s="1133"/>
      <c r="DG100" s="674">
        <f t="shared" si="177"/>
        <v>0</v>
      </c>
      <c r="DH100" s="1119">
        <f t="shared" si="178"/>
        <v>0</v>
      </c>
      <c r="DI100" s="1119"/>
      <c r="DJ100" s="101">
        <f t="shared" si="179"/>
        <v>87</v>
      </c>
      <c r="DK100" s="101"/>
      <c r="DL100" s="101">
        <f t="shared" si="173"/>
        <v>0</v>
      </c>
      <c r="DM100" s="101">
        <f t="shared" si="198"/>
        <v>0</v>
      </c>
      <c r="DN100" s="112">
        <f t="shared" si="199"/>
        <v>87</v>
      </c>
      <c r="DO100" s="112"/>
      <c r="DP100" s="112"/>
      <c r="DQ100" s="112"/>
      <c r="DS100" s="140"/>
      <c r="DT100" s="140"/>
      <c r="DU100" s="140"/>
      <c r="DV100" s="140"/>
      <c r="DW100" s="140"/>
      <c r="DX100" s="140"/>
      <c r="DY100" s="140"/>
      <c r="DZ100" s="140"/>
    </row>
    <row r="101" spans="1:130" s="139" customFormat="1" ht="21.6" customHeight="1" x14ac:dyDescent="0.25">
      <c r="A101" s="4"/>
      <c r="B101" s="4"/>
      <c r="C101" s="153" t="s">
        <v>51</v>
      </c>
      <c r="D101" s="153" t="s">
        <v>429</v>
      </c>
      <c r="E101" s="3" t="s">
        <v>538</v>
      </c>
      <c r="F101" s="135"/>
      <c r="G101" s="135"/>
      <c r="H101" s="135"/>
      <c r="I101" s="135"/>
      <c r="J101" s="135"/>
      <c r="K101" s="135"/>
      <c r="L101" s="136"/>
      <c r="M101" s="5"/>
      <c r="N101" s="41"/>
      <c r="O101" s="156"/>
      <c r="P101" s="7"/>
      <c r="Q101" s="7"/>
      <c r="R101" s="7"/>
      <c r="S101" s="158"/>
      <c r="T101" s="89"/>
      <c r="U101" s="89"/>
      <c r="V101" s="89">
        <f t="shared" si="196"/>
        <v>0</v>
      </c>
      <c r="W101" s="137"/>
      <c r="X101" s="137"/>
      <c r="Y101" s="90">
        <f t="shared" si="197"/>
        <v>0</v>
      </c>
      <c r="Z101" s="91"/>
      <c r="AA101" s="92"/>
      <c r="AB101" s="92"/>
      <c r="AC101" s="92">
        <f t="shared" si="183"/>
        <v>0</v>
      </c>
      <c r="AD101" s="93"/>
      <c r="AE101" s="93"/>
      <c r="AF101" s="94">
        <f t="shared" si="184"/>
        <v>0</v>
      </c>
      <c r="AG101" s="473"/>
      <c r="AH101" s="99">
        <v>1395</v>
      </c>
      <c r="AI101" s="99">
        <f t="shared" si="185"/>
        <v>93</v>
      </c>
      <c r="AJ101" s="138"/>
      <c r="AK101" s="138">
        <f t="shared" si="186"/>
        <v>0</v>
      </c>
      <c r="AL101" s="106"/>
      <c r="AM101" s="105">
        <v>1305</v>
      </c>
      <c r="AN101" s="105">
        <f t="shared" si="187"/>
        <v>87</v>
      </c>
      <c r="AO101" s="106"/>
      <c r="AP101" s="105"/>
      <c r="AQ101" s="105">
        <f t="shared" si="200"/>
        <v>0</v>
      </c>
      <c r="AR101" s="106"/>
      <c r="AS101" s="97">
        <f t="shared" si="160"/>
        <v>87</v>
      </c>
      <c r="AT101" s="6"/>
      <c r="AU101" s="105"/>
      <c r="AV101" s="455">
        <f t="shared" si="114"/>
        <v>0</v>
      </c>
      <c r="AW101" s="496"/>
      <c r="AX101" s="508"/>
      <c r="AY101" s="498">
        <v>490</v>
      </c>
      <c r="AZ101" s="100">
        <f t="shared" si="188"/>
        <v>32.666666666666664</v>
      </c>
      <c r="BA101" s="106"/>
      <c r="BB101" s="105"/>
      <c r="BC101" s="105">
        <f t="shared" si="189"/>
        <v>0</v>
      </c>
      <c r="BD101" s="106"/>
      <c r="BE101" s="105">
        <f t="shared" si="190"/>
        <v>32.666666666666664</v>
      </c>
      <c r="BF101" s="106"/>
      <c r="BG101" s="100">
        <f t="shared" si="175"/>
        <v>87</v>
      </c>
      <c r="BH101" s="106"/>
      <c r="BI101" s="100">
        <f t="shared" si="176"/>
        <v>0</v>
      </c>
      <c r="BJ101" s="106"/>
      <c r="BK101" s="101">
        <f t="shared" si="163"/>
        <v>119.66666666666666</v>
      </c>
      <c r="BL101" s="106"/>
      <c r="BM101" s="104">
        <v>6346.5</v>
      </c>
      <c r="BN101" s="104">
        <f t="shared" si="191"/>
        <v>126.93</v>
      </c>
      <c r="BO101" s="105"/>
      <c r="BP101" s="105">
        <f t="shared" si="124"/>
        <v>0</v>
      </c>
      <c r="BQ101" s="106"/>
      <c r="BR101" s="105">
        <f>4300+1650</f>
        <v>5950</v>
      </c>
      <c r="BS101" s="105">
        <f t="shared" si="192"/>
        <v>119</v>
      </c>
      <c r="BT101" s="106"/>
      <c r="BU101" s="53"/>
      <c r="BV101" s="53">
        <f t="shared" si="193"/>
        <v>0</v>
      </c>
      <c r="BW101" s="54"/>
      <c r="BX101" s="350">
        <f t="shared" si="166"/>
        <v>119</v>
      </c>
      <c r="BY101" s="211"/>
      <c r="BZ101" s="211">
        <f t="shared" si="180"/>
        <v>0.66666666666665719</v>
      </c>
      <c r="CA101" s="508"/>
      <c r="CB101" s="7"/>
      <c r="CC101" s="7"/>
      <c r="CD101" s="158"/>
      <c r="CE101" s="504"/>
      <c r="CF101" s="105"/>
      <c r="CG101" s="105">
        <f t="shared" si="201"/>
        <v>0</v>
      </c>
      <c r="CH101" s="105"/>
      <c r="CI101" s="105"/>
      <c r="CJ101" s="105">
        <f t="shared" si="202"/>
        <v>0</v>
      </c>
      <c r="CK101" s="524"/>
      <c r="CL101" s="53">
        <f t="shared" si="194"/>
        <v>0</v>
      </c>
      <c r="CM101" s="54"/>
      <c r="CN101" s="105"/>
      <c r="CO101" s="100">
        <f t="shared" si="126"/>
        <v>0</v>
      </c>
      <c r="CP101" s="496"/>
      <c r="CQ101" s="439"/>
      <c r="CR101" s="504"/>
      <c r="CS101" s="105"/>
      <c r="CT101" s="105">
        <f t="shared" si="203"/>
        <v>0</v>
      </c>
      <c r="CU101" s="105"/>
      <c r="CV101" s="105"/>
      <c r="CW101" s="105">
        <f t="shared" si="204"/>
        <v>0</v>
      </c>
      <c r="CX101" s="53"/>
      <c r="CY101" s="109">
        <f t="shared" si="127"/>
        <v>0</v>
      </c>
      <c r="CZ101" s="54"/>
      <c r="DA101" s="105"/>
      <c r="DB101" s="455">
        <f t="shared" si="170"/>
        <v>0</v>
      </c>
      <c r="DC101" s="495"/>
      <c r="DD101" s="24"/>
      <c r="DF101" s="1133"/>
      <c r="DG101" s="674">
        <f t="shared" si="177"/>
        <v>0</v>
      </c>
      <c r="DH101" s="1119">
        <f t="shared" si="178"/>
        <v>0</v>
      </c>
      <c r="DI101" s="1119"/>
      <c r="DJ101" s="101">
        <f t="shared" si="179"/>
        <v>119.66666666666666</v>
      </c>
      <c r="DK101" s="101"/>
      <c r="DL101" s="101">
        <f t="shared" si="173"/>
        <v>0</v>
      </c>
      <c r="DM101" s="101">
        <f t="shared" si="198"/>
        <v>0</v>
      </c>
      <c r="DN101" s="112">
        <f t="shared" si="199"/>
        <v>119.66666666666666</v>
      </c>
      <c r="DO101" s="112"/>
      <c r="DP101" s="112"/>
      <c r="DQ101" s="112"/>
      <c r="DS101" s="140"/>
      <c r="DT101" s="140"/>
      <c r="DU101" s="140"/>
      <c r="DV101" s="140"/>
      <c r="DW101" s="140"/>
      <c r="DX101" s="140"/>
      <c r="DY101" s="140"/>
      <c r="DZ101" s="140"/>
    </row>
    <row r="102" spans="1:130" s="139" customFormat="1" ht="21.6" customHeight="1" x14ac:dyDescent="0.25">
      <c r="A102" s="4"/>
      <c r="B102" s="4"/>
      <c r="C102" s="134" t="s">
        <v>51</v>
      </c>
      <c r="D102" s="134" t="s">
        <v>429</v>
      </c>
      <c r="E102" s="13" t="s">
        <v>55</v>
      </c>
      <c r="F102" s="135">
        <v>13</v>
      </c>
      <c r="G102" s="135">
        <v>3</v>
      </c>
      <c r="H102" s="135">
        <f>F102+G102</f>
        <v>16</v>
      </c>
      <c r="I102" s="135">
        <v>14.25</v>
      </c>
      <c r="J102" s="135"/>
      <c r="K102" s="135">
        <f>I102+J102</f>
        <v>14.25</v>
      </c>
      <c r="L102" s="136"/>
      <c r="M102" s="5"/>
      <c r="N102" s="41"/>
      <c r="O102" s="56"/>
      <c r="P102" s="7"/>
      <c r="Q102" s="7"/>
      <c r="R102" s="7"/>
      <c r="S102" s="158"/>
      <c r="T102" s="89"/>
      <c r="U102" s="89"/>
      <c r="V102" s="89">
        <f t="shared" si="196"/>
        <v>0</v>
      </c>
      <c r="W102" s="137"/>
      <c r="X102" s="137"/>
      <c r="Y102" s="90">
        <f t="shared" si="197"/>
        <v>0</v>
      </c>
      <c r="Z102" s="91"/>
      <c r="AA102" s="92"/>
      <c r="AB102" s="92"/>
      <c r="AC102" s="92">
        <f t="shared" si="183"/>
        <v>0</v>
      </c>
      <c r="AD102" s="93"/>
      <c r="AE102" s="93"/>
      <c r="AF102" s="235">
        <f t="shared" si="184"/>
        <v>0</v>
      </c>
      <c r="AG102" s="473"/>
      <c r="AH102" s="99">
        <v>330</v>
      </c>
      <c r="AI102" s="99">
        <f t="shared" si="185"/>
        <v>22</v>
      </c>
      <c r="AJ102" s="138">
        <v>330</v>
      </c>
      <c r="AK102" s="138">
        <f t="shared" si="186"/>
        <v>22</v>
      </c>
      <c r="AL102" s="106"/>
      <c r="AM102" s="105"/>
      <c r="AN102" s="105">
        <f t="shared" si="187"/>
        <v>0</v>
      </c>
      <c r="AO102" s="106"/>
      <c r="AP102" s="105"/>
      <c r="AQ102" s="105">
        <f t="shared" si="200"/>
        <v>0</v>
      </c>
      <c r="AR102" s="106"/>
      <c r="AS102" s="97">
        <f t="shared" si="160"/>
        <v>22</v>
      </c>
      <c r="AT102" s="6"/>
      <c r="AU102" s="105"/>
      <c r="AV102" s="455">
        <f t="shared" si="114"/>
        <v>0</v>
      </c>
      <c r="AW102" s="496"/>
      <c r="AX102" s="508"/>
      <c r="AY102" s="498"/>
      <c r="AZ102" s="100">
        <f t="shared" si="188"/>
        <v>0</v>
      </c>
      <c r="BA102" s="106"/>
      <c r="BB102" s="105"/>
      <c r="BC102" s="105">
        <f t="shared" si="189"/>
        <v>0</v>
      </c>
      <c r="BD102" s="106"/>
      <c r="BE102" s="105">
        <f t="shared" si="190"/>
        <v>22</v>
      </c>
      <c r="BF102" s="106"/>
      <c r="BG102" s="100">
        <f t="shared" si="175"/>
        <v>0</v>
      </c>
      <c r="BH102" s="106"/>
      <c r="BI102" s="100">
        <f t="shared" si="176"/>
        <v>0</v>
      </c>
      <c r="BJ102" s="106"/>
      <c r="BK102" s="101">
        <f t="shared" si="163"/>
        <v>22</v>
      </c>
      <c r="BL102" s="106"/>
      <c r="BM102" s="104">
        <v>1100</v>
      </c>
      <c r="BN102" s="104">
        <f t="shared" si="191"/>
        <v>22</v>
      </c>
      <c r="BO102" s="105">
        <v>1100</v>
      </c>
      <c r="BP102" s="105">
        <f t="shared" si="124"/>
        <v>22</v>
      </c>
      <c r="BQ102" s="106"/>
      <c r="BR102" s="105"/>
      <c r="BS102" s="105">
        <f t="shared" si="192"/>
        <v>0</v>
      </c>
      <c r="BT102" s="106"/>
      <c r="BU102" s="53"/>
      <c r="BV102" s="53">
        <f t="shared" si="193"/>
        <v>0</v>
      </c>
      <c r="BW102" s="54"/>
      <c r="BX102" s="350">
        <f t="shared" si="166"/>
        <v>22</v>
      </c>
      <c r="BY102" s="211"/>
      <c r="BZ102" s="211">
        <f t="shared" si="180"/>
        <v>0</v>
      </c>
      <c r="CA102" s="508"/>
      <c r="CB102" s="7"/>
      <c r="CC102" s="7"/>
      <c r="CD102" s="158"/>
      <c r="CE102" s="504"/>
      <c r="CF102" s="105"/>
      <c r="CG102" s="105">
        <f t="shared" si="201"/>
        <v>0</v>
      </c>
      <c r="CH102" s="105"/>
      <c r="CI102" s="105"/>
      <c r="CJ102" s="105">
        <f t="shared" si="202"/>
        <v>0</v>
      </c>
      <c r="CK102" s="524"/>
      <c r="CL102" s="53">
        <f t="shared" si="194"/>
        <v>0</v>
      </c>
      <c r="CM102" s="54"/>
      <c r="CN102" s="105"/>
      <c r="CO102" s="100">
        <f t="shared" si="126"/>
        <v>0</v>
      </c>
      <c r="CP102" s="496"/>
      <c r="CQ102" s="439"/>
      <c r="CR102" s="504"/>
      <c r="CS102" s="105"/>
      <c r="CT102" s="105">
        <f t="shared" si="203"/>
        <v>0</v>
      </c>
      <c r="CU102" s="105"/>
      <c r="CV102" s="105"/>
      <c r="CW102" s="105">
        <f t="shared" si="204"/>
        <v>0</v>
      </c>
      <c r="CX102" s="53"/>
      <c r="CY102" s="109">
        <f t="shared" si="127"/>
        <v>0</v>
      </c>
      <c r="CZ102" s="54"/>
      <c r="DA102" s="105"/>
      <c r="DB102" s="455">
        <f t="shared" si="170"/>
        <v>0</v>
      </c>
      <c r="DC102" s="495"/>
      <c r="DD102" s="27" t="s">
        <v>350</v>
      </c>
      <c r="DF102" s="1133"/>
      <c r="DG102" s="674">
        <f t="shared" si="177"/>
        <v>0</v>
      </c>
      <c r="DH102" s="1119">
        <f t="shared" si="178"/>
        <v>0</v>
      </c>
      <c r="DI102" s="1119"/>
      <c r="DJ102" s="101">
        <f t="shared" si="179"/>
        <v>22</v>
      </c>
      <c r="DK102" s="101"/>
      <c r="DL102" s="101">
        <f t="shared" si="173"/>
        <v>0</v>
      </c>
      <c r="DM102" s="101">
        <f t="shared" si="198"/>
        <v>0</v>
      </c>
      <c r="DN102" s="112">
        <f t="shared" si="199"/>
        <v>22</v>
      </c>
      <c r="DO102" s="112"/>
      <c r="DP102" s="112"/>
      <c r="DQ102" s="112"/>
      <c r="DS102" s="140"/>
      <c r="DT102" s="140"/>
      <c r="DU102" s="140"/>
      <c r="DV102" s="140"/>
      <c r="DW102" s="140"/>
      <c r="DX102" s="140"/>
      <c r="DY102" s="140"/>
      <c r="DZ102" s="140"/>
    </row>
    <row r="103" spans="1:130" s="139" customFormat="1" ht="21.6" customHeight="1" x14ac:dyDescent="0.25">
      <c r="A103" s="4"/>
      <c r="B103" s="4"/>
      <c r="C103" s="153" t="s">
        <v>51</v>
      </c>
      <c r="D103" s="153" t="s">
        <v>429</v>
      </c>
      <c r="E103" s="3" t="s">
        <v>540</v>
      </c>
      <c r="F103" s="135"/>
      <c r="G103" s="135"/>
      <c r="H103" s="135"/>
      <c r="I103" s="135"/>
      <c r="J103" s="135"/>
      <c r="K103" s="135"/>
      <c r="L103" s="136"/>
      <c r="M103" s="5"/>
      <c r="N103" s="41"/>
      <c r="O103" s="153"/>
      <c r="P103" s="7"/>
      <c r="Q103" s="7"/>
      <c r="R103" s="7"/>
      <c r="S103" s="158"/>
      <c r="T103" s="89"/>
      <c r="U103" s="89"/>
      <c r="V103" s="89">
        <f t="shared" si="196"/>
        <v>0</v>
      </c>
      <c r="W103" s="137"/>
      <c r="X103" s="137"/>
      <c r="Y103" s="90">
        <f t="shared" si="197"/>
        <v>0</v>
      </c>
      <c r="Z103" s="91"/>
      <c r="AA103" s="92"/>
      <c r="AB103" s="92"/>
      <c r="AC103" s="92">
        <f t="shared" si="183"/>
        <v>0</v>
      </c>
      <c r="AD103" s="93"/>
      <c r="AE103" s="93"/>
      <c r="AF103" s="94">
        <f t="shared" si="184"/>
        <v>0</v>
      </c>
      <c r="AG103" s="473"/>
      <c r="AH103" s="99">
        <v>300</v>
      </c>
      <c r="AI103" s="99">
        <f t="shared" si="185"/>
        <v>20</v>
      </c>
      <c r="AJ103" s="138"/>
      <c r="AK103" s="138">
        <f t="shared" si="186"/>
        <v>0</v>
      </c>
      <c r="AL103" s="106"/>
      <c r="AM103" s="105">
        <v>300</v>
      </c>
      <c r="AN103" s="105">
        <f t="shared" si="187"/>
        <v>20</v>
      </c>
      <c r="AO103" s="106"/>
      <c r="AP103" s="105"/>
      <c r="AQ103" s="105">
        <f t="shared" si="200"/>
        <v>0</v>
      </c>
      <c r="AR103" s="106"/>
      <c r="AS103" s="97">
        <f t="shared" si="160"/>
        <v>20</v>
      </c>
      <c r="AT103" s="6"/>
      <c r="AU103" s="105"/>
      <c r="AV103" s="455">
        <f t="shared" si="114"/>
        <v>0</v>
      </c>
      <c r="AW103" s="496"/>
      <c r="AX103" s="508"/>
      <c r="AY103" s="498"/>
      <c r="AZ103" s="100">
        <f t="shared" si="188"/>
        <v>0</v>
      </c>
      <c r="BA103" s="106"/>
      <c r="BB103" s="105"/>
      <c r="BC103" s="105">
        <f t="shared" si="189"/>
        <v>0</v>
      </c>
      <c r="BD103" s="106"/>
      <c r="BE103" s="105">
        <f t="shared" si="190"/>
        <v>0</v>
      </c>
      <c r="BF103" s="106"/>
      <c r="BG103" s="100">
        <f t="shared" si="175"/>
        <v>20</v>
      </c>
      <c r="BH103" s="106"/>
      <c r="BI103" s="100">
        <f t="shared" si="176"/>
        <v>0</v>
      </c>
      <c r="BJ103" s="106"/>
      <c r="BK103" s="101">
        <f t="shared" si="163"/>
        <v>20</v>
      </c>
      <c r="BL103" s="106"/>
      <c r="BM103" s="104">
        <v>1000</v>
      </c>
      <c r="BN103" s="104">
        <f t="shared" si="191"/>
        <v>20</v>
      </c>
      <c r="BO103" s="105"/>
      <c r="BP103" s="105">
        <f t="shared" si="124"/>
        <v>0</v>
      </c>
      <c r="BQ103" s="106"/>
      <c r="BR103" s="105">
        <v>1000</v>
      </c>
      <c r="BS103" s="105">
        <f t="shared" si="192"/>
        <v>20</v>
      </c>
      <c r="BT103" s="106"/>
      <c r="BU103" s="53"/>
      <c r="BV103" s="53">
        <f t="shared" si="193"/>
        <v>0</v>
      </c>
      <c r="BW103" s="54"/>
      <c r="BX103" s="350">
        <f t="shared" si="166"/>
        <v>20</v>
      </c>
      <c r="BY103" s="211"/>
      <c r="BZ103" s="211">
        <f t="shared" si="180"/>
        <v>0</v>
      </c>
      <c r="CA103" s="508"/>
      <c r="CB103" s="7"/>
      <c r="CC103" s="7"/>
      <c r="CD103" s="158"/>
      <c r="CE103" s="504"/>
      <c r="CF103" s="105"/>
      <c r="CG103" s="105">
        <f t="shared" si="201"/>
        <v>0</v>
      </c>
      <c r="CH103" s="105"/>
      <c r="CI103" s="105"/>
      <c r="CJ103" s="105">
        <f t="shared" si="202"/>
        <v>0</v>
      </c>
      <c r="CK103" s="524"/>
      <c r="CL103" s="53">
        <f t="shared" si="194"/>
        <v>0</v>
      </c>
      <c r="CM103" s="54"/>
      <c r="CN103" s="105"/>
      <c r="CO103" s="100">
        <f t="shared" si="126"/>
        <v>0</v>
      </c>
      <c r="CP103" s="496"/>
      <c r="CQ103" s="439"/>
      <c r="CR103" s="504"/>
      <c r="CS103" s="105"/>
      <c r="CT103" s="105">
        <f t="shared" si="203"/>
        <v>0</v>
      </c>
      <c r="CU103" s="105"/>
      <c r="CV103" s="105"/>
      <c r="CW103" s="105">
        <f t="shared" si="204"/>
        <v>0</v>
      </c>
      <c r="CX103" s="53"/>
      <c r="CY103" s="109">
        <f t="shared" si="127"/>
        <v>0</v>
      </c>
      <c r="CZ103" s="54"/>
      <c r="DA103" s="105"/>
      <c r="DB103" s="455">
        <f t="shared" si="170"/>
        <v>0</v>
      </c>
      <c r="DC103" s="495"/>
      <c r="DD103" s="24"/>
      <c r="DF103" s="1133"/>
      <c r="DG103" s="674">
        <f t="shared" si="177"/>
        <v>0</v>
      </c>
      <c r="DH103" s="1119">
        <f t="shared" si="178"/>
        <v>0</v>
      </c>
      <c r="DI103" s="1119"/>
      <c r="DJ103" s="101">
        <f t="shared" si="179"/>
        <v>20</v>
      </c>
      <c r="DK103" s="101"/>
      <c r="DL103" s="101">
        <f t="shared" si="173"/>
        <v>0</v>
      </c>
      <c r="DM103" s="101">
        <f t="shared" si="198"/>
        <v>0</v>
      </c>
      <c r="DN103" s="112">
        <f t="shared" si="199"/>
        <v>20</v>
      </c>
      <c r="DO103" s="112"/>
      <c r="DP103" s="112"/>
      <c r="DQ103" s="112"/>
      <c r="DS103" s="140"/>
      <c r="DT103" s="140"/>
      <c r="DU103" s="140"/>
      <c r="DV103" s="140"/>
      <c r="DW103" s="140"/>
      <c r="DX103" s="140"/>
      <c r="DY103" s="140"/>
      <c r="DZ103" s="140"/>
    </row>
    <row r="104" spans="1:130" s="222" customFormat="1" ht="21.6" customHeight="1" x14ac:dyDescent="0.25">
      <c r="A104" s="4"/>
      <c r="B104" s="4"/>
      <c r="C104" s="153" t="s">
        <v>51</v>
      </c>
      <c r="D104" s="153" t="s">
        <v>429</v>
      </c>
      <c r="E104" s="3" t="s">
        <v>539</v>
      </c>
      <c r="F104" s="135"/>
      <c r="G104" s="135"/>
      <c r="H104" s="135"/>
      <c r="I104" s="135"/>
      <c r="J104" s="135"/>
      <c r="K104" s="135"/>
      <c r="L104" s="136"/>
      <c r="M104" s="5"/>
      <c r="N104" s="41"/>
      <c r="O104" s="153"/>
      <c r="P104" s="7"/>
      <c r="Q104" s="7"/>
      <c r="R104" s="7"/>
      <c r="S104" s="158"/>
      <c r="T104" s="89"/>
      <c r="U104" s="89"/>
      <c r="V104" s="89">
        <f t="shared" si="196"/>
        <v>0</v>
      </c>
      <c r="W104" s="137"/>
      <c r="X104" s="137"/>
      <c r="Y104" s="90">
        <f t="shared" si="197"/>
        <v>0</v>
      </c>
      <c r="Z104" s="91"/>
      <c r="AA104" s="92"/>
      <c r="AB104" s="92"/>
      <c r="AC104" s="92">
        <f t="shared" si="183"/>
        <v>0</v>
      </c>
      <c r="AD104" s="93"/>
      <c r="AE104" s="93"/>
      <c r="AF104" s="94">
        <f t="shared" si="184"/>
        <v>0</v>
      </c>
      <c r="AG104" s="473"/>
      <c r="AH104" s="99">
        <v>1050</v>
      </c>
      <c r="AI104" s="99">
        <f t="shared" si="185"/>
        <v>70</v>
      </c>
      <c r="AJ104" s="138"/>
      <c r="AK104" s="138">
        <f t="shared" si="186"/>
        <v>0</v>
      </c>
      <c r="AL104" s="106"/>
      <c r="AM104" s="105">
        <v>1050</v>
      </c>
      <c r="AN104" s="105">
        <f t="shared" si="187"/>
        <v>70</v>
      </c>
      <c r="AO104" s="106"/>
      <c r="AP104" s="105"/>
      <c r="AQ104" s="105">
        <f t="shared" si="200"/>
        <v>0</v>
      </c>
      <c r="AR104" s="106"/>
      <c r="AS104" s="97">
        <f t="shared" si="160"/>
        <v>70</v>
      </c>
      <c r="AT104" s="6"/>
      <c r="AU104" s="105"/>
      <c r="AV104" s="455">
        <f t="shared" si="114"/>
        <v>0</v>
      </c>
      <c r="AW104" s="496"/>
      <c r="AX104" s="508"/>
      <c r="AY104" s="498">
        <v>225</v>
      </c>
      <c r="AZ104" s="100">
        <f t="shared" si="188"/>
        <v>15</v>
      </c>
      <c r="BA104" s="106"/>
      <c r="BB104" s="105"/>
      <c r="BC104" s="105">
        <f t="shared" si="189"/>
        <v>0</v>
      </c>
      <c r="BD104" s="106"/>
      <c r="BE104" s="105">
        <f t="shared" si="190"/>
        <v>15</v>
      </c>
      <c r="BF104" s="106"/>
      <c r="BG104" s="100">
        <f t="shared" si="175"/>
        <v>70</v>
      </c>
      <c r="BH104" s="106"/>
      <c r="BI104" s="100">
        <f t="shared" si="176"/>
        <v>0</v>
      </c>
      <c r="BJ104" s="106"/>
      <c r="BK104" s="101">
        <f t="shared" si="163"/>
        <v>85</v>
      </c>
      <c r="BL104" s="106"/>
      <c r="BM104" s="104">
        <v>4258</v>
      </c>
      <c r="BN104" s="104">
        <f t="shared" si="191"/>
        <v>85.16</v>
      </c>
      <c r="BO104" s="105"/>
      <c r="BP104" s="105">
        <f t="shared" si="124"/>
        <v>0</v>
      </c>
      <c r="BQ104" s="106"/>
      <c r="BR104" s="105">
        <f>3500+750</f>
        <v>4250</v>
      </c>
      <c r="BS104" s="105">
        <f t="shared" si="192"/>
        <v>85</v>
      </c>
      <c r="BT104" s="106"/>
      <c r="BU104" s="53"/>
      <c r="BV104" s="53">
        <f t="shared" si="193"/>
        <v>0</v>
      </c>
      <c r="BW104" s="54"/>
      <c r="BX104" s="350">
        <f t="shared" si="166"/>
        <v>85</v>
      </c>
      <c r="BY104" s="211"/>
      <c r="BZ104" s="211">
        <f t="shared" si="180"/>
        <v>0</v>
      </c>
      <c r="CA104" s="508"/>
      <c r="CB104" s="7"/>
      <c r="CC104" s="7"/>
      <c r="CD104" s="158"/>
      <c r="CE104" s="504"/>
      <c r="CF104" s="105"/>
      <c r="CG104" s="105">
        <f t="shared" si="201"/>
        <v>0</v>
      </c>
      <c r="CH104" s="105"/>
      <c r="CI104" s="105"/>
      <c r="CJ104" s="105">
        <f t="shared" si="202"/>
        <v>0</v>
      </c>
      <c r="CK104" s="524"/>
      <c r="CL104" s="53">
        <f t="shared" si="194"/>
        <v>0</v>
      </c>
      <c r="CM104" s="54"/>
      <c r="CN104" s="105"/>
      <c r="CO104" s="100">
        <f t="shared" si="126"/>
        <v>0</v>
      </c>
      <c r="CP104" s="496"/>
      <c r="CQ104" s="439"/>
      <c r="CR104" s="504"/>
      <c r="CS104" s="105"/>
      <c r="CT104" s="105">
        <f t="shared" si="203"/>
        <v>0</v>
      </c>
      <c r="CU104" s="105"/>
      <c r="CV104" s="105"/>
      <c r="CW104" s="105">
        <f t="shared" si="204"/>
        <v>0</v>
      </c>
      <c r="CX104" s="53"/>
      <c r="CY104" s="109">
        <f t="shared" si="127"/>
        <v>0</v>
      </c>
      <c r="CZ104" s="54"/>
      <c r="DA104" s="105"/>
      <c r="DB104" s="455">
        <f t="shared" si="170"/>
        <v>0</v>
      </c>
      <c r="DC104" s="495"/>
      <c r="DD104" s="24"/>
      <c r="DE104" s="139"/>
      <c r="DF104" s="1133"/>
      <c r="DG104" s="674">
        <f t="shared" si="177"/>
        <v>0</v>
      </c>
      <c r="DH104" s="1119">
        <f t="shared" si="178"/>
        <v>0</v>
      </c>
      <c r="DI104" s="1119"/>
      <c r="DJ104" s="101">
        <f t="shared" si="179"/>
        <v>85</v>
      </c>
      <c r="DK104" s="101"/>
      <c r="DL104" s="101">
        <f t="shared" si="173"/>
        <v>0</v>
      </c>
      <c r="DM104" s="101">
        <f t="shared" si="198"/>
        <v>0</v>
      </c>
      <c r="DN104" s="112">
        <f t="shared" si="199"/>
        <v>85</v>
      </c>
      <c r="DO104" s="112"/>
      <c r="DP104" s="112"/>
      <c r="DQ104" s="112"/>
      <c r="DR104" s="139"/>
      <c r="DS104" s="140"/>
      <c r="DT104" s="140"/>
      <c r="DU104" s="140"/>
      <c r="DV104" s="223"/>
      <c r="DW104" s="223"/>
      <c r="DX104" s="223"/>
      <c r="DY104" s="223"/>
      <c r="DZ104" s="223"/>
    </row>
    <row r="105" spans="1:130" s="222" customFormat="1" ht="21.6" customHeight="1" x14ac:dyDescent="0.25">
      <c r="A105" s="207"/>
      <c r="B105" s="207"/>
      <c r="C105" s="167" t="s">
        <v>51</v>
      </c>
      <c r="D105" s="167" t="s">
        <v>429</v>
      </c>
      <c r="E105" s="16" t="s">
        <v>605</v>
      </c>
      <c r="F105" s="208"/>
      <c r="G105" s="208"/>
      <c r="H105" s="208"/>
      <c r="I105" s="208"/>
      <c r="J105" s="208"/>
      <c r="K105" s="225">
        <f>I105+J105</f>
        <v>0</v>
      </c>
      <c r="L105" s="226"/>
      <c r="M105" s="186"/>
      <c r="N105" s="177"/>
      <c r="O105" s="236"/>
      <c r="P105" s="228"/>
      <c r="Q105" s="228"/>
      <c r="R105" s="228"/>
      <c r="S105" s="229"/>
      <c r="T105" s="213"/>
      <c r="U105" s="213"/>
      <c r="V105" s="213">
        <f t="shared" si="196"/>
        <v>0</v>
      </c>
      <c r="W105" s="214"/>
      <c r="X105" s="214"/>
      <c r="Y105" s="215">
        <f t="shared" si="197"/>
        <v>0</v>
      </c>
      <c r="Z105" s="230"/>
      <c r="AA105" s="217"/>
      <c r="AB105" s="217"/>
      <c r="AC105" s="92">
        <f t="shared" si="183"/>
        <v>0</v>
      </c>
      <c r="AD105" s="218"/>
      <c r="AE105" s="218"/>
      <c r="AF105" s="94">
        <f t="shared" si="184"/>
        <v>0</v>
      </c>
      <c r="AG105" s="478"/>
      <c r="AH105" s="219"/>
      <c r="AI105" s="219">
        <f t="shared" si="185"/>
        <v>0</v>
      </c>
      <c r="AJ105" s="221"/>
      <c r="AK105" s="138">
        <f t="shared" si="186"/>
        <v>0</v>
      </c>
      <c r="AL105" s="106"/>
      <c r="AM105" s="105">
        <v>1175</v>
      </c>
      <c r="AN105" s="105">
        <f t="shared" si="187"/>
        <v>78.333333333333329</v>
      </c>
      <c r="AO105" s="106"/>
      <c r="AP105" s="105"/>
      <c r="AQ105" s="105">
        <f t="shared" si="200"/>
        <v>0</v>
      </c>
      <c r="AR105" s="106"/>
      <c r="AS105" s="97">
        <f t="shared" si="160"/>
        <v>78.333333333333329</v>
      </c>
      <c r="AT105" s="6"/>
      <c r="AU105" s="105"/>
      <c r="AV105" s="455">
        <f t="shared" si="114"/>
        <v>0</v>
      </c>
      <c r="AW105" s="496"/>
      <c r="AX105" s="508"/>
      <c r="AY105" s="500">
        <v>105</v>
      </c>
      <c r="AZ105" s="100">
        <f t="shared" si="188"/>
        <v>7</v>
      </c>
      <c r="BA105" s="106"/>
      <c r="BB105" s="105"/>
      <c r="BC105" s="105">
        <f t="shared" si="189"/>
        <v>0</v>
      </c>
      <c r="BD105" s="106"/>
      <c r="BE105" s="105">
        <f t="shared" si="190"/>
        <v>7</v>
      </c>
      <c r="BF105" s="106"/>
      <c r="BG105" s="100">
        <f t="shared" si="175"/>
        <v>78.333333333333329</v>
      </c>
      <c r="BH105" s="106"/>
      <c r="BI105" s="100">
        <f t="shared" si="176"/>
        <v>0</v>
      </c>
      <c r="BJ105" s="106"/>
      <c r="BK105" s="101">
        <f t="shared" si="163"/>
        <v>85.333333333333329</v>
      </c>
      <c r="BL105" s="106"/>
      <c r="BM105" s="219"/>
      <c r="BN105" s="219">
        <f t="shared" si="191"/>
        <v>0</v>
      </c>
      <c r="BO105" s="221"/>
      <c r="BP105" s="105">
        <f t="shared" si="124"/>
        <v>0</v>
      </c>
      <c r="BQ105" s="106"/>
      <c r="BR105" s="105">
        <f>3900+350</f>
        <v>4250</v>
      </c>
      <c r="BS105" s="105">
        <f t="shared" si="192"/>
        <v>85</v>
      </c>
      <c r="BT105" s="106"/>
      <c r="BU105" s="53"/>
      <c r="BV105" s="53">
        <f t="shared" si="193"/>
        <v>0</v>
      </c>
      <c r="BW105" s="54"/>
      <c r="BX105" s="350">
        <f t="shared" si="166"/>
        <v>85</v>
      </c>
      <c r="BY105" s="211"/>
      <c r="BZ105" s="211">
        <f t="shared" si="180"/>
        <v>0.3333333333333286</v>
      </c>
      <c r="CA105" s="508"/>
      <c r="CB105" s="228"/>
      <c r="CC105" s="228"/>
      <c r="CD105" s="229"/>
      <c r="CE105" s="504"/>
      <c r="CF105" s="105"/>
      <c r="CG105" s="105">
        <f t="shared" si="201"/>
        <v>0</v>
      </c>
      <c r="CH105" s="105"/>
      <c r="CI105" s="105"/>
      <c r="CJ105" s="105">
        <f t="shared" si="202"/>
        <v>0</v>
      </c>
      <c r="CK105" s="524"/>
      <c r="CL105" s="53">
        <f t="shared" si="194"/>
        <v>0</v>
      </c>
      <c r="CM105" s="54"/>
      <c r="CN105" s="105"/>
      <c r="CO105" s="100">
        <f t="shared" si="126"/>
        <v>0</v>
      </c>
      <c r="CP105" s="496"/>
      <c r="CQ105" s="439"/>
      <c r="CR105" s="504"/>
      <c r="CS105" s="105"/>
      <c r="CT105" s="105">
        <f t="shared" si="203"/>
        <v>0</v>
      </c>
      <c r="CU105" s="105"/>
      <c r="CV105" s="105"/>
      <c r="CW105" s="105">
        <f t="shared" si="204"/>
        <v>0</v>
      </c>
      <c r="CX105" s="53"/>
      <c r="CY105" s="109">
        <f t="shared" si="127"/>
        <v>0</v>
      </c>
      <c r="CZ105" s="54"/>
      <c r="DA105" s="105"/>
      <c r="DB105" s="455">
        <f t="shared" si="170"/>
        <v>0</v>
      </c>
      <c r="DC105" s="495"/>
      <c r="DD105" s="29"/>
      <c r="DF105" s="1133"/>
      <c r="DG105" s="674">
        <f t="shared" si="177"/>
        <v>0</v>
      </c>
      <c r="DH105" s="1119">
        <f t="shared" si="178"/>
        <v>0</v>
      </c>
      <c r="DI105" s="1119"/>
      <c r="DJ105" s="101">
        <f t="shared" si="179"/>
        <v>85.333333333333329</v>
      </c>
      <c r="DK105" s="101"/>
      <c r="DL105" s="101">
        <f t="shared" si="173"/>
        <v>0</v>
      </c>
      <c r="DM105" s="101">
        <f t="shared" si="198"/>
        <v>0</v>
      </c>
      <c r="DN105" s="112">
        <f t="shared" si="199"/>
        <v>85.333333333333329</v>
      </c>
      <c r="DO105" s="112"/>
      <c r="DP105" s="112"/>
      <c r="DQ105" s="112"/>
      <c r="DS105" s="223"/>
      <c r="DT105" s="223"/>
      <c r="DU105" s="223"/>
      <c r="DV105" s="223"/>
      <c r="DW105" s="223"/>
      <c r="DX105" s="223"/>
      <c r="DY105" s="223"/>
      <c r="DZ105" s="223"/>
    </row>
    <row r="106" spans="1:130" s="222" customFormat="1" ht="21.6" customHeight="1" x14ac:dyDescent="0.25">
      <c r="A106" s="4"/>
      <c r="B106" s="4"/>
      <c r="C106" s="153" t="s">
        <v>51</v>
      </c>
      <c r="D106" s="153" t="s">
        <v>429</v>
      </c>
      <c r="E106" s="3" t="s">
        <v>542</v>
      </c>
      <c r="F106" s="135"/>
      <c r="G106" s="135"/>
      <c r="H106" s="135"/>
      <c r="I106" s="135"/>
      <c r="J106" s="135"/>
      <c r="K106" s="135"/>
      <c r="L106" s="136"/>
      <c r="M106" s="5"/>
      <c r="N106" s="41"/>
      <c r="O106" s="153"/>
      <c r="P106" s="7"/>
      <c r="Q106" s="7"/>
      <c r="R106" s="7"/>
      <c r="S106" s="158"/>
      <c r="T106" s="89"/>
      <c r="U106" s="89"/>
      <c r="V106" s="89">
        <f t="shared" si="196"/>
        <v>0</v>
      </c>
      <c r="W106" s="137"/>
      <c r="X106" s="137"/>
      <c r="Y106" s="90">
        <f t="shared" si="197"/>
        <v>0</v>
      </c>
      <c r="Z106" s="91"/>
      <c r="AA106" s="92"/>
      <c r="AB106" s="92"/>
      <c r="AC106" s="92">
        <f t="shared" si="183"/>
        <v>0</v>
      </c>
      <c r="AD106" s="93"/>
      <c r="AE106" s="93"/>
      <c r="AF106" s="235">
        <f t="shared" si="184"/>
        <v>0</v>
      </c>
      <c r="AG106" s="473"/>
      <c r="AH106" s="99">
        <v>765</v>
      </c>
      <c r="AI106" s="99">
        <f t="shared" si="185"/>
        <v>51</v>
      </c>
      <c r="AJ106" s="138"/>
      <c r="AK106" s="138">
        <f t="shared" si="186"/>
        <v>0</v>
      </c>
      <c r="AL106" s="106"/>
      <c r="AM106" s="105">
        <v>765</v>
      </c>
      <c r="AN106" s="105">
        <f t="shared" si="187"/>
        <v>51</v>
      </c>
      <c r="AO106" s="106"/>
      <c r="AP106" s="105"/>
      <c r="AQ106" s="105">
        <f t="shared" si="200"/>
        <v>0</v>
      </c>
      <c r="AR106" s="106"/>
      <c r="AS106" s="97">
        <f t="shared" si="160"/>
        <v>51</v>
      </c>
      <c r="AT106" s="6"/>
      <c r="AU106" s="105"/>
      <c r="AV106" s="455">
        <f t="shared" si="114"/>
        <v>0</v>
      </c>
      <c r="AW106" s="496"/>
      <c r="AX106" s="508"/>
      <c r="AY106" s="498"/>
      <c r="AZ106" s="100">
        <f t="shared" si="188"/>
        <v>0</v>
      </c>
      <c r="BA106" s="106"/>
      <c r="BB106" s="105"/>
      <c r="BC106" s="105">
        <f t="shared" si="189"/>
        <v>0</v>
      </c>
      <c r="BD106" s="106"/>
      <c r="BE106" s="105">
        <f t="shared" si="190"/>
        <v>0</v>
      </c>
      <c r="BF106" s="106"/>
      <c r="BG106" s="100">
        <f t="shared" si="175"/>
        <v>51</v>
      </c>
      <c r="BH106" s="106"/>
      <c r="BI106" s="100">
        <f t="shared" si="176"/>
        <v>0</v>
      </c>
      <c r="BJ106" s="106"/>
      <c r="BK106" s="101">
        <f t="shared" si="163"/>
        <v>51</v>
      </c>
      <c r="BL106" s="106"/>
      <c r="BM106" s="104">
        <v>2550</v>
      </c>
      <c r="BN106" s="104">
        <f t="shared" si="191"/>
        <v>51</v>
      </c>
      <c r="BO106" s="105"/>
      <c r="BP106" s="105">
        <f t="shared" si="124"/>
        <v>0</v>
      </c>
      <c r="BQ106" s="106"/>
      <c r="BR106" s="105">
        <v>2550</v>
      </c>
      <c r="BS106" s="105">
        <f t="shared" si="192"/>
        <v>51</v>
      </c>
      <c r="BT106" s="106"/>
      <c r="BU106" s="53"/>
      <c r="BV106" s="53">
        <f t="shared" si="193"/>
        <v>0</v>
      </c>
      <c r="BW106" s="54"/>
      <c r="BX106" s="350">
        <f t="shared" si="166"/>
        <v>51</v>
      </c>
      <c r="BY106" s="211"/>
      <c r="BZ106" s="211">
        <f t="shared" si="180"/>
        <v>0</v>
      </c>
      <c r="CA106" s="508"/>
      <c r="CB106" s="7"/>
      <c r="CC106" s="7"/>
      <c r="CD106" s="158"/>
      <c r="CE106" s="504"/>
      <c r="CF106" s="105"/>
      <c r="CG106" s="105">
        <f t="shared" si="201"/>
        <v>0</v>
      </c>
      <c r="CH106" s="105"/>
      <c r="CI106" s="105"/>
      <c r="CJ106" s="105">
        <f t="shared" si="202"/>
        <v>0</v>
      </c>
      <c r="CK106" s="524"/>
      <c r="CL106" s="53">
        <f t="shared" si="194"/>
        <v>0</v>
      </c>
      <c r="CM106" s="54"/>
      <c r="CN106" s="105"/>
      <c r="CO106" s="100">
        <f t="shared" si="126"/>
        <v>0</v>
      </c>
      <c r="CP106" s="496"/>
      <c r="CQ106" s="439"/>
      <c r="CR106" s="504"/>
      <c r="CS106" s="105"/>
      <c r="CT106" s="105">
        <f t="shared" si="203"/>
        <v>0</v>
      </c>
      <c r="CU106" s="105"/>
      <c r="CV106" s="105"/>
      <c r="CW106" s="105">
        <f t="shared" si="204"/>
        <v>0</v>
      </c>
      <c r="CX106" s="53"/>
      <c r="CY106" s="109">
        <f t="shared" si="127"/>
        <v>0</v>
      </c>
      <c r="CZ106" s="54"/>
      <c r="DA106" s="105"/>
      <c r="DB106" s="455">
        <f t="shared" si="170"/>
        <v>0</v>
      </c>
      <c r="DC106" s="495"/>
      <c r="DD106" s="24"/>
      <c r="DE106" s="139"/>
      <c r="DF106" s="1133"/>
      <c r="DG106" s="674">
        <f t="shared" si="177"/>
        <v>0</v>
      </c>
      <c r="DH106" s="1119">
        <f t="shared" si="178"/>
        <v>0</v>
      </c>
      <c r="DI106" s="1119"/>
      <c r="DJ106" s="101">
        <f t="shared" si="179"/>
        <v>51</v>
      </c>
      <c r="DK106" s="101"/>
      <c r="DL106" s="101">
        <f t="shared" si="173"/>
        <v>0</v>
      </c>
      <c r="DM106" s="101">
        <f>DL106</f>
        <v>0</v>
      </c>
      <c r="DN106" s="112">
        <f t="shared" si="199"/>
        <v>51</v>
      </c>
      <c r="DO106" s="112"/>
      <c r="DP106" s="112"/>
      <c r="DQ106" s="112"/>
      <c r="DR106" s="139"/>
      <c r="DS106" s="140"/>
      <c r="DT106" s="140"/>
      <c r="DU106" s="140"/>
      <c r="DV106" s="223"/>
      <c r="DW106" s="223"/>
      <c r="DX106" s="223"/>
      <c r="DY106" s="223"/>
      <c r="DZ106" s="223"/>
    </row>
    <row r="107" spans="1:130" s="248" customFormat="1" ht="21.6" customHeight="1" x14ac:dyDescent="0.25">
      <c r="A107" s="237"/>
      <c r="B107" s="237"/>
      <c r="C107" s="143"/>
      <c r="D107" s="143"/>
      <c r="E107" s="39"/>
      <c r="F107" s="238"/>
      <c r="G107" s="238"/>
      <c r="H107" s="238"/>
      <c r="I107" s="238"/>
      <c r="J107" s="238"/>
      <c r="K107" s="238"/>
      <c r="L107" s="239"/>
      <c r="M107" s="240"/>
      <c r="N107" s="241"/>
      <c r="O107" s="194"/>
      <c r="P107" s="242"/>
      <c r="Q107" s="242"/>
      <c r="R107" s="242"/>
      <c r="S107" s="242"/>
      <c r="T107" s="243"/>
      <c r="U107" s="243"/>
      <c r="V107" s="243"/>
      <c r="W107" s="244"/>
      <c r="X107" s="244"/>
      <c r="Y107" s="245"/>
      <c r="Z107" s="246"/>
      <c r="AA107" s="243"/>
      <c r="AB107" s="243"/>
      <c r="AC107" s="123"/>
      <c r="AD107" s="245"/>
      <c r="AE107" s="245"/>
      <c r="AF107" s="126"/>
      <c r="AG107" s="479"/>
      <c r="AH107" s="247"/>
      <c r="AI107" s="247"/>
      <c r="AJ107" s="221"/>
      <c r="AK107" s="138"/>
      <c r="AL107" s="106"/>
      <c r="AM107" s="105"/>
      <c r="AN107" s="105"/>
      <c r="AO107" s="106"/>
      <c r="AP107" s="105"/>
      <c r="AQ107" s="105">
        <f t="shared" si="200"/>
        <v>0</v>
      </c>
      <c r="AR107" s="106"/>
      <c r="AS107" s="97">
        <f t="shared" si="160"/>
        <v>0</v>
      </c>
      <c r="AT107" s="6"/>
      <c r="AU107" s="105"/>
      <c r="AV107" s="455">
        <f t="shared" si="114"/>
        <v>0</v>
      </c>
      <c r="AW107" s="496"/>
      <c r="AX107" s="508"/>
      <c r="AY107" s="500"/>
      <c r="AZ107" s="100"/>
      <c r="BA107" s="101"/>
      <c r="BB107" s="100"/>
      <c r="BC107" s="100"/>
      <c r="BD107" s="101"/>
      <c r="BE107" s="105"/>
      <c r="BF107" s="106"/>
      <c r="BG107" s="100">
        <f t="shared" si="175"/>
        <v>0</v>
      </c>
      <c r="BH107" s="106"/>
      <c r="BI107" s="100">
        <f t="shared" si="176"/>
        <v>0</v>
      </c>
      <c r="BJ107" s="106"/>
      <c r="BK107" s="101">
        <f t="shared" si="163"/>
        <v>0</v>
      </c>
      <c r="BL107" s="106"/>
      <c r="BM107" s="247"/>
      <c r="BN107" s="247"/>
      <c r="BO107" s="221"/>
      <c r="BP107" s="105">
        <f t="shared" si="124"/>
        <v>0</v>
      </c>
      <c r="BQ107" s="106"/>
      <c r="BR107" s="105"/>
      <c r="BS107" s="105"/>
      <c r="BT107" s="106"/>
      <c r="BU107" s="53"/>
      <c r="BV107" s="53"/>
      <c r="BW107" s="54"/>
      <c r="BX107" s="350">
        <f t="shared" si="166"/>
        <v>0</v>
      </c>
      <c r="BY107" s="194"/>
      <c r="BZ107" s="194">
        <f t="shared" si="180"/>
        <v>0</v>
      </c>
      <c r="CA107" s="536"/>
      <c r="CB107" s="242"/>
      <c r="CC107" s="242"/>
      <c r="CD107" s="242"/>
      <c r="CE107" s="504"/>
      <c r="CF107" s="105"/>
      <c r="CG107" s="105">
        <f t="shared" si="201"/>
        <v>0</v>
      </c>
      <c r="CH107" s="105"/>
      <c r="CI107" s="105"/>
      <c r="CJ107" s="105">
        <f t="shared" si="202"/>
        <v>0</v>
      </c>
      <c r="CK107" s="523"/>
      <c r="CL107" s="102"/>
      <c r="CM107" s="103"/>
      <c r="CN107" s="100"/>
      <c r="CO107" s="100">
        <f t="shared" si="126"/>
        <v>0</v>
      </c>
      <c r="CP107" s="515"/>
      <c r="CQ107" s="441"/>
      <c r="CR107" s="504"/>
      <c r="CS107" s="105"/>
      <c r="CT107" s="105">
        <f t="shared" si="168"/>
        <v>0</v>
      </c>
      <c r="CU107" s="105"/>
      <c r="CV107" s="105"/>
      <c r="CW107" s="105">
        <f t="shared" si="169"/>
        <v>0</v>
      </c>
      <c r="CX107" s="53"/>
      <c r="CY107" s="109">
        <f t="shared" si="127"/>
        <v>0</v>
      </c>
      <c r="CZ107" s="54"/>
      <c r="DA107" s="105"/>
      <c r="DB107" s="455">
        <f t="shared" si="170"/>
        <v>0</v>
      </c>
      <c r="DC107" s="495"/>
      <c r="DD107" s="40"/>
      <c r="DF107" s="1133"/>
      <c r="DG107" s="674">
        <f t="shared" si="177"/>
        <v>0</v>
      </c>
      <c r="DH107" s="1119">
        <f t="shared" si="178"/>
        <v>0</v>
      </c>
      <c r="DI107" s="1119"/>
      <c r="DJ107" s="101">
        <f t="shared" si="179"/>
        <v>0</v>
      </c>
      <c r="DK107" s="101"/>
      <c r="DL107" s="101">
        <f t="shared" si="173"/>
        <v>0</v>
      </c>
      <c r="DM107" s="101"/>
      <c r="DN107" s="112"/>
      <c r="DO107" s="112"/>
      <c r="DP107" s="112"/>
      <c r="DQ107" s="112"/>
      <c r="DS107" s="249"/>
      <c r="DT107" s="249"/>
      <c r="DU107" s="249"/>
      <c r="DV107" s="249"/>
      <c r="DW107" s="249"/>
      <c r="DX107" s="249"/>
      <c r="DY107" s="249"/>
      <c r="DZ107" s="249"/>
    </row>
    <row r="108" spans="1:130" s="222" customFormat="1" ht="31.5" customHeight="1" x14ac:dyDescent="0.25">
      <c r="A108" s="207"/>
      <c r="B108" s="207"/>
      <c r="C108" s="182" t="s">
        <v>57</v>
      </c>
      <c r="D108" s="182" t="s">
        <v>431</v>
      </c>
      <c r="E108" s="16" t="s">
        <v>308</v>
      </c>
      <c r="F108" s="208"/>
      <c r="G108" s="208"/>
      <c r="H108" s="208"/>
      <c r="I108" s="208"/>
      <c r="J108" s="208"/>
      <c r="K108" s="208"/>
      <c r="L108" s="209"/>
      <c r="M108" s="210"/>
      <c r="N108" s="177"/>
      <c r="O108" s="211"/>
      <c r="P108" s="212"/>
      <c r="Q108" s="212"/>
      <c r="R108" s="212"/>
      <c r="S108" s="233"/>
      <c r="T108" s="213"/>
      <c r="U108" s="213"/>
      <c r="V108" s="213">
        <f t="shared" ref="V108:V119" si="205">T108+U108</f>
        <v>0</v>
      </c>
      <c r="W108" s="214"/>
      <c r="X108" s="214"/>
      <c r="Y108" s="215">
        <f t="shared" ref="Y108:Y119" si="206">W108+X108</f>
        <v>0</v>
      </c>
      <c r="Z108" s="216"/>
      <c r="AA108" s="217"/>
      <c r="AB108" s="217"/>
      <c r="AC108" s="92">
        <f t="shared" ref="AC108:AC119" si="207">AA108+AB108</f>
        <v>0</v>
      </c>
      <c r="AD108" s="218"/>
      <c r="AE108" s="218"/>
      <c r="AF108" s="94">
        <f t="shared" ref="AF108:AF119" si="208">AD108+AE108</f>
        <v>0</v>
      </c>
      <c r="AG108" s="477"/>
      <c r="AH108" s="219">
        <v>84.375</v>
      </c>
      <c r="AI108" s="219">
        <f t="shared" ref="AI108:AI119" si="209">AH108/15</f>
        <v>5.625</v>
      </c>
      <c r="AJ108" s="221">
        <v>45</v>
      </c>
      <c r="AK108" s="138">
        <f t="shared" ref="AK108:AK119" si="210">AJ108/15</f>
        <v>3</v>
      </c>
      <c r="AL108" s="106">
        <f>SUM(AK108:AK119)</f>
        <v>57.000000000000007</v>
      </c>
      <c r="AM108" s="105"/>
      <c r="AN108" s="105">
        <f t="shared" ref="AN108:AN119" si="211">AM108/15</f>
        <v>0</v>
      </c>
      <c r="AO108" s="106">
        <f>SUM(AN108:AN119)</f>
        <v>9.6666666666666661</v>
      </c>
      <c r="AP108" s="105"/>
      <c r="AQ108" s="105">
        <f t="shared" si="200"/>
        <v>0</v>
      </c>
      <c r="AR108" s="106">
        <f>SUM(AQ108:AQ119)</f>
        <v>2</v>
      </c>
      <c r="AS108" s="97">
        <f t="shared" si="160"/>
        <v>3</v>
      </c>
      <c r="AT108" s="6">
        <f>SUM(AS108:AS119)</f>
        <v>68.666666666666671</v>
      </c>
      <c r="AU108" s="105"/>
      <c r="AV108" s="455">
        <f t="shared" si="114"/>
        <v>0</v>
      </c>
      <c r="AW108" s="496">
        <f>SUM(AV108:AV119)</f>
        <v>5</v>
      </c>
      <c r="AX108" s="508"/>
      <c r="AY108" s="500">
        <v>110</v>
      </c>
      <c r="AZ108" s="100">
        <f t="shared" ref="AZ108:AZ119" si="212">AY108/15</f>
        <v>7.333333333333333</v>
      </c>
      <c r="BA108" s="106">
        <f>SUM(AZ108:AZ119)</f>
        <v>45.999999999999993</v>
      </c>
      <c r="BB108" s="105"/>
      <c r="BC108" s="105">
        <f t="shared" ref="BC108:BC119" si="213">BB108/15</f>
        <v>0</v>
      </c>
      <c r="BD108" s="106">
        <f>SUM(BC108:BC119)</f>
        <v>0</v>
      </c>
      <c r="BE108" s="105">
        <f t="shared" ref="BE108:BE119" si="214">AK108+AZ108</f>
        <v>10.333333333333332</v>
      </c>
      <c r="BF108" s="106">
        <f>SUM(BE108:BE119)</f>
        <v>103.00000000000001</v>
      </c>
      <c r="BG108" s="100">
        <f t="shared" si="175"/>
        <v>0</v>
      </c>
      <c r="BH108" s="106">
        <f>SUM(BG108:BG119)</f>
        <v>11.666666666666666</v>
      </c>
      <c r="BI108" s="100">
        <f t="shared" si="176"/>
        <v>0</v>
      </c>
      <c r="BJ108" s="106">
        <f>SUM(BI108:BI119)</f>
        <v>5</v>
      </c>
      <c r="BK108" s="101">
        <f t="shared" si="163"/>
        <v>10.333333333333332</v>
      </c>
      <c r="BL108" s="106">
        <f>SUM(BK108:BK119)</f>
        <v>119.66666666666667</v>
      </c>
      <c r="BM108" s="219">
        <v>562.5</v>
      </c>
      <c r="BN108" s="219">
        <f t="shared" ref="BN108:BN119" si="215">BM108/50</f>
        <v>11.25</v>
      </c>
      <c r="BO108" s="221">
        <v>500</v>
      </c>
      <c r="BP108" s="105">
        <f t="shared" si="124"/>
        <v>10</v>
      </c>
      <c r="BQ108" s="106">
        <f>SUM(BP108:BP119)</f>
        <v>101</v>
      </c>
      <c r="BR108" s="105"/>
      <c r="BS108" s="105">
        <f t="shared" si="142"/>
        <v>0</v>
      </c>
      <c r="BT108" s="106">
        <f>SUM(BS108:BS119)</f>
        <v>16</v>
      </c>
      <c r="BU108" s="53"/>
      <c r="BV108" s="53">
        <f t="shared" ref="BV108:BV119" si="216">BU108/50</f>
        <v>0</v>
      </c>
      <c r="BW108" s="54">
        <f>SUM(BV108:BV119)</f>
        <v>0</v>
      </c>
      <c r="BX108" s="350">
        <f t="shared" si="166"/>
        <v>10</v>
      </c>
      <c r="BY108" s="211">
        <f>SUM(BX108:BX119)</f>
        <v>117</v>
      </c>
      <c r="BZ108" s="211">
        <f t="shared" si="180"/>
        <v>0.33333333333333215</v>
      </c>
      <c r="CA108" s="508"/>
      <c r="CB108" s="212"/>
      <c r="CC108" s="212"/>
      <c r="CD108" s="233"/>
      <c r="CE108" s="504"/>
      <c r="CF108" s="105"/>
      <c r="CG108" s="105">
        <f t="shared" si="201"/>
        <v>0</v>
      </c>
      <c r="CH108" s="105"/>
      <c r="CI108" s="105"/>
      <c r="CJ108" s="105">
        <f t="shared" si="202"/>
        <v>0</v>
      </c>
      <c r="CK108" s="524">
        <v>30</v>
      </c>
      <c r="CL108" s="53">
        <f t="shared" ref="CL108:CL119" si="217">CK108/15</f>
        <v>2</v>
      </c>
      <c r="CM108" s="54">
        <f>SUM(CL108:CL119)</f>
        <v>2</v>
      </c>
      <c r="CN108" s="105"/>
      <c r="CO108" s="100">
        <f t="shared" si="126"/>
        <v>0</v>
      </c>
      <c r="CP108" s="496">
        <f>SUM(CO108:CO119)</f>
        <v>0</v>
      </c>
      <c r="CQ108" s="439"/>
      <c r="CR108" s="504"/>
      <c r="CS108" s="105"/>
      <c r="CT108" s="105">
        <f t="shared" si="168"/>
        <v>0</v>
      </c>
      <c r="CU108" s="105"/>
      <c r="CV108" s="105"/>
      <c r="CW108" s="105">
        <f t="shared" si="169"/>
        <v>0</v>
      </c>
      <c r="CX108" s="53"/>
      <c r="CY108" s="109">
        <f t="shared" si="127"/>
        <v>0</v>
      </c>
      <c r="CZ108" s="54">
        <f>SUM(CY108:CY119)</f>
        <v>0</v>
      </c>
      <c r="DA108" s="105"/>
      <c r="DB108" s="455">
        <f t="shared" si="170"/>
        <v>0</v>
      </c>
      <c r="DC108" s="495">
        <f>SUM(DB108:DB119)</f>
        <v>0</v>
      </c>
      <c r="DD108" s="28"/>
      <c r="DF108" s="1133"/>
      <c r="DG108" s="674">
        <f t="shared" si="177"/>
        <v>0</v>
      </c>
      <c r="DH108" s="1119">
        <f t="shared" si="178"/>
        <v>2</v>
      </c>
      <c r="DI108" s="1119"/>
      <c r="DJ108" s="101">
        <f t="shared" si="179"/>
        <v>12.333333333333332</v>
      </c>
      <c r="DK108" s="101">
        <f>SUM(DJ108:DJ119)</f>
        <v>121.66666666666667</v>
      </c>
      <c r="DL108" s="101">
        <f t="shared" si="173"/>
        <v>0</v>
      </c>
      <c r="DM108" s="101"/>
      <c r="DN108" s="112"/>
      <c r="DO108" s="112"/>
      <c r="DP108" s="112"/>
      <c r="DQ108" s="112"/>
      <c r="DS108" s="223"/>
      <c r="DT108" s="223"/>
      <c r="DU108" s="223"/>
      <c r="DV108" s="223"/>
      <c r="DW108" s="223"/>
      <c r="DX108" s="223"/>
      <c r="DY108" s="223"/>
      <c r="DZ108" s="223"/>
    </row>
    <row r="109" spans="1:130" s="139" customFormat="1" ht="31.15" customHeight="1" x14ac:dyDescent="0.25">
      <c r="A109" s="4" t="s">
        <v>28</v>
      </c>
      <c r="B109" s="4">
        <v>1</v>
      </c>
      <c r="C109" s="153" t="s">
        <v>57</v>
      </c>
      <c r="D109" s="153" t="s">
        <v>431</v>
      </c>
      <c r="E109" s="13" t="s">
        <v>58</v>
      </c>
      <c r="F109" s="135">
        <v>18</v>
      </c>
      <c r="G109" s="135"/>
      <c r="H109" s="135">
        <f t="shared" ref="H109:H116" si="218">F109+G109</f>
        <v>18</v>
      </c>
      <c r="I109" s="135"/>
      <c r="J109" s="135">
        <v>21.75</v>
      </c>
      <c r="K109" s="135">
        <f t="shared" ref="K109:K119" si="219">I109+J109</f>
        <v>21.75</v>
      </c>
      <c r="L109" s="136"/>
      <c r="M109" s="5"/>
      <c r="N109" s="41"/>
      <c r="O109" s="6"/>
      <c r="P109" s="7"/>
      <c r="Q109" s="7"/>
      <c r="R109" s="7"/>
      <c r="S109" s="158"/>
      <c r="T109" s="89"/>
      <c r="U109" s="89"/>
      <c r="V109" s="89">
        <f t="shared" si="205"/>
        <v>0</v>
      </c>
      <c r="W109" s="137"/>
      <c r="X109" s="137"/>
      <c r="Y109" s="90">
        <f t="shared" si="206"/>
        <v>0</v>
      </c>
      <c r="Z109" s="91"/>
      <c r="AA109" s="92"/>
      <c r="AB109" s="92"/>
      <c r="AC109" s="92">
        <f t="shared" si="207"/>
        <v>0</v>
      </c>
      <c r="AD109" s="93"/>
      <c r="AE109" s="93"/>
      <c r="AF109" s="94">
        <f t="shared" si="208"/>
        <v>0</v>
      </c>
      <c r="AG109" s="473"/>
      <c r="AH109" s="99">
        <v>182.625</v>
      </c>
      <c r="AI109" s="99">
        <f t="shared" si="209"/>
        <v>12.175000000000001</v>
      </c>
      <c r="AJ109" s="138"/>
      <c r="AK109" s="138">
        <f t="shared" si="210"/>
        <v>0</v>
      </c>
      <c r="AL109" s="106"/>
      <c r="AM109" s="105">
        <v>145</v>
      </c>
      <c r="AN109" s="105">
        <f t="shared" si="211"/>
        <v>9.6666666666666661</v>
      </c>
      <c r="AO109" s="106"/>
      <c r="AP109" s="105">
        <v>30</v>
      </c>
      <c r="AQ109" s="105">
        <f t="shared" si="200"/>
        <v>2</v>
      </c>
      <c r="AR109" s="106"/>
      <c r="AS109" s="97">
        <f t="shared" si="160"/>
        <v>11.666666666666666</v>
      </c>
      <c r="AT109" s="6"/>
      <c r="AU109" s="105"/>
      <c r="AV109" s="455">
        <f t="shared" si="114"/>
        <v>0</v>
      </c>
      <c r="AW109" s="496"/>
      <c r="AX109" s="508"/>
      <c r="AY109" s="498"/>
      <c r="AZ109" s="100">
        <f t="shared" si="212"/>
        <v>0</v>
      </c>
      <c r="BA109" s="106"/>
      <c r="BB109" s="105"/>
      <c r="BC109" s="105">
        <f t="shared" si="213"/>
        <v>0</v>
      </c>
      <c r="BD109" s="106"/>
      <c r="BE109" s="105">
        <f t="shared" si="214"/>
        <v>0</v>
      </c>
      <c r="BF109" s="106"/>
      <c r="BG109" s="100">
        <f t="shared" si="175"/>
        <v>11.666666666666666</v>
      </c>
      <c r="BH109" s="106"/>
      <c r="BI109" s="100">
        <f t="shared" si="176"/>
        <v>0</v>
      </c>
      <c r="BJ109" s="106"/>
      <c r="BK109" s="101">
        <f t="shared" si="163"/>
        <v>11.666666666666666</v>
      </c>
      <c r="BL109" s="106"/>
      <c r="BM109" s="104">
        <v>1217</v>
      </c>
      <c r="BN109" s="104">
        <f t="shared" si="215"/>
        <v>24.34</v>
      </c>
      <c r="BO109" s="105"/>
      <c r="BP109" s="105">
        <f t="shared" si="124"/>
        <v>0</v>
      </c>
      <c r="BQ109" s="106"/>
      <c r="BR109" s="105">
        <f>350+200</f>
        <v>550</v>
      </c>
      <c r="BS109" s="105">
        <f t="shared" si="142"/>
        <v>11</v>
      </c>
      <c r="BT109" s="106"/>
      <c r="BU109" s="53"/>
      <c r="BV109" s="53">
        <f t="shared" si="216"/>
        <v>0</v>
      </c>
      <c r="BW109" s="54"/>
      <c r="BX109" s="350">
        <f t="shared" si="166"/>
        <v>11</v>
      </c>
      <c r="BY109" s="211"/>
      <c r="BZ109" s="211">
        <f t="shared" si="180"/>
        <v>0.66666666666666607</v>
      </c>
      <c r="CA109" s="508"/>
      <c r="CB109" s="7"/>
      <c r="CC109" s="7"/>
      <c r="CD109" s="158"/>
      <c r="CE109" s="504">
        <v>10</v>
      </c>
      <c r="CF109" s="105">
        <v>2</v>
      </c>
      <c r="CG109" s="105">
        <f t="shared" si="201"/>
        <v>12</v>
      </c>
      <c r="CH109" s="105"/>
      <c r="CI109" s="105">
        <v>7.71</v>
      </c>
      <c r="CJ109" s="105">
        <f t="shared" si="202"/>
        <v>7.71</v>
      </c>
      <c r="CK109" s="524"/>
      <c r="CL109" s="53">
        <f t="shared" si="217"/>
        <v>0</v>
      </c>
      <c r="CM109" s="54"/>
      <c r="CN109" s="105"/>
      <c r="CO109" s="100">
        <f t="shared" si="126"/>
        <v>0</v>
      </c>
      <c r="CP109" s="496"/>
      <c r="CQ109" s="439"/>
      <c r="CR109" s="504">
        <v>10</v>
      </c>
      <c r="CS109" s="105">
        <v>2</v>
      </c>
      <c r="CT109" s="105">
        <f t="shared" si="168"/>
        <v>12</v>
      </c>
      <c r="CU109" s="105"/>
      <c r="CV109" s="105">
        <v>7.71</v>
      </c>
      <c r="CW109" s="105">
        <f t="shared" si="169"/>
        <v>7.71</v>
      </c>
      <c r="CX109" s="53"/>
      <c r="CY109" s="109">
        <f t="shared" si="127"/>
        <v>0</v>
      </c>
      <c r="CZ109" s="54"/>
      <c r="DA109" s="105"/>
      <c r="DB109" s="455">
        <f t="shared" si="170"/>
        <v>0</v>
      </c>
      <c r="DC109" s="495"/>
      <c r="DD109" s="27"/>
      <c r="DF109" s="1133"/>
      <c r="DG109" s="674">
        <f t="shared" si="177"/>
        <v>0</v>
      </c>
      <c r="DH109" s="1119">
        <f t="shared" si="178"/>
        <v>0</v>
      </c>
      <c r="DI109" s="1119"/>
      <c r="DJ109" s="101">
        <f t="shared" si="179"/>
        <v>11.666666666666666</v>
      </c>
      <c r="DK109" s="101"/>
      <c r="DL109" s="101">
        <f t="shared" si="173"/>
        <v>24</v>
      </c>
      <c r="DM109" s="101"/>
      <c r="DN109" s="112"/>
      <c r="DO109" s="112"/>
      <c r="DP109" s="112"/>
      <c r="DQ109" s="112"/>
      <c r="DS109" s="140"/>
      <c r="DT109" s="140"/>
      <c r="DU109" s="140"/>
      <c r="DV109" s="140"/>
      <c r="DW109" s="140"/>
      <c r="DX109" s="140"/>
      <c r="DY109" s="140"/>
      <c r="DZ109" s="140"/>
    </row>
    <row r="110" spans="1:130" ht="21.6" customHeight="1" x14ac:dyDescent="0.25">
      <c r="A110" s="4" t="s">
        <v>28</v>
      </c>
      <c r="B110" s="4">
        <v>2</v>
      </c>
      <c r="C110" s="166" t="s">
        <v>57</v>
      </c>
      <c r="D110" s="166" t="s">
        <v>437</v>
      </c>
      <c r="E110" s="13" t="s">
        <v>306</v>
      </c>
      <c r="F110" s="162">
        <v>24</v>
      </c>
      <c r="G110" s="162">
        <v>6</v>
      </c>
      <c r="H110" s="162">
        <f t="shared" si="218"/>
        <v>30</v>
      </c>
      <c r="I110" s="162">
        <v>34.049999999999997</v>
      </c>
      <c r="J110" s="162"/>
      <c r="K110" s="162">
        <f t="shared" si="219"/>
        <v>34.049999999999997</v>
      </c>
      <c r="L110" s="163"/>
      <c r="M110" s="414"/>
      <c r="N110" s="46"/>
      <c r="O110" s="164"/>
      <c r="P110" s="165"/>
      <c r="Q110" s="165"/>
      <c r="R110" s="165"/>
      <c r="S110" s="203"/>
      <c r="T110" s="89"/>
      <c r="U110" s="89"/>
      <c r="V110" s="89">
        <f t="shared" si="205"/>
        <v>0</v>
      </c>
      <c r="W110" s="137"/>
      <c r="X110" s="137"/>
      <c r="Y110" s="90">
        <f t="shared" si="206"/>
        <v>0</v>
      </c>
      <c r="Z110" s="169"/>
      <c r="AA110" s="92"/>
      <c r="AB110" s="92"/>
      <c r="AC110" s="92">
        <f t="shared" si="207"/>
        <v>0</v>
      </c>
      <c r="AD110" s="93"/>
      <c r="AE110" s="93"/>
      <c r="AF110" s="94">
        <f t="shared" si="208"/>
        <v>0</v>
      </c>
      <c r="AG110" s="475"/>
      <c r="AH110" s="99">
        <v>326.25</v>
      </c>
      <c r="AI110" s="99">
        <f t="shared" si="209"/>
        <v>21.75</v>
      </c>
      <c r="AJ110" s="138">
        <v>200</v>
      </c>
      <c r="AK110" s="138">
        <f t="shared" si="210"/>
        <v>13.333333333333334</v>
      </c>
      <c r="AL110" s="106"/>
      <c r="AM110" s="105"/>
      <c r="AN110" s="105">
        <f t="shared" si="211"/>
        <v>0</v>
      </c>
      <c r="AO110" s="106"/>
      <c r="AP110" s="105"/>
      <c r="AQ110" s="105">
        <f t="shared" si="200"/>
        <v>0</v>
      </c>
      <c r="AR110" s="106"/>
      <c r="AS110" s="97">
        <f t="shared" si="160"/>
        <v>13.333333333333334</v>
      </c>
      <c r="AT110" s="6"/>
      <c r="AU110" s="105"/>
      <c r="AV110" s="455">
        <f t="shared" si="114"/>
        <v>0</v>
      </c>
      <c r="AW110" s="496"/>
      <c r="AX110" s="508"/>
      <c r="AY110" s="498">
        <v>240</v>
      </c>
      <c r="AZ110" s="100">
        <f t="shared" si="212"/>
        <v>16</v>
      </c>
      <c r="BA110" s="106"/>
      <c r="BB110" s="105"/>
      <c r="BC110" s="105">
        <f t="shared" si="213"/>
        <v>0</v>
      </c>
      <c r="BD110" s="106"/>
      <c r="BE110" s="105">
        <f t="shared" si="214"/>
        <v>29.333333333333336</v>
      </c>
      <c r="BF110" s="106"/>
      <c r="BG110" s="100">
        <f t="shared" si="175"/>
        <v>0</v>
      </c>
      <c r="BH110" s="106"/>
      <c r="BI110" s="100">
        <f t="shared" si="176"/>
        <v>0</v>
      </c>
      <c r="BJ110" s="106"/>
      <c r="BK110" s="101">
        <f t="shared" si="163"/>
        <v>29.333333333333336</v>
      </c>
      <c r="BL110" s="106"/>
      <c r="BM110" s="104">
        <v>652.5</v>
      </c>
      <c r="BN110" s="104">
        <f t="shared" si="215"/>
        <v>13.05</v>
      </c>
      <c r="BO110" s="105">
        <v>1450</v>
      </c>
      <c r="BP110" s="105">
        <f t="shared" si="124"/>
        <v>29</v>
      </c>
      <c r="BQ110" s="106"/>
      <c r="BR110" s="105"/>
      <c r="BS110" s="105">
        <f t="shared" si="142"/>
        <v>0</v>
      </c>
      <c r="BT110" s="106"/>
      <c r="BU110" s="53"/>
      <c r="BV110" s="53">
        <f t="shared" si="216"/>
        <v>0</v>
      </c>
      <c r="BW110" s="54"/>
      <c r="BX110" s="350">
        <f t="shared" si="166"/>
        <v>29</v>
      </c>
      <c r="BY110" s="211"/>
      <c r="BZ110" s="211">
        <f t="shared" si="180"/>
        <v>0.3333333333333357</v>
      </c>
      <c r="CA110" s="508"/>
      <c r="CB110" s="165"/>
      <c r="CC110" s="165"/>
      <c r="CD110" s="203"/>
      <c r="CE110" s="504"/>
      <c r="CF110" s="105"/>
      <c r="CG110" s="105">
        <f t="shared" si="201"/>
        <v>0</v>
      </c>
      <c r="CH110" s="105"/>
      <c r="CI110" s="105"/>
      <c r="CJ110" s="105">
        <f t="shared" si="202"/>
        <v>0</v>
      </c>
      <c r="CK110" s="524"/>
      <c r="CL110" s="53">
        <f t="shared" si="217"/>
        <v>0</v>
      </c>
      <c r="CM110" s="54"/>
      <c r="CN110" s="105"/>
      <c r="CO110" s="100">
        <f t="shared" si="126"/>
        <v>0</v>
      </c>
      <c r="CP110" s="496"/>
      <c r="CQ110" s="439"/>
      <c r="CR110" s="504"/>
      <c r="CS110" s="105"/>
      <c r="CT110" s="105">
        <f t="shared" si="168"/>
        <v>0</v>
      </c>
      <c r="CU110" s="105"/>
      <c r="CV110" s="105"/>
      <c r="CW110" s="105">
        <f t="shared" si="169"/>
        <v>0</v>
      </c>
      <c r="CX110" s="53"/>
      <c r="CY110" s="109">
        <f t="shared" si="127"/>
        <v>0</v>
      </c>
      <c r="CZ110" s="54"/>
      <c r="DA110" s="105"/>
      <c r="DB110" s="455">
        <f t="shared" si="170"/>
        <v>0</v>
      </c>
      <c r="DC110" s="495"/>
      <c r="DD110" s="26"/>
      <c r="DF110" s="1133"/>
      <c r="DG110" s="674">
        <f t="shared" si="177"/>
        <v>0</v>
      </c>
      <c r="DH110" s="1119">
        <f t="shared" si="178"/>
        <v>0</v>
      </c>
      <c r="DI110" s="1119"/>
      <c r="DJ110" s="101">
        <f t="shared" si="179"/>
        <v>29.333333333333336</v>
      </c>
      <c r="DK110" s="101"/>
      <c r="DL110" s="101">
        <f t="shared" si="173"/>
        <v>0</v>
      </c>
      <c r="DM110" s="101"/>
      <c r="DN110" s="112"/>
      <c r="DO110" s="112">
        <f>DJ110</f>
        <v>29.333333333333336</v>
      </c>
      <c r="DP110" s="112"/>
      <c r="DQ110" s="112"/>
    </row>
    <row r="111" spans="1:130" ht="21.6" customHeight="1" x14ac:dyDescent="0.25">
      <c r="A111" s="4"/>
      <c r="B111" s="4"/>
      <c r="C111" s="166" t="s">
        <v>57</v>
      </c>
      <c r="D111" s="166" t="s">
        <v>437</v>
      </c>
      <c r="E111" s="1" t="s">
        <v>59</v>
      </c>
      <c r="F111" s="162">
        <v>14</v>
      </c>
      <c r="G111" s="162">
        <v>2</v>
      </c>
      <c r="H111" s="162">
        <f t="shared" si="218"/>
        <v>16</v>
      </c>
      <c r="I111" s="162">
        <v>11.6</v>
      </c>
      <c r="J111" s="162"/>
      <c r="K111" s="162">
        <f t="shared" si="219"/>
        <v>11.6</v>
      </c>
      <c r="L111" s="163"/>
      <c r="M111" s="414"/>
      <c r="N111" s="46"/>
      <c r="O111" s="164"/>
      <c r="P111" s="165"/>
      <c r="Q111" s="165"/>
      <c r="R111" s="165"/>
      <c r="S111" s="203"/>
      <c r="T111" s="89"/>
      <c r="U111" s="89"/>
      <c r="V111" s="89">
        <f t="shared" si="205"/>
        <v>0</v>
      </c>
      <c r="W111" s="137"/>
      <c r="X111" s="137"/>
      <c r="Y111" s="90">
        <f t="shared" si="206"/>
        <v>0</v>
      </c>
      <c r="Z111" s="169"/>
      <c r="AA111" s="92"/>
      <c r="AB111" s="92"/>
      <c r="AC111" s="92">
        <f t="shared" si="207"/>
        <v>0</v>
      </c>
      <c r="AD111" s="93"/>
      <c r="AE111" s="93"/>
      <c r="AF111" s="94">
        <f t="shared" si="208"/>
        <v>0</v>
      </c>
      <c r="AG111" s="475"/>
      <c r="AH111" s="99"/>
      <c r="AI111" s="99">
        <f t="shared" si="209"/>
        <v>0</v>
      </c>
      <c r="AJ111" s="138"/>
      <c r="AK111" s="138">
        <f t="shared" si="210"/>
        <v>0</v>
      </c>
      <c r="AL111" s="106"/>
      <c r="AM111" s="105"/>
      <c r="AN111" s="105">
        <f t="shared" si="211"/>
        <v>0</v>
      </c>
      <c r="AO111" s="106"/>
      <c r="AP111" s="105"/>
      <c r="AQ111" s="105">
        <f t="shared" si="200"/>
        <v>0</v>
      </c>
      <c r="AR111" s="106"/>
      <c r="AS111" s="97">
        <f t="shared" si="160"/>
        <v>0</v>
      </c>
      <c r="AT111" s="6"/>
      <c r="AU111" s="105"/>
      <c r="AV111" s="455">
        <f t="shared" si="114"/>
        <v>0</v>
      </c>
      <c r="AW111" s="496"/>
      <c r="AX111" s="508"/>
      <c r="AY111" s="498">
        <v>170</v>
      </c>
      <c r="AZ111" s="100">
        <f t="shared" si="212"/>
        <v>11.333333333333334</v>
      </c>
      <c r="BA111" s="106"/>
      <c r="BB111" s="105"/>
      <c r="BC111" s="105">
        <f t="shared" si="213"/>
        <v>0</v>
      </c>
      <c r="BD111" s="106"/>
      <c r="BE111" s="105">
        <f t="shared" si="214"/>
        <v>11.333333333333334</v>
      </c>
      <c r="BF111" s="106"/>
      <c r="BG111" s="100">
        <f t="shared" si="175"/>
        <v>0</v>
      </c>
      <c r="BH111" s="106"/>
      <c r="BI111" s="100">
        <f t="shared" si="176"/>
        <v>0</v>
      </c>
      <c r="BJ111" s="106"/>
      <c r="BK111" s="101">
        <f t="shared" si="163"/>
        <v>11.333333333333334</v>
      </c>
      <c r="BL111" s="106"/>
      <c r="BM111" s="104"/>
      <c r="BN111" s="104">
        <f t="shared" si="215"/>
        <v>0</v>
      </c>
      <c r="BO111" s="105">
        <v>550</v>
      </c>
      <c r="BP111" s="105">
        <f t="shared" si="124"/>
        <v>11</v>
      </c>
      <c r="BQ111" s="106"/>
      <c r="BR111" s="105"/>
      <c r="BS111" s="105">
        <f t="shared" si="142"/>
        <v>0</v>
      </c>
      <c r="BT111" s="106"/>
      <c r="BU111" s="53"/>
      <c r="BV111" s="53">
        <f t="shared" si="216"/>
        <v>0</v>
      </c>
      <c r="BW111" s="54"/>
      <c r="BX111" s="350">
        <f t="shared" si="166"/>
        <v>11</v>
      </c>
      <c r="BY111" s="211"/>
      <c r="BZ111" s="211">
        <f t="shared" si="180"/>
        <v>0.33333333333333393</v>
      </c>
      <c r="CA111" s="508"/>
      <c r="CB111" s="165"/>
      <c r="CC111" s="165"/>
      <c r="CD111" s="203"/>
      <c r="CE111" s="504"/>
      <c r="CF111" s="105"/>
      <c r="CG111" s="105">
        <f t="shared" si="201"/>
        <v>0</v>
      </c>
      <c r="CH111" s="105"/>
      <c r="CI111" s="105"/>
      <c r="CJ111" s="105">
        <f t="shared" si="202"/>
        <v>0</v>
      </c>
      <c r="CK111" s="524"/>
      <c r="CL111" s="53">
        <f t="shared" si="217"/>
        <v>0</v>
      </c>
      <c r="CM111" s="54"/>
      <c r="CN111" s="105"/>
      <c r="CO111" s="100">
        <f t="shared" si="126"/>
        <v>0</v>
      </c>
      <c r="CP111" s="496"/>
      <c r="CQ111" s="439"/>
      <c r="CR111" s="504"/>
      <c r="CS111" s="105"/>
      <c r="CT111" s="105">
        <f t="shared" si="168"/>
        <v>0</v>
      </c>
      <c r="CU111" s="105"/>
      <c r="CV111" s="105"/>
      <c r="CW111" s="105">
        <f t="shared" si="169"/>
        <v>0</v>
      </c>
      <c r="CX111" s="53"/>
      <c r="CY111" s="109">
        <f t="shared" si="127"/>
        <v>0</v>
      </c>
      <c r="CZ111" s="54"/>
      <c r="DA111" s="105"/>
      <c r="DB111" s="455">
        <f t="shared" si="170"/>
        <v>0</v>
      </c>
      <c r="DC111" s="495"/>
      <c r="DD111" s="26"/>
      <c r="DF111" s="1133"/>
      <c r="DG111" s="674">
        <f t="shared" si="177"/>
        <v>0</v>
      </c>
      <c r="DH111" s="1119">
        <f t="shared" si="178"/>
        <v>0</v>
      </c>
      <c r="DI111" s="1119"/>
      <c r="DJ111" s="101">
        <f t="shared" si="179"/>
        <v>11.333333333333334</v>
      </c>
      <c r="DK111" s="101"/>
      <c r="DL111" s="101">
        <f t="shared" si="173"/>
        <v>0</v>
      </c>
      <c r="DM111" s="101"/>
      <c r="DN111" s="112"/>
      <c r="DO111" s="112">
        <f>DJ111</f>
        <v>11.333333333333334</v>
      </c>
      <c r="DP111" s="112"/>
      <c r="DQ111" s="112"/>
    </row>
    <row r="112" spans="1:130" ht="21.6" customHeight="1" x14ac:dyDescent="0.25">
      <c r="A112" s="4" t="s">
        <v>28</v>
      </c>
      <c r="B112" s="4">
        <v>4</v>
      </c>
      <c r="C112" s="166" t="s">
        <v>57</v>
      </c>
      <c r="D112" s="166"/>
      <c r="E112" s="1" t="s">
        <v>60</v>
      </c>
      <c r="F112" s="162">
        <v>11</v>
      </c>
      <c r="G112" s="162">
        <v>9</v>
      </c>
      <c r="H112" s="162">
        <f t="shared" si="218"/>
        <v>20</v>
      </c>
      <c r="I112" s="162"/>
      <c r="J112" s="162">
        <v>19.7</v>
      </c>
      <c r="K112" s="162">
        <f t="shared" si="219"/>
        <v>19.7</v>
      </c>
      <c r="L112" s="163"/>
      <c r="M112" s="414"/>
      <c r="N112" s="46"/>
      <c r="O112" s="164"/>
      <c r="P112" s="165"/>
      <c r="Q112" s="165"/>
      <c r="R112" s="165"/>
      <c r="S112" s="203"/>
      <c r="T112" s="89"/>
      <c r="U112" s="89"/>
      <c r="V112" s="89">
        <f t="shared" si="205"/>
        <v>0</v>
      </c>
      <c r="W112" s="137"/>
      <c r="X112" s="137"/>
      <c r="Y112" s="90">
        <f t="shared" si="206"/>
        <v>0</v>
      </c>
      <c r="Z112" s="169"/>
      <c r="AA112" s="92"/>
      <c r="AB112" s="92"/>
      <c r="AC112" s="92">
        <f t="shared" si="207"/>
        <v>0</v>
      </c>
      <c r="AD112" s="93"/>
      <c r="AE112" s="93"/>
      <c r="AF112" s="94">
        <f t="shared" si="208"/>
        <v>0</v>
      </c>
      <c r="AG112" s="475"/>
      <c r="AH112" s="99"/>
      <c r="AI112" s="99">
        <f t="shared" si="209"/>
        <v>0</v>
      </c>
      <c r="AJ112" s="138"/>
      <c r="AK112" s="138">
        <f t="shared" si="210"/>
        <v>0</v>
      </c>
      <c r="AL112" s="106"/>
      <c r="AM112" s="105"/>
      <c r="AN112" s="105">
        <f t="shared" si="211"/>
        <v>0</v>
      </c>
      <c r="AO112" s="106"/>
      <c r="AP112" s="105"/>
      <c r="AQ112" s="105">
        <f t="shared" si="200"/>
        <v>0</v>
      </c>
      <c r="AR112" s="106"/>
      <c r="AS112" s="97">
        <f t="shared" si="160"/>
        <v>0</v>
      </c>
      <c r="AT112" s="6"/>
      <c r="AU112" s="105"/>
      <c r="AV112" s="455">
        <f t="shared" si="114"/>
        <v>0</v>
      </c>
      <c r="AW112" s="496"/>
      <c r="AX112" s="508"/>
      <c r="AY112" s="498"/>
      <c r="AZ112" s="100">
        <f t="shared" si="212"/>
        <v>0</v>
      </c>
      <c r="BA112" s="106"/>
      <c r="BB112" s="105"/>
      <c r="BC112" s="105">
        <f t="shared" si="213"/>
        <v>0</v>
      </c>
      <c r="BD112" s="106"/>
      <c r="BE112" s="105">
        <f t="shared" si="214"/>
        <v>0</v>
      </c>
      <c r="BF112" s="106"/>
      <c r="BG112" s="100">
        <f t="shared" si="175"/>
        <v>0</v>
      </c>
      <c r="BH112" s="106"/>
      <c r="BI112" s="100">
        <f t="shared" si="176"/>
        <v>0</v>
      </c>
      <c r="BJ112" s="106"/>
      <c r="BK112" s="101">
        <f t="shared" si="163"/>
        <v>0</v>
      </c>
      <c r="BL112" s="106"/>
      <c r="BM112" s="104"/>
      <c r="BN112" s="104">
        <f t="shared" si="215"/>
        <v>0</v>
      </c>
      <c r="BO112" s="105"/>
      <c r="BP112" s="105">
        <f t="shared" si="124"/>
        <v>0</v>
      </c>
      <c r="BQ112" s="106"/>
      <c r="BR112" s="105"/>
      <c r="BS112" s="105">
        <f t="shared" si="142"/>
        <v>0</v>
      </c>
      <c r="BT112" s="106"/>
      <c r="BU112" s="53"/>
      <c r="BV112" s="53">
        <f t="shared" si="216"/>
        <v>0</v>
      </c>
      <c r="BW112" s="54"/>
      <c r="BX112" s="350">
        <f t="shared" si="166"/>
        <v>0</v>
      </c>
      <c r="BY112" s="211"/>
      <c r="BZ112" s="211">
        <f t="shared" si="180"/>
        <v>0</v>
      </c>
      <c r="CA112" s="508"/>
      <c r="CB112" s="165"/>
      <c r="CC112" s="165"/>
      <c r="CD112" s="203"/>
      <c r="CE112" s="504"/>
      <c r="CF112" s="105"/>
      <c r="CG112" s="105">
        <f t="shared" si="201"/>
        <v>0</v>
      </c>
      <c r="CH112" s="105"/>
      <c r="CI112" s="105"/>
      <c r="CJ112" s="105">
        <f t="shared" si="202"/>
        <v>0</v>
      </c>
      <c r="CK112" s="524"/>
      <c r="CL112" s="53">
        <f t="shared" si="217"/>
        <v>0</v>
      </c>
      <c r="CM112" s="54"/>
      <c r="CN112" s="105"/>
      <c r="CO112" s="100">
        <f t="shared" si="126"/>
        <v>0</v>
      </c>
      <c r="CP112" s="496"/>
      <c r="CQ112" s="439"/>
      <c r="CR112" s="504"/>
      <c r="CS112" s="105"/>
      <c r="CT112" s="105">
        <f t="shared" si="168"/>
        <v>0</v>
      </c>
      <c r="CU112" s="105"/>
      <c r="CV112" s="105"/>
      <c r="CW112" s="105">
        <f t="shared" si="169"/>
        <v>0</v>
      </c>
      <c r="CX112" s="53"/>
      <c r="CY112" s="109">
        <f t="shared" si="127"/>
        <v>0</v>
      </c>
      <c r="CZ112" s="54"/>
      <c r="DA112" s="105"/>
      <c r="DB112" s="455">
        <f t="shared" si="170"/>
        <v>0</v>
      </c>
      <c r="DC112" s="495"/>
      <c r="DD112" s="26"/>
      <c r="DF112" s="1133"/>
      <c r="DG112" s="674">
        <f t="shared" si="177"/>
        <v>0</v>
      </c>
      <c r="DH112" s="1119">
        <f t="shared" si="178"/>
        <v>0</v>
      </c>
      <c r="DI112" s="1119"/>
      <c r="DJ112" s="101">
        <f t="shared" si="179"/>
        <v>0</v>
      </c>
      <c r="DK112" s="101"/>
      <c r="DL112" s="101">
        <f t="shared" si="173"/>
        <v>0</v>
      </c>
      <c r="DM112" s="101"/>
      <c r="DN112" s="112"/>
      <c r="DO112" s="112"/>
      <c r="DP112" s="112"/>
      <c r="DQ112" s="112"/>
    </row>
    <row r="113" spans="1:130" ht="21.6" customHeight="1" x14ac:dyDescent="0.25">
      <c r="A113" s="4" t="s">
        <v>28</v>
      </c>
      <c r="B113" s="4">
        <v>5</v>
      </c>
      <c r="C113" s="166" t="s">
        <v>57</v>
      </c>
      <c r="D113" s="166"/>
      <c r="E113" s="1" t="s">
        <v>61</v>
      </c>
      <c r="F113" s="162">
        <v>43</v>
      </c>
      <c r="G113" s="162">
        <v>10</v>
      </c>
      <c r="H113" s="162">
        <f t="shared" si="218"/>
        <v>53</v>
      </c>
      <c r="I113" s="162">
        <v>43.5</v>
      </c>
      <c r="J113" s="162"/>
      <c r="K113" s="162">
        <f t="shared" si="219"/>
        <v>43.5</v>
      </c>
      <c r="L113" s="163"/>
      <c r="M113" s="414"/>
      <c r="N113" s="46"/>
      <c r="O113" s="164"/>
      <c r="P113" s="165"/>
      <c r="Q113" s="165"/>
      <c r="R113" s="165"/>
      <c r="S113" s="203"/>
      <c r="T113" s="89"/>
      <c r="U113" s="89"/>
      <c r="V113" s="89">
        <f>T113+U113</f>
        <v>0</v>
      </c>
      <c r="W113" s="137"/>
      <c r="X113" s="137"/>
      <c r="Y113" s="90">
        <f t="shared" si="206"/>
        <v>0</v>
      </c>
      <c r="Z113" s="169"/>
      <c r="AA113" s="92"/>
      <c r="AB113" s="92"/>
      <c r="AC113" s="92">
        <f t="shared" si="207"/>
        <v>0</v>
      </c>
      <c r="AD113" s="93"/>
      <c r="AE113" s="93"/>
      <c r="AF113" s="94">
        <f t="shared" si="208"/>
        <v>0</v>
      </c>
      <c r="AG113" s="475"/>
      <c r="AH113" s="99"/>
      <c r="AI113" s="99">
        <f t="shared" si="209"/>
        <v>0</v>
      </c>
      <c r="AJ113" s="138"/>
      <c r="AK113" s="138">
        <f t="shared" si="210"/>
        <v>0</v>
      </c>
      <c r="AL113" s="106"/>
      <c r="AM113" s="105"/>
      <c r="AN113" s="105">
        <f t="shared" si="211"/>
        <v>0</v>
      </c>
      <c r="AO113" s="106"/>
      <c r="AP113" s="105"/>
      <c r="AQ113" s="105">
        <f t="shared" si="200"/>
        <v>0</v>
      </c>
      <c r="AR113" s="106"/>
      <c r="AS113" s="97">
        <f t="shared" si="160"/>
        <v>0</v>
      </c>
      <c r="AT113" s="6"/>
      <c r="AU113" s="105"/>
      <c r="AV113" s="455">
        <f t="shared" si="114"/>
        <v>0</v>
      </c>
      <c r="AW113" s="496"/>
      <c r="AX113" s="508"/>
      <c r="AY113" s="498"/>
      <c r="AZ113" s="100">
        <f t="shared" si="212"/>
        <v>0</v>
      </c>
      <c r="BA113" s="106"/>
      <c r="BB113" s="105"/>
      <c r="BC113" s="105">
        <f t="shared" si="213"/>
        <v>0</v>
      </c>
      <c r="BD113" s="106"/>
      <c r="BE113" s="105">
        <f t="shared" si="214"/>
        <v>0</v>
      </c>
      <c r="BF113" s="106"/>
      <c r="BG113" s="100">
        <f t="shared" si="175"/>
        <v>0</v>
      </c>
      <c r="BH113" s="106"/>
      <c r="BI113" s="100">
        <f t="shared" si="176"/>
        <v>0</v>
      </c>
      <c r="BJ113" s="106"/>
      <c r="BK113" s="101">
        <f t="shared" si="163"/>
        <v>0</v>
      </c>
      <c r="BL113" s="106"/>
      <c r="BM113" s="104"/>
      <c r="BN113" s="104">
        <f t="shared" si="215"/>
        <v>0</v>
      </c>
      <c r="BO113" s="105"/>
      <c r="BP113" s="105">
        <f t="shared" si="124"/>
        <v>0</v>
      </c>
      <c r="BQ113" s="106"/>
      <c r="BR113" s="105"/>
      <c r="BS113" s="105">
        <f t="shared" si="142"/>
        <v>0</v>
      </c>
      <c r="BT113" s="106"/>
      <c r="BU113" s="53"/>
      <c r="BV113" s="53">
        <f t="shared" si="216"/>
        <v>0</v>
      </c>
      <c r="BW113" s="54"/>
      <c r="BX113" s="350">
        <f t="shared" si="166"/>
        <v>0</v>
      </c>
      <c r="BY113" s="211"/>
      <c r="BZ113" s="211">
        <f t="shared" si="180"/>
        <v>0</v>
      </c>
      <c r="CA113" s="508"/>
      <c r="CB113" s="165"/>
      <c r="CC113" s="165"/>
      <c r="CD113" s="203"/>
      <c r="CE113" s="504"/>
      <c r="CF113" s="105"/>
      <c r="CG113" s="105">
        <f t="shared" si="201"/>
        <v>0</v>
      </c>
      <c r="CH113" s="105"/>
      <c r="CI113" s="105"/>
      <c r="CJ113" s="105">
        <f t="shared" si="202"/>
        <v>0</v>
      </c>
      <c r="CK113" s="524"/>
      <c r="CL113" s="53">
        <f t="shared" si="217"/>
        <v>0</v>
      </c>
      <c r="CM113" s="54"/>
      <c r="CN113" s="105"/>
      <c r="CO113" s="100">
        <f t="shared" si="126"/>
        <v>0</v>
      </c>
      <c r="CP113" s="496"/>
      <c r="CQ113" s="439"/>
      <c r="CR113" s="504"/>
      <c r="CS113" s="105"/>
      <c r="CT113" s="105">
        <f t="shared" si="168"/>
        <v>0</v>
      </c>
      <c r="CU113" s="105"/>
      <c r="CV113" s="105"/>
      <c r="CW113" s="105">
        <f t="shared" si="169"/>
        <v>0</v>
      </c>
      <c r="CX113" s="53"/>
      <c r="CY113" s="109">
        <f t="shared" si="127"/>
        <v>0</v>
      </c>
      <c r="CZ113" s="54"/>
      <c r="DA113" s="105"/>
      <c r="DB113" s="455">
        <f t="shared" si="170"/>
        <v>0</v>
      </c>
      <c r="DC113" s="495"/>
      <c r="DD113" s="26"/>
      <c r="DF113" s="1133"/>
      <c r="DG113" s="674">
        <f t="shared" si="177"/>
        <v>0</v>
      </c>
      <c r="DH113" s="1119">
        <f t="shared" si="178"/>
        <v>0</v>
      </c>
      <c r="DI113" s="1119"/>
      <c r="DJ113" s="101">
        <f t="shared" si="179"/>
        <v>0</v>
      </c>
      <c r="DK113" s="101"/>
      <c r="DL113" s="101">
        <f t="shared" si="173"/>
        <v>0</v>
      </c>
      <c r="DM113" s="101"/>
      <c r="DN113" s="112"/>
      <c r="DO113" s="112"/>
      <c r="DP113" s="112"/>
      <c r="DQ113" s="112"/>
    </row>
    <row r="114" spans="1:130" ht="21.6" customHeight="1" x14ac:dyDescent="0.25">
      <c r="A114" s="4"/>
      <c r="B114" s="4"/>
      <c r="C114" s="204" t="s">
        <v>57</v>
      </c>
      <c r="D114" s="204" t="s">
        <v>437</v>
      </c>
      <c r="E114" s="3" t="s">
        <v>307</v>
      </c>
      <c r="F114" s="162"/>
      <c r="G114" s="162"/>
      <c r="H114" s="162"/>
      <c r="I114" s="162"/>
      <c r="J114" s="162"/>
      <c r="K114" s="162"/>
      <c r="L114" s="163"/>
      <c r="M114" s="414"/>
      <c r="N114" s="41"/>
      <c r="O114" s="164"/>
      <c r="P114" s="165"/>
      <c r="Q114" s="165"/>
      <c r="R114" s="165"/>
      <c r="S114" s="203"/>
      <c r="T114" s="89"/>
      <c r="U114" s="89"/>
      <c r="V114" s="89">
        <f>T114+U114</f>
        <v>0</v>
      </c>
      <c r="W114" s="137"/>
      <c r="X114" s="137"/>
      <c r="Y114" s="90">
        <f t="shared" si="206"/>
        <v>0</v>
      </c>
      <c r="Z114" s="169"/>
      <c r="AA114" s="92"/>
      <c r="AB114" s="92"/>
      <c r="AC114" s="92">
        <f t="shared" si="207"/>
        <v>0</v>
      </c>
      <c r="AD114" s="93"/>
      <c r="AE114" s="93"/>
      <c r="AF114" s="94">
        <f t="shared" si="208"/>
        <v>0</v>
      </c>
      <c r="AG114" s="475"/>
      <c r="AH114" s="99">
        <v>103.125</v>
      </c>
      <c r="AI114" s="99">
        <f t="shared" si="209"/>
        <v>6.875</v>
      </c>
      <c r="AJ114" s="138">
        <v>200</v>
      </c>
      <c r="AK114" s="138">
        <f t="shared" si="210"/>
        <v>13.333333333333334</v>
      </c>
      <c r="AL114" s="106"/>
      <c r="AM114" s="105"/>
      <c r="AN114" s="105">
        <f t="shared" si="211"/>
        <v>0</v>
      </c>
      <c r="AO114" s="106"/>
      <c r="AP114" s="105"/>
      <c r="AQ114" s="105">
        <f t="shared" si="200"/>
        <v>0</v>
      </c>
      <c r="AR114" s="106"/>
      <c r="AS114" s="97">
        <f t="shared" si="160"/>
        <v>13.333333333333334</v>
      </c>
      <c r="AT114" s="6"/>
      <c r="AU114" s="105">
        <v>75</v>
      </c>
      <c r="AV114" s="455">
        <f t="shared" si="114"/>
        <v>5</v>
      </c>
      <c r="AW114" s="496"/>
      <c r="AX114" s="508"/>
      <c r="AY114" s="498"/>
      <c r="AZ114" s="100">
        <f t="shared" si="212"/>
        <v>0</v>
      </c>
      <c r="BA114" s="106"/>
      <c r="BB114" s="105"/>
      <c r="BC114" s="105">
        <f t="shared" si="213"/>
        <v>0</v>
      </c>
      <c r="BD114" s="106"/>
      <c r="BE114" s="105">
        <f t="shared" si="214"/>
        <v>13.333333333333334</v>
      </c>
      <c r="BF114" s="106"/>
      <c r="BG114" s="100">
        <f t="shared" si="175"/>
        <v>0</v>
      </c>
      <c r="BH114" s="106"/>
      <c r="BI114" s="100">
        <f t="shared" si="176"/>
        <v>5</v>
      </c>
      <c r="BJ114" s="106"/>
      <c r="BK114" s="101">
        <f t="shared" si="163"/>
        <v>18.333333333333336</v>
      </c>
      <c r="BL114" s="106"/>
      <c r="BM114" s="104">
        <v>206.25</v>
      </c>
      <c r="BN114" s="104">
        <f t="shared" si="215"/>
        <v>4.125</v>
      </c>
      <c r="BO114" s="105">
        <v>650</v>
      </c>
      <c r="BP114" s="105">
        <f t="shared" si="124"/>
        <v>13</v>
      </c>
      <c r="BQ114" s="106"/>
      <c r="BR114" s="105">
        <f>150+100</f>
        <v>250</v>
      </c>
      <c r="BS114" s="105">
        <f t="shared" si="142"/>
        <v>5</v>
      </c>
      <c r="BT114" s="106"/>
      <c r="BU114" s="53"/>
      <c r="BV114" s="53">
        <f t="shared" si="216"/>
        <v>0</v>
      </c>
      <c r="BW114" s="54"/>
      <c r="BX114" s="350">
        <f t="shared" si="166"/>
        <v>18</v>
      </c>
      <c r="BY114" s="211"/>
      <c r="BZ114" s="211">
        <f t="shared" si="180"/>
        <v>0.3333333333333357</v>
      </c>
      <c r="CA114" s="508"/>
      <c r="CB114" s="165"/>
      <c r="CC114" s="165"/>
      <c r="CD114" s="203"/>
      <c r="CE114" s="504">
        <v>6</v>
      </c>
      <c r="CF114" s="105">
        <v>2</v>
      </c>
      <c r="CG114" s="105">
        <f t="shared" si="201"/>
        <v>8</v>
      </c>
      <c r="CH114" s="105">
        <v>5</v>
      </c>
      <c r="CI114" s="105"/>
      <c r="CJ114" s="105">
        <f t="shared" si="202"/>
        <v>5</v>
      </c>
      <c r="CK114" s="524"/>
      <c r="CL114" s="53">
        <f t="shared" si="217"/>
        <v>0</v>
      </c>
      <c r="CM114" s="54"/>
      <c r="CN114" s="105"/>
      <c r="CO114" s="100">
        <f t="shared" si="126"/>
        <v>0</v>
      </c>
      <c r="CP114" s="496"/>
      <c r="CQ114" s="439"/>
      <c r="CR114" s="504">
        <v>6</v>
      </c>
      <c r="CS114" s="105">
        <v>2</v>
      </c>
      <c r="CT114" s="105">
        <f t="shared" si="168"/>
        <v>8</v>
      </c>
      <c r="CU114" s="105">
        <v>5</v>
      </c>
      <c r="CV114" s="105"/>
      <c r="CW114" s="105">
        <f>CU114+CV114</f>
        <v>5</v>
      </c>
      <c r="CX114" s="53"/>
      <c r="CY114" s="109">
        <f t="shared" si="127"/>
        <v>0</v>
      </c>
      <c r="CZ114" s="54"/>
      <c r="DA114" s="105"/>
      <c r="DB114" s="455">
        <f t="shared" si="170"/>
        <v>0</v>
      </c>
      <c r="DC114" s="495"/>
      <c r="DD114" s="26" t="s">
        <v>375</v>
      </c>
      <c r="DF114" s="1133"/>
      <c r="DG114" s="674">
        <f t="shared" si="177"/>
        <v>5</v>
      </c>
      <c r="DH114" s="1119">
        <f t="shared" si="178"/>
        <v>0</v>
      </c>
      <c r="DI114" s="1119"/>
      <c r="DJ114" s="101">
        <f t="shared" si="179"/>
        <v>18.333333333333336</v>
      </c>
      <c r="DK114" s="101"/>
      <c r="DL114" s="101">
        <f t="shared" ref="DL114:DL147" si="220">CT114+CG114+AC114</f>
        <v>16</v>
      </c>
      <c r="DM114" s="101"/>
      <c r="DN114" s="112"/>
      <c r="DO114" s="112">
        <f>DJ114</f>
        <v>18.333333333333336</v>
      </c>
      <c r="DP114" s="112"/>
      <c r="DQ114" s="112"/>
    </row>
    <row r="115" spans="1:130" s="139" customFormat="1" ht="21.6" customHeight="1" x14ac:dyDescent="0.25">
      <c r="A115" s="4"/>
      <c r="B115" s="4"/>
      <c r="C115" s="182" t="s">
        <v>57</v>
      </c>
      <c r="D115" s="182"/>
      <c r="E115" s="3" t="s">
        <v>309</v>
      </c>
      <c r="F115" s="135"/>
      <c r="G115" s="135"/>
      <c r="H115" s="135"/>
      <c r="I115" s="135"/>
      <c r="J115" s="135"/>
      <c r="K115" s="135"/>
      <c r="L115" s="136"/>
      <c r="M115" s="5"/>
      <c r="N115" s="41"/>
      <c r="O115" s="6"/>
      <c r="P115" s="7"/>
      <c r="Q115" s="7"/>
      <c r="R115" s="7"/>
      <c r="S115" s="158"/>
      <c r="T115" s="89"/>
      <c r="U115" s="89"/>
      <c r="V115" s="89">
        <f>T115+U115</f>
        <v>0</v>
      </c>
      <c r="W115" s="137"/>
      <c r="X115" s="137"/>
      <c r="Y115" s="90">
        <f t="shared" si="206"/>
        <v>0</v>
      </c>
      <c r="Z115" s="91"/>
      <c r="AA115" s="92"/>
      <c r="AB115" s="92"/>
      <c r="AC115" s="92">
        <f t="shared" si="207"/>
        <v>0</v>
      </c>
      <c r="AD115" s="93"/>
      <c r="AE115" s="93"/>
      <c r="AF115" s="94">
        <f t="shared" si="208"/>
        <v>0</v>
      </c>
      <c r="AG115" s="473"/>
      <c r="AH115" s="99">
        <v>87.75</v>
      </c>
      <c r="AI115" s="99">
        <f t="shared" si="209"/>
        <v>5.85</v>
      </c>
      <c r="AJ115" s="138"/>
      <c r="AK115" s="138">
        <f t="shared" si="210"/>
        <v>0</v>
      </c>
      <c r="AL115" s="106"/>
      <c r="AM115" s="105"/>
      <c r="AN115" s="105">
        <f t="shared" si="211"/>
        <v>0</v>
      </c>
      <c r="AO115" s="106"/>
      <c r="AP115" s="105"/>
      <c r="AQ115" s="105">
        <f t="shared" si="200"/>
        <v>0</v>
      </c>
      <c r="AR115" s="106"/>
      <c r="AS115" s="97">
        <f t="shared" si="160"/>
        <v>0</v>
      </c>
      <c r="AT115" s="6"/>
      <c r="AU115" s="105"/>
      <c r="AV115" s="455">
        <f t="shared" si="114"/>
        <v>0</v>
      </c>
      <c r="AW115" s="496"/>
      <c r="AX115" s="508"/>
      <c r="AY115" s="498"/>
      <c r="AZ115" s="100">
        <f t="shared" si="212"/>
        <v>0</v>
      </c>
      <c r="BA115" s="106"/>
      <c r="BB115" s="105"/>
      <c r="BC115" s="105">
        <f t="shared" si="213"/>
        <v>0</v>
      </c>
      <c r="BD115" s="106"/>
      <c r="BE115" s="105">
        <f t="shared" si="214"/>
        <v>0</v>
      </c>
      <c r="BF115" s="106"/>
      <c r="BG115" s="100">
        <f t="shared" ref="BG115:BG153" si="221">BC115+AQ115+AN115</f>
        <v>0</v>
      </c>
      <c r="BH115" s="106"/>
      <c r="BI115" s="100">
        <f t="shared" ref="BI115:BI153" si="222">AV115</f>
        <v>0</v>
      </c>
      <c r="BJ115" s="106"/>
      <c r="BK115" s="101">
        <f t="shared" si="163"/>
        <v>0</v>
      </c>
      <c r="BL115" s="106"/>
      <c r="BM115" s="104">
        <v>585</v>
      </c>
      <c r="BN115" s="104">
        <f t="shared" si="215"/>
        <v>11.7</v>
      </c>
      <c r="BO115" s="105"/>
      <c r="BP115" s="105">
        <f t="shared" si="124"/>
        <v>0</v>
      </c>
      <c r="BQ115" s="106"/>
      <c r="BR115" s="105"/>
      <c r="BS115" s="105">
        <f t="shared" si="142"/>
        <v>0</v>
      </c>
      <c r="BT115" s="106"/>
      <c r="BU115" s="53"/>
      <c r="BV115" s="53">
        <f t="shared" si="216"/>
        <v>0</v>
      </c>
      <c r="BW115" s="54"/>
      <c r="BX115" s="350">
        <f t="shared" si="166"/>
        <v>0</v>
      </c>
      <c r="BY115" s="211"/>
      <c r="BZ115" s="211">
        <f t="shared" si="180"/>
        <v>0</v>
      </c>
      <c r="CA115" s="508"/>
      <c r="CB115" s="7"/>
      <c r="CC115" s="7"/>
      <c r="CD115" s="158"/>
      <c r="CE115" s="504"/>
      <c r="CF115" s="105"/>
      <c r="CG115" s="105">
        <f t="shared" si="201"/>
        <v>0</v>
      </c>
      <c r="CH115" s="105"/>
      <c r="CI115" s="105"/>
      <c r="CJ115" s="105">
        <f t="shared" si="202"/>
        <v>0</v>
      </c>
      <c r="CK115" s="524"/>
      <c r="CL115" s="53">
        <f t="shared" si="217"/>
        <v>0</v>
      </c>
      <c r="CM115" s="54"/>
      <c r="CN115" s="105"/>
      <c r="CO115" s="100">
        <f t="shared" si="126"/>
        <v>0</v>
      </c>
      <c r="CP115" s="496"/>
      <c r="CQ115" s="439"/>
      <c r="CR115" s="504"/>
      <c r="CS115" s="105"/>
      <c r="CT115" s="105">
        <f t="shared" si="168"/>
        <v>0</v>
      </c>
      <c r="CU115" s="105"/>
      <c r="CV115" s="105"/>
      <c r="CW115" s="105">
        <f t="shared" si="169"/>
        <v>0</v>
      </c>
      <c r="CX115" s="53"/>
      <c r="CY115" s="109">
        <f t="shared" si="127"/>
        <v>0</v>
      </c>
      <c r="CZ115" s="54"/>
      <c r="DA115" s="105"/>
      <c r="DB115" s="455">
        <f t="shared" si="170"/>
        <v>0</v>
      </c>
      <c r="DC115" s="495"/>
      <c r="DD115" s="27"/>
      <c r="DF115" s="1133"/>
      <c r="DG115" s="674">
        <f t="shared" ref="DG115:DG153" si="223">AV115+CY115+DB115</f>
        <v>0</v>
      </c>
      <c r="DH115" s="1119">
        <f t="shared" ref="DH115:DH153" si="224">BC115+CL115+CO115</f>
        <v>0</v>
      </c>
      <c r="DI115" s="1119"/>
      <c r="DJ115" s="101">
        <f t="shared" ref="DJ115:DJ148" si="225">DC115+CO115+CL115+BC115+AZ115+AV115+AS115</f>
        <v>0</v>
      </c>
      <c r="DK115" s="101"/>
      <c r="DL115" s="101">
        <f t="shared" si="220"/>
        <v>0</v>
      </c>
      <c r="DM115" s="101"/>
      <c r="DN115" s="112"/>
      <c r="DO115" s="112"/>
      <c r="DP115" s="112"/>
      <c r="DQ115" s="112"/>
      <c r="DS115" s="140"/>
      <c r="DT115" s="140"/>
      <c r="DU115" s="140"/>
      <c r="DV115" s="140"/>
      <c r="DW115" s="140"/>
      <c r="DX115" s="140"/>
      <c r="DY115" s="140"/>
      <c r="DZ115" s="140"/>
    </row>
    <row r="116" spans="1:130" s="139" customFormat="1" ht="33" customHeight="1" x14ac:dyDescent="0.25">
      <c r="A116" s="4" t="s">
        <v>28</v>
      </c>
      <c r="B116" s="4">
        <v>7</v>
      </c>
      <c r="C116" s="153" t="s">
        <v>57</v>
      </c>
      <c r="D116" s="153" t="s">
        <v>431</v>
      </c>
      <c r="E116" s="13" t="s">
        <v>62</v>
      </c>
      <c r="F116" s="135">
        <v>24</v>
      </c>
      <c r="G116" s="135">
        <v>4</v>
      </c>
      <c r="H116" s="135">
        <f t="shared" si="218"/>
        <v>28</v>
      </c>
      <c r="I116" s="135"/>
      <c r="J116" s="135">
        <v>24.2</v>
      </c>
      <c r="K116" s="135">
        <f t="shared" si="219"/>
        <v>24.2</v>
      </c>
      <c r="L116" s="136"/>
      <c r="M116" s="5"/>
      <c r="N116" s="41"/>
      <c r="O116" s="6"/>
      <c r="P116" s="7"/>
      <c r="Q116" s="7"/>
      <c r="R116" s="7"/>
      <c r="S116" s="158"/>
      <c r="T116" s="89"/>
      <c r="U116" s="89"/>
      <c r="V116" s="89">
        <f t="shared" si="205"/>
        <v>0</v>
      </c>
      <c r="W116" s="137"/>
      <c r="X116" s="137"/>
      <c r="Y116" s="90">
        <f t="shared" si="206"/>
        <v>0</v>
      </c>
      <c r="Z116" s="91"/>
      <c r="AA116" s="92"/>
      <c r="AB116" s="92"/>
      <c r="AC116" s="92">
        <f t="shared" si="207"/>
        <v>0</v>
      </c>
      <c r="AD116" s="93"/>
      <c r="AE116" s="93"/>
      <c r="AF116" s="94">
        <f t="shared" si="208"/>
        <v>0</v>
      </c>
      <c r="AG116" s="473"/>
      <c r="AH116" s="99">
        <v>181.5</v>
      </c>
      <c r="AI116" s="99">
        <f t="shared" si="209"/>
        <v>12.1</v>
      </c>
      <c r="AJ116" s="138">
        <v>140</v>
      </c>
      <c r="AK116" s="138">
        <f t="shared" si="210"/>
        <v>9.3333333333333339</v>
      </c>
      <c r="AL116" s="106"/>
      <c r="AM116" s="105"/>
      <c r="AN116" s="105">
        <f t="shared" si="211"/>
        <v>0</v>
      </c>
      <c r="AO116" s="106"/>
      <c r="AP116" s="105"/>
      <c r="AQ116" s="105">
        <f t="shared" si="200"/>
        <v>0</v>
      </c>
      <c r="AR116" s="106"/>
      <c r="AS116" s="97">
        <f t="shared" si="160"/>
        <v>9.3333333333333339</v>
      </c>
      <c r="AT116" s="6"/>
      <c r="AU116" s="105"/>
      <c r="AV116" s="455">
        <f t="shared" si="114"/>
        <v>0</v>
      </c>
      <c r="AW116" s="496"/>
      <c r="AX116" s="508"/>
      <c r="AY116" s="498">
        <v>55</v>
      </c>
      <c r="AZ116" s="100">
        <f t="shared" si="212"/>
        <v>3.6666666666666665</v>
      </c>
      <c r="BA116" s="106"/>
      <c r="BB116" s="105"/>
      <c r="BC116" s="105">
        <f t="shared" si="213"/>
        <v>0</v>
      </c>
      <c r="BD116" s="106"/>
      <c r="BE116" s="105">
        <f t="shared" si="214"/>
        <v>13</v>
      </c>
      <c r="BF116" s="106"/>
      <c r="BG116" s="100">
        <f t="shared" si="221"/>
        <v>0</v>
      </c>
      <c r="BH116" s="106"/>
      <c r="BI116" s="100">
        <f t="shared" si="222"/>
        <v>0</v>
      </c>
      <c r="BJ116" s="106"/>
      <c r="BK116" s="101">
        <f t="shared" si="163"/>
        <v>13</v>
      </c>
      <c r="BL116" s="106"/>
      <c r="BM116" s="104">
        <v>1210</v>
      </c>
      <c r="BN116" s="104">
        <f t="shared" si="215"/>
        <v>24.2</v>
      </c>
      <c r="BO116" s="105">
        <v>650</v>
      </c>
      <c r="BP116" s="105">
        <f t="shared" si="124"/>
        <v>13</v>
      </c>
      <c r="BQ116" s="106"/>
      <c r="BR116" s="105"/>
      <c r="BS116" s="105">
        <f t="shared" si="142"/>
        <v>0</v>
      </c>
      <c r="BT116" s="106"/>
      <c r="BU116" s="53"/>
      <c r="BV116" s="53">
        <f t="shared" si="216"/>
        <v>0</v>
      </c>
      <c r="BW116" s="54"/>
      <c r="BX116" s="350">
        <f t="shared" si="166"/>
        <v>13</v>
      </c>
      <c r="BY116" s="211"/>
      <c r="BZ116" s="211">
        <f t="shared" ref="BZ116:BZ149" si="226">BK116-BX116</f>
        <v>0</v>
      </c>
      <c r="CA116" s="508"/>
      <c r="CB116" s="7"/>
      <c r="CC116" s="7"/>
      <c r="CD116" s="158"/>
      <c r="CE116" s="504"/>
      <c r="CF116" s="105"/>
      <c r="CG116" s="105">
        <f t="shared" si="201"/>
        <v>0</v>
      </c>
      <c r="CH116" s="105"/>
      <c r="CI116" s="105"/>
      <c r="CJ116" s="105">
        <f t="shared" si="202"/>
        <v>0</v>
      </c>
      <c r="CK116" s="524"/>
      <c r="CL116" s="53">
        <f t="shared" si="217"/>
        <v>0</v>
      </c>
      <c r="CM116" s="54"/>
      <c r="CN116" s="105"/>
      <c r="CO116" s="100">
        <f t="shared" si="126"/>
        <v>0</v>
      </c>
      <c r="CP116" s="496"/>
      <c r="CQ116" s="439"/>
      <c r="CR116" s="504"/>
      <c r="CS116" s="105"/>
      <c r="CT116" s="105">
        <f t="shared" si="168"/>
        <v>0</v>
      </c>
      <c r="CU116" s="105"/>
      <c r="CV116" s="105"/>
      <c r="CW116" s="105">
        <f t="shared" si="169"/>
        <v>0</v>
      </c>
      <c r="CX116" s="53"/>
      <c r="CY116" s="109">
        <f t="shared" si="127"/>
        <v>0</v>
      </c>
      <c r="CZ116" s="54"/>
      <c r="DA116" s="105"/>
      <c r="DB116" s="455">
        <f t="shared" si="170"/>
        <v>0</v>
      </c>
      <c r="DC116" s="495"/>
      <c r="DD116" s="27"/>
      <c r="DF116" s="1133"/>
      <c r="DG116" s="674">
        <f t="shared" si="223"/>
        <v>0</v>
      </c>
      <c r="DH116" s="1119">
        <f t="shared" si="224"/>
        <v>0</v>
      </c>
      <c r="DI116" s="1119"/>
      <c r="DJ116" s="101">
        <f t="shared" si="225"/>
        <v>13</v>
      </c>
      <c r="DK116" s="101"/>
      <c r="DL116" s="101">
        <f t="shared" si="220"/>
        <v>0</v>
      </c>
      <c r="DM116" s="101"/>
      <c r="DN116" s="112"/>
      <c r="DO116" s="112"/>
      <c r="DP116" s="112"/>
      <c r="DQ116" s="112"/>
      <c r="DS116" s="140"/>
      <c r="DT116" s="140"/>
      <c r="DU116" s="140"/>
      <c r="DV116" s="140"/>
      <c r="DW116" s="140"/>
      <c r="DX116" s="140"/>
      <c r="DY116" s="140"/>
      <c r="DZ116" s="140"/>
    </row>
    <row r="117" spans="1:130" ht="21.6" customHeight="1" x14ac:dyDescent="0.25">
      <c r="A117" s="4" t="s">
        <v>28</v>
      </c>
      <c r="B117" s="4">
        <v>8</v>
      </c>
      <c r="C117" s="166" t="s">
        <v>57</v>
      </c>
      <c r="D117" s="166" t="s">
        <v>431</v>
      </c>
      <c r="E117" s="13" t="s">
        <v>63</v>
      </c>
      <c r="F117" s="162">
        <v>21</v>
      </c>
      <c r="G117" s="162">
        <v>1</v>
      </c>
      <c r="H117" s="162"/>
      <c r="I117" s="162"/>
      <c r="J117" s="162">
        <v>19.25</v>
      </c>
      <c r="K117" s="162">
        <f t="shared" si="219"/>
        <v>19.25</v>
      </c>
      <c r="L117" s="163"/>
      <c r="M117" s="414"/>
      <c r="N117" s="46"/>
      <c r="O117" s="164"/>
      <c r="P117" s="165"/>
      <c r="Q117" s="165"/>
      <c r="R117" s="165"/>
      <c r="S117" s="203"/>
      <c r="T117" s="89"/>
      <c r="U117" s="89"/>
      <c r="V117" s="89">
        <f t="shared" si="205"/>
        <v>0</v>
      </c>
      <c r="W117" s="137"/>
      <c r="X117" s="137"/>
      <c r="Y117" s="90">
        <f t="shared" si="206"/>
        <v>0</v>
      </c>
      <c r="Z117" s="169"/>
      <c r="AA117" s="92"/>
      <c r="AB117" s="92"/>
      <c r="AC117" s="92">
        <f t="shared" si="207"/>
        <v>0</v>
      </c>
      <c r="AD117" s="93"/>
      <c r="AE117" s="93"/>
      <c r="AF117" s="94">
        <f t="shared" si="208"/>
        <v>0</v>
      </c>
      <c r="AG117" s="475"/>
      <c r="AH117" s="99">
        <v>144.375</v>
      </c>
      <c r="AI117" s="99">
        <f t="shared" si="209"/>
        <v>9.625</v>
      </c>
      <c r="AJ117" s="138">
        <v>175</v>
      </c>
      <c r="AK117" s="138">
        <f t="shared" si="210"/>
        <v>11.666666666666666</v>
      </c>
      <c r="AL117" s="106"/>
      <c r="AM117" s="105"/>
      <c r="AN117" s="105">
        <f t="shared" si="211"/>
        <v>0</v>
      </c>
      <c r="AO117" s="106"/>
      <c r="AP117" s="105"/>
      <c r="AQ117" s="105">
        <f t="shared" si="200"/>
        <v>0</v>
      </c>
      <c r="AR117" s="106"/>
      <c r="AS117" s="97">
        <f t="shared" si="160"/>
        <v>11.666666666666666</v>
      </c>
      <c r="AT117" s="6"/>
      <c r="AU117" s="105"/>
      <c r="AV117" s="455">
        <f t="shared" ref="AV117:AV186" si="227">AU117/15</f>
        <v>0</v>
      </c>
      <c r="AW117" s="496"/>
      <c r="AX117" s="508"/>
      <c r="AY117" s="498">
        <v>15</v>
      </c>
      <c r="AZ117" s="100">
        <f t="shared" si="212"/>
        <v>1</v>
      </c>
      <c r="BA117" s="106"/>
      <c r="BB117" s="105"/>
      <c r="BC117" s="105">
        <f t="shared" si="213"/>
        <v>0</v>
      </c>
      <c r="BD117" s="106"/>
      <c r="BE117" s="105">
        <f t="shared" si="214"/>
        <v>12.666666666666666</v>
      </c>
      <c r="BF117" s="106"/>
      <c r="BG117" s="100">
        <f t="shared" si="221"/>
        <v>0</v>
      </c>
      <c r="BH117" s="106"/>
      <c r="BI117" s="100">
        <f t="shared" si="222"/>
        <v>0</v>
      </c>
      <c r="BJ117" s="106"/>
      <c r="BK117" s="101">
        <f t="shared" si="163"/>
        <v>12.666666666666666</v>
      </c>
      <c r="BL117" s="106"/>
      <c r="BM117" s="104">
        <v>962.5</v>
      </c>
      <c r="BN117" s="104">
        <f t="shared" si="215"/>
        <v>19.25</v>
      </c>
      <c r="BO117" s="105">
        <v>600</v>
      </c>
      <c r="BP117" s="105">
        <f t="shared" si="124"/>
        <v>12</v>
      </c>
      <c r="BQ117" s="106"/>
      <c r="BR117" s="105"/>
      <c r="BS117" s="105">
        <f t="shared" si="142"/>
        <v>0</v>
      </c>
      <c r="BT117" s="106"/>
      <c r="BU117" s="53"/>
      <c r="BV117" s="53">
        <f t="shared" si="216"/>
        <v>0</v>
      </c>
      <c r="BW117" s="54"/>
      <c r="BX117" s="350">
        <f t="shared" si="166"/>
        <v>12</v>
      </c>
      <c r="BY117" s="211"/>
      <c r="BZ117" s="211">
        <f t="shared" si="226"/>
        <v>0.66666666666666607</v>
      </c>
      <c r="CA117" s="508"/>
      <c r="CB117" s="165"/>
      <c r="CC117" s="165"/>
      <c r="CD117" s="203"/>
      <c r="CE117" s="504"/>
      <c r="CF117" s="105"/>
      <c r="CG117" s="105">
        <f t="shared" si="201"/>
        <v>0</v>
      </c>
      <c r="CH117" s="105"/>
      <c r="CI117" s="105"/>
      <c r="CJ117" s="105">
        <f t="shared" si="202"/>
        <v>0</v>
      </c>
      <c r="CK117" s="524"/>
      <c r="CL117" s="53">
        <f t="shared" si="217"/>
        <v>0</v>
      </c>
      <c r="CM117" s="54"/>
      <c r="CN117" s="105"/>
      <c r="CO117" s="100">
        <f t="shared" si="126"/>
        <v>0</v>
      </c>
      <c r="CP117" s="496"/>
      <c r="CQ117" s="439"/>
      <c r="CR117" s="504"/>
      <c r="CS117" s="105"/>
      <c r="CT117" s="105">
        <f t="shared" si="168"/>
        <v>0</v>
      </c>
      <c r="CU117" s="105"/>
      <c r="CV117" s="105"/>
      <c r="CW117" s="105">
        <f t="shared" si="169"/>
        <v>0</v>
      </c>
      <c r="CX117" s="53"/>
      <c r="CY117" s="109">
        <f t="shared" si="127"/>
        <v>0</v>
      </c>
      <c r="CZ117" s="54"/>
      <c r="DA117" s="105"/>
      <c r="DB117" s="455">
        <f t="shared" si="170"/>
        <v>0</v>
      </c>
      <c r="DC117" s="495"/>
      <c r="DD117" s="26"/>
      <c r="DF117" s="1133"/>
      <c r="DG117" s="674">
        <f t="shared" si="223"/>
        <v>0</v>
      </c>
      <c r="DH117" s="1119">
        <f t="shared" si="224"/>
        <v>0</v>
      </c>
      <c r="DI117" s="1119"/>
      <c r="DJ117" s="101">
        <f t="shared" si="225"/>
        <v>12.666666666666666</v>
      </c>
      <c r="DK117" s="101"/>
      <c r="DL117" s="101">
        <f t="shared" si="220"/>
        <v>0</v>
      </c>
      <c r="DM117" s="101"/>
      <c r="DN117" s="112"/>
      <c r="DO117" s="112"/>
      <c r="DP117" s="112"/>
      <c r="DQ117" s="112"/>
    </row>
    <row r="118" spans="1:130" s="139" customFormat="1" ht="21.6" customHeight="1" x14ac:dyDescent="0.25">
      <c r="A118" s="4" t="s">
        <v>28</v>
      </c>
      <c r="B118" s="4">
        <v>9</v>
      </c>
      <c r="C118" s="153" t="s">
        <v>57</v>
      </c>
      <c r="D118" s="153" t="s">
        <v>431</v>
      </c>
      <c r="E118" s="13" t="s">
        <v>64</v>
      </c>
      <c r="F118" s="135">
        <v>15</v>
      </c>
      <c r="G118" s="135">
        <v>3</v>
      </c>
      <c r="H118" s="135">
        <f t="shared" ref="H118:H119" si="228">F118+G118</f>
        <v>18</v>
      </c>
      <c r="I118" s="135"/>
      <c r="J118" s="135">
        <v>13.65</v>
      </c>
      <c r="K118" s="135">
        <f t="shared" si="219"/>
        <v>13.65</v>
      </c>
      <c r="L118" s="136"/>
      <c r="M118" s="5"/>
      <c r="N118" s="41"/>
      <c r="O118" s="5"/>
      <c r="P118" s="7"/>
      <c r="Q118" s="7"/>
      <c r="R118" s="7"/>
      <c r="S118" s="158"/>
      <c r="T118" s="89"/>
      <c r="U118" s="89"/>
      <c r="V118" s="89">
        <f t="shared" si="205"/>
        <v>0</v>
      </c>
      <c r="W118" s="137"/>
      <c r="X118" s="137"/>
      <c r="Y118" s="90">
        <f t="shared" si="206"/>
        <v>0</v>
      </c>
      <c r="Z118" s="91"/>
      <c r="AA118" s="92"/>
      <c r="AB118" s="92"/>
      <c r="AC118" s="92">
        <f t="shared" si="207"/>
        <v>0</v>
      </c>
      <c r="AD118" s="93"/>
      <c r="AE118" s="93"/>
      <c r="AF118" s="94">
        <f t="shared" si="208"/>
        <v>0</v>
      </c>
      <c r="AG118" s="473"/>
      <c r="AH118" s="99">
        <v>102.375</v>
      </c>
      <c r="AI118" s="99">
        <f t="shared" si="209"/>
        <v>6.8250000000000002</v>
      </c>
      <c r="AJ118" s="138">
        <v>95</v>
      </c>
      <c r="AK118" s="138">
        <f t="shared" si="210"/>
        <v>6.333333333333333</v>
      </c>
      <c r="AL118" s="106"/>
      <c r="AM118" s="105"/>
      <c r="AN118" s="105">
        <f t="shared" si="211"/>
        <v>0</v>
      </c>
      <c r="AO118" s="106"/>
      <c r="AP118" s="105"/>
      <c r="AQ118" s="105">
        <f t="shared" si="200"/>
        <v>0</v>
      </c>
      <c r="AR118" s="106"/>
      <c r="AS118" s="97">
        <f t="shared" si="160"/>
        <v>6.333333333333333</v>
      </c>
      <c r="AT118" s="6"/>
      <c r="AU118" s="105"/>
      <c r="AV118" s="455">
        <f t="shared" si="227"/>
        <v>0</v>
      </c>
      <c r="AW118" s="496"/>
      <c r="AX118" s="508"/>
      <c r="AY118" s="498">
        <v>100</v>
      </c>
      <c r="AZ118" s="100">
        <f t="shared" si="212"/>
        <v>6.666666666666667</v>
      </c>
      <c r="BA118" s="106"/>
      <c r="BB118" s="105"/>
      <c r="BC118" s="105">
        <f t="shared" si="213"/>
        <v>0</v>
      </c>
      <c r="BD118" s="106"/>
      <c r="BE118" s="105">
        <f t="shared" si="214"/>
        <v>13</v>
      </c>
      <c r="BF118" s="106"/>
      <c r="BG118" s="100">
        <f t="shared" si="221"/>
        <v>0</v>
      </c>
      <c r="BH118" s="106"/>
      <c r="BI118" s="100">
        <f t="shared" si="222"/>
        <v>0</v>
      </c>
      <c r="BJ118" s="106"/>
      <c r="BK118" s="101">
        <f t="shared" si="163"/>
        <v>13</v>
      </c>
      <c r="BL118" s="106"/>
      <c r="BM118" s="104">
        <v>682.5</v>
      </c>
      <c r="BN118" s="104">
        <f t="shared" si="215"/>
        <v>13.65</v>
      </c>
      <c r="BO118" s="105">
        <v>650</v>
      </c>
      <c r="BP118" s="105">
        <f t="shared" ref="BP118:BP187" si="229">BO118/50</f>
        <v>13</v>
      </c>
      <c r="BQ118" s="106"/>
      <c r="BR118" s="105"/>
      <c r="BS118" s="105">
        <f t="shared" si="142"/>
        <v>0</v>
      </c>
      <c r="BT118" s="106"/>
      <c r="BU118" s="53"/>
      <c r="BV118" s="53">
        <f t="shared" si="216"/>
        <v>0</v>
      </c>
      <c r="BW118" s="54"/>
      <c r="BX118" s="350">
        <f t="shared" si="166"/>
        <v>13</v>
      </c>
      <c r="BY118" s="211"/>
      <c r="BZ118" s="211">
        <f t="shared" si="226"/>
        <v>0</v>
      </c>
      <c r="CA118" s="508"/>
      <c r="CB118" s="7"/>
      <c r="CC118" s="7"/>
      <c r="CD118" s="158"/>
      <c r="CE118" s="504"/>
      <c r="CF118" s="105"/>
      <c r="CG118" s="105">
        <f t="shared" si="201"/>
        <v>0</v>
      </c>
      <c r="CH118" s="105"/>
      <c r="CI118" s="105"/>
      <c r="CJ118" s="105">
        <f t="shared" si="202"/>
        <v>0</v>
      </c>
      <c r="CK118" s="524"/>
      <c r="CL118" s="53">
        <f t="shared" si="217"/>
        <v>0</v>
      </c>
      <c r="CM118" s="54"/>
      <c r="CN118" s="105"/>
      <c r="CO118" s="100">
        <f t="shared" ref="CO118:CO187" si="230">CN118/15</f>
        <v>0</v>
      </c>
      <c r="CP118" s="496"/>
      <c r="CQ118" s="439"/>
      <c r="CR118" s="504"/>
      <c r="CS118" s="105"/>
      <c r="CT118" s="105">
        <f t="shared" si="168"/>
        <v>0</v>
      </c>
      <c r="CU118" s="105"/>
      <c r="CV118" s="105"/>
      <c r="CW118" s="105">
        <f t="shared" si="169"/>
        <v>0</v>
      </c>
      <c r="CX118" s="53"/>
      <c r="CY118" s="109">
        <f t="shared" ref="CY118:CY187" si="231">CX118/15</f>
        <v>0</v>
      </c>
      <c r="CZ118" s="54"/>
      <c r="DA118" s="105"/>
      <c r="DB118" s="455">
        <f t="shared" si="170"/>
        <v>0</v>
      </c>
      <c r="DC118" s="495"/>
      <c r="DD118" s="27"/>
      <c r="DF118" s="1133"/>
      <c r="DG118" s="674">
        <f t="shared" si="223"/>
        <v>0</v>
      </c>
      <c r="DH118" s="1119">
        <f t="shared" si="224"/>
        <v>0</v>
      </c>
      <c r="DI118" s="1119"/>
      <c r="DJ118" s="101">
        <f t="shared" si="225"/>
        <v>13</v>
      </c>
      <c r="DK118" s="101"/>
      <c r="DL118" s="101">
        <f t="shared" si="220"/>
        <v>0</v>
      </c>
      <c r="DM118" s="101"/>
      <c r="DN118" s="112"/>
      <c r="DO118" s="112"/>
      <c r="DP118" s="112"/>
      <c r="DQ118" s="112"/>
      <c r="DS118" s="140"/>
      <c r="DT118" s="140"/>
      <c r="DU118" s="140"/>
      <c r="DV118" s="140"/>
      <c r="DW118" s="140"/>
      <c r="DX118" s="140"/>
      <c r="DY118" s="140"/>
      <c r="DZ118" s="140"/>
    </row>
    <row r="119" spans="1:130" ht="21.6" customHeight="1" x14ac:dyDescent="0.25">
      <c r="A119" s="4" t="s">
        <v>28</v>
      </c>
      <c r="B119" s="4">
        <v>10</v>
      </c>
      <c r="C119" s="166" t="s">
        <v>57</v>
      </c>
      <c r="D119" s="166"/>
      <c r="E119" s="1" t="s">
        <v>65</v>
      </c>
      <c r="F119" s="162">
        <v>15</v>
      </c>
      <c r="G119" s="162">
        <v>4</v>
      </c>
      <c r="H119" s="162">
        <f t="shared" si="228"/>
        <v>19</v>
      </c>
      <c r="I119" s="162"/>
      <c r="J119" s="162">
        <v>16.45</v>
      </c>
      <c r="K119" s="162">
        <f t="shared" si="219"/>
        <v>16.45</v>
      </c>
      <c r="L119" s="163"/>
      <c r="M119" s="414"/>
      <c r="N119" s="46"/>
      <c r="O119" s="164"/>
      <c r="P119" s="165"/>
      <c r="Q119" s="165"/>
      <c r="R119" s="165"/>
      <c r="S119" s="203"/>
      <c r="T119" s="89"/>
      <c r="U119" s="89"/>
      <c r="V119" s="89">
        <f t="shared" si="205"/>
        <v>0</v>
      </c>
      <c r="W119" s="137"/>
      <c r="X119" s="137"/>
      <c r="Y119" s="90">
        <f t="shared" si="206"/>
        <v>0</v>
      </c>
      <c r="Z119" s="169"/>
      <c r="AA119" s="92"/>
      <c r="AB119" s="92"/>
      <c r="AC119" s="92">
        <f t="shared" si="207"/>
        <v>0</v>
      </c>
      <c r="AD119" s="93"/>
      <c r="AE119" s="93"/>
      <c r="AF119" s="94">
        <f t="shared" si="208"/>
        <v>0</v>
      </c>
      <c r="AG119" s="475"/>
      <c r="AH119" s="99"/>
      <c r="AI119" s="99">
        <f t="shared" si="209"/>
        <v>0</v>
      </c>
      <c r="AJ119" s="138"/>
      <c r="AK119" s="138">
        <f t="shared" si="210"/>
        <v>0</v>
      </c>
      <c r="AL119" s="106"/>
      <c r="AM119" s="105"/>
      <c r="AN119" s="105">
        <f t="shared" si="211"/>
        <v>0</v>
      </c>
      <c r="AO119" s="106"/>
      <c r="AP119" s="105"/>
      <c r="AQ119" s="105">
        <f t="shared" si="200"/>
        <v>0</v>
      </c>
      <c r="AR119" s="106"/>
      <c r="AS119" s="97">
        <f t="shared" si="160"/>
        <v>0</v>
      </c>
      <c r="AT119" s="6"/>
      <c r="AU119" s="105"/>
      <c r="AV119" s="455">
        <f t="shared" si="227"/>
        <v>0</v>
      </c>
      <c r="AW119" s="496"/>
      <c r="AX119" s="508"/>
      <c r="AY119" s="498"/>
      <c r="AZ119" s="100">
        <f t="shared" si="212"/>
        <v>0</v>
      </c>
      <c r="BA119" s="106"/>
      <c r="BB119" s="105"/>
      <c r="BC119" s="105">
        <f t="shared" si="213"/>
        <v>0</v>
      </c>
      <c r="BD119" s="106"/>
      <c r="BE119" s="105">
        <f t="shared" si="214"/>
        <v>0</v>
      </c>
      <c r="BF119" s="106"/>
      <c r="BG119" s="100">
        <f t="shared" si="221"/>
        <v>0</v>
      </c>
      <c r="BH119" s="106"/>
      <c r="BI119" s="100">
        <f t="shared" si="222"/>
        <v>0</v>
      </c>
      <c r="BJ119" s="106"/>
      <c r="BK119" s="101">
        <f t="shared" si="163"/>
        <v>0</v>
      </c>
      <c r="BL119" s="106"/>
      <c r="BM119" s="104"/>
      <c r="BN119" s="104">
        <f t="shared" si="215"/>
        <v>0</v>
      </c>
      <c r="BO119" s="105"/>
      <c r="BP119" s="105">
        <f t="shared" si="229"/>
        <v>0</v>
      </c>
      <c r="BQ119" s="106"/>
      <c r="BR119" s="105"/>
      <c r="BS119" s="105">
        <f t="shared" si="142"/>
        <v>0</v>
      </c>
      <c r="BT119" s="106"/>
      <c r="BU119" s="53"/>
      <c r="BV119" s="53">
        <f t="shared" si="216"/>
        <v>0</v>
      </c>
      <c r="BW119" s="54"/>
      <c r="BX119" s="350">
        <f t="shared" si="166"/>
        <v>0</v>
      </c>
      <c r="BY119" s="211"/>
      <c r="BZ119" s="211">
        <f t="shared" si="226"/>
        <v>0</v>
      </c>
      <c r="CA119" s="508"/>
      <c r="CB119" s="165"/>
      <c r="CC119" s="165"/>
      <c r="CD119" s="203"/>
      <c r="CE119" s="504"/>
      <c r="CF119" s="105"/>
      <c r="CG119" s="105">
        <f t="shared" si="201"/>
        <v>0</v>
      </c>
      <c r="CH119" s="105"/>
      <c r="CI119" s="105"/>
      <c r="CJ119" s="105">
        <f t="shared" si="202"/>
        <v>0</v>
      </c>
      <c r="CK119" s="524"/>
      <c r="CL119" s="53">
        <f t="shared" si="217"/>
        <v>0</v>
      </c>
      <c r="CM119" s="54"/>
      <c r="CN119" s="105"/>
      <c r="CO119" s="100">
        <f t="shared" si="230"/>
        <v>0</v>
      </c>
      <c r="CP119" s="496"/>
      <c r="CQ119" s="439"/>
      <c r="CR119" s="504"/>
      <c r="CS119" s="105"/>
      <c r="CT119" s="105">
        <f t="shared" si="168"/>
        <v>0</v>
      </c>
      <c r="CU119" s="105"/>
      <c r="CV119" s="105"/>
      <c r="CW119" s="105">
        <f t="shared" si="169"/>
        <v>0</v>
      </c>
      <c r="CX119" s="53"/>
      <c r="CY119" s="109">
        <f t="shared" si="231"/>
        <v>0</v>
      </c>
      <c r="CZ119" s="54"/>
      <c r="DA119" s="105"/>
      <c r="DB119" s="455">
        <f t="shared" si="170"/>
        <v>0</v>
      </c>
      <c r="DC119" s="495"/>
      <c r="DD119" s="26"/>
      <c r="DF119" s="1133"/>
      <c r="DG119" s="674">
        <f t="shared" si="223"/>
        <v>0</v>
      </c>
      <c r="DH119" s="1119">
        <f t="shared" si="224"/>
        <v>0</v>
      </c>
      <c r="DI119" s="1119"/>
      <c r="DJ119" s="101">
        <f t="shared" si="225"/>
        <v>0</v>
      </c>
      <c r="DK119" s="101"/>
      <c r="DL119" s="101">
        <f t="shared" si="220"/>
        <v>0</v>
      </c>
      <c r="DM119" s="101"/>
      <c r="DN119" s="112"/>
      <c r="DO119" s="112"/>
      <c r="DP119" s="112"/>
      <c r="DQ119" s="112"/>
    </row>
    <row r="120" spans="1:130" s="151" customFormat="1" ht="21.6" customHeight="1" x14ac:dyDescent="0.25">
      <c r="A120" s="141"/>
      <c r="B120" s="141"/>
      <c r="C120" s="159"/>
      <c r="D120" s="143"/>
      <c r="E120" s="22"/>
      <c r="F120" s="144"/>
      <c r="G120" s="144"/>
      <c r="H120" s="144"/>
      <c r="I120" s="144"/>
      <c r="J120" s="144"/>
      <c r="K120" s="144"/>
      <c r="L120" s="145"/>
      <c r="M120" s="146"/>
      <c r="N120" s="147"/>
      <c r="O120" s="131"/>
      <c r="P120" s="148"/>
      <c r="Q120" s="148"/>
      <c r="R120" s="148"/>
      <c r="S120" s="148"/>
      <c r="T120" s="123"/>
      <c r="U120" s="123"/>
      <c r="V120" s="123"/>
      <c r="W120" s="149"/>
      <c r="X120" s="149"/>
      <c r="Y120" s="124"/>
      <c r="Z120" s="125"/>
      <c r="AA120" s="123"/>
      <c r="AB120" s="123"/>
      <c r="AC120" s="123"/>
      <c r="AD120" s="124"/>
      <c r="AE120" s="124"/>
      <c r="AF120" s="126"/>
      <c r="AG120" s="474"/>
      <c r="AH120" s="129"/>
      <c r="AI120" s="129"/>
      <c r="AJ120" s="138"/>
      <c r="AK120" s="138"/>
      <c r="AL120" s="106"/>
      <c r="AM120" s="105"/>
      <c r="AN120" s="105"/>
      <c r="AO120" s="106"/>
      <c r="AP120" s="105"/>
      <c r="AQ120" s="105">
        <f t="shared" si="200"/>
        <v>0</v>
      </c>
      <c r="AR120" s="106"/>
      <c r="AS120" s="97">
        <f t="shared" si="160"/>
        <v>0</v>
      </c>
      <c r="AT120" s="6"/>
      <c r="AU120" s="105"/>
      <c r="AV120" s="455">
        <f t="shared" si="227"/>
        <v>0</v>
      </c>
      <c r="AW120" s="496"/>
      <c r="AX120" s="508"/>
      <c r="AY120" s="498"/>
      <c r="AZ120" s="100"/>
      <c r="BA120" s="101"/>
      <c r="BB120" s="100"/>
      <c r="BC120" s="100"/>
      <c r="BD120" s="101"/>
      <c r="BE120" s="105"/>
      <c r="BF120" s="106"/>
      <c r="BG120" s="100">
        <f t="shared" si="221"/>
        <v>0</v>
      </c>
      <c r="BH120" s="106"/>
      <c r="BI120" s="100">
        <f t="shared" si="222"/>
        <v>0</v>
      </c>
      <c r="BJ120" s="106"/>
      <c r="BK120" s="101">
        <f t="shared" si="163"/>
        <v>0</v>
      </c>
      <c r="BL120" s="106"/>
      <c r="BM120" s="130"/>
      <c r="BN120" s="130"/>
      <c r="BO120" s="105"/>
      <c r="BP120" s="105">
        <f t="shared" si="229"/>
        <v>0</v>
      </c>
      <c r="BQ120" s="106"/>
      <c r="BR120" s="105"/>
      <c r="BS120" s="105"/>
      <c r="BT120" s="106"/>
      <c r="BU120" s="53"/>
      <c r="BV120" s="53"/>
      <c r="BW120" s="54"/>
      <c r="BX120" s="350">
        <f t="shared" si="166"/>
        <v>0</v>
      </c>
      <c r="BY120" s="194"/>
      <c r="BZ120" s="194">
        <f t="shared" si="226"/>
        <v>0</v>
      </c>
      <c r="CA120" s="536"/>
      <c r="CB120" s="148"/>
      <c r="CC120" s="148"/>
      <c r="CD120" s="148"/>
      <c r="CE120" s="504"/>
      <c r="CF120" s="105"/>
      <c r="CG120" s="105">
        <f t="shared" si="201"/>
        <v>0</v>
      </c>
      <c r="CH120" s="105"/>
      <c r="CI120" s="105"/>
      <c r="CJ120" s="105">
        <f t="shared" si="202"/>
        <v>0</v>
      </c>
      <c r="CK120" s="523"/>
      <c r="CL120" s="102"/>
      <c r="CM120" s="103"/>
      <c r="CN120" s="100"/>
      <c r="CO120" s="100">
        <f t="shared" si="230"/>
        <v>0</v>
      </c>
      <c r="CP120" s="515"/>
      <c r="CQ120" s="441"/>
      <c r="CR120" s="504"/>
      <c r="CS120" s="105"/>
      <c r="CT120" s="105">
        <f t="shared" si="168"/>
        <v>0</v>
      </c>
      <c r="CU120" s="105"/>
      <c r="CV120" s="105"/>
      <c r="CW120" s="105">
        <f t="shared" si="169"/>
        <v>0</v>
      </c>
      <c r="CX120" s="53"/>
      <c r="CY120" s="109">
        <f t="shared" si="231"/>
        <v>0</v>
      </c>
      <c r="CZ120" s="54"/>
      <c r="DA120" s="105"/>
      <c r="DB120" s="455">
        <f t="shared" si="170"/>
        <v>0</v>
      </c>
      <c r="DC120" s="495"/>
      <c r="DD120" s="38"/>
      <c r="DF120" s="1133"/>
      <c r="DG120" s="674">
        <f t="shared" si="223"/>
        <v>0</v>
      </c>
      <c r="DH120" s="1119">
        <f t="shared" si="224"/>
        <v>0</v>
      </c>
      <c r="DI120" s="1119"/>
      <c r="DJ120" s="101">
        <f t="shared" si="225"/>
        <v>0</v>
      </c>
      <c r="DK120" s="101"/>
      <c r="DL120" s="101">
        <f t="shared" si="220"/>
        <v>0</v>
      </c>
      <c r="DM120" s="101"/>
      <c r="DN120" s="112"/>
      <c r="DO120" s="112"/>
      <c r="DP120" s="112"/>
      <c r="DQ120" s="112"/>
      <c r="DS120" s="152"/>
      <c r="DT120" s="152"/>
      <c r="DU120" s="152"/>
      <c r="DV120" s="152"/>
      <c r="DW120" s="152"/>
      <c r="DX120" s="152"/>
      <c r="DY120" s="152"/>
      <c r="DZ120" s="152"/>
    </row>
    <row r="121" spans="1:130" ht="21.6" customHeight="1" x14ac:dyDescent="0.25">
      <c r="A121" s="4" t="s">
        <v>28</v>
      </c>
      <c r="B121" s="4">
        <v>1</v>
      </c>
      <c r="C121" s="166" t="s">
        <v>66</v>
      </c>
      <c r="D121" s="166" t="s">
        <v>431</v>
      </c>
      <c r="E121" s="1" t="s">
        <v>67</v>
      </c>
      <c r="F121" s="162">
        <v>12</v>
      </c>
      <c r="G121" s="162">
        <v>3</v>
      </c>
      <c r="H121" s="162">
        <f t="shared" ref="H121:H129" si="232">F121+G121</f>
        <v>15</v>
      </c>
      <c r="I121" s="162"/>
      <c r="J121" s="162">
        <v>12.5</v>
      </c>
      <c r="K121" s="162">
        <f t="shared" ref="K121:K129" si="233">I121+J121</f>
        <v>12.5</v>
      </c>
      <c r="L121" s="163"/>
      <c r="M121" s="414"/>
      <c r="N121" s="46"/>
      <c r="O121" s="164"/>
      <c r="P121" s="165"/>
      <c r="Q121" s="165"/>
      <c r="R121" s="165"/>
      <c r="S121" s="203"/>
      <c r="T121" s="89"/>
      <c r="U121" s="89"/>
      <c r="V121" s="89">
        <f t="shared" ref="V121:V129" si="234">T121+U121</f>
        <v>0</v>
      </c>
      <c r="W121" s="137"/>
      <c r="X121" s="137"/>
      <c r="Y121" s="90">
        <f t="shared" ref="Y121:Y129" si="235">W121+X121</f>
        <v>0</v>
      </c>
      <c r="Z121" s="169"/>
      <c r="AA121" s="92"/>
      <c r="AB121" s="92"/>
      <c r="AC121" s="92">
        <f t="shared" ref="AC121:AC129" si="236">AA121+AB121</f>
        <v>0</v>
      </c>
      <c r="AD121" s="93"/>
      <c r="AE121" s="93"/>
      <c r="AF121" s="94">
        <f t="shared" ref="AF121:AF129" si="237">AD121+AE121</f>
        <v>0</v>
      </c>
      <c r="AG121" s="475"/>
      <c r="AH121" s="99"/>
      <c r="AI121" s="99">
        <f t="shared" ref="AI121:AI128" si="238">AH121/15</f>
        <v>0</v>
      </c>
      <c r="AJ121" s="138"/>
      <c r="AK121" s="138">
        <f t="shared" ref="AK121:AK129" si="239">AJ121/15</f>
        <v>0</v>
      </c>
      <c r="AL121" s="106">
        <f>SUM(AK121:AK129)</f>
        <v>0</v>
      </c>
      <c r="AM121" s="105"/>
      <c r="AN121" s="105">
        <f t="shared" ref="AN121:AN129" si="240">AM121/15</f>
        <v>0</v>
      </c>
      <c r="AO121" s="106">
        <f>SUM(AN121:AN129)</f>
        <v>0</v>
      </c>
      <c r="AP121" s="105"/>
      <c r="AQ121" s="105">
        <f t="shared" si="200"/>
        <v>0</v>
      </c>
      <c r="AR121" s="106">
        <f>SUM(AQ121:AQ129)</f>
        <v>0</v>
      </c>
      <c r="AS121" s="97">
        <f t="shared" si="160"/>
        <v>0</v>
      </c>
      <c r="AT121" s="6">
        <f>SUM(AS121:AS129)</f>
        <v>0</v>
      </c>
      <c r="AU121" s="105"/>
      <c r="AV121" s="455">
        <f t="shared" si="227"/>
        <v>0</v>
      </c>
      <c r="AW121" s="496">
        <f>SUM(AV121:AV129)</f>
        <v>0</v>
      </c>
      <c r="AX121" s="508"/>
      <c r="AY121" s="498"/>
      <c r="AZ121" s="100">
        <f t="shared" ref="AZ121:AZ129" si="241">AY121/15</f>
        <v>0</v>
      </c>
      <c r="BA121" s="106">
        <f>SUM(AZ121:AZ129)</f>
        <v>20</v>
      </c>
      <c r="BB121" s="105"/>
      <c r="BC121" s="105">
        <f t="shared" ref="BC121:BC129" si="242">BB121/15</f>
        <v>0</v>
      </c>
      <c r="BD121" s="106">
        <f>SUM(BC121:BC129)</f>
        <v>0</v>
      </c>
      <c r="BE121" s="105">
        <f t="shared" ref="BE121:BE129" si="243">AK121+AZ121</f>
        <v>0</v>
      </c>
      <c r="BF121" s="106">
        <f>SUM(BE121:BE129)</f>
        <v>20</v>
      </c>
      <c r="BG121" s="100">
        <f t="shared" si="221"/>
        <v>0</v>
      </c>
      <c r="BH121" s="106">
        <f>SUM(BG121:BG129)</f>
        <v>0</v>
      </c>
      <c r="BI121" s="100">
        <f t="shared" si="222"/>
        <v>0</v>
      </c>
      <c r="BJ121" s="106">
        <f>SUM(BI121:BI129)</f>
        <v>0</v>
      </c>
      <c r="BK121" s="101">
        <f t="shared" si="163"/>
        <v>0</v>
      </c>
      <c r="BL121" s="106">
        <f>SUM(BK121:BK129)</f>
        <v>20</v>
      </c>
      <c r="BM121" s="104"/>
      <c r="BN121" s="104">
        <f t="shared" ref="BN121:BN129" si="244">BM121/50</f>
        <v>0</v>
      </c>
      <c r="BO121" s="105"/>
      <c r="BP121" s="105">
        <f t="shared" si="229"/>
        <v>0</v>
      </c>
      <c r="BQ121" s="106">
        <f>SUM(BP121:BP129)</f>
        <v>20</v>
      </c>
      <c r="BR121" s="105"/>
      <c r="BS121" s="105">
        <f t="shared" si="142"/>
        <v>0</v>
      </c>
      <c r="BT121" s="106">
        <f>SUM(BS121:BS129)</f>
        <v>0</v>
      </c>
      <c r="BU121" s="53"/>
      <c r="BV121" s="53">
        <f t="shared" ref="BV121:BV129" si="245">BU121/50</f>
        <v>0</v>
      </c>
      <c r="BW121" s="54">
        <f>SUM(BV121:BV129)</f>
        <v>0</v>
      </c>
      <c r="BX121" s="350">
        <f t="shared" si="166"/>
        <v>0</v>
      </c>
      <c r="BY121" s="211">
        <f>SUM(BX121:BX129)</f>
        <v>20</v>
      </c>
      <c r="BZ121" s="211">
        <f t="shared" si="226"/>
        <v>0</v>
      </c>
      <c r="CA121" s="508"/>
      <c r="CB121" s="165"/>
      <c r="CC121" s="165"/>
      <c r="CD121" s="203"/>
      <c r="CE121" s="504"/>
      <c r="CF121" s="105"/>
      <c r="CG121" s="105">
        <f t="shared" si="201"/>
        <v>0</v>
      </c>
      <c r="CH121" s="105"/>
      <c r="CI121" s="105"/>
      <c r="CJ121" s="105">
        <f t="shared" si="202"/>
        <v>0</v>
      </c>
      <c r="CK121" s="524"/>
      <c r="CL121" s="53">
        <f t="shared" ref="CL121:CL129" si="246">CK121/15</f>
        <v>0</v>
      </c>
      <c r="CM121" s="54">
        <f>SUM(CL121:CL129)</f>
        <v>0</v>
      </c>
      <c r="CN121" s="105"/>
      <c r="CO121" s="100">
        <f t="shared" si="230"/>
        <v>0</v>
      </c>
      <c r="CP121" s="496">
        <f>SUM(CO121:CO129)</f>
        <v>10</v>
      </c>
      <c r="CQ121" s="439"/>
      <c r="CR121" s="504"/>
      <c r="CS121" s="105"/>
      <c r="CT121" s="105">
        <f t="shared" si="168"/>
        <v>0</v>
      </c>
      <c r="CU121" s="105"/>
      <c r="CV121" s="105"/>
      <c r="CW121" s="105">
        <f t="shared" si="169"/>
        <v>0</v>
      </c>
      <c r="CX121" s="53"/>
      <c r="CY121" s="109">
        <f t="shared" si="231"/>
        <v>0</v>
      </c>
      <c r="CZ121" s="54">
        <f>SUM(CY121:CY129)</f>
        <v>0</v>
      </c>
      <c r="DA121" s="105"/>
      <c r="DB121" s="455">
        <f t="shared" si="170"/>
        <v>0</v>
      </c>
      <c r="DC121" s="495">
        <f>SUM(DB121:DB129)</f>
        <v>0</v>
      </c>
      <c r="DD121" s="26"/>
      <c r="DF121" s="1133"/>
      <c r="DG121" s="674">
        <f t="shared" si="223"/>
        <v>0</v>
      </c>
      <c r="DH121" s="1119">
        <f t="shared" si="224"/>
        <v>0</v>
      </c>
      <c r="DI121" s="1119"/>
      <c r="DJ121" s="101">
        <f t="shared" si="225"/>
        <v>0</v>
      </c>
      <c r="DK121" s="101">
        <f>SUM(DJ121:DJ129)</f>
        <v>30</v>
      </c>
      <c r="DL121" s="1124">
        <f t="shared" si="220"/>
        <v>0</v>
      </c>
      <c r="DM121" s="101"/>
      <c r="DN121" s="112"/>
      <c r="DO121" s="112"/>
      <c r="DP121" s="112"/>
      <c r="DQ121" s="112"/>
    </row>
    <row r="122" spans="1:130" ht="21.6" customHeight="1" x14ac:dyDescent="0.25">
      <c r="A122" s="4" t="s">
        <v>28</v>
      </c>
      <c r="B122" s="4">
        <v>2</v>
      </c>
      <c r="C122" s="166" t="s">
        <v>66</v>
      </c>
      <c r="D122" s="166" t="s">
        <v>431</v>
      </c>
      <c r="E122" s="1" t="s">
        <v>68</v>
      </c>
      <c r="F122" s="162">
        <v>39</v>
      </c>
      <c r="G122" s="162">
        <v>6</v>
      </c>
      <c r="H122" s="162">
        <f t="shared" si="232"/>
        <v>45</v>
      </c>
      <c r="I122" s="162"/>
      <c r="J122" s="162">
        <v>36.5</v>
      </c>
      <c r="K122" s="162">
        <f t="shared" si="233"/>
        <v>36.5</v>
      </c>
      <c r="L122" s="163"/>
      <c r="M122" s="414"/>
      <c r="N122" s="46"/>
      <c r="O122" s="164"/>
      <c r="P122" s="165"/>
      <c r="Q122" s="165"/>
      <c r="R122" s="165"/>
      <c r="S122" s="203"/>
      <c r="T122" s="89"/>
      <c r="U122" s="89"/>
      <c r="V122" s="89">
        <f t="shared" si="234"/>
        <v>0</v>
      </c>
      <c r="W122" s="137"/>
      <c r="X122" s="137"/>
      <c r="Y122" s="90">
        <f t="shared" si="235"/>
        <v>0</v>
      </c>
      <c r="Z122" s="169"/>
      <c r="AA122" s="92"/>
      <c r="AB122" s="92"/>
      <c r="AC122" s="92">
        <f t="shared" si="236"/>
        <v>0</v>
      </c>
      <c r="AD122" s="93"/>
      <c r="AE122" s="93"/>
      <c r="AF122" s="94">
        <f t="shared" si="237"/>
        <v>0</v>
      </c>
      <c r="AG122" s="475"/>
      <c r="AH122" s="99"/>
      <c r="AI122" s="99">
        <f t="shared" si="238"/>
        <v>0</v>
      </c>
      <c r="AJ122" s="138"/>
      <c r="AK122" s="138">
        <f t="shared" si="239"/>
        <v>0</v>
      </c>
      <c r="AL122" s="106"/>
      <c r="AM122" s="105"/>
      <c r="AN122" s="105">
        <f t="shared" si="240"/>
        <v>0</v>
      </c>
      <c r="AO122" s="106"/>
      <c r="AP122" s="105"/>
      <c r="AQ122" s="105">
        <f t="shared" si="200"/>
        <v>0</v>
      </c>
      <c r="AR122" s="106"/>
      <c r="AS122" s="97">
        <f t="shared" si="160"/>
        <v>0</v>
      </c>
      <c r="AT122" s="6"/>
      <c r="AU122" s="105"/>
      <c r="AV122" s="455">
        <f t="shared" si="227"/>
        <v>0</v>
      </c>
      <c r="AW122" s="496"/>
      <c r="AX122" s="508"/>
      <c r="AY122" s="498">
        <v>90</v>
      </c>
      <c r="AZ122" s="100">
        <f t="shared" si="241"/>
        <v>6</v>
      </c>
      <c r="BA122" s="106"/>
      <c r="BB122" s="105"/>
      <c r="BC122" s="105">
        <f t="shared" si="242"/>
        <v>0</v>
      </c>
      <c r="BD122" s="106"/>
      <c r="BE122" s="105">
        <f t="shared" si="243"/>
        <v>6</v>
      </c>
      <c r="BF122" s="106"/>
      <c r="BG122" s="100">
        <f t="shared" si="221"/>
        <v>0</v>
      </c>
      <c r="BH122" s="106"/>
      <c r="BI122" s="100">
        <f t="shared" si="222"/>
        <v>0</v>
      </c>
      <c r="BJ122" s="106"/>
      <c r="BK122" s="101">
        <f t="shared" si="163"/>
        <v>6</v>
      </c>
      <c r="BL122" s="106"/>
      <c r="BM122" s="104">
        <v>300</v>
      </c>
      <c r="BN122" s="104">
        <f t="shared" si="244"/>
        <v>6</v>
      </c>
      <c r="BO122" s="105">
        <v>300</v>
      </c>
      <c r="BP122" s="105">
        <f t="shared" si="229"/>
        <v>6</v>
      </c>
      <c r="BQ122" s="106"/>
      <c r="BR122" s="105"/>
      <c r="BS122" s="105">
        <f t="shared" si="142"/>
        <v>0</v>
      </c>
      <c r="BT122" s="106"/>
      <c r="BU122" s="53"/>
      <c r="BV122" s="53">
        <f t="shared" si="245"/>
        <v>0</v>
      </c>
      <c r="BW122" s="54"/>
      <c r="BX122" s="350">
        <f t="shared" si="166"/>
        <v>6</v>
      </c>
      <c r="BY122" s="211"/>
      <c r="BZ122" s="211">
        <f t="shared" si="226"/>
        <v>0</v>
      </c>
      <c r="CA122" s="508"/>
      <c r="CB122" s="165"/>
      <c r="CC122" s="165"/>
      <c r="CD122" s="203"/>
      <c r="CE122" s="504"/>
      <c r="CF122" s="105"/>
      <c r="CG122" s="105">
        <f t="shared" si="201"/>
        <v>0</v>
      </c>
      <c r="CH122" s="105"/>
      <c r="CI122" s="105"/>
      <c r="CJ122" s="105">
        <f t="shared" si="202"/>
        <v>0</v>
      </c>
      <c r="CK122" s="524"/>
      <c r="CL122" s="53">
        <f t="shared" si="246"/>
        <v>0</v>
      </c>
      <c r="CM122" s="54"/>
      <c r="CN122" s="105">
        <v>115</v>
      </c>
      <c r="CO122" s="100">
        <f t="shared" si="230"/>
        <v>7.666666666666667</v>
      </c>
      <c r="CP122" s="496"/>
      <c r="CQ122" s="439"/>
      <c r="CR122" s="504"/>
      <c r="CS122" s="105"/>
      <c r="CT122" s="105">
        <f t="shared" si="168"/>
        <v>0</v>
      </c>
      <c r="CU122" s="105"/>
      <c r="CV122" s="105"/>
      <c r="CW122" s="105">
        <f t="shared" si="169"/>
        <v>0</v>
      </c>
      <c r="CX122" s="53"/>
      <c r="CY122" s="109">
        <f t="shared" si="231"/>
        <v>0</v>
      </c>
      <c r="CZ122" s="54"/>
      <c r="DA122" s="105"/>
      <c r="DB122" s="455">
        <f t="shared" si="170"/>
        <v>0</v>
      </c>
      <c r="DC122" s="495"/>
      <c r="DD122" s="26"/>
      <c r="DF122" s="1133"/>
      <c r="DG122" s="674">
        <f t="shared" si="223"/>
        <v>0</v>
      </c>
      <c r="DH122" s="1119">
        <f t="shared" si="224"/>
        <v>7.666666666666667</v>
      </c>
      <c r="DI122" s="1119"/>
      <c r="DJ122" s="101">
        <f t="shared" si="225"/>
        <v>13.666666666666668</v>
      </c>
      <c r="DK122" s="101"/>
      <c r="DL122" s="101">
        <f t="shared" si="220"/>
        <v>0</v>
      </c>
      <c r="DM122" s="101"/>
      <c r="DN122" s="112"/>
      <c r="DO122" s="112"/>
      <c r="DP122" s="112"/>
      <c r="DQ122" s="112"/>
    </row>
    <row r="123" spans="1:130" ht="21.6" customHeight="1" x14ac:dyDescent="0.25">
      <c r="A123" s="4" t="s">
        <v>28</v>
      </c>
      <c r="B123" s="4">
        <v>3</v>
      </c>
      <c r="C123" s="166" t="s">
        <v>66</v>
      </c>
      <c r="D123" s="166"/>
      <c r="E123" s="1" t="s">
        <v>69</v>
      </c>
      <c r="F123" s="162">
        <v>13</v>
      </c>
      <c r="G123" s="162">
        <v>2</v>
      </c>
      <c r="H123" s="162">
        <f t="shared" si="232"/>
        <v>15</v>
      </c>
      <c r="I123" s="162"/>
      <c r="J123" s="162">
        <v>11</v>
      </c>
      <c r="K123" s="162">
        <f t="shared" si="233"/>
        <v>11</v>
      </c>
      <c r="L123" s="163"/>
      <c r="M123" s="414"/>
      <c r="N123" s="46"/>
      <c r="O123" s="164"/>
      <c r="P123" s="165"/>
      <c r="Q123" s="165"/>
      <c r="R123" s="165"/>
      <c r="S123" s="203"/>
      <c r="T123" s="89"/>
      <c r="U123" s="89"/>
      <c r="V123" s="89">
        <f t="shared" si="234"/>
        <v>0</v>
      </c>
      <c r="W123" s="137"/>
      <c r="X123" s="137"/>
      <c r="Y123" s="90">
        <f t="shared" si="235"/>
        <v>0</v>
      </c>
      <c r="Z123" s="169"/>
      <c r="AA123" s="92"/>
      <c r="AB123" s="92"/>
      <c r="AC123" s="92">
        <f t="shared" si="236"/>
        <v>0</v>
      </c>
      <c r="AD123" s="93"/>
      <c r="AE123" s="93"/>
      <c r="AF123" s="94">
        <f t="shared" si="237"/>
        <v>0</v>
      </c>
      <c r="AG123" s="475"/>
      <c r="AH123" s="99"/>
      <c r="AI123" s="99">
        <f t="shared" si="238"/>
        <v>0</v>
      </c>
      <c r="AJ123" s="138"/>
      <c r="AK123" s="138">
        <f t="shared" si="239"/>
        <v>0</v>
      </c>
      <c r="AL123" s="106"/>
      <c r="AM123" s="105"/>
      <c r="AN123" s="105">
        <f t="shared" si="240"/>
        <v>0</v>
      </c>
      <c r="AO123" s="106"/>
      <c r="AP123" s="105"/>
      <c r="AQ123" s="105">
        <f t="shared" si="200"/>
        <v>0</v>
      </c>
      <c r="AR123" s="106"/>
      <c r="AS123" s="97">
        <f t="shared" si="160"/>
        <v>0</v>
      </c>
      <c r="AT123" s="6"/>
      <c r="AU123" s="105"/>
      <c r="AV123" s="455">
        <f t="shared" si="227"/>
        <v>0</v>
      </c>
      <c r="AW123" s="496"/>
      <c r="AX123" s="508"/>
      <c r="AY123" s="498"/>
      <c r="AZ123" s="100">
        <f t="shared" si="241"/>
        <v>0</v>
      </c>
      <c r="BA123" s="106"/>
      <c r="BB123" s="105"/>
      <c r="BC123" s="105">
        <f t="shared" si="242"/>
        <v>0</v>
      </c>
      <c r="BD123" s="106"/>
      <c r="BE123" s="105">
        <f t="shared" si="243"/>
        <v>0</v>
      </c>
      <c r="BF123" s="106"/>
      <c r="BG123" s="100">
        <f t="shared" si="221"/>
        <v>0</v>
      </c>
      <c r="BH123" s="106"/>
      <c r="BI123" s="100">
        <f t="shared" si="222"/>
        <v>0</v>
      </c>
      <c r="BJ123" s="106"/>
      <c r="BK123" s="101">
        <f t="shared" si="163"/>
        <v>0</v>
      </c>
      <c r="BL123" s="106"/>
      <c r="BM123" s="104"/>
      <c r="BN123" s="104">
        <f t="shared" si="244"/>
        <v>0</v>
      </c>
      <c r="BO123" s="105"/>
      <c r="BP123" s="105">
        <f t="shared" si="229"/>
        <v>0</v>
      </c>
      <c r="BQ123" s="106"/>
      <c r="BR123" s="105"/>
      <c r="BS123" s="105">
        <f t="shared" si="142"/>
        <v>0</v>
      </c>
      <c r="BT123" s="106"/>
      <c r="BU123" s="53"/>
      <c r="BV123" s="53">
        <f t="shared" si="245"/>
        <v>0</v>
      </c>
      <c r="BW123" s="54"/>
      <c r="BX123" s="350">
        <f t="shared" si="166"/>
        <v>0</v>
      </c>
      <c r="BY123" s="211"/>
      <c r="BZ123" s="211">
        <f t="shared" si="226"/>
        <v>0</v>
      </c>
      <c r="CA123" s="508"/>
      <c r="CB123" s="165"/>
      <c r="CC123" s="165"/>
      <c r="CD123" s="203"/>
      <c r="CE123" s="504"/>
      <c r="CF123" s="105"/>
      <c r="CG123" s="105">
        <f t="shared" si="201"/>
        <v>0</v>
      </c>
      <c r="CH123" s="105"/>
      <c r="CI123" s="105"/>
      <c r="CJ123" s="105">
        <f t="shared" si="202"/>
        <v>0</v>
      </c>
      <c r="CK123" s="524"/>
      <c r="CL123" s="53">
        <f t="shared" si="246"/>
        <v>0</v>
      </c>
      <c r="CM123" s="54"/>
      <c r="CN123" s="105"/>
      <c r="CO123" s="100">
        <f t="shared" si="230"/>
        <v>0</v>
      </c>
      <c r="CP123" s="496"/>
      <c r="CQ123" s="439"/>
      <c r="CR123" s="504"/>
      <c r="CS123" s="105"/>
      <c r="CT123" s="105">
        <f t="shared" si="168"/>
        <v>0</v>
      </c>
      <c r="CU123" s="105"/>
      <c r="CV123" s="105"/>
      <c r="CW123" s="105">
        <f t="shared" si="169"/>
        <v>0</v>
      </c>
      <c r="CX123" s="53"/>
      <c r="CY123" s="109">
        <f t="shared" si="231"/>
        <v>0</v>
      </c>
      <c r="CZ123" s="54"/>
      <c r="DA123" s="105"/>
      <c r="DB123" s="455">
        <f t="shared" si="170"/>
        <v>0</v>
      </c>
      <c r="DC123" s="495"/>
      <c r="DD123" s="26"/>
      <c r="DF123" s="1133"/>
      <c r="DG123" s="674">
        <f t="shared" si="223"/>
        <v>0</v>
      </c>
      <c r="DH123" s="1119">
        <f t="shared" si="224"/>
        <v>0</v>
      </c>
      <c r="DI123" s="1119"/>
      <c r="DJ123" s="101">
        <f t="shared" si="225"/>
        <v>0</v>
      </c>
      <c r="DK123" s="101"/>
      <c r="DL123" s="101">
        <f t="shared" si="220"/>
        <v>0</v>
      </c>
      <c r="DM123" s="101"/>
      <c r="DN123" s="112"/>
      <c r="DO123" s="112"/>
      <c r="DP123" s="112"/>
      <c r="DQ123" s="112"/>
    </row>
    <row r="124" spans="1:130" ht="21.6" customHeight="1" x14ac:dyDescent="0.25">
      <c r="A124" s="4" t="s">
        <v>28</v>
      </c>
      <c r="B124" s="4">
        <v>4</v>
      </c>
      <c r="C124" s="166" t="s">
        <v>66</v>
      </c>
      <c r="D124" s="166" t="s">
        <v>431</v>
      </c>
      <c r="E124" s="1" t="s">
        <v>70</v>
      </c>
      <c r="F124" s="162">
        <v>11</v>
      </c>
      <c r="G124" s="162">
        <v>4</v>
      </c>
      <c r="H124" s="162">
        <f t="shared" si="232"/>
        <v>15</v>
      </c>
      <c r="I124" s="162"/>
      <c r="J124" s="162">
        <v>12.5</v>
      </c>
      <c r="K124" s="162">
        <f t="shared" si="233"/>
        <v>12.5</v>
      </c>
      <c r="L124" s="163"/>
      <c r="M124" s="414"/>
      <c r="N124" s="46"/>
      <c r="O124" s="164"/>
      <c r="P124" s="165"/>
      <c r="Q124" s="165"/>
      <c r="R124" s="165"/>
      <c r="S124" s="203"/>
      <c r="T124" s="89"/>
      <c r="U124" s="89"/>
      <c r="V124" s="89">
        <f t="shared" si="234"/>
        <v>0</v>
      </c>
      <c r="W124" s="137"/>
      <c r="X124" s="137"/>
      <c r="Y124" s="90">
        <f t="shared" si="235"/>
        <v>0</v>
      </c>
      <c r="Z124" s="169"/>
      <c r="AA124" s="92"/>
      <c r="AB124" s="92"/>
      <c r="AC124" s="92">
        <f t="shared" si="236"/>
        <v>0</v>
      </c>
      <c r="AD124" s="93"/>
      <c r="AE124" s="93"/>
      <c r="AF124" s="94">
        <f t="shared" si="237"/>
        <v>0</v>
      </c>
      <c r="AG124" s="475"/>
      <c r="AH124" s="99"/>
      <c r="AI124" s="99">
        <f t="shared" si="238"/>
        <v>0</v>
      </c>
      <c r="AJ124" s="138"/>
      <c r="AK124" s="138">
        <f t="shared" si="239"/>
        <v>0</v>
      </c>
      <c r="AL124" s="106"/>
      <c r="AM124" s="105"/>
      <c r="AN124" s="105">
        <f t="shared" si="240"/>
        <v>0</v>
      </c>
      <c r="AO124" s="106"/>
      <c r="AP124" s="105"/>
      <c r="AQ124" s="105">
        <f t="shared" si="200"/>
        <v>0</v>
      </c>
      <c r="AR124" s="106"/>
      <c r="AS124" s="97">
        <f t="shared" si="160"/>
        <v>0</v>
      </c>
      <c r="AT124" s="6"/>
      <c r="AU124" s="105"/>
      <c r="AV124" s="455">
        <f t="shared" si="227"/>
        <v>0</v>
      </c>
      <c r="AW124" s="496"/>
      <c r="AX124" s="508"/>
      <c r="AY124" s="498">
        <v>90</v>
      </c>
      <c r="AZ124" s="100">
        <f t="shared" si="241"/>
        <v>6</v>
      </c>
      <c r="BA124" s="106"/>
      <c r="BB124" s="105"/>
      <c r="BC124" s="105">
        <f t="shared" si="242"/>
        <v>0</v>
      </c>
      <c r="BD124" s="106"/>
      <c r="BE124" s="105">
        <f t="shared" si="243"/>
        <v>6</v>
      </c>
      <c r="BF124" s="106"/>
      <c r="BG124" s="100">
        <f t="shared" si="221"/>
        <v>0</v>
      </c>
      <c r="BH124" s="106"/>
      <c r="BI124" s="100">
        <f t="shared" si="222"/>
        <v>0</v>
      </c>
      <c r="BJ124" s="106"/>
      <c r="BK124" s="101">
        <f t="shared" si="163"/>
        <v>6</v>
      </c>
      <c r="BL124" s="106"/>
      <c r="BM124" s="104">
        <v>300</v>
      </c>
      <c r="BN124" s="104">
        <f t="shared" si="244"/>
        <v>6</v>
      </c>
      <c r="BO124" s="105">
        <v>300</v>
      </c>
      <c r="BP124" s="105">
        <f t="shared" si="229"/>
        <v>6</v>
      </c>
      <c r="BQ124" s="106"/>
      <c r="BR124" s="105"/>
      <c r="BS124" s="105">
        <f t="shared" si="142"/>
        <v>0</v>
      </c>
      <c r="BT124" s="106"/>
      <c r="BU124" s="53"/>
      <c r="BV124" s="53">
        <f t="shared" si="245"/>
        <v>0</v>
      </c>
      <c r="BW124" s="54"/>
      <c r="BX124" s="350">
        <f t="shared" si="166"/>
        <v>6</v>
      </c>
      <c r="BY124" s="211"/>
      <c r="BZ124" s="211">
        <f t="shared" si="226"/>
        <v>0</v>
      </c>
      <c r="CA124" s="508"/>
      <c r="CB124" s="165"/>
      <c r="CC124" s="165"/>
      <c r="CD124" s="203"/>
      <c r="CE124" s="504"/>
      <c r="CF124" s="105"/>
      <c r="CG124" s="105">
        <f t="shared" si="201"/>
        <v>0</v>
      </c>
      <c r="CH124" s="105"/>
      <c r="CI124" s="105"/>
      <c r="CJ124" s="105">
        <f t="shared" si="202"/>
        <v>0</v>
      </c>
      <c r="CK124" s="524"/>
      <c r="CL124" s="53">
        <f t="shared" si="246"/>
        <v>0</v>
      </c>
      <c r="CM124" s="54"/>
      <c r="CN124" s="105"/>
      <c r="CO124" s="100">
        <f t="shared" si="230"/>
        <v>0</v>
      </c>
      <c r="CP124" s="496"/>
      <c r="CQ124" s="439"/>
      <c r="CR124" s="504"/>
      <c r="CS124" s="105"/>
      <c r="CT124" s="105">
        <f t="shared" si="168"/>
        <v>0</v>
      </c>
      <c r="CU124" s="105"/>
      <c r="CV124" s="105"/>
      <c r="CW124" s="105">
        <f t="shared" si="169"/>
        <v>0</v>
      </c>
      <c r="CX124" s="53"/>
      <c r="CY124" s="109">
        <f t="shared" si="231"/>
        <v>0</v>
      </c>
      <c r="CZ124" s="54"/>
      <c r="DA124" s="105"/>
      <c r="DB124" s="455">
        <f t="shared" si="170"/>
        <v>0</v>
      </c>
      <c r="DC124" s="495"/>
      <c r="DD124" s="26"/>
      <c r="DF124" s="1133"/>
      <c r="DG124" s="674">
        <f t="shared" si="223"/>
        <v>0</v>
      </c>
      <c r="DH124" s="1119">
        <f t="shared" si="224"/>
        <v>0</v>
      </c>
      <c r="DI124" s="1119"/>
      <c r="DJ124" s="101">
        <f t="shared" si="225"/>
        <v>6</v>
      </c>
      <c r="DK124" s="101"/>
      <c r="DL124" s="101">
        <f t="shared" si="220"/>
        <v>0</v>
      </c>
      <c r="DM124" s="101"/>
      <c r="DN124" s="112"/>
      <c r="DO124" s="112"/>
      <c r="DP124" s="112"/>
      <c r="DQ124" s="112"/>
    </row>
    <row r="125" spans="1:130" ht="21.6" customHeight="1" x14ac:dyDescent="0.25">
      <c r="A125" s="4" t="s">
        <v>28</v>
      </c>
      <c r="B125" s="4">
        <v>5</v>
      </c>
      <c r="C125" s="166" t="s">
        <v>66</v>
      </c>
      <c r="D125" s="166"/>
      <c r="E125" s="1" t="s">
        <v>71</v>
      </c>
      <c r="F125" s="162">
        <v>9</v>
      </c>
      <c r="G125" s="162">
        <v>2</v>
      </c>
      <c r="H125" s="162">
        <f t="shared" si="232"/>
        <v>11</v>
      </c>
      <c r="I125" s="162"/>
      <c r="J125" s="162">
        <v>10</v>
      </c>
      <c r="K125" s="162">
        <f t="shared" si="233"/>
        <v>10</v>
      </c>
      <c r="L125" s="163"/>
      <c r="M125" s="414"/>
      <c r="N125" s="46"/>
      <c r="O125" s="164"/>
      <c r="P125" s="165"/>
      <c r="Q125" s="165"/>
      <c r="R125" s="165"/>
      <c r="S125" s="203"/>
      <c r="T125" s="89"/>
      <c r="U125" s="89"/>
      <c r="V125" s="89">
        <f t="shared" si="234"/>
        <v>0</v>
      </c>
      <c r="W125" s="137"/>
      <c r="X125" s="137"/>
      <c r="Y125" s="90">
        <f t="shared" si="235"/>
        <v>0</v>
      </c>
      <c r="Z125" s="169"/>
      <c r="AA125" s="92"/>
      <c r="AB125" s="92"/>
      <c r="AC125" s="92">
        <f t="shared" si="236"/>
        <v>0</v>
      </c>
      <c r="AD125" s="93"/>
      <c r="AE125" s="93"/>
      <c r="AF125" s="94">
        <f t="shared" si="237"/>
        <v>0</v>
      </c>
      <c r="AG125" s="475"/>
      <c r="AH125" s="99"/>
      <c r="AI125" s="99">
        <f t="shared" si="238"/>
        <v>0</v>
      </c>
      <c r="AJ125" s="138"/>
      <c r="AK125" s="138">
        <f t="shared" si="239"/>
        <v>0</v>
      </c>
      <c r="AL125" s="106"/>
      <c r="AM125" s="105"/>
      <c r="AN125" s="105">
        <f t="shared" si="240"/>
        <v>0</v>
      </c>
      <c r="AO125" s="106"/>
      <c r="AP125" s="105"/>
      <c r="AQ125" s="105">
        <f t="shared" si="200"/>
        <v>0</v>
      </c>
      <c r="AR125" s="106"/>
      <c r="AS125" s="97">
        <f t="shared" si="160"/>
        <v>0</v>
      </c>
      <c r="AT125" s="6"/>
      <c r="AU125" s="105"/>
      <c r="AV125" s="455">
        <f t="shared" si="227"/>
        <v>0</v>
      </c>
      <c r="AW125" s="496"/>
      <c r="AX125" s="508"/>
      <c r="AY125" s="498"/>
      <c r="AZ125" s="100">
        <f t="shared" si="241"/>
        <v>0</v>
      </c>
      <c r="BA125" s="106"/>
      <c r="BB125" s="105"/>
      <c r="BC125" s="105">
        <f t="shared" si="242"/>
        <v>0</v>
      </c>
      <c r="BD125" s="106"/>
      <c r="BE125" s="105">
        <f t="shared" si="243"/>
        <v>0</v>
      </c>
      <c r="BF125" s="106"/>
      <c r="BG125" s="100">
        <f t="shared" si="221"/>
        <v>0</v>
      </c>
      <c r="BH125" s="106"/>
      <c r="BI125" s="100">
        <f t="shared" si="222"/>
        <v>0</v>
      </c>
      <c r="BJ125" s="106"/>
      <c r="BK125" s="101">
        <f t="shared" si="163"/>
        <v>0</v>
      </c>
      <c r="BL125" s="106"/>
      <c r="BM125" s="104"/>
      <c r="BN125" s="104">
        <f t="shared" si="244"/>
        <v>0</v>
      </c>
      <c r="BO125" s="105"/>
      <c r="BP125" s="105">
        <f t="shared" si="229"/>
        <v>0</v>
      </c>
      <c r="BQ125" s="106"/>
      <c r="BR125" s="105"/>
      <c r="BS125" s="105">
        <f t="shared" si="142"/>
        <v>0</v>
      </c>
      <c r="BT125" s="106"/>
      <c r="BU125" s="53"/>
      <c r="BV125" s="53">
        <f t="shared" si="245"/>
        <v>0</v>
      </c>
      <c r="BW125" s="54"/>
      <c r="BX125" s="350">
        <f t="shared" si="166"/>
        <v>0</v>
      </c>
      <c r="BY125" s="211"/>
      <c r="BZ125" s="211">
        <f t="shared" si="226"/>
        <v>0</v>
      </c>
      <c r="CA125" s="508"/>
      <c r="CB125" s="165"/>
      <c r="CC125" s="165"/>
      <c r="CD125" s="203"/>
      <c r="CE125" s="504">
        <v>3</v>
      </c>
      <c r="CF125" s="105">
        <v>2</v>
      </c>
      <c r="CG125" s="105">
        <f t="shared" si="201"/>
        <v>5</v>
      </c>
      <c r="CH125" s="105"/>
      <c r="CI125" s="105">
        <v>2.4</v>
      </c>
      <c r="CJ125" s="105">
        <f t="shared" si="202"/>
        <v>2.4</v>
      </c>
      <c r="CK125" s="524"/>
      <c r="CL125" s="53">
        <f t="shared" si="246"/>
        <v>0</v>
      </c>
      <c r="CM125" s="54"/>
      <c r="CN125" s="105">
        <v>35</v>
      </c>
      <c r="CO125" s="100">
        <f t="shared" si="230"/>
        <v>2.3333333333333335</v>
      </c>
      <c r="CP125" s="496"/>
      <c r="CQ125" s="439"/>
      <c r="CR125" s="504"/>
      <c r="CS125" s="105"/>
      <c r="CT125" s="105">
        <f t="shared" si="168"/>
        <v>0</v>
      </c>
      <c r="CU125" s="105"/>
      <c r="CV125" s="105"/>
      <c r="CW125" s="105">
        <f t="shared" si="169"/>
        <v>0</v>
      </c>
      <c r="CX125" s="53"/>
      <c r="CY125" s="109">
        <f t="shared" si="231"/>
        <v>0</v>
      </c>
      <c r="CZ125" s="54"/>
      <c r="DA125" s="105"/>
      <c r="DB125" s="455">
        <f t="shared" si="170"/>
        <v>0</v>
      </c>
      <c r="DC125" s="495"/>
      <c r="DD125" s="26"/>
      <c r="DF125" s="1133"/>
      <c r="DG125" s="674">
        <f t="shared" si="223"/>
        <v>0</v>
      </c>
      <c r="DH125" s="1119">
        <f t="shared" si="224"/>
        <v>2.3333333333333335</v>
      </c>
      <c r="DI125" s="1119"/>
      <c r="DJ125" s="101">
        <f t="shared" si="225"/>
        <v>2.3333333333333335</v>
      </c>
      <c r="DK125" s="101"/>
      <c r="DL125" s="101">
        <f t="shared" si="220"/>
        <v>5</v>
      </c>
      <c r="DM125" s="101"/>
      <c r="DN125" s="112"/>
      <c r="DO125" s="112"/>
      <c r="DP125" s="112"/>
      <c r="DQ125" s="112"/>
    </row>
    <row r="126" spans="1:130" ht="21.6" customHeight="1" x14ac:dyDescent="0.25">
      <c r="A126" s="4" t="s">
        <v>28</v>
      </c>
      <c r="B126" s="4">
        <v>8</v>
      </c>
      <c r="C126" s="166" t="s">
        <v>66</v>
      </c>
      <c r="D126" s="166"/>
      <c r="E126" s="1" t="s">
        <v>72</v>
      </c>
      <c r="F126" s="162">
        <v>10</v>
      </c>
      <c r="G126" s="162">
        <v>5</v>
      </c>
      <c r="H126" s="162">
        <f t="shared" si="232"/>
        <v>15</v>
      </c>
      <c r="I126" s="162"/>
      <c r="J126" s="162">
        <v>13</v>
      </c>
      <c r="K126" s="162">
        <f t="shared" si="233"/>
        <v>13</v>
      </c>
      <c r="L126" s="163"/>
      <c r="M126" s="414"/>
      <c r="N126" s="46"/>
      <c r="O126" s="164"/>
      <c r="P126" s="165"/>
      <c r="Q126" s="165"/>
      <c r="R126" s="165"/>
      <c r="S126" s="203"/>
      <c r="T126" s="89"/>
      <c r="U126" s="89"/>
      <c r="V126" s="89">
        <f t="shared" si="234"/>
        <v>0</v>
      </c>
      <c r="W126" s="137"/>
      <c r="X126" s="137"/>
      <c r="Y126" s="90">
        <f t="shared" si="235"/>
        <v>0</v>
      </c>
      <c r="Z126" s="169"/>
      <c r="AA126" s="92"/>
      <c r="AB126" s="92"/>
      <c r="AC126" s="92">
        <f t="shared" si="236"/>
        <v>0</v>
      </c>
      <c r="AD126" s="93"/>
      <c r="AE126" s="93"/>
      <c r="AF126" s="94">
        <f t="shared" si="237"/>
        <v>0</v>
      </c>
      <c r="AG126" s="475"/>
      <c r="AH126" s="99"/>
      <c r="AI126" s="99">
        <f t="shared" si="238"/>
        <v>0</v>
      </c>
      <c r="AJ126" s="138"/>
      <c r="AK126" s="138">
        <f t="shared" si="239"/>
        <v>0</v>
      </c>
      <c r="AL126" s="106"/>
      <c r="AM126" s="105"/>
      <c r="AN126" s="105">
        <f t="shared" si="240"/>
        <v>0</v>
      </c>
      <c r="AO126" s="106"/>
      <c r="AP126" s="105"/>
      <c r="AQ126" s="105">
        <f t="shared" si="200"/>
        <v>0</v>
      </c>
      <c r="AR126" s="106"/>
      <c r="AS126" s="97">
        <f t="shared" si="160"/>
        <v>0</v>
      </c>
      <c r="AT126" s="6"/>
      <c r="AU126" s="105"/>
      <c r="AV126" s="455">
        <f t="shared" si="227"/>
        <v>0</v>
      </c>
      <c r="AW126" s="496"/>
      <c r="AX126" s="508"/>
      <c r="AY126" s="498"/>
      <c r="AZ126" s="100">
        <f t="shared" si="241"/>
        <v>0</v>
      </c>
      <c r="BA126" s="106"/>
      <c r="BB126" s="105"/>
      <c r="BC126" s="105">
        <f t="shared" si="242"/>
        <v>0</v>
      </c>
      <c r="BD126" s="106"/>
      <c r="BE126" s="105">
        <f t="shared" si="243"/>
        <v>0</v>
      </c>
      <c r="BF126" s="106"/>
      <c r="BG126" s="100">
        <f t="shared" si="221"/>
        <v>0</v>
      </c>
      <c r="BH126" s="106"/>
      <c r="BI126" s="100">
        <f t="shared" si="222"/>
        <v>0</v>
      </c>
      <c r="BJ126" s="106"/>
      <c r="BK126" s="101">
        <f t="shared" si="163"/>
        <v>0</v>
      </c>
      <c r="BL126" s="106"/>
      <c r="BM126" s="104"/>
      <c r="BN126" s="104">
        <f t="shared" si="244"/>
        <v>0</v>
      </c>
      <c r="BO126" s="105"/>
      <c r="BP126" s="105">
        <f t="shared" si="229"/>
        <v>0</v>
      </c>
      <c r="BQ126" s="106"/>
      <c r="BR126" s="105"/>
      <c r="BS126" s="105">
        <f t="shared" si="142"/>
        <v>0</v>
      </c>
      <c r="BT126" s="106"/>
      <c r="BU126" s="53"/>
      <c r="BV126" s="53">
        <f t="shared" si="245"/>
        <v>0</v>
      </c>
      <c r="BW126" s="54"/>
      <c r="BX126" s="350">
        <f t="shared" si="166"/>
        <v>0</v>
      </c>
      <c r="BY126" s="211"/>
      <c r="BZ126" s="211">
        <f t="shared" si="226"/>
        <v>0</v>
      </c>
      <c r="CA126" s="508"/>
      <c r="CB126" s="165"/>
      <c r="CC126" s="165"/>
      <c r="CD126" s="203"/>
      <c r="CE126" s="504"/>
      <c r="CF126" s="105"/>
      <c r="CG126" s="105">
        <f t="shared" si="201"/>
        <v>0</v>
      </c>
      <c r="CH126" s="105"/>
      <c r="CI126" s="105"/>
      <c r="CJ126" s="105">
        <f t="shared" si="202"/>
        <v>0</v>
      </c>
      <c r="CK126" s="524"/>
      <c r="CL126" s="53">
        <f t="shared" si="246"/>
        <v>0</v>
      </c>
      <c r="CM126" s="54"/>
      <c r="CN126" s="105"/>
      <c r="CO126" s="100">
        <f t="shared" si="230"/>
        <v>0</v>
      </c>
      <c r="CP126" s="496"/>
      <c r="CQ126" s="439"/>
      <c r="CR126" s="504"/>
      <c r="CS126" s="105"/>
      <c r="CT126" s="105">
        <f t="shared" si="168"/>
        <v>0</v>
      </c>
      <c r="CU126" s="105"/>
      <c r="CV126" s="105"/>
      <c r="CW126" s="105">
        <f t="shared" si="169"/>
        <v>0</v>
      </c>
      <c r="CX126" s="53"/>
      <c r="CY126" s="109">
        <f t="shared" si="231"/>
        <v>0</v>
      </c>
      <c r="CZ126" s="54"/>
      <c r="DA126" s="105"/>
      <c r="DB126" s="455">
        <f t="shared" si="170"/>
        <v>0</v>
      </c>
      <c r="DC126" s="495"/>
      <c r="DD126" s="26"/>
      <c r="DF126" s="1133"/>
      <c r="DG126" s="674">
        <f t="shared" si="223"/>
        <v>0</v>
      </c>
      <c r="DH126" s="1119">
        <f t="shared" si="224"/>
        <v>0</v>
      </c>
      <c r="DI126" s="1119"/>
      <c r="DJ126" s="101">
        <f t="shared" si="225"/>
        <v>0</v>
      </c>
      <c r="DK126" s="101"/>
      <c r="DL126" s="101">
        <f t="shared" si="220"/>
        <v>0</v>
      </c>
      <c r="DM126" s="101"/>
      <c r="DN126" s="112"/>
      <c r="DO126" s="112"/>
      <c r="DP126" s="112"/>
      <c r="DQ126" s="112"/>
    </row>
    <row r="127" spans="1:130" ht="21.6" customHeight="1" x14ac:dyDescent="0.25">
      <c r="A127" s="4" t="s">
        <v>28</v>
      </c>
      <c r="B127" s="4">
        <v>9</v>
      </c>
      <c r="C127" s="174" t="s">
        <v>66</v>
      </c>
      <c r="D127" s="174" t="s">
        <v>431</v>
      </c>
      <c r="E127" s="1" t="s">
        <v>73</v>
      </c>
      <c r="F127" s="162">
        <v>27</v>
      </c>
      <c r="G127" s="162">
        <v>9</v>
      </c>
      <c r="H127" s="162">
        <f t="shared" si="232"/>
        <v>36</v>
      </c>
      <c r="I127" s="162"/>
      <c r="J127" s="162">
        <v>20</v>
      </c>
      <c r="K127" s="162">
        <f t="shared" si="233"/>
        <v>20</v>
      </c>
      <c r="L127" s="163"/>
      <c r="M127" s="414"/>
      <c r="N127" s="46"/>
      <c r="O127" s="164"/>
      <c r="P127" s="165"/>
      <c r="Q127" s="165"/>
      <c r="R127" s="165"/>
      <c r="S127" s="203"/>
      <c r="T127" s="89"/>
      <c r="U127" s="89"/>
      <c r="V127" s="89">
        <f t="shared" si="234"/>
        <v>0</v>
      </c>
      <c r="W127" s="137"/>
      <c r="X127" s="137"/>
      <c r="Y127" s="90">
        <f t="shared" si="235"/>
        <v>0</v>
      </c>
      <c r="Z127" s="169"/>
      <c r="AA127" s="92"/>
      <c r="AB127" s="92"/>
      <c r="AC127" s="92">
        <f t="shared" si="236"/>
        <v>0</v>
      </c>
      <c r="AD127" s="93"/>
      <c r="AE127" s="93"/>
      <c r="AF127" s="94">
        <f t="shared" si="237"/>
        <v>0</v>
      </c>
      <c r="AG127" s="475"/>
      <c r="AH127" s="99"/>
      <c r="AI127" s="99">
        <f t="shared" si="238"/>
        <v>0</v>
      </c>
      <c r="AJ127" s="138"/>
      <c r="AK127" s="138">
        <f t="shared" si="239"/>
        <v>0</v>
      </c>
      <c r="AL127" s="106"/>
      <c r="AM127" s="105"/>
      <c r="AN127" s="105">
        <f t="shared" si="240"/>
        <v>0</v>
      </c>
      <c r="AO127" s="106"/>
      <c r="AP127" s="105"/>
      <c r="AQ127" s="105">
        <f t="shared" si="200"/>
        <v>0</v>
      </c>
      <c r="AR127" s="106"/>
      <c r="AS127" s="97">
        <f t="shared" si="160"/>
        <v>0</v>
      </c>
      <c r="AT127" s="6"/>
      <c r="AU127" s="105"/>
      <c r="AV127" s="455">
        <f t="shared" si="227"/>
        <v>0</v>
      </c>
      <c r="AW127" s="496"/>
      <c r="AX127" s="508"/>
      <c r="AY127" s="498">
        <v>60</v>
      </c>
      <c r="AZ127" s="100">
        <f t="shared" si="241"/>
        <v>4</v>
      </c>
      <c r="BA127" s="106"/>
      <c r="BB127" s="105"/>
      <c r="BC127" s="105">
        <f t="shared" si="242"/>
        <v>0</v>
      </c>
      <c r="BD127" s="106"/>
      <c r="BE127" s="105">
        <f t="shared" si="243"/>
        <v>4</v>
      </c>
      <c r="BF127" s="106"/>
      <c r="BG127" s="100">
        <f t="shared" si="221"/>
        <v>0</v>
      </c>
      <c r="BH127" s="106"/>
      <c r="BI127" s="100">
        <f t="shared" si="222"/>
        <v>0</v>
      </c>
      <c r="BJ127" s="106"/>
      <c r="BK127" s="101">
        <f t="shared" si="163"/>
        <v>4</v>
      </c>
      <c r="BL127" s="106"/>
      <c r="BM127" s="104">
        <v>200</v>
      </c>
      <c r="BN127" s="104">
        <f t="shared" si="244"/>
        <v>4</v>
      </c>
      <c r="BO127" s="105">
        <v>200</v>
      </c>
      <c r="BP127" s="105">
        <f t="shared" si="229"/>
        <v>4</v>
      </c>
      <c r="BQ127" s="106"/>
      <c r="BR127" s="105"/>
      <c r="BS127" s="105">
        <f t="shared" si="142"/>
        <v>0</v>
      </c>
      <c r="BT127" s="106"/>
      <c r="BU127" s="53"/>
      <c r="BV127" s="53">
        <f t="shared" si="245"/>
        <v>0</v>
      </c>
      <c r="BW127" s="54"/>
      <c r="BX127" s="350">
        <f t="shared" si="166"/>
        <v>4</v>
      </c>
      <c r="BY127" s="211"/>
      <c r="BZ127" s="211">
        <f t="shared" si="226"/>
        <v>0</v>
      </c>
      <c r="CA127" s="508"/>
      <c r="CB127" s="165"/>
      <c r="CC127" s="165"/>
      <c r="CD127" s="203"/>
      <c r="CE127" s="504"/>
      <c r="CF127" s="105"/>
      <c r="CG127" s="105">
        <f t="shared" si="201"/>
        <v>0</v>
      </c>
      <c r="CH127" s="105"/>
      <c r="CI127" s="105"/>
      <c r="CJ127" s="105">
        <f t="shared" si="202"/>
        <v>0</v>
      </c>
      <c r="CK127" s="524"/>
      <c r="CL127" s="53">
        <f t="shared" si="246"/>
        <v>0</v>
      </c>
      <c r="CM127" s="54"/>
      <c r="CN127" s="105"/>
      <c r="CO127" s="100">
        <f t="shared" si="230"/>
        <v>0</v>
      </c>
      <c r="CP127" s="496"/>
      <c r="CQ127" s="439"/>
      <c r="CR127" s="504"/>
      <c r="CS127" s="105"/>
      <c r="CT127" s="105">
        <f t="shared" si="168"/>
        <v>0</v>
      </c>
      <c r="CU127" s="105"/>
      <c r="CV127" s="105"/>
      <c r="CW127" s="105">
        <f t="shared" si="169"/>
        <v>0</v>
      </c>
      <c r="CX127" s="53"/>
      <c r="CY127" s="109">
        <f t="shared" si="231"/>
        <v>0</v>
      </c>
      <c r="CZ127" s="54"/>
      <c r="DA127" s="105"/>
      <c r="DB127" s="455">
        <f t="shared" si="170"/>
        <v>0</v>
      </c>
      <c r="DC127" s="495"/>
      <c r="DD127" s="26"/>
      <c r="DF127" s="1133"/>
      <c r="DG127" s="674">
        <f t="shared" si="223"/>
        <v>0</v>
      </c>
      <c r="DH127" s="1119">
        <f t="shared" si="224"/>
        <v>0</v>
      </c>
      <c r="DI127" s="1119"/>
      <c r="DJ127" s="101">
        <f t="shared" si="225"/>
        <v>4</v>
      </c>
      <c r="DK127" s="101"/>
      <c r="DL127" s="101">
        <f t="shared" si="220"/>
        <v>0</v>
      </c>
      <c r="DM127" s="101"/>
      <c r="DN127" s="112"/>
      <c r="DO127" s="112"/>
      <c r="DP127" s="112"/>
      <c r="DQ127" s="112"/>
    </row>
    <row r="128" spans="1:130" ht="21.6" customHeight="1" x14ac:dyDescent="0.25">
      <c r="A128" s="4" t="s">
        <v>28</v>
      </c>
      <c r="B128" s="4">
        <v>10</v>
      </c>
      <c r="C128" s="166" t="s">
        <v>66</v>
      </c>
      <c r="D128" s="166" t="s">
        <v>431</v>
      </c>
      <c r="E128" s="1" t="s">
        <v>74</v>
      </c>
      <c r="F128" s="162">
        <v>16</v>
      </c>
      <c r="G128" s="162">
        <v>9</v>
      </c>
      <c r="H128" s="162">
        <f t="shared" si="232"/>
        <v>25</v>
      </c>
      <c r="I128" s="162"/>
      <c r="J128" s="162">
        <v>18.5</v>
      </c>
      <c r="K128" s="162">
        <f t="shared" si="233"/>
        <v>18.5</v>
      </c>
      <c r="L128" s="163"/>
      <c r="M128" s="414"/>
      <c r="N128" s="46"/>
      <c r="O128" s="164"/>
      <c r="P128" s="165"/>
      <c r="Q128" s="165"/>
      <c r="R128" s="165"/>
      <c r="S128" s="203"/>
      <c r="T128" s="89"/>
      <c r="U128" s="89"/>
      <c r="V128" s="89">
        <f t="shared" si="234"/>
        <v>0</v>
      </c>
      <c r="W128" s="137"/>
      <c r="X128" s="137"/>
      <c r="Y128" s="90">
        <f t="shared" si="235"/>
        <v>0</v>
      </c>
      <c r="Z128" s="169"/>
      <c r="AA128" s="92"/>
      <c r="AB128" s="92"/>
      <c r="AC128" s="92">
        <f t="shared" si="236"/>
        <v>0</v>
      </c>
      <c r="AD128" s="93"/>
      <c r="AE128" s="93"/>
      <c r="AF128" s="94">
        <f t="shared" si="237"/>
        <v>0</v>
      </c>
      <c r="AG128" s="475"/>
      <c r="AH128" s="99"/>
      <c r="AI128" s="99">
        <f t="shared" si="238"/>
        <v>0</v>
      </c>
      <c r="AJ128" s="138"/>
      <c r="AK128" s="138">
        <f t="shared" si="239"/>
        <v>0</v>
      </c>
      <c r="AL128" s="106"/>
      <c r="AM128" s="105"/>
      <c r="AN128" s="105">
        <f t="shared" si="240"/>
        <v>0</v>
      </c>
      <c r="AO128" s="106"/>
      <c r="AP128" s="105"/>
      <c r="AQ128" s="105">
        <f t="shared" si="200"/>
        <v>0</v>
      </c>
      <c r="AR128" s="106"/>
      <c r="AS128" s="97">
        <f t="shared" si="160"/>
        <v>0</v>
      </c>
      <c r="AT128" s="6"/>
      <c r="AU128" s="105"/>
      <c r="AV128" s="455">
        <f t="shared" si="227"/>
        <v>0</v>
      </c>
      <c r="AW128" s="496"/>
      <c r="AX128" s="508"/>
      <c r="AY128" s="498">
        <v>60</v>
      </c>
      <c r="AZ128" s="100">
        <f t="shared" si="241"/>
        <v>4</v>
      </c>
      <c r="BA128" s="106"/>
      <c r="BB128" s="105"/>
      <c r="BC128" s="105">
        <f t="shared" si="242"/>
        <v>0</v>
      </c>
      <c r="BD128" s="106"/>
      <c r="BE128" s="105">
        <f t="shared" si="243"/>
        <v>4</v>
      </c>
      <c r="BF128" s="106"/>
      <c r="BG128" s="100">
        <f t="shared" si="221"/>
        <v>0</v>
      </c>
      <c r="BH128" s="106"/>
      <c r="BI128" s="100">
        <f t="shared" si="222"/>
        <v>0</v>
      </c>
      <c r="BJ128" s="106"/>
      <c r="BK128" s="101">
        <f t="shared" si="163"/>
        <v>4</v>
      </c>
      <c r="BL128" s="106"/>
      <c r="BM128" s="104">
        <v>200</v>
      </c>
      <c r="BN128" s="104">
        <f t="shared" si="244"/>
        <v>4</v>
      </c>
      <c r="BO128" s="105">
        <v>200</v>
      </c>
      <c r="BP128" s="105">
        <f t="shared" si="229"/>
        <v>4</v>
      </c>
      <c r="BQ128" s="106"/>
      <c r="BR128" s="105"/>
      <c r="BS128" s="105">
        <f t="shared" si="142"/>
        <v>0</v>
      </c>
      <c r="BT128" s="106"/>
      <c r="BU128" s="53"/>
      <c r="BV128" s="53">
        <f t="shared" si="245"/>
        <v>0</v>
      </c>
      <c r="BW128" s="54"/>
      <c r="BX128" s="350">
        <f t="shared" si="166"/>
        <v>4</v>
      </c>
      <c r="BY128" s="211"/>
      <c r="BZ128" s="211">
        <f t="shared" si="226"/>
        <v>0</v>
      </c>
      <c r="CA128" s="508"/>
      <c r="CB128" s="165"/>
      <c r="CC128" s="165"/>
      <c r="CD128" s="203"/>
      <c r="CE128" s="504"/>
      <c r="CF128" s="105"/>
      <c r="CG128" s="105">
        <f t="shared" si="201"/>
        <v>0</v>
      </c>
      <c r="CH128" s="105"/>
      <c r="CI128" s="105"/>
      <c r="CJ128" s="105">
        <f t="shared" si="202"/>
        <v>0</v>
      </c>
      <c r="CK128" s="524"/>
      <c r="CL128" s="53">
        <f t="shared" si="246"/>
        <v>0</v>
      </c>
      <c r="CM128" s="54"/>
      <c r="CN128" s="105"/>
      <c r="CO128" s="100">
        <f t="shared" si="230"/>
        <v>0</v>
      </c>
      <c r="CP128" s="496"/>
      <c r="CQ128" s="439"/>
      <c r="CR128" s="504"/>
      <c r="CS128" s="105"/>
      <c r="CT128" s="105">
        <f t="shared" si="168"/>
        <v>0</v>
      </c>
      <c r="CU128" s="105"/>
      <c r="CV128" s="105"/>
      <c r="CW128" s="105">
        <f t="shared" si="169"/>
        <v>0</v>
      </c>
      <c r="CX128" s="53"/>
      <c r="CY128" s="109">
        <f t="shared" si="231"/>
        <v>0</v>
      </c>
      <c r="CZ128" s="54"/>
      <c r="DA128" s="105"/>
      <c r="DB128" s="455">
        <f t="shared" si="170"/>
        <v>0</v>
      </c>
      <c r="DC128" s="495"/>
      <c r="DD128" s="26"/>
      <c r="DF128" s="1133"/>
      <c r="DG128" s="674">
        <f t="shared" si="223"/>
        <v>0</v>
      </c>
      <c r="DH128" s="1119">
        <f t="shared" si="224"/>
        <v>0</v>
      </c>
      <c r="DI128" s="1119"/>
      <c r="DJ128" s="101">
        <f t="shared" si="225"/>
        <v>4</v>
      </c>
      <c r="DK128" s="101"/>
      <c r="DL128" s="101">
        <f t="shared" si="220"/>
        <v>0</v>
      </c>
      <c r="DM128" s="101"/>
      <c r="DN128" s="112"/>
      <c r="DO128" s="112"/>
      <c r="DP128" s="112"/>
      <c r="DQ128" s="112"/>
    </row>
    <row r="129" spans="1:130" ht="21.6" customHeight="1" x14ac:dyDescent="0.25">
      <c r="A129" s="4" t="s">
        <v>28</v>
      </c>
      <c r="B129" s="4">
        <v>11</v>
      </c>
      <c r="C129" s="166" t="s">
        <v>66</v>
      </c>
      <c r="D129" s="166"/>
      <c r="E129" s="1" t="s">
        <v>75</v>
      </c>
      <c r="F129" s="162">
        <v>13</v>
      </c>
      <c r="G129" s="162">
        <v>2</v>
      </c>
      <c r="H129" s="162">
        <f t="shared" si="232"/>
        <v>15</v>
      </c>
      <c r="I129" s="162"/>
      <c r="J129" s="162">
        <v>13</v>
      </c>
      <c r="K129" s="162">
        <f t="shared" si="233"/>
        <v>13</v>
      </c>
      <c r="L129" s="163"/>
      <c r="M129" s="414"/>
      <c r="N129" s="46"/>
      <c r="O129" s="164"/>
      <c r="P129" s="165"/>
      <c r="Q129" s="165"/>
      <c r="R129" s="165"/>
      <c r="S129" s="203"/>
      <c r="T129" s="89"/>
      <c r="U129" s="89"/>
      <c r="V129" s="89">
        <f t="shared" si="234"/>
        <v>0</v>
      </c>
      <c r="W129" s="137"/>
      <c r="X129" s="137"/>
      <c r="Y129" s="90">
        <f t="shared" si="235"/>
        <v>0</v>
      </c>
      <c r="Z129" s="169"/>
      <c r="AA129" s="92"/>
      <c r="AB129" s="92"/>
      <c r="AC129" s="92">
        <f t="shared" si="236"/>
        <v>0</v>
      </c>
      <c r="AD129" s="93"/>
      <c r="AE129" s="93"/>
      <c r="AF129" s="94">
        <f t="shared" si="237"/>
        <v>0</v>
      </c>
      <c r="AG129" s="475"/>
      <c r="AH129" s="99"/>
      <c r="AI129" s="99">
        <f>AH129/15</f>
        <v>0</v>
      </c>
      <c r="AJ129" s="138"/>
      <c r="AK129" s="138">
        <f t="shared" si="239"/>
        <v>0</v>
      </c>
      <c r="AL129" s="106"/>
      <c r="AM129" s="105"/>
      <c r="AN129" s="105">
        <f t="shared" si="240"/>
        <v>0</v>
      </c>
      <c r="AO129" s="106"/>
      <c r="AP129" s="105"/>
      <c r="AQ129" s="105">
        <f t="shared" si="200"/>
        <v>0</v>
      </c>
      <c r="AR129" s="106"/>
      <c r="AS129" s="97">
        <f t="shared" si="160"/>
        <v>0</v>
      </c>
      <c r="AT129" s="6"/>
      <c r="AU129" s="105"/>
      <c r="AV129" s="455">
        <f t="shared" si="227"/>
        <v>0</v>
      </c>
      <c r="AW129" s="496"/>
      <c r="AX129" s="508"/>
      <c r="AY129" s="498"/>
      <c r="AZ129" s="100">
        <f t="shared" si="241"/>
        <v>0</v>
      </c>
      <c r="BA129" s="106"/>
      <c r="BB129" s="105"/>
      <c r="BC129" s="105">
        <f t="shared" si="242"/>
        <v>0</v>
      </c>
      <c r="BD129" s="106"/>
      <c r="BE129" s="105">
        <f t="shared" si="243"/>
        <v>0</v>
      </c>
      <c r="BF129" s="106"/>
      <c r="BG129" s="100">
        <f t="shared" si="221"/>
        <v>0</v>
      </c>
      <c r="BH129" s="106"/>
      <c r="BI129" s="100">
        <f t="shared" si="222"/>
        <v>0</v>
      </c>
      <c r="BJ129" s="106"/>
      <c r="BK129" s="101">
        <f t="shared" si="163"/>
        <v>0</v>
      </c>
      <c r="BL129" s="106"/>
      <c r="BM129" s="104"/>
      <c r="BN129" s="104">
        <f t="shared" si="244"/>
        <v>0</v>
      </c>
      <c r="BO129" s="105"/>
      <c r="BP129" s="105">
        <f t="shared" si="229"/>
        <v>0</v>
      </c>
      <c r="BQ129" s="106"/>
      <c r="BR129" s="105"/>
      <c r="BS129" s="105">
        <f t="shared" si="142"/>
        <v>0</v>
      </c>
      <c r="BT129" s="106"/>
      <c r="BU129" s="53"/>
      <c r="BV129" s="53">
        <f t="shared" si="245"/>
        <v>0</v>
      </c>
      <c r="BW129" s="54"/>
      <c r="BX129" s="350">
        <f t="shared" si="166"/>
        <v>0</v>
      </c>
      <c r="BY129" s="211"/>
      <c r="BZ129" s="211">
        <f t="shared" si="226"/>
        <v>0</v>
      </c>
      <c r="CA129" s="508"/>
      <c r="CB129" s="165"/>
      <c r="CC129" s="165"/>
      <c r="CD129" s="203"/>
      <c r="CE129" s="504"/>
      <c r="CF129" s="105"/>
      <c r="CG129" s="105">
        <f t="shared" si="201"/>
        <v>0</v>
      </c>
      <c r="CH129" s="105"/>
      <c r="CI129" s="105"/>
      <c r="CJ129" s="105">
        <f t="shared" si="202"/>
        <v>0</v>
      </c>
      <c r="CK129" s="524"/>
      <c r="CL129" s="53">
        <f t="shared" si="246"/>
        <v>0</v>
      </c>
      <c r="CM129" s="54"/>
      <c r="CN129" s="105"/>
      <c r="CO129" s="100">
        <f t="shared" si="230"/>
        <v>0</v>
      </c>
      <c r="CP129" s="496"/>
      <c r="CQ129" s="439"/>
      <c r="CR129" s="504"/>
      <c r="CS129" s="105"/>
      <c r="CT129" s="105">
        <f t="shared" si="168"/>
        <v>0</v>
      </c>
      <c r="CU129" s="105"/>
      <c r="CV129" s="105"/>
      <c r="CW129" s="105">
        <f t="shared" si="169"/>
        <v>0</v>
      </c>
      <c r="CX129" s="53"/>
      <c r="CY129" s="109">
        <f t="shared" si="231"/>
        <v>0</v>
      </c>
      <c r="CZ129" s="54"/>
      <c r="DA129" s="105"/>
      <c r="DB129" s="455">
        <f t="shared" si="170"/>
        <v>0</v>
      </c>
      <c r="DC129" s="495"/>
      <c r="DD129" s="26" t="s">
        <v>336</v>
      </c>
      <c r="DF129" s="1133"/>
      <c r="DG129" s="674">
        <f t="shared" si="223"/>
        <v>0</v>
      </c>
      <c r="DH129" s="1119">
        <f t="shared" si="224"/>
        <v>0</v>
      </c>
      <c r="DI129" s="1119"/>
      <c r="DJ129" s="101">
        <f t="shared" si="225"/>
        <v>0</v>
      </c>
      <c r="DK129" s="101"/>
      <c r="DL129" s="101">
        <f t="shared" si="220"/>
        <v>0</v>
      </c>
      <c r="DM129" s="101"/>
      <c r="DN129" s="112"/>
      <c r="DO129" s="112"/>
      <c r="DP129" s="112"/>
      <c r="DQ129" s="112"/>
    </row>
    <row r="130" spans="1:130" s="151" customFormat="1" ht="21.6" customHeight="1" x14ac:dyDescent="0.25">
      <c r="A130" s="141"/>
      <c r="B130" s="141"/>
      <c r="C130" s="159"/>
      <c r="D130" s="143"/>
      <c r="E130" s="22"/>
      <c r="F130" s="144"/>
      <c r="G130" s="144"/>
      <c r="H130" s="144"/>
      <c r="I130" s="144"/>
      <c r="J130" s="144"/>
      <c r="K130" s="144"/>
      <c r="L130" s="145"/>
      <c r="M130" s="146"/>
      <c r="N130" s="147"/>
      <c r="O130" s="131"/>
      <c r="P130" s="148"/>
      <c r="Q130" s="148"/>
      <c r="R130" s="148"/>
      <c r="S130" s="148"/>
      <c r="T130" s="123"/>
      <c r="U130" s="123"/>
      <c r="V130" s="123"/>
      <c r="W130" s="149"/>
      <c r="X130" s="149"/>
      <c r="Y130" s="124"/>
      <c r="Z130" s="125"/>
      <c r="AA130" s="123"/>
      <c r="AB130" s="123"/>
      <c r="AC130" s="123"/>
      <c r="AD130" s="124"/>
      <c r="AE130" s="124"/>
      <c r="AF130" s="126"/>
      <c r="AG130" s="474"/>
      <c r="AH130" s="129"/>
      <c r="AI130" s="129"/>
      <c r="AJ130" s="138"/>
      <c r="AK130" s="138"/>
      <c r="AL130" s="106"/>
      <c r="AM130" s="105"/>
      <c r="AN130" s="105"/>
      <c r="AO130" s="106"/>
      <c r="AP130" s="105"/>
      <c r="AQ130" s="105">
        <f t="shared" si="200"/>
        <v>0</v>
      </c>
      <c r="AR130" s="106"/>
      <c r="AS130" s="97">
        <f t="shared" si="160"/>
        <v>0</v>
      </c>
      <c r="AT130" s="6"/>
      <c r="AU130" s="105"/>
      <c r="AV130" s="455">
        <f t="shared" si="227"/>
        <v>0</v>
      </c>
      <c r="AW130" s="496"/>
      <c r="AX130" s="508"/>
      <c r="AY130" s="498"/>
      <c r="AZ130" s="100"/>
      <c r="BA130" s="101"/>
      <c r="BB130" s="100"/>
      <c r="BC130" s="100"/>
      <c r="BD130" s="101"/>
      <c r="BE130" s="105"/>
      <c r="BF130" s="106"/>
      <c r="BG130" s="100">
        <f t="shared" si="221"/>
        <v>0</v>
      </c>
      <c r="BH130" s="106"/>
      <c r="BI130" s="100">
        <f t="shared" si="222"/>
        <v>0</v>
      </c>
      <c r="BJ130" s="106"/>
      <c r="BK130" s="101">
        <f t="shared" si="163"/>
        <v>0</v>
      </c>
      <c r="BL130" s="106"/>
      <c r="BM130" s="130"/>
      <c r="BN130" s="130"/>
      <c r="BO130" s="105"/>
      <c r="BP130" s="105">
        <f t="shared" si="229"/>
        <v>0</v>
      </c>
      <c r="BQ130" s="106"/>
      <c r="BR130" s="105"/>
      <c r="BS130" s="105"/>
      <c r="BT130" s="106"/>
      <c r="BU130" s="53"/>
      <c r="BV130" s="53"/>
      <c r="BW130" s="54"/>
      <c r="BX130" s="350">
        <f t="shared" si="166"/>
        <v>0</v>
      </c>
      <c r="BY130" s="194"/>
      <c r="BZ130" s="194">
        <f t="shared" si="226"/>
        <v>0</v>
      </c>
      <c r="CA130" s="536"/>
      <c r="CB130" s="148"/>
      <c r="CC130" s="148"/>
      <c r="CD130" s="148"/>
      <c r="CE130" s="504"/>
      <c r="CF130" s="105"/>
      <c r="CG130" s="105">
        <f t="shared" si="201"/>
        <v>0</v>
      </c>
      <c r="CH130" s="105"/>
      <c r="CI130" s="105"/>
      <c r="CJ130" s="105">
        <f t="shared" si="202"/>
        <v>0</v>
      </c>
      <c r="CK130" s="523"/>
      <c r="CL130" s="102"/>
      <c r="CM130" s="103"/>
      <c r="CN130" s="100"/>
      <c r="CO130" s="100">
        <f t="shared" si="230"/>
        <v>0</v>
      </c>
      <c r="CP130" s="515"/>
      <c r="CQ130" s="441"/>
      <c r="CR130" s="504"/>
      <c r="CS130" s="105"/>
      <c r="CT130" s="105">
        <f t="shared" si="168"/>
        <v>0</v>
      </c>
      <c r="CU130" s="105"/>
      <c r="CV130" s="105"/>
      <c r="CW130" s="105">
        <f t="shared" si="169"/>
        <v>0</v>
      </c>
      <c r="CX130" s="53"/>
      <c r="CY130" s="109">
        <f t="shared" si="231"/>
        <v>0</v>
      </c>
      <c r="CZ130" s="54"/>
      <c r="DA130" s="105"/>
      <c r="DB130" s="455">
        <f t="shared" si="170"/>
        <v>0</v>
      </c>
      <c r="DC130" s="495"/>
      <c r="DD130" s="38"/>
      <c r="DF130" s="1133"/>
      <c r="DG130" s="674">
        <f t="shared" si="223"/>
        <v>0</v>
      </c>
      <c r="DH130" s="1119">
        <f t="shared" si="224"/>
        <v>0</v>
      </c>
      <c r="DI130" s="1119"/>
      <c r="DJ130" s="101">
        <f t="shared" si="225"/>
        <v>0</v>
      </c>
      <c r="DK130" s="101"/>
      <c r="DL130" s="101">
        <f t="shared" si="220"/>
        <v>0</v>
      </c>
      <c r="DM130" s="101"/>
      <c r="DN130" s="112"/>
      <c r="DO130" s="112"/>
      <c r="DP130" s="112"/>
      <c r="DQ130" s="112"/>
      <c r="DS130" s="152"/>
      <c r="DT130" s="152"/>
      <c r="DU130" s="152"/>
      <c r="DV130" s="152"/>
      <c r="DW130" s="152"/>
      <c r="DX130" s="152"/>
      <c r="DY130" s="152"/>
      <c r="DZ130" s="152"/>
    </row>
    <row r="131" spans="1:130" ht="21.6" customHeight="1" x14ac:dyDescent="0.25">
      <c r="A131" s="4" t="s">
        <v>28</v>
      </c>
      <c r="B131" s="4">
        <v>1</v>
      </c>
      <c r="C131" s="166" t="s">
        <v>76</v>
      </c>
      <c r="D131" s="204" t="s">
        <v>431</v>
      </c>
      <c r="E131" s="19" t="s">
        <v>77</v>
      </c>
      <c r="F131" s="162">
        <v>11</v>
      </c>
      <c r="G131" s="162">
        <v>9</v>
      </c>
      <c r="H131" s="162"/>
      <c r="I131" s="162"/>
      <c r="J131" s="162">
        <v>14.6</v>
      </c>
      <c r="K131" s="162">
        <f t="shared" ref="K131:K134" si="247">I131+J131</f>
        <v>14.6</v>
      </c>
      <c r="L131" s="163"/>
      <c r="M131" s="414"/>
      <c r="N131" s="46"/>
      <c r="O131" s="164"/>
      <c r="P131" s="165"/>
      <c r="Q131" s="165"/>
      <c r="R131" s="165"/>
      <c r="S131" s="203"/>
      <c r="T131" s="89"/>
      <c r="U131" s="89"/>
      <c r="V131" s="89">
        <f t="shared" ref="V131:V134" si="248">T131+U131</f>
        <v>0</v>
      </c>
      <c r="W131" s="137"/>
      <c r="X131" s="137"/>
      <c r="Y131" s="90">
        <f t="shared" ref="Y131:Y134" si="249">W131+X131</f>
        <v>0</v>
      </c>
      <c r="Z131" s="169"/>
      <c r="AA131" s="92"/>
      <c r="AB131" s="92"/>
      <c r="AC131" s="92">
        <f t="shared" ref="AC131:AC134" si="250">AA131+AB131</f>
        <v>0</v>
      </c>
      <c r="AD131" s="93"/>
      <c r="AE131" s="93"/>
      <c r="AF131" s="94">
        <f t="shared" ref="AF131:AF134" si="251">AD131+AE131</f>
        <v>0</v>
      </c>
      <c r="AG131" s="475"/>
      <c r="AH131" s="99">
        <v>600</v>
      </c>
      <c r="AI131" s="99">
        <f t="shared" ref="AI131:AI134" si="252">AH131/15</f>
        <v>40</v>
      </c>
      <c r="AJ131" s="138"/>
      <c r="AK131" s="138">
        <f>AJ131/15</f>
        <v>0</v>
      </c>
      <c r="AL131" s="106">
        <f>SUM(AK131:AK134)</f>
        <v>0</v>
      </c>
      <c r="AM131" s="105"/>
      <c r="AN131" s="105">
        <f t="shared" ref="AN131:AN134" si="253">AM131/15</f>
        <v>0</v>
      </c>
      <c r="AO131" s="106">
        <f>SUM(AN131:AN134)</f>
        <v>15</v>
      </c>
      <c r="AP131" s="105"/>
      <c r="AQ131" s="105">
        <f t="shared" ref="AQ131:AQ165" si="254">AP131/15</f>
        <v>0</v>
      </c>
      <c r="AR131" s="106">
        <f>SUM(AQ131:AQ134)</f>
        <v>0</v>
      </c>
      <c r="AS131" s="97">
        <f t="shared" si="160"/>
        <v>0</v>
      </c>
      <c r="AT131" s="6">
        <f>SUM(AS131:AS134)</f>
        <v>15</v>
      </c>
      <c r="AU131" s="105"/>
      <c r="AV131" s="455">
        <f t="shared" si="227"/>
        <v>0</v>
      </c>
      <c r="AW131" s="496">
        <f>SUM(AV131:AV134)</f>
        <v>0</v>
      </c>
      <c r="AX131" s="508"/>
      <c r="AY131" s="498"/>
      <c r="AZ131" s="100">
        <f>AY131/15</f>
        <v>0</v>
      </c>
      <c r="BA131" s="106">
        <f>SUM(AZ131:AZ134)</f>
        <v>16</v>
      </c>
      <c r="BB131" s="105">
        <f>215+225</f>
        <v>440</v>
      </c>
      <c r="BC131" s="105">
        <f t="shared" ref="BC131:BC134" si="255">BB131/15</f>
        <v>29.333333333333332</v>
      </c>
      <c r="BD131" s="106">
        <f>SUM(BC131:BC134)</f>
        <v>42.666666666666664</v>
      </c>
      <c r="BE131" s="105">
        <f>AK131+AZ131</f>
        <v>0</v>
      </c>
      <c r="BF131" s="106">
        <f>SUM(BE131:BE134)</f>
        <v>16</v>
      </c>
      <c r="BG131" s="100">
        <f t="shared" si="221"/>
        <v>29.333333333333332</v>
      </c>
      <c r="BH131" s="106">
        <f>SUM(BG131:BG134)</f>
        <v>57.666666666666664</v>
      </c>
      <c r="BI131" s="100">
        <f t="shared" si="222"/>
        <v>0</v>
      </c>
      <c r="BJ131" s="106">
        <f>SUM(BI131:BI134)</f>
        <v>0</v>
      </c>
      <c r="BK131" s="101">
        <f t="shared" si="163"/>
        <v>29.333333333333332</v>
      </c>
      <c r="BL131" s="106">
        <f>SUM(BK131:BK134)</f>
        <v>73.666666666666657</v>
      </c>
      <c r="BM131" s="104"/>
      <c r="BN131" s="104">
        <f t="shared" ref="BN131:BN134" si="256">BM131/50</f>
        <v>0</v>
      </c>
      <c r="BO131" s="105"/>
      <c r="BP131" s="105">
        <f t="shared" si="229"/>
        <v>0</v>
      </c>
      <c r="BQ131" s="106">
        <f>SUM(BP131:BP134)</f>
        <v>0</v>
      </c>
      <c r="BR131" s="105">
        <f>700+750</f>
        <v>1450</v>
      </c>
      <c r="BS131" s="105">
        <f t="shared" ref="BS131:BS203" si="257">BR131/50</f>
        <v>29</v>
      </c>
      <c r="BT131" s="106">
        <f>SUM(BS131:BS134)</f>
        <v>73</v>
      </c>
      <c r="BU131" s="53"/>
      <c r="BV131" s="53">
        <f t="shared" ref="BV131:BV134" si="258">BU131/50</f>
        <v>0</v>
      </c>
      <c r="BW131" s="54">
        <f>SUM(BV131:BV134)</f>
        <v>0</v>
      </c>
      <c r="BX131" s="350">
        <f t="shared" si="166"/>
        <v>29</v>
      </c>
      <c r="BY131" s="211">
        <f>SUM(BX131:BX134)</f>
        <v>73</v>
      </c>
      <c r="BZ131" s="211">
        <f t="shared" si="226"/>
        <v>0.33333333333333215</v>
      </c>
      <c r="CA131" s="508"/>
      <c r="CB131" s="165"/>
      <c r="CC131" s="165"/>
      <c r="CD131" s="203"/>
      <c r="CE131" s="504"/>
      <c r="CF131" s="105"/>
      <c r="CG131" s="105">
        <f t="shared" si="201"/>
        <v>0</v>
      </c>
      <c r="CH131" s="105"/>
      <c r="CI131" s="105"/>
      <c r="CJ131" s="105">
        <f t="shared" si="202"/>
        <v>0</v>
      </c>
      <c r="CK131" s="524"/>
      <c r="CL131" s="53">
        <f t="shared" ref="CL131:CL134" si="259">CK131/15</f>
        <v>0</v>
      </c>
      <c r="CM131" s="54">
        <f>SUM(CL131:CL134)</f>
        <v>0</v>
      </c>
      <c r="CN131" s="105"/>
      <c r="CO131" s="100">
        <f t="shared" si="230"/>
        <v>0</v>
      </c>
      <c r="CP131" s="496">
        <f>SUM(CO131:CO134)</f>
        <v>0</v>
      </c>
      <c r="CQ131" s="439"/>
      <c r="CR131" s="504"/>
      <c r="CS131" s="105"/>
      <c r="CT131" s="105">
        <f t="shared" si="168"/>
        <v>0</v>
      </c>
      <c r="CU131" s="105"/>
      <c r="CV131" s="105"/>
      <c r="CW131" s="105">
        <f t="shared" si="169"/>
        <v>0</v>
      </c>
      <c r="CX131" s="53"/>
      <c r="CY131" s="109">
        <f t="shared" si="231"/>
        <v>0</v>
      </c>
      <c r="CZ131" s="54">
        <f>SUM(CY131:CY134)</f>
        <v>0</v>
      </c>
      <c r="DA131" s="105"/>
      <c r="DB131" s="455">
        <f t="shared" si="170"/>
        <v>0</v>
      </c>
      <c r="DC131" s="495">
        <f>SUM(DB131:DB134)</f>
        <v>0</v>
      </c>
      <c r="DD131" s="26"/>
      <c r="DF131" s="1133"/>
      <c r="DG131" s="674">
        <f t="shared" si="223"/>
        <v>0</v>
      </c>
      <c r="DH131" s="1119">
        <f t="shared" si="224"/>
        <v>29.333333333333332</v>
      </c>
      <c r="DI131" s="1119"/>
      <c r="DJ131" s="101">
        <f t="shared" si="225"/>
        <v>29.333333333333332</v>
      </c>
      <c r="DK131" s="101">
        <f>SUM(DJ131:DJ134)</f>
        <v>73.666666666666657</v>
      </c>
      <c r="DL131" s="101">
        <f t="shared" si="220"/>
        <v>0</v>
      </c>
      <c r="DM131" s="101"/>
      <c r="DN131" s="112"/>
      <c r="DO131" s="112"/>
      <c r="DP131" s="112"/>
      <c r="DQ131" s="112"/>
    </row>
    <row r="132" spans="1:130" ht="30" customHeight="1" x14ac:dyDescent="0.25">
      <c r="A132" s="4" t="s">
        <v>28</v>
      </c>
      <c r="B132" s="4">
        <v>2</v>
      </c>
      <c r="C132" s="166" t="s">
        <v>76</v>
      </c>
      <c r="D132" s="204" t="s">
        <v>431</v>
      </c>
      <c r="E132" s="19" t="s">
        <v>78</v>
      </c>
      <c r="F132" s="162">
        <v>96</v>
      </c>
      <c r="G132" s="162">
        <v>19</v>
      </c>
      <c r="H132" s="162"/>
      <c r="I132" s="162">
        <v>102.4</v>
      </c>
      <c r="J132" s="162"/>
      <c r="K132" s="162">
        <f t="shared" si="247"/>
        <v>102.4</v>
      </c>
      <c r="L132" s="163"/>
      <c r="M132" s="414"/>
      <c r="N132" s="46"/>
      <c r="O132" s="164"/>
      <c r="P132" s="165"/>
      <c r="Q132" s="165"/>
      <c r="R132" s="165"/>
      <c r="S132" s="203"/>
      <c r="T132" s="89"/>
      <c r="U132" s="89"/>
      <c r="V132" s="89"/>
      <c r="W132" s="137"/>
      <c r="X132" s="137"/>
      <c r="Y132" s="90">
        <f t="shared" si="249"/>
        <v>0</v>
      </c>
      <c r="Z132" s="169"/>
      <c r="AA132" s="92"/>
      <c r="AB132" s="92"/>
      <c r="AC132" s="92">
        <f t="shared" si="250"/>
        <v>0</v>
      </c>
      <c r="AD132" s="93"/>
      <c r="AE132" s="93"/>
      <c r="AF132" s="94">
        <f t="shared" si="251"/>
        <v>0</v>
      </c>
      <c r="AG132" s="475"/>
      <c r="AH132" s="99">
        <v>300</v>
      </c>
      <c r="AI132" s="99">
        <f t="shared" si="252"/>
        <v>20</v>
      </c>
      <c r="AJ132" s="138"/>
      <c r="AK132" s="138">
        <f>AJ132/15</f>
        <v>0</v>
      </c>
      <c r="AL132" s="106"/>
      <c r="AM132" s="105"/>
      <c r="AN132" s="105">
        <f t="shared" si="253"/>
        <v>0</v>
      </c>
      <c r="AO132" s="106"/>
      <c r="AP132" s="105"/>
      <c r="AQ132" s="105">
        <f t="shared" si="254"/>
        <v>0</v>
      </c>
      <c r="AR132" s="106"/>
      <c r="AS132" s="97">
        <f t="shared" si="160"/>
        <v>0</v>
      </c>
      <c r="AT132" s="6"/>
      <c r="AU132" s="105"/>
      <c r="AV132" s="455">
        <f t="shared" si="227"/>
        <v>0</v>
      </c>
      <c r="AW132" s="496"/>
      <c r="AX132" s="508"/>
      <c r="AY132" s="498"/>
      <c r="AZ132" s="100">
        <f>AY132/15</f>
        <v>0</v>
      </c>
      <c r="BA132" s="106"/>
      <c r="BB132" s="105">
        <v>200</v>
      </c>
      <c r="BC132" s="105">
        <f t="shared" si="255"/>
        <v>13.333333333333334</v>
      </c>
      <c r="BD132" s="106"/>
      <c r="BE132" s="105">
        <f>AK132+AZ132</f>
        <v>0</v>
      </c>
      <c r="BF132" s="106"/>
      <c r="BG132" s="100">
        <f t="shared" si="221"/>
        <v>13.333333333333334</v>
      </c>
      <c r="BH132" s="106"/>
      <c r="BI132" s="100">
        <f t="shared" si="222"/>
        <v>0</v>
      </c>
      <c r="BJ132" s="106"/>
      <c r="BK132" s="101">
        <f t="shared" si="163"/>
        <v>13.333333333333334</v>
      </c>
      <c r="BL132" s="106"/>
      <c r="BM132" s="104"/>
      <c r="BN132" s="104">
        <f t="shared" si="256"/>
        <v>0</v>
      </c>
      <c r="BO132" s="105"/>
      <c r="BP132" s="105">
        <f t="shared" si="229"/>
        <v>0</v>
      </c>
      <c r="BQ132" s="106"/>
      <c r="BR132" s="105">
        <v>650</v>
      </c>
      <c r="BS132" s="105">
        <f t="shared" si="257"/>
        <v>13</v>
      </c>
      <c r="BT132" s="106"/>
      <c r="BU132" s="53"/>
      <c r="BV132" s="53">
        <f t="shared" si="258"/>
        <v>0</v>
      </c>
      <c r="BW132" s="54"/>
      <c r="BX132" s="350">
        <f t="shared" si="166"/>
        <v>13</v>
      </c>
      <c r="BY132" s="211"/>
      <c r="BZ132" s="211">
        <f t="shared" si="226"/>
        <v>0.33333333333333393</v>
      </c>
      <c r="CA132" s="508"/>
      <c r="CB132" s="165"/>
      <c r="CC132" s="165"/>
      <c r="CD132" s="203"/>
      <c r="CE132" s="504"/>
      <c r="CF132" s="105"/>
      <c r="CG132" s="105">
        <f t="shared" si="201"/>
        <v>0</v>
      </c>
      <c r="CH132" s="105"/>
      <c r="CI132" s="105"/>
      <c r="CJ132" s="105">
        <f t="shared" si="202"/>
        <v>0</v>
      </c>
      <c r="CK132" s="524"/>
      <c r="CL132" s="53">
        <f t="shared" si="259"/>
        <v>0</v>
      </c>
      <c r="CM132" s="54"/>
      <c r="CN132" s="105"/>
      <c r="CO132" s="100">
        <f t="shared" si="230"/>
        <v>0</v>
      </c>
      <c r="CP132" s="496"/>
      <c r="CQ132" s="439"/>
      <c r="CR132" s="504"/>
      <c r="CS132" s="105"/>
      <c r="CT132" s="105">
        <f t="shared" si="168"/>
        <v>0</v>
      </c>
      <c r="CU132" s="105"/>
      <c r="CV132" s="105"/>
      <c r="CW132" s="105">
        <f t="shared" si="169"/>
        <v>0</v>
      </c>
      <c r="CX132" s="53"/>
      <c r="CY132" s="109">
        <f t="shared" si="231"/>
        <v>0</v>
      </c>
      <c r="CZ132" s="54"/>
      <c r="DA132" s="105"/>
      <c r="DB132" s="455">
        <f t="shared" si="170"/>
        <v>0</v>
      </c>
      <c r="DC132" s="495"/>
      <c r="DD132" s="26"/>
      <c r="DF132" s="1133"/>
      <c r="DG132" s="674">
        <f t="shared" si="223"/>
        <v>0</v>
      </c>
      <c r="DH132" s="1119">
        <f t="shared" si="224"/>
        <v>13.333333333333334</v>
      </c>
      <c r="DI132" s="1119"/>
      <c r="DJ132" s="101">
        <f t="shared" si="225"/>
        <v>13.333333333333334</v>
      </c>
      <c r="DK132" s="101"/>
      <c r="DL132" s="101">
        <f t="shared" si="220"/>
        <v>0</v>
      </c>
      <c r="DM132" s="101"/>
      <c r="DN132" s="112"/>
      <c r="DO132" s="112"/>
      <c r="DP132" s="112"/>
      <c r="DQ132" s="112"/>
    </row>
    <row r="133" spans="1:130" ht="28.5" customHeight="1" x14ac:dyDescent="0.25">
      <c r="A133" s="4"/>
      <c r="B133" s="4"/>
      <c r="C133" s="166" t="s">
        <v>76</v>
      </c>
      <c r="D133" s="204" t="s">
        <v>437</v>
      </c>
      <c r="E133" s="3" t="s">
        <v>48</v>
      </c>
      <c r="F133" s="162"/>
      <c r="G133" s="162"/>
      <c r="H133" s="162"/>
      <c r="I133" s="162"/>
      <c r="J133" s="162"/>
      <c r="K133" s="162"/>
      <c r="L133" s="163"/>
      <c r="M133" s="414"/>
      <c r="N133" s="46"/>
      <c r="O133" s="164"/>
      <c r="P133" s="165"/>
      <c r="Q133" s="165"/>
      <c r="R133" s="165"/>
      <c r="S133" s="203"/>
      <c r="T133" s="89"/>
      <c r="U133" s="89"/>
      <c r="V133" s="89">
        <f t="shared" si="248"/>
        <v>0</v>
      </c>
      <c r="W133" s="137"/>
      <c r="X133" s="137"/>
      <c r="Y133" s="90">
        <f t="shared" si="249"/>
        <v>0</v>
      </c>
      <c r="Z133" s="169"/>
      <c r="AA133" s="92"/>
      <c r="AB133" s="92"/>
      <c r="AC133" s="92">
        <f t="shared" si="250"/>
        <v>0</v>
      </c>
      <c r="AD133" s="93"/>
      <c r="AE133" s="93"/>
      <c r="AF133" s="94">
        <f t="shared" si="251"/>
        <v>0</v>
      </c>
      <c r="AG133" s="475"/>
      <c r="AH133" s="99">
        <v>225</v>
      </c>
      <c r="AI133" s="99">
        <f t="shared" si="252"/>
        <v>15</v>
      </c>
      <c r="AJ133" s="138"/>
      <c r="AK133" s="138">
        <f>AJ133/15</f>
        <v>0</v>
      </c>
      <c r="AL133" s="106"/>
      <c r="AM133" s="105">
        <v>225</v>
      </c>
      <c r="AN133" s="105">
        <f t="shared" si="253"/>
        <v>15</v>
      </c>
      <c r="AO133" s="106"/>
      <c r="AP133" s="105"/>
      <c r="AQ133" s="105">
        <f t="shared" si="254"/>
        <v>0</v>
      </c>
      <c r="AR133" s="106"/>
      <c r="AS133" s="97">
        <f t="shared" si="160"/>
        <v>15</v>
      </c>
      <c r="AT133" s="6"/>
      <c r="AU133" s="105"/>
      <c r="AV133" s="455">
        <f t="shared" si="227"/>
        <v>0</v>
      </c>
      <c r="AW133" s="496"/>
      <c r="AX133" s="508"/>
      <c r="AY133" s="498">
        <v>240</v>
      </c>
      <c r="AZ133" s="100">
        <f>AY133/15</f>
        <v>16</v>
      </c>
      <c r="BA133" s="106"/>
      <c r="BB133" s="105"/>
      <c r="BC133" s="105">
        <f t="shared" si="255"/>
        <v>0</v>
      </c>
      <c r="BD133" s="106"/>
      <c r="BE133" s="105">
        <f>AK133+AZ133</f>
        <v>16</v>
      </c>
      <c r="BF133" s="106"/>
      <c r="BG133" s="100">
        <f t="shared" si="221"/>
        <v>15</v>
      </c>
      <c r="BH133" s="106"/>
      <c r="BI133" s="100">
        <f t="shared" si="222"/>
        <v>0</v>
      </c>
      <c r="BJ133" s="106"/>
      <c r="BK133" s="101">
        <f t="shared" si="163"/>
        <v>31</v>
      </c>
      <c r="BL133" s="106"/>
      <c r="BM133" s="104"/>
      <c r="BN133" s="104"/>
      <c r="BO133" s="105"/>
      <c r="BP133" s="105">
        <f t="shared" si="229"/>
        <v>0</v>
      </c>
      <c r="BQ133" s="106"/>
      <c r="BR133" s="105">
        <v>1550</v>
      </c>
      <c r="BS133" s="105">
        <f t="shared" si="257"/>
        <v>31</v>
      </c>
      <c r="BT133" s="106"/>
      <c r="BU133" s="53"/>
      <c r="BV133" s="53">
        <f t="shared" si="258"/>
        <v>0</v>
      </c>
      <c r="BW133" s="54"/>
      <c r="BX133" s="350">
        <f t="shared" si="166"/>
        <v>31</v>
      </c>
      <c r="BY133" s="211"/>
      <c r="BZ133" s="211">
        <f t="shared" si="226"/>
        <v>0</v>
      </c>
      <c r="CA133" s="508"/>
      <c r="CB133" s="165"/>
      <c r="CC133" s="165"/>
      <c r="CD133" s="203"/>
      <c r="CE133" s="504"/>
      <c r="CF133" s="105"/>
      <c r="CG133" s="105">
        <f t="shared" si="201"/>
        <v>0</v>
      </c>
      <c r="CH133" s="105"/>
      <c r="CI133" s="105"/>
      <c r="CJ133" s="105">
        <f t="shared" si="202"/>
        <v>0</v>
      </c>
      <c r="CK133" s="524"/>
      <c r="CL133" s="53">
        <f t="shared" si="259"/>
        <v>0</v>
      </c>
      <c r="CM133" s="54"/>
      <c r="CN133" s="105"/>
      <c r="CO133" s="100">
        <f t="shared" si="230"/>
        <v>0</v>
      </c>
      <c r="CP133" s="496"/>
      <c r="CQ133" s="439"/>
      <c r="CR133" s="504"/>
      <c r="CS133" s="105"/>
      <c r="CT133" s="105">
        <f t="shared" si="168"/>
        <v>0</v>
      </c>
      <c r="CU133" s="105"/>
      <c r="CV133" s="105"/>
      <c r="CW133" s="105">
        <f t="shared" si="169"/>
        <v>0</v>
      </c>
      <c r="CX133" s="53"/>
      <c r="CY133" s="109">
        <f t="shared" si="231"/>
        <v>0</v>
      </c>
      <c r="CZ133" s="54"/>
      <c r="DA133" s="105"/>
      <c r="DB133" s="455">
        <f t="shared" si="170"/>
        <v>0</v>
      </c>
      <c r="DC133" s="495"/>
      <c r="DD133" s="26"/>
      <c r="DF133" s="1133"/>
      <c r="DG133" s="674">
        <f t="shared" si="223"/>
        <v>0</v>
      </c>
      <c r="DH133" s="1119">
        <f t="shared" si="224"/>
        <v>0</v>
      </c>
      <c r="DI133" s="1119"/>
      <c r="DJ133" s="101">
        <f t="shared" si="225"/>
        <v>31</v>
      </c>
      <c r="DK133" s="101"/>
      <c r="DL133" s="101">
        <f t="shared" si="220"/>
        <v>0</v>
      </c>
      <c r="DM133" s="101"/>
      <c r="DN133" s="112"/>
      <c r="DO133" s="112">
        <f>DJ133</f>
        <v>31</v>
      </c>
      <c r="DP133" s="112"/>
      <c r="DQ133" s="112"/>
    </row>
    <row r="134" spans="1:130" ht="25.5" customHeight="1" x14ac:dyDescent="0.25">
      <c r="A134" s="4" t="s">
        <v>28</v>
      </c>
      <c r="B134" s="4">
        <v>3</v>
      </c>
      <c r="C134" s="166" t="s">
        <v>76</v>
      </c>
      <c r="D134" s="166"/>
      <c r="E134" s="3" t="s">
        <v>12</v>
      </c>
      <c r="F134" s="162">
        <v>73</v>
      </c>
      <c r="G134" s="162">
        <v>16</v>
      </c>
      <c r="H134" s="162"/>
      <c r="I134" s="162"/>
      <c r="J134" s="162">
        <v>99.5</v>
      </c>
      <c r="K134" s="162">
        <f t="shared" si="247"/>
        <v>99.5</v>
      </c>
      <c r="L134" s="163"/>
      <c r="M134" s="414"/>
      <c r="N134" s="46"/>
      <c r="O134" s="164"/>
      <c r="P134" s="165"/>
      <c r="Q134" s="165"/>
      <c r="R134" s="165"/>
      <c r="S134" s="203"/>
      <c r="T134" s="89"/>
      <c r="U134" s="89"/>
      <c r="V134" s="89">
        <f t="shared" si="248"/>
        <v>0</v>
      </c>
      <c r="W134" s="137"/>
      <c r="X134" s="137"/>
      <c r="Y134" s="90">
        <f t="shared" si="249"/>
        <v>0</v>
      </c>
      <c r="Z134" s="169"/>
      <c r="AA134" s="92"/>
      <c r="AB134" s="92"/>
      <c r="AC134" s="92">
        <f t="shared" si="250"/>
        <v>0</v>
      </c>
      <c r="AD134" s="93"/>
      <c r="AE134" s="93"/>
      <c r="AF134" s="94">
        <f t="shared" si="251"/>
        <v>0</v>
      </c>
      <c r="AG134" s="475"/>
      <c r="AH134" s="99"/>
      <c r="AI134" s="99">
        <f t="shared" si="252"/>
        <v>0</v>
      </c>
      <c r="AJ134" s="138"/>
      <c r="AK134" s="138">
        <f>AJ134/15</f>
        <v>0</v>
      </c>
      <c r="AL134" s="106"/>
      <c r="AM134" s="105"/>
      <c r="AN134" s="105">
        <f t="shared" si="253"/>
        <v>0</v>
      </c>
      <c r="AO134" s="106"/>
      <c r="AP134" s="105"/>
      <c r="AQ134" s="105">
        <f t="shared" si="254"/>
        <v>0</v>
      </c>
      <c r="AR134" s="106"/>
      <c r="AS134" s="97">
        <f t="shared" si="160"/>
        <v>0</v>
      </c>
      <c r="AT134" s="6"/>
      <c r="AU134" s="105"/>
      <c r="AV134" s="455">
        <f t="shared" si="227"/>
        <v>0</v>
      </c>
      <c r="AW134" s="496"/>
      <c r="AX134" s="508"/>
      <c r="AY134" s="498"/>
      <c r="AZ134" s="100">
        <f>AY134/15</f>
        <v>0</v>
      </c>
      <c r="BA134" s="106"/>
      <c r="BB134" s="105"/>
      <c r="BC134" s="105">
        <f t="shared" si="255"/>
        <v>0</v>
      </c>
      <c r="BD134" s="106"/>
      <c r="BE134" s="105">
        <f>AK134+AZ134</f>
        <v>0</v>
      </c>
      <c r="BF134" s="106"/>
      <c r="BG134" s="100">
        <f t="shared" si="221"/>
        <v>0</v>
      </c>
      <c r="BH134" s="106"/>
      <c r="BI134" s="100">
        <f t="shared" si="222"/>
        <v>0</v>
      </c>
      <c r="BJ134" s="106"/>
      <c r="BK134" s="101">
        <f t="shared" si="163"/>
        <v>0</v>
      </c>
      <c r="BL134" s="106"/>
      <c r="BM134" s="104"/>
      <c r="BN134" s="104">
        <f t="shared" si="256"/>
        <v>0</v>
      </c>
      <c r="BO134" s="105"/>
      <c r="BP134" s="105">
        <f t="shared" si="229"/>
        <v>0</v>
      </c>
      <c r="BQ134" s="106"/>
      <c r="BR134" s="105"/>
      <c r="BS134" s="105">
        <f t="shared" si="257"/>
        <v>0</v>
      </c>
      <c r="BT134" s="106"/>
      <c r="BU134" s="53"/>
      <c r="BV134" s="53">
        <f t="shared" si="258"/>
        <v>0</v>
      </c>
      <c r="BW134" s="54"/>
      <c r="BX134" s="350">
        <f t="shared" si="166"/>
        <v>0</v>
      </c>
      <c r="BY134" s="211"/>
      <c r="BZ134" s="211">
        <f t="shared" si="226"/>
        <v>0</v>
      </c>
      <c r="CA134" s="508"/>
      <c r="CB134" s="165"/>
      <c r="CC134" s="165"/>
      <c r="CD134" s="203"/>
      <c r="CE134" s="504"/>
      <c r="CF134" s="105"/>
      <c r="CG134" s="105">
        <f t="shared" si="201"/>
        <v>0</v>
      </c>
      <c r="CH134" s="105"/>
      <c r="CI134" s="105"/>
      <c r="CJ134" s="105">
        <f t="shared" si="202"/>
        <v>0</v>
      </c>
      <c r="CK134" s="524"/>
      <c r="CL134" s="53">
        <f t="shared" si="259"/>
        <v>0</v>
      </c>
      <c r="CM134" s="54"/>
      <c r="CN134" s="105"/>
      <c r="CO134" s="100">
        <f t="shared" si="230"/>
        <v>0</v>
      </c>
      <c r="CP134" s="496"/>
      <c r="CQ134" s="439"/>
      <c r="CR134" s="504"/>
      <c r="CS134" s="105"/>
      <c r="CT134" s="105">
        <f t="shared" si="168"/>
        <v>0</v>
      </c>
      <c r="CU134" s="105"/>
      <c r="CV134" s="105"/>
      <c r="CW134" s="105">
        <f t="shared" si="169"/>
        <v>0</v>
      </c>
      <c r="CX134" s="53"/>
      <c r="CY134" s="109">
        <f t="shared" si="231"/>
        <v>0</v>
      </c>
      <c r="CZ134" s="54"/>
      <c r="DA134" s="105"/>
      <c r="DB134" s="455">
        <f t="shared" si="170"/>
        <v>0</v>
      </c>
      <c r="DC134" s="495"/>
      <c r="DD134" s="26"/>
      <c r="DF134" s="1133"/>
      <c r="DG134" s="674">
        <f t="shared" si="223"/>
        <v>0</v>
      </c>
      <c r="DH134" s="1119">
        <f t="shared" si="224"/>
        <v>0</v>
      </c>
      <c r="DI134" s="1119"/>
      <c r="DJ134" s="101">
        <f t="shared" si="225"/>
        <v>0</v>
      </c>
      <c r="DK134" s="101"/>
      <c r="DL134" s="101">
        <f t="shared" si="220"/>
        <v>0</v>
      </c>
      <c r="DM134" s="101"/>
      <c r="DN134" s="112"/>
      <c r="DO134" s="112"/>
      <c r="DP134" s="112"/>
      <c r="DQ134" s="112"/>
    </row>
    <row r="135" spans="1:130" s="151" customFormat="1" ht="21.6" customHeight="1" x14ac:dyDescent="0.25">
      <c r="A135" s="141"/>
      <c r="B135" s="141"/>
      <c r="C135" s="159"/>
      <c r="D135" s="143"/>
      <c r="E135" s="22"/>
      <c r="F135" s="144"/>
      <c r="G135" s="144"/>
      <c r="H135" s="144"/>
      <c r="I135" s="144"/>
      <c r="J135" s="144"/>
      <c r="K135" s="144"/>
      <c r="L135" s="145"/>
      <c r="M135" s="146"/>
      <c r="N135" s="147"/>
      <c r="O135" s="131"/>
      <c r="P135" s="148"/>
      <c r="Q135" s="148"/>
      <c r="R135" s="148"/>
      <c r="S135" s="148"/>
      <c r="T135" s="123"/>
      <c r="U135" s="123"/>
      <c r="V135" s="123"/>
      <c r="W135" s="149"/>
      <c r="X135" s="149"/>
      <c r="Y135" s="124"/>
      <c r="Z135" s="125"/>
      <c r="AA135" s="123"/>
      <c r="AB135" s="123"/>
      <c r="AC135" s="123"/>
      <c r="AD135" s="124"/>
      <c r="AE135" s="124"/>
      <c r="AF135" s="126"/>
      <c r="AG135" s="474"/>
      <c r="AH135" s="129"/>
      <c r="AI135" s="129"/>
      <c r="AJ135" s="138"/>
      <c r="AK135" s="138"/>
      <c r="AL135" s="106"/>
      <c r="AM135" s="105"/>
      <c r="AN135" s="105"/>
      <c r="AO135" s="106"/>
      <c r="AP135" s="105"/>
      <c r="AQ135" s="105">
        <f t="shared" si="254"/>
        <v>0</v>
      </c>
      <c r="AR135" s="106"/>
      <c r="AS135" s="97">
        <f t="shared" si="160"/>
        <v>0</v>
      </c>
      <c r="AT135" s="6"/>
      <c r="AU135" s="105"/>
      <c r="AV135" s="455">
        <f t="shared" si="227"/>
        <v>0</v>
      </c>
      <c r="AW135" s="496"/>
      <c r="AX135" s="508"/>
      <c r="AY135" s="498"/>
      <c r="AZ135" s="100"/>
      <c r="BA135" s="101"/>
      <c r="BB135" s="100"/>
      <c r="BC135" s="100"/>
      <c r="BD135" s="101"/>
      <c r="BE135" s="105"/>
      <c r="BF135" s="106"/>
      <c r="BG135" s="100">
        <f t="shared" si="221"/>
        <v>0</v>
      </c>
      <c r="BH135" s="106"/>
      <c r="BI135" s="100">
        <f t="shared" si="222"/>
        <v>0</v>
      </c>
      <c r="BJ135" s="106"/>
      <c r="BK135" s="101">
        <f t="shared" si="163"/>
        <v>0</v>
      </c>
      <c r="BL135" s="106"/>
      <c r="BM135" s="130"/>
      <c r="BN135" s="130"/>
      <c r="BO135" s="105"/>
      <c r="BP135" s="105">
        <f t="shared" si="229"/>
        <v>0</v>
      </c>
      <c r="BQ135" s="106"/>
      <c r="BR135" s="105"/>
      <c r="BS135" s="105"/>
      <c r="BT135" s="106"/>
      <c r="BU135" s="53"/>
      <c r="BV135" s="53"/>
      <c r="BW135" s="54"/>
      <c r="BX135" s="350">
        <f t="shared" si="166"/>
        <v>0</v>
      </c>
      <c r="BY135" s="194"/>
      <c r="BZ135" s="194">
        <f t="shared" si="226"/>
        <v>0</v>
      </c>
      <c r="CA135" s="536"/>
      <c r="CB135" s="148"/>
      <c r="CC135" s="148"/>
      <c r="CD135" s="148"/>
      <c r="CE135" s="504"/>
      <c r="CF135" s="105"/>
      <c r="CG135" s="105">
        <f t="shared" si="201"/>
        <v>0</v>
      </c>
      <c r="CH135" s="105"/>
      <c r="CI135" s="105"/>
      <c r="CJ135" s="105">
        <f t="shared" si="202"/>
        <v>0</v>
      </c>
      <c r="CK135" s="523"/>
      <c r="CL135" s="102"/>
      <c r="CM135" s="103"/>
      <c r="CN135" s="100"/>
      <c r="CO135" s="100">
        <f t="shared" si="230"/>
        <v>0</v>
      </c>
      <c r="CP135" s="515"/>
      <c r="CQ135" s="441"/>
      <c r="CR135" s="504"/>
      <c r="CS135" s="105"/>
      <c r="CT135" s="105">
        <f t="shared" si="168"/>
        <v>0</v>
      </c>
      <c r="CU135" s="105"/>
      <c r="CV135" s="105"/>
      <c r="CW135" s="105">
        <f t="shared" si="169"/>
        <v>0</v>
      </c>
      <c r="CX135" s="53"/>
      <c r="CY135" s="109">
        <f t="shared" si="231"/>
        <v>0</v>
      </c>
      <c r="CZ135" s="54"/>
      <c r="DA135" s="105"/>
      <c r="DB135" s="455">
        <f t="shared" si="170"/>
        <v>0</v>
      </c>
      <c r="DC135" s="495"/>
      <c r="DD135" s="38"/>
      <c r="DF135" s="1133"/>
      <c r="DG135" s="674">
        <f t="shared" si="223"/>
        <v>0</v>
      </c>
      <c r="DH135" s="1119">
        <f t="shared" si="224"/>
        <v>0</v>
      </c>
      <c r="DI135" s="1119"/>
      <c r="DJ135" s="101">
        <f t="shared" si="225"/>
        <v>0</v>
      </c>
      <c r="DK135" s="101"/>
      <c r="DL135" s="101">
        <f t="shared" si="220"/>
        <v>0</v>
      </c>
      <c r="DM135" s="101"/>
      <c r="DN135" s="112"/>
      <c r="DO135" s="112"/>
      <c r="DP135" s="112"/>
      <c r="DQ135" s="112"/>
      <c r="DS135" s="152"/>
      <c r="DT135" s="152"/>
      <c r="DU135" s="152"/>
      <c r="DV135" s="152"/>
      <c r="DW135" s="152"/>
      <c r="DX135" s="152"/>
      <c r="DY135" s="152"/>
      <c r="DZ135" s="152"/>
    </row>
    <row r="136" spans="1:130" ht="29.25" customHeight="1" x14ac:dyDescent="0.25">
      <c r="A136" s="4" t="s">
        <v>28</v>
      </c>
      <c r="B136" s="4">
        <v>2</v>
      </c>
      <c r="C136" s="166" t="s">
        <v>79</v>
      </c>
      <c r="D136" s="166"/>
      <c r="E136" s="1" t="s">
        <v>80</v>
      </c>
      <c r="F136" s="162">
        <v>23</v>
      </c>
      <c r="G136" s="162">
        <v>14</v>
      </c>
      <c r="H136" s="162">
        <f t="shared" ref="H136:H141" si="260">F136+G136</f>
        <v>37</v>
      </c>
      <c r="I136" s="162"/>
      <c r="J136" s="162">
        <v>11.6</v>
      </c>
      <c r="K136" s="162">
        <f t="shared" ref="K136:K141" si="261">I136+J136</f>
        <v>11.6</v>
      </c>
      <c r="L136" s="163"/>
      <c r="M136" s="414"/>
      <c r="N136" s="46"/>
      <c r="O136" s="164"/>
      <c r="P136" s="165"/>
      <c r="Q136" s="165"/>
      <c r="R136" s="165"/>
      <c r="S136" s="203"/>
      <c r="T136" s="89"/>
      <c r="U136" s="89"/>
      <c r="V136" s="89">
        <f t="shared" ref="V136:V141" si="262">T136+U136</f>
        <v>0</v>
      </c>
      <c r="W136" s="137"/>
      <c r="X136" s="137"/>
      <c r="Y136" s="90">
        <f t="shared" ref="Y136:Y141" si="263">W136+X136</f>
        <v>0</v>
      </c>
      <c r="Z136" s="169"/>
      <c r="AA136" s="92"/>
      <c r="AB136" s="92"/>
      <c r="AC136" s="92">
        <f t="shared" ref="AC136:AC141" si="264">AA136+AB136</f>
        <v>0</v>
      </c>
      <c r="AD136" s="93"/>
      <c r="AE136" s="93"/>
      <c r="AF136" s="94">
        <f t="shared" ref="AF136:AF141" si="265">AD136+AE136</f>
        <v>0</v>
      </c>
      <c r="AG136" s="475"/>
      <c r="AH136" s="99"/>
      <c r="AI136" s="99">
        <f t="shared" ref="AI136:AI141" si="266">AH136/15</f>
        <v>0</v>
      </c>
      <c r="AJ136" s="138"/>
      <c r="AK136" s="138">
        <f t="shared" ref="AK136:AK141" si="267">AJ136/15</f>
        <v>0</v>
      </c>
      <c r="AL136" s="106">
        <f>SUM(AK136:AK141)</f>
        <v>0</v>
      </c>
      <c r="AM136" s="105"/>
      <c r="AN136" s="105">
        <f t="shared" ref="AN136:AN141" si="268">AM136/15</f>
        <v>0</v>
      </c>
      <c r="AO136" s="106">
        <f>SUM(AN136:AN141)</f>
        <v>0</v>
      </c>
      <c r="AP136" s="105"/>
      <c r="AQ136" s="105">
        <f t="shared" si="254"/>
        <v>0</v>
      </c>
      <c r="AR136" s="106">
        <f>SUM(AQ136:AQ141)</f>
        <v>60</v>
      </c>
      <c r="AS136" s="97">
        <f t="shared" si="160"/>
        <v>0</v>
      </c>
      <c r="AT136" s="6">
        <f>SUM(AS136:AS141)</f>
        <v>60</v>
      </c>
      <c r="AU136" s="105"/>
      <c r="AV136" s="455">
        <f t="shared" si="227"/>
        <v>0</v>
      </c>
      <c r="AW136" s="496">
        <f>SUM(AV136:AV141)</f>
        <v>0</v>
      </c>
      <c r="AX136" s="508"/>
      <c r="AY136" s="498"/>
      <c r="AZ136" s="100">
        <f>AY136/15</f>
        <v>0</v>
      </c>
      <c r="BA136" s="106">
        <f>SUM(AZ136:AZ141)</f>
        <v>0</v>
      </c>
      <c r="BB136" s="105"/>
      <c r="BC136" s="105">
        <f t="shared" ref="BC136:BC141" si="269">BB136/15</f>
        <v>0</v>
      </c>
      <c r="BD136" s="106">
        <f>SUM(BC136:BC141)</f>
        <v>0</v>
      </c>
      <c r="BE136" s="105">
        <f t="shared" ref="BE136:BE141" si="270">AK136+AZ136</f>
        <v>0</v>
      </c>
      <c r="BF136" s="106">
        <f>SUM(BE136:BE141)</f>
        <v>0</v>
      </c>
      <c r="BG136" s="100">
        <f t="shared" si="221"/>
        <v>0</v>
      </c>
      <c r="BH136" s="106">
        <f>SUM(BG136:BG141)</f>
        <v>60</v>
      </c>
      <c r="BI136" s="100">
        <f t="shared" si="222"/>
        <v>0</v>
      </c>
      <c r="BJ136" s="106">
        <f>SUM(BI136:BI141)</f>
        <v>0</v>
      </c>
      <c r="BK136" s="101">
        <f t="shared" si="163"/>
        <v>0</v>
      </c>
      <c r="BL136" s="106">
        <f>SUM(BK136:BK141)</f>
        <v>60</v>
      </c>
      <c r="BM136" s="104"/>
      <c r="BN136" s="104">
        <f t="shared" ref="BN136:BN141" si="271">BM136/50</f>
        <v>0</v>
      </c>
      <c r="BO136" s="105"/>
      <c r="BP136" s="105">
        <f t="shared" si="229"/>
        <v>0</v>
      </c>
      <c r="BQ136" s="106">
        <f>SUM(BP136:BP141)</f>
        <v>0</v>
      </c>
      <c r="BR136" s="105"/>
      <c r="BS136" s="105">
        <f t="shared" si="257"/>
        <v>0</v>
      </c>
      <c r="BT136" s="106">
        <f>SUM(BS136:BS141)</f>
        <v>60</v>
      </c>
      <c r="BU136" s="53"/>
      <c r="BV136" s="53">
        <f t="shared" ref="BV136:BV138" si="272">BU136/50</f>
        <v>0</v>
      </c>
      <c r="BW136" s="54">
        <f>SUM(BV136:BV141)</f>
        <v>0</v>
      </c>
      <c r="BX136" s="350">
        <f t="shared" si="166"/>
        <v>0</v>
      </c>
      <c r="BY136" s="211">
        <f>SUM(BX136:BX141)</f>
        <v>60</v>
      </c>
      <c r="BZ136" s="211">
        <f t="shared" si="226"/>
        <v>0</v>
      </c>
      <c r="CA136" s="508"/>
      <c r="CB136" s="165"/>
      <c r="CC136" s="165"/>
      <c r="CD136" s="203"/>
      <c r="CE136" s="504"/>
      <c r="CF136" s="105"/>
      <c r="CG136" s="105">
        <f t="shared" si="201"/>
        <v>0</v>
      </c>
      <c r="CH136" s="105"/>
      <c r="CI136" s="105"/>
      <c r="CJ136" s="105">
        <f t="shared" si="202"/>
        <v>0</v>
      </c>
      <c r="CK136" s="524"/>
      <c r="CL136" s="53">
        <f t="shared" ref="CL136:CL141" si="273">CK136/15</f>
        <v>0</v>
      </c>
      <c r="CM136" s="54">
        <f>SUM(CL136:CL141)</f>
        <v>0</v>
      </c>
      <c r="CN136" s="105"/>
      <c r="CO136" s="100">
        <f t="shared" si="230"/>
        <v>0</v>
      </c>
      <c r="CP136" s="496">
        <f>SUM(CO136:CO141)</f>
        <v>0</v>
      </c>
      <c r="CQ136" s="439"/>
      <c r="CR136" s="504"/>
      <c r="CS136" s="105"/>
      <c r="CT136" s="105">
        <f t="shared" si="168"/>
        <v>0</v>
      </c>
      <c r="CU136" s="105"/>
      <c r="CV136" s="105"/>
      <c r="CW136" s="105">
        <f t="shared" si="169"/>
        <v>0</v>
      </c>
      <c r="CX136" s="53"/>
      <c r="CY136" s="109">
        <f t="shared" si="231"/>
        <v>0</v>
      </c>
      <c r="CZ136" s="54">
        <f>SUM(CY136:CY141)</f>
        <v>0</v>
      </c>
      <c r="DA136" s="105"/>
      <c r="DB136" s="455">
        <f t="shared" si="170"/>
        <v>0</v>
      </c>
      <c r="DC136" s="495">
        <f>SUM(DB136:DB141)</f>
        <v>0</v>
      </c>
      <c r="DD136" s="26"/>
      <c r="DF136" s="1133"/>
      <c r="DG136" s="674">
        <f t="shared" si="223"/>
        <v>0</v>
      </c>
      <c r="DH136" s="1119">
        <f t="shared" si="224"/>
        <v>0</v>
      </c>
      <c r="DI136" s="1119"/>
      <c r="DJ136" s="101">
        <f t="shared" si="225"/>
        <v>0</v>
      </c>
      <c r="DK136" s="101">
        <f>SUM(DJ136:DJ141)</f>
        <v>60</v>
      </c>
      <c r="DL136" s="101">
        <f t="shared" si="220"/>
        <v>0</v>
      </c>
      <c r="DM136" s="101"/>
      <c r="DN136" s="112"/>
      <c r="DO136" s="112"/>
      <c r="DP136" s="112"/>
      <c r="DQ136" s="112"/>
    </row>
    <row r="137" spans="1:130" ht="29.25" customHeight="1" x14ac:dyDescent="0.25">
      <c r="A137" s="4" t="s">
        <v>28</v>
      </c>
      <c r="B137" s="4">
        <v>3</v>
      </c>
      <c r="C137" s="166" t="s">
        <v>79</v>
      </c>
      <c r="D137" s="166"/>
      <c r="E137" s="1" t="s">
        <v>81</v>
      </c>
      <c r="F137" s="162">
        <v>17</v>
      </c>
      <c r="G137" s="162">
        <v>4</v>
      </c>
      <c r="H137" s="162">
        <f t="shared" si="260"/>
        <v>21</v>
      </c>
      <c r="I137" s="162"/>
      <c r="J137" s="162">
        <v>14.05</v>
      </c>
      <c r="K137" s="162">
        <f t="shared" si="261"/>
        <v>14.05</v>
      </c>
      <c r="L137" s="163"/>
      <c r="M137" s="414"/>
      <c r="N137" s="46"/>
      <c r="O137" s="164"/>
      <c r="P137" s="165"/>
      <c r="Q137" s="165"/>
      <c r="R137" s="165"/>
      <c r="S137" s="203"/>
      <c r="T137" s="89"/>
      <c r="U137" s="89"/>
      <c r="V137" s="89">
        <f t="shared" si="262"/>
        <v>0</v>
      </c>
      <c r="W137" s="137"/>
      <c r="X137" s="137"/>
      <c r="Y137" s="90">
        <f t="shared" si="263"/>
        <v>0</v>
      </c>
      <c r="Z137" s="169"/>
      <c r="AA137" s="92"/>
      <c r="AB137" s="92"/>
      <c r="AC137" s="92">
        <f t="shared" si="264"/>
        <v>0</v>
      </c>
      <c r="AD137" s="93"/>
      <c r="AE137" s="93"/>
      <c r="AF137" s="94">
        <f t="shared" si="265"/>
        <v>0</v>
      </c>
      <c r="AG137" s="475"/>
      <c r="AH137" s="99"/>
      <c r="AI137" s="99">
        <f t="shared" si="266"/>
        <v>0</v>
      </c>
      <c r="AJ137" s="138"/>
      <c r="AK137" s="138">
        <f t="shared" si="267"/>
        <v>0</v>
      </c>
      <c r="AL137" s="106"/>
      <c r="AM137" s="105"/>
      <c r="AN137" s="105">
        <f t="shared" si="268"/>
        <v>0</v>
      </c>
      <c r="AO137" s="106"/>
      <c r="AP137" s="105"/>
      <c r="AQ137" s="105">
        <f t="shared" si="254"/>
        <v>0</v>
      </c>
      <c r="AR137" s="106"/>
      <c r="AS137" s="97">
        <f t="shared" si="160"/>
        <v>0</v>
      </c>
      <c r="AT137" s="6"/>
      <c r="AU137" s="105"/>
      <c r="AV137" s="455">
        <f t="shared" si="227"/>
        <v>0</v>
      </c>
      <c r="AW137" s="496"/>
      <c r="AX137" s="508"/>
      <c r="AY137" s="498"/>
      <c r="AZ137" s="100">
        <f>AY137/15</f>
        <v>0</v>
      </c>
      <c r="BA137" s="106"/>
      <c r="BB137" s="105"/>
      <c r="BC137" s="105">
        <f t="shared" si="269"/>
        <v>0</v>
      </c>
      <c r="BD137" s="106"/>
      <c r="BE137" s="105">
        <f t="shared" si="270"/>
        <v>0</v>
      </c>
      <c r="BF137" s="106"/>
      <c r="BG137" s="100">
        <f t="shared" si="221"/>
        <v>0</v>
      </c>
      <c r="BH137" s="106"/>
      <c r="BI137" s="100">
        <f t="shared" si="222"/>
        <v>0</v>
      </c>
      <c r="BJ137" s="106"/>
      <c r="BK137" s="101">
        <f t="shared" si="163"/>
        <v>0</v>
      </c>
      <c r="BL137" s="106"/>
      <c r="BM137" s="104"/>
      <c r="BN137" s="104">
        <f t="shared" si="271"/>
        <v>0</v>
      </c>
      <c r="BO137" s="105"/>
      <c r="BP137" s="105">
        <f t="shared" si="229"/>
        <v>0</v>
      </c>
      <c r="BQ137" s="106"/>
      <c r="BR137" s="105"/>
      <c r="BS137" s="105">
        <f t="shared" si="257"/>
        <v>0</v>
      </c>
      <c r="BT137" s="106"/>
      <c r="BU137" s="53"/>
      <c r="BV137" s="53">
        <f t="shared" si="272"/>
        <v>0</v>
      </c>
      <c r="BW137" s="54"/>
      <c r="BX137" s="350">
        <f t="shared" si="166"/>
        <v>0</v>
      </c>
      <c r="BY137" s="211"/>
      <c r="BZ137" s="211">
        <f t="shared" si="226"/>
        <v>0</v>
      </c>
      <c r="CA137" s="508"/>
      <c r="CB137" s="165"/>
      <c r="CC137" s="165"/>
      <c r="CD137" s="203"/>
      <c r="CE137" s="504"/>
      <c r="CF137" s="105"/>
      <c r="CG137" s="105">
        <f t="shared" si="201"/>
        <v>0</v>
      </c>
      <c r="CH137" s="105"/>
      <c r="CI137" s="105"/>
      <c r="CJ137" s="105">
        <f t="shared" si="202"/>
        <v>0</v>
      </c>
      <c r="CK137" s="524"/>
      <c r="CL137" s="53">
        <f t="shared" si="273"/>
        <v>0</v>
      </c>
      <c r="CM137" s="54"/>
      <c r="CN137" s="105"/>
      <c r="CO137" s="100">
        <f t="shared" si="230"/>
        <v>0</v>
      </c>
      <c r="CP137" s="496"/>
      <c r="CQ137" s="439"/>
      <c r="CR137" s="504"/>
      <c r="CS137" s="105"/>
      <c r="CT137" s="105">
        <f t="shared" si="168"/>
        <v>0</v>
      </c>
      <c r="CU137" s="105"/>
      <c r="CV137" s="105"/>
      <c r="CW137" s="105">
        <f t="shared" si="169"/>
        <v>0</v>
      </c>
      <c r="CX137" s="53"/>
      <c r="CY137" s="109">
        <f t="shared" si="231"/>
        <v>0</v>
      </c>
      <c r="CZ137" s="54"/>
      <c r="DA137" s="105"/>
      <c r="DB137" s="455">
        <f t="shared" si="170"/>
        <v>0</v>
      </c>
      <c r="DC137" s="495"/>
      <c r="DD137" s="26"/>
      <c r="DF137" s="1133"/>
      <c r="DG137" s="674">
        <f t="shared" si="223"/>
        <v>0</v>
      </c>
      <c r="DH137" s="1119">
        <f t="shared" si="224"/>
        <v>0</v>
      </c>
      <c r="DI137" s="1119"/>
      <c r="DJ137" s="101">
        <f t="shared" si="225"/>
        <v>0</v>
      </c>
      <c r="DK137" s="101"/>
      <c r="DL137" s="101">
        <f t="shared" si="220"/>
        <v>0</v>
      </c>
      <c r="DM137" s="101"/>
      <c r="DN137" s="112"/>
      <c r="DO137" s="112"/>
      <c r="DP137" s="112"/>
      <c r="DQ137" s="112"/>
    </row>
    <row r="138" spans="1:130" ht="29.25" customHeight="1" x14ac:dyDescent="0.25">
      <c r="A138" s="4" t="s">
        <v>28</v>
      </c>
      <c r="B138" s="4">
        <v>4</v>
      </c>
      <c r="C138" s="166" t="s">
        <v>79</v>
      </c>
      <c r="D138" s="166"/>
      <c r="E138" s="1" t="s">
        <v>82</v>
      </c>
      <c r="F138" s="162">
        <v>12</v>
      </c>
      <c r="G138" s="162">
        <v>4</v>
      </c>
      <c r="H138" s="162">
        <f t="shared" si="260"/>
        <v>16</v>
      </c>
      <c r="I138" s="162"/>
      <c r="J138" s="162">
        <v>13.5</v>
      </c>
      <c r="K138" s="162">
        <f t="shared" si="261"/>
        <v>13.5</v>
      </c>
      <c r="L138" s="163"/>
      <c r="M138" s="414"/>
      <c r="N138" s="46"/>
      <c r="O138" s="164"/>
      <c r="P138" s="165"/>
      <c r="Q138" s="165"/>
      <c r="R138" s="165"/>
      <c r="S138" s="203"/>
      <c r="T138" s="89"/>
      <c r="U138" s="89"/>
      <c r="V138" s="89">
        <f t="shared" si="262"/>
        <v>0</v>
      </c>
      <c r="W138" s="137"/>
      <c r="X138" s="137"/>
      <c r="Y138" s="90">
        <f t="shared" si="263"/>
        <v>0</v>
      </c>
      <c r="Z138" s="169"/>
      <c r="AA138" s="92"/>
      <c r="AB138" s="92"/>
      <c r="AC138" s="92">
        <f t="shared" si="264"/>
        <v>0</v>
      </c>
      <c r="AD138" s="93"/>
      <c r="AE138" s="93"/>
      <c r="AF138" s="94">
        <f t="shared" si="265"/>
        <v>0</v>
      </c>
      <c r="AG138" s="475"/>
      <c r="AH138" s="99"/>
      <c r="AI138" s="99">
        <f t="shared" si="266"/>
        <v>0</v>
      </c>
      <c r="AJ138" s="138"/>
      <c r="AK138" s="138">
        <f t="shared" si="267"/>
        <v>0</v>
      </c>
      <c r="AL138" s="106"/>
      <c r="AM138" s="105"/>
      <c r="AN138" s="105">
        <f t="shared" si="268"/>
        <v>0</v>
      </c>
      <c r="AO138" s="106"/>
      <c r="AP138" s="105"/>
      <c r="AQ138" s="105">
        <f t="shared" si="254"/>
        <v>0</v>
      </c>
      <c r="AR138" s="106"/>
      <c r="AS138" s="97">
        <f t="shared" si="160"/>
        <v>0</v>
      </c>
      <c r="AT138" s="6"/>
      <c r="AU138" s="105"/>
      <c r="AV138" s="455">
        <f t="shared" si="227"/>
        <v>0</v>
      </c>
      <c r="AW138" s="496"/>
      <c r="AX138" s="508"/>
      <c r="AY138" s="498"/>
      <c r="AZ138" s="100">
        <f>AY138/15</f>
        <v>0</v>
      </c>
      <c r="BA138" s="106"/>
      <c r="BB138" s="105"/>
      <c r="BC138" s="105">
        <f t="shared" si="269"/>
        <v>0</v>
      </c>
      <c r="BD138" s="106"/>
      <c r="BE138" s="105">
        <f t="shared" si="270"/>
        <v>0</v>
      </c>
      <c r="BF138" s="106"/>
      <c r="BG138" s="100">
        <f t="shared" si="221"/>
        <v>0</v>
      </c>
      <c r="BH138" s="106"/>
      <c r="BI138" s="100">
        <f t="shared" si="222"/>
        <v>0</v>
      </c>
      <c r="BJ138" s="106"/>
      <c r="BK138" s="101">
        <f t="shared" si="163"/>
        <v>0</v>
      </c>
      <c r="BL138" s="106"/>
      <c r="BM138" s="104"/>
      <c r="BN138" s="104">
        <f t="shared" si="271"/>
        <v>0</v>
      </c>
      <c r="BO138" s="105"/>
      <c r="BP138" s="105">
        <f t="shared" si="229"/>
        <v>0</v>
      </c>
      <c r="BQ138" s="106"/>
      <c r="BR138" s="105"/>
      <c r="BS138" s="105">
        <f t="shared" si="257"/>
        <v>0</v>
      </c>
      <c r="BT138" s="106"/>
      <c r="BU138" s="53"/>
      <c r="BV138" s="53">
        <f t="shared" si="272"/>
        <v>0</v>
      </c>
      <c r="BW138" s="54"/>
      <c r="BX138" s="350">
        <f t="shared" si="166"/>
        <v>0</v>
      </c>
      <c r="BY138" s="211"/>
      <c r="BZ138" s="211">
        <f t="shared" si="226"/>
        <v>0</v>
      </c>
      <c r="CA138" s="508"/>
      <c r="CB138" s="165"/>
      <c r="CC138" s="165"/>
      <c r="CD138" s="203"/>
      <c r="CE138" s="504"/>
      <c r="CF138" s="105"/>
      <c r="CG138" s="105">
        <f t="shared" si="201"/>
        <v>0</v>
      </c>
      <c r="CH138" s="105"/>
      <c r="CI138" s="105"/>
      <c r="CJ138" s="105">
        <f t="shared" si="202"/>
        <v>0</v>
      </c>
      <c r="CK138" s="524"/>
      <c r="CL138" s="53">
        <f t="shared" si="273"/>
        <v>0</v>
      </c>
      <c r="CM138" s="54"/>
      <c r="CN138" s="105"/>
      <c r="CO138" s="100">
        <f t="shared" si="230"/>
        <v>0</v>
      </c>
      <c r="CP138" s="496"/>
      <c r="CQ138" s="439"/>
      <c r="CR138" s="504"/>
      <c r="CS138" s="105"/>
      <c r="CT138" s="105">
        <f t="shared" si="168"/>
        <v>0</v>
      </c>
      <c r="CU138" s="105"/>
      <c r="CV138" s="105"/>
      <c r="CW138" s="105">
        <f t="shared" si="169"/>
        <v>0</v>
      </c>
      <c r="CX138" s="53"/>
      <c r="CY138" s="109">
        <f t="shared" si="231"/>
        <v>0</v>
      </c>
      <c r="CZ138" s="54"/>
      <c r="DA138" s="105"/>
      <c r="DB138" s="455">
        <f t="shared" si="170"/>
        <v>0</v>
      </c>
      <c r="DC138" s="495"/>
      <c r="DD138" s="26"/>
      <c r="DF138" s="1133"/>
      <c r="DG138" s="674">
        <f t="shared" si="223"/>
        <v>0</v>
      </c>
      <c r="DH138" s="1119">
        <f t="shared" si="224"/>
        <v>0</v>
      </c>
      <c r="DI138" s="1119"/>
      <c r="DJ138" s="101">
        <f t="shared" si="225"/>
        <v>0</v>
      </c>
      <c r="DK138" s="101"/>
      <c r="DL138" s="101">
        <f t="shared" si="220"/>
        <v>0</v>
      </c>
      <c r="DM138" s="101"/>
      <c r="DN138" s="112"/>
      <c r="DO138" s="112"/>
      <c r="DP138" s="112"/>
      <c r="DQ138" s="112"/>
    </row>
    <row r="139" spans="1:130" ht="29.25" customHeight="1" x14ac:dyDescent="0.25">
      <c r="A139" s="4" t="s">
        <v>28</v>
      </c>
      <c r="B139" s="4">
        <v>5</v>
      </c>
      <c r="C139" s="166" t="s">
        <v>79</v>
      </c>
      <c r="D139" s="166"/>
      <c r="E139" s="1" t="s">
        <v>83</v>
      </c>
      <c r="F139" s="162">
        <v>25</v>
      </c>
      <c r="G139" s="162">
        <v>3</v>
      </c>
      <c r="H139" s="162">
        <f t="shared" si="260"/>
        <v>28</v>
      </c>
      <c r="I139" s="162"/>
      <c r="J139" s="162">
        <v>20.55</v>
      </c>
      <c r="K139" s="162">
        <f t="shared" si="261"/>
        <v>20.55</v>
      </c>
      <c r="L139" s="163"/>
      <c r="M139" s="414"/>
      <c r="N139" s="46"/>
      <c r="O139" s="164"/>
      <c r="P139" s="165"/>
      <c r="Q139" s="165"/>
      <c r="R139" s="165"/>
      <c r="S139" s="203"/>
      <c r="T139" s="89"/>
      <c r="U139" s="89"/>
      <c r="V139" s="89">
        <f t="shared" si="262"/>
        <v>0</v>
      </c>
      <c r="W139" s="137"/>
      <c r="X139" s="137"/>
      <c r="Y139" s="90">
        <f t="shared" si="263"/>
        <v>0</v>
      </c>
      <c r="Z139" s="169"/>
      <c r="AA139" s="92"/>
      <c r="AB139" s="92"/>
      <c r="AC139" s="92">
        <f t="shared" si="264"/>
        <v>0</v>
      </c>
      <c r="AD139" s="93"/>
      <c r="AE139" s="93"/>
      <c r="AF139" s="94">
        <f t="shared" si="265"/>
        <v>0</v>
      </c>
      <c r="AG139" s="475"/>
      <c r="AH139" s="99"/>
      <c r="AI139" s="99">
        <f t="shared" si="266"/>
        <v>0</v>
      </c>
      <c r="AJ139" s="138"/>
      <c r="AK139" s="138">
        <f t="shared" si="267"/>
        <v>0</v>
      </c>
      <c r="AL139" s="106"/>
      <c r="AM139" s="105"/>
      <c r="AN139" s="105">
        <f t="shared" si="268"/>
        <v>0</v>
      </c>
      <c r="AO139" s="106"/>
      <c r="AP139" s="105"/>
      <c r="AQ139" s="105">
        <f t="shared" si="254"/>
        <v>0</v>
      </c>
      <c r="AR139" s="106"/>
      <c r="AS139" s="97">
        <f t="shared" si="160"/>
        <v>0</v>
      </c>
      <c r="AT139" s="6"/>
      <c r="AU139" s="105"/>
      <c r="AV139" s="455">
        <f t="shared" si="227"/>
        <v>0</v>
      </c>
      <c r="AW139" s="496"/>
      <c r="AX139" s="508"/>
      <c r="AY139" s="498"/>
      <c r="AZ139" s="100">
        <f>AY139/15</f>
        <v>0</v>
      </c>
      <c r="BA139" s="106"/>
      <c r="BB139" s="105"/>
      <c r="BC139" s="105">
        <f t="shared" si="269"/>
        <v>0</v>
      </c>
      <c r="BD139" s="106"/>
      <c r="BE139" s="105">
        <f t="shared" si="270"/>
        <v>0</v>
      </c>
      <c r="BF139" s="106"/>
      <c r="BG139" s="100">
        <f t="shared" si="221"/>
        <v>0</v>
      </c>
      <c r="BH139" s="106"/>
      <c r="BI139" s="100">
        <f t="shared" si="222"/>
        <v>0</v>
      </c>
      <c r="BJ139" s="106"/>
      <c r="BK139" s="101">
        <f t="shared" si="163"/>
        <v>0</v>
      </c>
      <c r="BL139" s="106"/>
      <c r="BM139" s="104"/>
      <c r="BN139" s="104">
        <f t="shared" si="271"/>
        <v>0</v>
      </c>
      <c r="BO139" s="105"/>
      <c r="BP139" s="105">
        <f t="shared" si="229"/>
        <v>0</v>
      </c>
      <c r="BQ139" s="106"/>
      <c r="BR139" s="105"/>
      <c r="BS139" s="105">
        <f t="shared" si="257"/>
        <v>0</v>
      </c>
      <c r="BT139" s="106"/>
      <c r="BU139" s="53"/>
      <c r="BV139" s="53">
        <f>BU139/50</f>
        <v>0</v>
      </c>
      <c r="BW139" s="54"/>
      <c r="BX139" s="350">
        <f t="shared" si="166"/>
        <v>0</v>
      </c>
      <c r="BY139" s="211"/>
      <c r="BZ139" s="211">
        <f t="shared" si="226"/>
        <v>0</v>
      </c>
      <c r="CA139" s="508"/>
      <c r="CB139" s="165"/>
      <c r="CC139" s="165"/>
      <c r="CD139" s="203"/>
      <c r="CE139" s="504"/>
      <c r="CF139" s="105"/>
      <c r="CG139" s="105">
        <f t="shared" si="201"/>
        <v>0</v>
      </c>
      <c r="CH139" s="105"/>
      <c r="CI139" s="105"/>
      <c r="CJ139" s="105">
        <f t="shared" si="202"/>
        <v>0</v>
      </c>
      <c r="CK139" s="524"/>
      <c r="CL139" s="53">
        <f t="shared" si="273"/>
        <v>0</v>
      </c>
      <c r="CM139" s="54"/>
      <c r="CN139" s="105"/>
      <c r="CO139" s="100">
        <f t="shared" si="230"/>
        <v>0</v>
      </c>
      <c r="CP139" s="496"/>
      <c r="CQ139" s="439"/>
      <c r="CR139" s="504"/>
      <c r="CS139" s="105"/>
      <c r="CT139" s="105">
        <f t="shared" si="168"/>
        <v>0</v>
      </c>
      <c r="CU139" s="105"/>
      <c r="CV139" s="105"/>
      <c r="CW139" s="105">
        <f t="shared" si="169"/>
        <v>0</v>
      </c>
      <c r="CX139" s="53"/>
      <c r="CY139" s="109">
        <f t="shared" si="231"/>
        <v>0</v>
      </c>
      <c r="CZ139" s="54"/>
      <c r="DA139" s="105"/>
      <c r="DB139" s="455">
        <f t="shared" si="170"/>
        <v>0</v>
      </c>
      <c r="DC139" s="495"/>
      <c r="DD139" s="26"/>
      <c r="DF139" s="1133"/>
      <c r="DG139" s="674">
        <f t="shared" si="223"/>
        <v>0</v>
      </c>
      <c r="DH139" s="1119">
        <f t="shared" si="224"/>
        <v>0</v>
      </c>
      <c r="DI139" s="1119"/>
      <c r="DJ139" s="101">
        <f t="shared" si="225"/>
        <v>0</v>
      </c>
      <c r="DK139" s="101"/>
      <c r="DL139" s="101">
        <f t="shared" si="220"/>
        <v>0</v>
      </c>
      <c r="DM139" s="101"/>
      <c r="DN139" s="112"/>
      <c r="DO139" s="112"/>
      <c r="DP139" s="112"/>
      <c r="DQ139" s="112"/>
    </row>
    <row r="140" spans="1:130" ht="29.25" customHeight="1" x14ac:dyDescent="0.25">
      <c r="A140" s="4"/>
      <c r="B140" s="4"/>
      <c r="C140" s="166" t="s">
        <v>79</v>
      </c>
      <c r="D140" s="166" t="s">
        <v>431</v>
      </c>
      <c r="E140" s="1" t="s">
        <v>593</v>
      </c>
      <c r="F140" s="162"/>
      <c r="G140" s="162"/>
      <c r="H140" s="162"/>
      <c r="I140" s="162"/>
      <c r="J140" s="162"/>
      <c r="K140" s="162"/>
      <c r="L140" s="163"/>
      <c r="M140" s="414"/>
      <c r="N140" s="46"/>
      <c r="O140" s="164"/>
      <c r="P140" s="165"/>
      <c r="Q140" s="165"/>
      <c r="R140" s="165"/>
      <c r="S140" s="203"/>
      <c r="T140" s="89"/>
      <c r="U140" s="89"/>
      <c r="V140" s="89">
        <f t="shared" si="262"/>
        <v>0</v>
      </c>
      <c r="W140" s="137"/>
      <c r="X140" s="137"/>
      <c r="Y140" s="90">
        <f t="shared" si="263"/>
        <v>0</v>
      </c>
      <c r="Z140" s="169"/>
      <c r="AA140" s="92"/>
      <c r="AB140" s="92"/>
      <c r="AC140" s="92">
        <f t="shared" si="264"/>
        <v>0</v>
      </c>
      <c r="AD140" s="93"/>
      <c r="AE140" s="93"/>
      <c r="AF140" s="94">
        <f t="shared" si="265"/>
        <v>0</v>
      </c>
      <c r="AG140" s="475"/>
      <c r="AH140" s="99">
        <v>165</v>
      </c>
      <c r="AI140" s="99">
        <f t="shared" si="266"/>
        <v>11</v>
      </c>
      <c r="AJ140" s="138"/>
      <c r="AK140" s="138">
        <f t="shared" si="267"/>
        <v>0</v>
      </c>
      <c r="AL140" s="106"/>
      <c r="AM140" s="105"/>
      <c r="AN140" s="105">
        <f t="shared" si="268"/>
        <v>0</v>
      </c>
      <c r="AO140" s="106"/>
      <c r="AP140" s="105">
        <v>165</v>
      </c>
      <c r="AQ140" s="105">
        <f t="shared" si="254"/>
        <v>11</v>
      </c>
      <c r="AR140" s="106"/>
      <c r="AS140" s="97">
        <f t="shared" si="160"/>
        <v>11</v>
      </c>
      <c r="AT140" s="6"/>
      <c r="AU140" s="105"/>
      <c r="AV140" s="455">
        <f t="shared" si="227"/>
        <v>0</v>
      </c>
      <c r="AW140" s="496"/>
      <c r="AX140" s="508"/>
      <c r="AY140" s="498"/>
      <c r="AZ140" s="100"/>
      <c r="BA140" s="106"/>
      <c r="BB140" s="105"/>
      <c r="BC140" s="105">
        <f t="shared" si="269"/>
        <v>0</v>
      </c>
      <c r="BD140" s="106"/>
      <c r="BE140" s="105">
        <f t="shared" si="270"/>
        <v>0</v>
      </c>
      <c r="BF140" s="106"/>
      <c r="BG140" s="100">
        <f t="shared" si="221"/>
        <v>11</v>
      </c>
      <c r="BH140" s="106"/>
      <c r="BI140" s="100">
        <f t="shared" si="222"/>
        <v>0</v>
      </c>
      <c r="BJ140" s="106"/>
      <c r="BK140" s="101">
        <f t="shared" si="163"/>
        <v>11</v>
      </c>
      <c r="BL140" s="106"/>
      <c r="BM140" s="104"/>
      <c r="BN140" s="104">
        <f t="shared" si="271"/>
        <v>0</v>
      </c>
      <c r="BO140" s="105"/>
      <c r="BP140" s="105">
        <f t="shared" si="229"/>
        <v>0</v>
      </c>
      <c r="BQ140" s="106"/>
      <c r="BR140" s="105">
        <v>550</v>
      </c>
      <c r="BS140" s="105">
        <f t="shared" si="257"/>
        <v>11</v>
      </c>
      <c r="BT140" s="106"/>
      <c r="BU140" s="109"/>
      <c r="BV140" s="53">
        <f t="shared" ref="BV140:BV141" si="274">BU140/50</f>
        <v>0</v>
      </c>
      <c r="BW140" s="54"/>
      <c r="BX140" s="350">
        <f t="shared" si="166"/>
        <v>11</v>
      </c>
      <c r="BY140" s="211"/>
      <c r="BZ140" s="211">
        <f t="shared" si="226"/>
        <v>0</v>
      </c>
      <c r="CA140" s="508"/>
      <c r="CB140" s="165"/>
      <c r="CC140" s="165"/>
      <c r="CD140" s="203"/>
      <c r="CE140" s="504"/>
      <c r="CF140" s="105"/>
      <c r="CG140" s="105">
        <f t="shared" si="201"/>
        <v>0</v>
      </c>
      <c r="CH140" s="105"/>
      <c r="CI140" s="105"/>
      <c r="CJ140" s="105">
        <f t="shared" si="202"/>
        <v>0</v>
      </c>
      <c r="CK140" s="524"/>
      <c r="CL140" s="53">
        <f t="shared" si="273"/>
        <v>0</v>
      </c>
      <c r="CM140" s="54"/>
      <c r="CN140" s="105"/>
      <c r="CO140" s="100">
        <f t="shared" si="230"/>
        <v>0</v>
      </c>
      <c r="CP140" s="496"/>
      <c r="CQ140" s="439"/>
      <c r="CR140" s="504"/>
      <c r="CS140" s="105"/>
      <c r="CT140" s="105">
        <f t="shared" si="168"/>
        <v>0</v>
      </c>
      <c r="CU140" s="105"/>
      <c r="CV140" s="105"/>
      <c r="CW140" s="105">
        <f t="shared" si="169"/>
        <v>0</v>
      </c>
      <c r="CX140" s="53"/>
      <c r="CY140" s="109">
        <f t="shared" si="231"/>
        <v>0</v>
      </c>
      <c r="CZ140" s="54"/>
      <c r="DA140" s="105"/>
      <c r="DB140" s="455">
        <f t="shared" si="170"/>
        <v>0</v>
      </c>
      <c r="DC140" s="495"/>
      <c r="DD140" s="26" t="s">
        <v>594</v>
      </c>
      <c r="DF140" s="1133"/>
      <c r="DG140" s="674">
        <f t="shared" si="223"/>
        <v>0</v>
      </c>
      <c r="DH140" s="1119">
        <f t="shared" si="224"/>
        <v>0</v>
      </c>
      <c r="DI140" s="1119"/>
      <c r="DJ140" s="101">
        <f t="shared" si="225"/>
        <v>11</v>
      </c>
      <c r="DK140" s="101"/>
      <c r="DL140" s="101">
        <f t="shared" si="220"/>
        <v>0</v>
      </c>
      <c r="DM140" s="101"/>
      <c r="DN140" s="112"/>
      <c r="DO140" s="112"/>
      <c r="DP140" s="112"/>
      <c r="DQ140" s="112"/>
    </row>
    <row r="141" spans="1:130" ht="55.5" customHeight="1" x14ac:dyDescent="0.25">
      <c r="A141" s="4" t="s">
        <v>28</v>
      </c>
      <c r="B141" s="4">
        <v>6</v>
      </c>
      <c r="C141" s="166" t="s">
        <v>79</v>
      </c>
      <c r="D141" s="166" t="s">
        <v>431</v>
      </c>
      <c r="E141" s="1" t="s">
        <v>84</v>
      </c>
      <c r="F141" s="162">
        <v>30</v>
      </c>
      <c r="G141" s="162">
        <v>7</v>
      </c>
      <c r="H141" s="162">
        <f t="shared" si="260"/>
        <v>37</v>
      </c>
      <c r="I141" s="162"/>
      <c r="J141" s="162">
        <v>40.25</v>
      </c>
      <c r="K141" s="162">
        <f t="shared" si="261"/>
        <v>40.25</v>
      </c>
      <c r="L141" s="163"/>
      <c r="M141" s="414"/>
      <c r="N141" s="46"/>
      <c r="O141" s="164"/>
      <c r="P141" s="165"/>
      <c r="Q141" s="165"/>
      <c r="R141" s="165"/>
      <c r="S141" s="203"/>
      <c r="T141" s="89"/>
      <c r="U141" s="89"/>
      <c r="V141" s="89">
        <f t="shared" si="262"/>
        <v>0</v>
      </c>
      <c r="W141" s="137"/>
      <c r="X141" s="137"/>
      <c r="Y141" s="90">
        <f t="shared" si="263"/>
        <v>0</v>
      </c>
      <c r="Z141" s="169"/>
      <c r="AA141" s="92"/>
      <c r="AB141" s="92"/>
      <c r="AC141" s="92">
        <f t="shared" si="264"/>
        <v>0</v>
      </c>
      <c r="AD141" s="93"/>
      <c r="AE141" s="93"/>
      <c r="AF141" s="94">
        <f t="shared" si="265"/>
        <v>0</v>
      </c>
      <c r="AG141" s="475"/>
      <c r="AH141" s="99">
        <v>735</v>
      </c>
      <c r="AI141" s="99">
        <f t="shared" si="266"/>
        <v>49</v>
      </c>
      <c r="AJ141" s="138"/>
      <c r="AK141" s="138">
        <f t="shared" si="267"/>
        <v>0</v>
      </c>
      <c r="AL141" s="106"/>
      <c r="AM141" s="105"/>
      <c r="AN141" s="105">
        <f t="shared" si="268"/>
        <v>0</v>
      </c>
      <c r="AO141" s="106"/>
      <c r="AP141" s="105">
        <v>735</v>
      </c>
      <c r="AQ141" s="105">
        <f t="shared" si="254"/>
        <v>49</v>
      </c>
      <c r="AR141" s="106"/>
      <c r="AS141" s="97">
        <f t="shared" ref="AS141:AS210" si="275">AN141+AK141+AQ141</f>
        <v>49</v>
      </c>
      <c r="AT141" s="6"/>
      <c r="AU141" s="105"/>
      <c r="AV141" s="455">
        <f t="shared" si="227"/>
        <v>0</v>
      </c>
      <c r="AW141" s="496"/>
      <c r="AX141" s="508"/>
      <c r="AY141" s="498"/>
      <c r="AZ141" s="100">
        <f>AY141/15</f>
        <v>0</v>
      </c>
      <c r="BA141" s="106"/>
      <c r="BB141" s="105"/>
      <c r="BC141" s="105">
        <f t="shared" si="269"/>
        <v>0</v>
      </c>
      <c r="BD141" s="106"/>
      <c r="BE141" s="105">
        <f t="shared" si="270"/>
        <v>0</v>
      </c>
      <c r="BF141" s="106"/>
      <c r="BG141" s="100">
        <f t="shared" si="221"/>
        <v>49</v>
      </c>
      <c r="BH141" s="106"/>
      <c r="BI141" s="100">
        <f t="shared" si="222"/>
        <v>0</v>
      </c>
      <c r="BJ141" s="106"/>
      <c r="BK141" s="101">
        <f t="shared" ref="BK141:BK210" si="276">BG141+BE141+BI141</f>
        <v>49</v>
      </c>
      <c r="BL141" s="106"/>
      <c r="BM141" s="104"/>
      <c r="BN141" s="104">
        <f t="shared" si="271"/>
        <v>0</v>
      </c>
      <c r="BO141" s="105"/>
      <c r="BP141" s="105">
        <f t="shared" si="229"/>
        <v>0</v>
      </c>
      <c r="BQ141" s="106"/>
      <c r="BR141" s="105">
        <f>1550+900</f>
        <v>2450</v>
      </c>
      <c r="BS141" s="105">
        <f t="shared" si="257"/>
        <v>49</v>
      </c>
      <c r="BT141" s="106"/>
      <c r="BU141" s="109"/>
      <c r="BV141" s="53">
        <f t="shared" si="274"/>
        <v>0</v>
      </c>
      <c r="BW141" s="54"/>
      <c r="BX141" s="350">
        <f t="shared" ref="BX141:BX210" si="277">BP141+BS141+BV141</f>
        <v>49</v>
      </c>
      <c r="BY141" s="211"/>
      <c r="BZ141" s="211">
        <f t="shared" si="226"/>
        <v>0</v>
      </c>
      <c r="CA141" s="508"/>
      <c r="CB141" s="165"/>
      <c r="CC141" s="165"/>
      <c r="CD141" s="203"/>
      <c r="CE141" s="504"/>
      <c r="CF141" s="105"/>
      <c r="CG141" s="105">
        <f t="shared" si="201"/>
        <v>0</v>
      </c>
      <c r="CH141" s="105"/>
      <c r="CI141" s="105"/>
      <c r="CJ141" s="105">
        <f t="shared" si="202"/>
        <v>0</v>
      </c>
      <c r="CK141" s="524"/>
      <c r="CL141" s="53">
        <f t="shared" si="273"/>
        <v>0</v>
      </c>
      <c r="CM141" s="54"/>
      <c r="CN141" s="105"/>
      <c r="CO141" s="100">
        <f t="shared" si="230"/>
        <v>0</v>
      </c>
      <c r="CP141" s="496"/>
      <c r="CQ141" s="439"/>
      <c r="CR141" s="504"/>
      <c r="CS141" s="105"/>
      <c r="CT141" s="105">
        <f t="shared" si="168"/>
        <v>0</v>
      </c>
      <c r="CU141" s="105"/>
      <c r="CV141" s="105"/>
      <c r="CW141" s="105">
        <f t="shared" si="169"/>
        <v>0</v>
      </c>
      <c r="CX141" s="53"/>
      <c r="CY141" s="109">
        <f t="shared" si="231"/>
        <v>0</v>
      </c>
      <c r="CZ141" s="54"/>
      <c r="DA141" s="105"/>
      <c r="DB141" s="455">
        <f t="shared" ref="DB141:DB210" si="278">DA141/15</f>
        <v>0</v>
      </c>
      <c r="DC141" s="495"/>
      <c r="DD141" s="26" t="s">
        <v>594</v>
      </c>
      <c r="DF141" s="1133"/>
      <c r="DG141" s="674">
        <f t="shared" si="223"/>
        <v>0</v>
      </c>
      <c r="DH141" s="1119">
        <f t="shared" si="224"/>
        <v>0</v>
      </c>
      <c r="DI141" s="1119"/>
      <c r="DJ141" s="101">
        <f t="shared" si="225"/>
        <v>49</v>
      </c>
      <c r="DK141" s="101"/>
      <c r="DL141" s="101">
        <f t="shared" si="220"/>
        <v>0</v>
      </c>
      <c r="DM141" s="101"/>
      <c r="DN141" s="112"/>
      <c r="DO141" s="112"/>
      <c r="DP141" s="112"/>
      <c r="DQ141" s="112"/>
    </row>
    <row r="142" spans="1:130" s="151" customFormat="1" ht="21.6" customHeight="1" x14ac:dyDescent="0.25">
      <c r="A142" s="141"/>
      <c r="B142" s="141"/>
      <c r="C142" s="159"/>
      <c r="D142" s="143"/>
      <c r="E142" s="22"/>
      <c r="F142" s="144"/>
      <c r="G142" s="144"/>
      <c r="H142" s="144"/>
      <c r="I142" s="144"/>
      <c r="J142" s="144"/>
      <c r="K142" s="144"/>
      <c r="L142" s="145"/>
      <c r="M142" s="146"/>
      <c r="N142" s="147"/>
      <c r="O142" s="131"/>
      <c r="P142" s="148"/>
      <c r="Q142" s="148"/>
      <c r="R142" s="148"/>
      <c r="S142" s="148"/>
      <c r="T142" s="123"/>
      <c r="U142" s="123"/>
      <c r="V142" s="123"/>
      <c r="W142" s="149"/>
      <c r="X142" s="149"/>
      <c r="Y142" s="124"/>
      <c r="Z142" s="125"/>
      <c r="AA142" s="123"/>
      <c r="AB142" s="123"/>
      <c r="AC142" s="123"/>
      <c r="AD142" s="124"/>
      <c r="AE142" s="124"/>
      <c r="AF142" s="126"/>
      <c r="AG142" s="474"/>
      <c r="AH142" s="129"/>
      <c r="AI142" s="129"/>
      <c r="AJ142" s="138"/>
      <c r="AK142" s="138"/>
      <c r="AL142" s="106"/>
      <c r="AM142" s="105"/>
      <c r="AN142" s="105"/>
      <c r="AO142" s="106"/>
      <c r="AP142" s="105"/>
      <c r="AQ142" s="105">
        <f t="shared" si="254"/>
        <v>0</v>
      </c>
      <c r="AR142" s="106"/>
      <c r="AS142" s="97">
        <f t="shared" si="275"/>
        <v>0</v>
      </c>
      <c r="AT142" s="6"/>
      <c r="AU142" s="105"/>
      <c r="AV142" s="455">
        <f t="shared" si="227"/>
        <v>0</v>
      </c>
      <c r="AW142" s="496"/>
      <c r="AX142" s="508"/>
      <c r="AY142" s="498"/>
      <c r="AZ142" s="100"/>
      <c r="BA142" s="101"/>
      <c r="BB142" s="100"/>
      <c r="BC142" s="100"/>
      <c r="BD142" s="101"/>
      <c r="BE142" s="105"/>
      <c r="BF142" s="106"/>
      <c r="BG142" s="100">
        <f t="shared" si="221"/>
        <v>0</v>
      </c>
      <c r="BH142" s="106"/>
      <c r="BI142" s="100">
        <f t="shared" si="222"/>
        <v>0</v>
      </c>
      <c r="BJ142" s="106"/>
      <c r="BK142" s="101">
        <f t="shared" si="276"/>
        <v>0</v>
      </c>
      <c r="BL142" s="106"/>
      <c r="BM142" s="130"/>
      <c r="BN142" s="130"/>
      <c r="BO142" s="105"/>
      <c r="BP142" s="105">
        <f t="shared" si="229"/>
        <v>0</v>
      </c>
      <c r="BQ142" s="106"/>
      <c r="BR142" s="105"/>
      <c r="BS142" s="105"/>
      <c r="BT142" s="106"/>
      <c r="BU142" s="53"/>
      <c r="BV142" s="53"/>
      <c r="BW142" s="54"/>
      <c r="BX142" s="350">
        <f t="shared" si="277"/>
        <v>0</v>
      </c>
      <c r="BY142" s="194"/>
      <c r="BZ142" s="194">
        <f t="shared" si="226"/>
        <v>0</v>
      </c>
      <c r="CA142" s="536"/>
      <c r="CB142" s="148"/>
      <c r="CC142" s="148"/>
      <c r="CD142" s="148"/>
      <c r="CE142" s="504"/>
      <c r="CF142" s="105"/>
      <c r="CG142" s="105">
        <f t="shared" si="201"/>
        <v>0</v>
      </c>
      <c r="CH142" s="105"/>
      <c r="CI142" s="105"/>
      <c r="CJ142" s="105">
        <f t="shared" si="202"/>
        <v>0</v>
      </c>
      <c r="CK142" s="523"/>
      <c r="CL142" s="102"/>
      <c r="CM142" s="103"/>
      <c r="CN142" s="100"/>
      <c r="CO142" s="100">
        <f t="shared" si="230"/>
        <v>0</v>
      </c>
      <c r="CP142" s="515"/>
      <c r="CQ142" s="441"/>
      <c r="CR142" s="504"/>
      <c r="CS142" s="105"/>
      <c r="CT142" s="105">
        <f t="shared" si="168"/>
        <v>0</v>
      </c>
      <c r="CU142" s="105"/>
      <c r="CV142" s="105"/>
      <c r="CW142" s="105">
        <f t="shared" si="169"/>
        <v>0</v>
      </c>
      <c r="CX142" s="53"/>
      <c r="CY142" s="109">
        <f t="shared" si="231"/>
        <v>0</v>
      </c>
      <c r="CZ142" s="54"/>
      <c r="DA142" s="105"/>
      <c r="DB142" s="455">
        <f t="shared" si="278"/>
        <v>0</v>
      </c>
      <c r="DC142" s="495"/>
      <c r="DD142" s="38"/>
      <c r="DF142" s="1133"/>
      <c r="DG142" s="674">
        <f t="shared" si="223"/>
        <v>0</v>
      </c>
      <c r="DH142" s="1119">
        <f t="shared" si="224"/>
        <v>0</v>
      </c>
      <c r="DI142" s="1119"/>
      <c r="DJ142" s="101">
        <f t="shared" si="225"/>
        <v>0</v>
      </c>
      <c r="DK142" s="101"/>
      <c r="DL142" s="101">
        <f t="shared" si="220"/>
        <v>0</v>
      </c>
      <c r="DM142" s="101"/>
      <c r="DN142" s="112"/>
      <c r="DO142" s="112"/>
      <c r="DP142" s="112"/>
      <c r="DQ142" s="112"/>
      <c r="DS142" s="152"/>
      <c r="DT142" s="152"/>
      <c r="DU142" s="152"/>
      <c r="DV142" s="152"/>
      <c r="DW142" s="152"/>
      <c r="DX142" s="152"/>
      <c r="DY142" s="152"/>
      <c r="DZ142" s="152"/>
    </row>
    <row r="143" spans="1:130" ht="21.6" customHeight="1" x14ac:dyDescent="0.25">
      <c r="A143" s="4"/>
      <c r="B143" s="4"/>
      <c r="C143" s="166" t="s">
        <v>330</v>
      </c>
      <c r="D143" s="166" t="s">
        <v>431</v>
      </c>
      <c r="E143" s="3" t="s">
        <v>331</v>
      </c>
      <c r="F143" s="162"/>
      <c r="G143" s="162"/>
      <c r="H143" s="162"/>
      <c r="I143" s="162"/>
      <c r="J143" s="162"/>
      <c r="K143" s="162"/>
      <c r="L143" s="163"/>
      <c r="M143" s="414"/>
      <c r="N143" s="46"/>
      <c r="O143" s="164"/>
      <c r="P143" s="165"/>
      <c r="Q143" s="165"/>
      <c r="R143" s="165"/>
      <c r="S143" s="203"/>
      <c r="T143" s="89"/>
      <c r="U143" s="89"/>
      <c r="V143" s="89">
        <f t="shared" ref="V143:V148" si="279">T143+U143</f>
        <v>0</v>
      </c>
      <c r="W143" s="137"/>
      <c r="X143" s="137"/>
      <c r="Y143" s="90">
        <f t="shared" ref="Y143:Y148" si="280">W143+X143</f>
        <v>0</v>
      </c>
      <c r="Z143" s="169"/>
      <c r="AA143" s="92"/>
      <c r="AB143" s="92"/>
      <c r="AC143" s="92">
        <f t="shared" ref="AC143:AC148" si="281">AA143+AB143</f>
        <v>0</v>
      </c>
      <c r="AD143" s="93"/>
      <c r="AE143" s="93"/>
      <c r="AF143" s="94">
        <f t="shared" ref="AF143:AF148" si="282">AD143+AE143</f>
        <v>0</v>
      </c>
      <c r="AG143" s="475"/>
      <c r="AH143" s="99">
        <v>405</v>
      </c>
      <c r="AI143" s="99">
        <f t="shared" ref="AI143:AI148" si="283">AH143/15</f>
        <v>27</v>
      </c>
      <c r="AJ143" s="138">
        <v>405</v>
      </c>
      <c r="AK143" s="138">
        <f>AJ143/15</f>
        <v>27</v>
      </c>
      <c r="AL143" s="106">
        <f>SUM(AK143:AK148)</f>
        <v>27</v>
      </c>
      <c r="AM143" s="105"/>
      <c r="AN143" s="105">
        <f t="shared" ref="AN143:AN148" si="284">AM143/15</f>
        <v>0</v>
      </c>
      <c r="AO143" s="106">
        <f>SUM(AN143:AN148)</f>
        <v>0</v>
      </c>
      <c r="AP143" s="105"/>
      <c r="AQ143" s="105">
        <f t="shared" si="254"/>
        <v>0</v>
      </c>
      <c r="AR143" s="106">
        <f>SUM(AQ143:AQ148)</f>
        <v>0</v>
      </c>
      <c r="AS143" s="97">
        <f t="shared" si="275"/>
        <v>27</v>
      </c>
      <c r="AT143" s="6">
        <f>SUM(AS143:AS148)</f>
        <v>27</v>
      </c>
      <c r="AU143" s="105"/>
      <c r="AV143" s="455">
        <f t="shared" si="227"/>
        <v>0</v>
      </c>
      <c r="AW143" s="496">
        <f>SUM(AV143:AV148)</f>
        <v>0</v>
      </c>
      <c r="AX143" s="508"/>
      <c r="AY143" s="498"/>
      <c r="AZ143" s="100">
        <f>AY143/15</f>
        <v>0</v>
      </c>
      <c r="BA143" s="106">
        <f>SUM(AZ143:AZ148)</f>
        <v>50</v>
      </c>
      <c r="BB143" s="105"/>
      <c r="BC143" s="105">
        <f t="shared" ref="BC143:BC148" si="285">BB143/15</f>
        <v>0</v>
      </c>
      <c r="BD143" s="106">
        <f>SUM(BC143:BC148)</f>
        <v>25</v>
      </c>
      <c r="BE143" s="105">
        <f>AK143+AZ143</f>
        <v>27</v>
      </c>
      <c r="BF143" s="106">
        <f>SUM(BE143:BE148)</f>
        <v>77</v>
      </c>
      <c r="BG143" s="100">
        <f t="shared" si="221"/>
        <v>0</v>
      </c>
      <c r="BH143" s="106">
        <f>SUM(BG143:BG148)</f>
        <v>25</v>
      </c>
      <c r="BI143" s="100">
        <f t="shared" si="222"/>
        <v>0</v>
      </c>
      <c r="BJ143" s="106">
        <f>SUM(BI143:BI148)</f>
        <v>0</v>
      </c>
      <c r="BK143" s="101">
        <f t="shared" si="276"/>
        <v>27</v>
      </c>
      <c r="BL143" s="106">
        <f>SUM(BK143:BK148)</f>
        <v>102</v>
      </c>
      <c r="BM143" s="104">
        <v>1350</v>
      </c>
      <c r="BN143" s="104">
        <f t="shared" ref="BN143:BN148" si="286">BM143/50</f>
        <v>27</v>
      </c>
      <c r="BO143" s="105"/>
      <c r="BP143" s="105">
        <f t="shared" si="229"/>
        <v>0</v>
      </c>
      <c r="BQ143" s="106">
        <f>SUM(BP143:BP148)</f>
        <v>0</v>
      </c>
      <c r="BR143" s="105">
        <v>1350</v>
      </c>
      <c r="BS143" s="105">
        <f t="shared" si="257"/>
        <v>27</v>
      </c>
      <c r="BT143" s="106">
        <f>SUM(BS143:BS148)</f>
        <v>101.5</v>
      </c>
      <c r="BU143" s="53"/>
      <c r="BV143" s="53">
        <f t="shared" ref="BV143:BV148" si="287">BU143/50</f>
        <v>0</v>
      </c>
      <c r="BW143" s="54">
        <f>SUM(BV143:BV148)</f>
        <v>0.5</v>
      </c>
      <c r="BX143" s="350">
        <f t="shared" si="277"/>
        <v>27</v>
      </c>
      <c r="BY143" s="211">
        <f>SUM(BX143:BX148)</f>
        <v>102</v>
      </c>
      <c r="BZ143" s="211">
        <f t="shared" si="226"/>
        <v>0</v>
      </c>
      <c r="CA143" s="508"/>
      <c r="CB143" s="165"/>
      <c r="CC143" s="165"/>
      <c r="CD143" s="203"/>
      <c r="CE143" s="504"/>
      <c r="CF143" s="105"/>
      <c r="CG143" s="105">
        <f t="shared" si="201"/>
        <v>0</v>
      </c>
      <c r="CH143" s="105"/>
      <c r="CI143" s="105"/>
      <c r="CJ143" s="105">
        <f t="shared" si="202"/>
        <v>0</v>
      </c>
      <c r="CK143" s="524"/>
      <c r="CL143" s="53">
        <f t="shared" ref="CL143:CL148" si="288">CK143/15</f>
        <v>0</v>
      </c>
      <c r="CM143" s="54">
        <f>SUM(CL143:CL148)</f>
        <v>0</v>
      </c>
      <c r="CN143" s="105"/>
      <c r="CO143" s="100">
        <f t="shared" si="230"/>
        <v>0</v>
      </c>
      <c r="CP143" s="496">
        <f>SUM(CO143:CO148)</f>
        <v>16</v>
      </c>
      <c r="CQ143" s="439"/>
      <c r="CR143" s="504"/>
      <c r="CS143" s="105"/>
      <c r="CT143" s="105">
        <f t="shared" ref="CT143:CT216" si="289">CR143+CS143</f>
        <v>0</v>
      </c>
      <c r="CU143" s="105"/>
      <c r="CV143" s="105"/>
      <c r="CW143" s="105">
        <f t="shared" ref="CW143:CW216" si="290">CU143+CV143</f>
        <v>0</v>
      </c>
      <c r="CX143" s="53"/>
      <c r="CY143" s="109">
        <f t="shared" si="231"/>
        <v>0</v>
      </c>
      <c r="CZ143" s="54">
        <f>SUM(CY143:CY148)</f>
        <v>0</v>
      </c>
      <c r="DA143" s="105"/>
      <c r="DB143" s="455">
        <f t="shared" si="278"/>
        <v>0</v>
      </c>
      <c r="DC143" s="495">
        <f>SUM(DB143:DB148)</f>
        <v>0</v>
      </c>
      <c r="DD143" s="26"/>
      <c r="DF143" s="1133"/>
      <c r="DG143" s="674">
        <f t="shared" si="223"/>
        <v>0</v>
      </c>
      <c r="DH143" s="1119">
        <f t="shared" si="224"/>
        <v>0</v>
      </c>
      <c r="DI143" s="1119"/>
      <c r="DJ143" s="101">
        <f t="shared" si="225"/>
        <v>27</v>
      </c>
      <c r="DK143" s="101">
        <f>SUM(DJ143:DJ148)</f>
        <v>118</v>
      </c>
      <c r="DL143" s="101">
        <f t="shared" si="220"/>
        <v>0</v>
      </c>
      <c r="DM143" s="101"/>
      <c r="DN143" s="112"/>
      <c r="DO143" s="112"/>
      <c r="DP143" s="112"/>
      <c r="DQ143" s="112"/>
    </row>
    <row r="144" spans="1:130" ht="44.25" customHeight="1" x14ac:dyDescent="0.25">
      <c r="A144" s="4"/>
      <c r="B144" s="4"/>
      <c r="C144" s="166" t="s">
        <v>330</v>
      </c>
      <c r="D144" s="166"/>
      <c r="E144" s="3" t="s">
        <v>873</v>
      </c>
      <c r="F144" s="162"/>
      <c r="G144" s="162"/>
      <c r="H144" s="162"/>
      <c r="I144" s="162"/>
      <c r="J144" s="162"/>
      <c r="K144" s="162"/>
      <c r="L144" s="163"/>
      <c r="M144" s="589"/>
      <c r="N144" s="46"/>
      <c r="O144" s="164"/>
      <c r="P144" s="165"/>
      <c r="Q144" s="165"/>
      <c r="R144" s="165"/>
      <c r="S144" s="203"/>
      <c r="T144" s="89"/>
      <c r="U144" s="89"/>
      <c r="V144" s="89"/>
      <c r="W144" s="137"/>
      <c r="X144" s="137"/>
      <c r="Y144" s="90"/>
      <c r="Z144" s="169"/>
      <c r="AA144" s="92"/>
      <c r="AB144" s="92"/>
      <c r="AC144" s="92"/>
      <c r="AD144" s="93"/>
      <c r="AE144" s="93"/>
      <c r="AF144" s="94"/>
      <c r="AG144" s="475"/>
      <c r="AH144" s="99"/>
      <c r="AI144" s="99"/>
      <c r="AJ144" s="138"/>
      <c r="AK144" s="138"/>
      <c r="AL144" s="106"/>
      <c r="AM144" s="105"/>
      <c r="AN144" s="105"/>
      <c r="AO144" s="106"/>
      <c r="AP144" s="105"/>
      <c r="AQ144" s="105"/>
      <c r="AR144" s="106"/>
      <c r="AS144" s="97"/>
      <c r="AT144" s="6"/>
      <c r="AU144" s="105"/>
      <c r="AV144" s="455"/>
      <c r="AW144" s="496"/>
      <c r="AX144" s="508"/>
      <c r="AY144" s="498">
        <f>375+375</f>
        <v>750</v>
      </c>
      <c r="AZ144" s="100">
        <f>AY144/15</f>
        <v>50</v>
      </c>
      <c r="BA144" s="106"/>
      <c r="BB144" s="105"/>
      <c r="BC144" s="105">
        <f t="shared" si="285"/>
        <v>0</v>
      </c>
      <c r="BD144" s="106"/>
      <c r="BE144" s="105">
        <f t="shared" ref="BE144:BE145" si="291">AK144+AZ144</f>
        <v>50</v>
      </c>
      <c r="BF144" s="106"/>
      <c r="BG144" s="100">
        <f t="shared" si="221"/>
        <v>0</v>
      </c>
      <c r="BH144" s="106"/>
      <c r="BI144" s="100">
        <f t="shared" si="222"/>
        <v>0</v>
      </c>
      <c r="BJ144" s="106"/>
      <c r="BK144" s="101">
        <f t="shared" si="276"/>
        <v>50</v>
      </c>
      <c r="BL144" s="106"/>
      <c r="BM144" s="104"/>
      <c r="BN144" s="104"/>
      <c r="BO144" s="105"/>
      <c r="BP144" s="105"/>
      <c r="BQ144" s="106"/>
      <c r="BR144" s="105">
        <f>1250+1250</f>
        <v>2500</v>
      </c>
      <c r="BS144" s="105">
        <f t="shared" si="257"/>
        <v>50</v>
      </c>
      <c r="BT144" s="106"/>
      <c r="BU144" s="53"/>
      <c r="BV144" s="53">
        <f t="shared" si="287"/>
        <v>0</v>
      </c>
      <c r="BW144" s="54"/>
      <c r="BX144" s="350">
        <f t="shared" si="277"/>
        <v>50</v>
      </c>
      <c r="BY144" s="211"/>
      <c r="BZ144" s="211">
        <f t="shared" si="226"/>
        <v>0</v>
      </c>
      <c r="CA144" s="508"/>
      <c r="CB144" s="165"/>
      <c r="CC144" s="165"/>
      <c r="CD144" s="203"/>
      <c r="CE144" s="504"/>
      <c r="CF144" s="105"/>
      <c r="CG144" s="105"/>
      <c r="CH144" s="105"/>
      <c r="CI144" s="105"/>
      <c r="CJ144" s="105"/>
      <c r="CK144" s="524"/>
      <c r="CL144" s="53"/>
      <c r="CM144" s="54"/>
      <c r="CN144" s="105"/>
      <c r="CO144" s="100"/>
      <c r="CP144" s="496"/>
      <c r="CQ144" s="439"/>
      <c r="CR144" s="504"/>
      <c r="CS144" s="105"/>
      <c r="CT144" s="105"/>
      <c r="CU144" s="105"/>
      <c r="CV144" s="105"/>
      <c r="CW144" s="105"/>
      <c r="CX144" s="53"/>
      <c r="CY144" s="109"/>
      <c r="CZ144" s="54"/>
      <c r="DA144" s="105"/>
      <c r="DB144" s="455"/>
      <c r="DC144" s="495"/>
      <c r="DD144" s="26"/>
      <c r="DF144" s="1133"/>
      <c r="DG144" s="674"/>
      <c r="DH144" s="1119">
        <f t="shared" si="224"/>
        <v>0</v>
      </c>
      <c r="DI144" s="1119"/>
      <c r="DJ144" s="101">
        <f t="shared" si="225"/>
        <v>50</v>
      </c>
      <c r="DK144" s="101"/>
      <c r="DL144" s="101"/>
      <c r="DM144" s="101"/>
      <c r="DN144" s="112"/>
      <c r="DO144" s="112"/>
      <c r="DP144" s="112"/>
      <c r="DQ144" s="112"/>
    </row>
    <row r="145" spans="1:130" ht="44.25" customHeight="1" x14ac:dyDescent="0.25">
      <c r="A145" s="4"/>
      <c r="B145" s="4"/>
      <c r="C145" s="166" t="s">
        <v>330</v>
      </c>
      <c r="D145" s="166"/>
      <c r="E145" s="3" t="s">
        <v>874</v>
      </c>
      <c r="F145" s="162"/>
      <c r="G145" s="162"/>
      <c r="H145" s="162"/>
      <c r="I145" s="162"/>
      <c r="J145" s="162"/>
      <c r="K145" s="162"/>
      <c r="L145" s="163"/>
      <c r="M145" s="589"/>
      <c r="N145" s="46"/>
      <c r="O145" s="164"/>
      <c r="P145" s="165"/>
      <c r="Q145" s="165"/>
      <c r="R145" s="165"/>
      <c r="S145" s="203"/>
      <c r="T145" s="89"/>
      <c r="U145" s="89"/>
      <c r="V145" s="89"/>
      <c r="W145" s="137"/>
      <c r="X145" s="137"/>
      <c r="Y145" s="90"/>
      <c r="Z145" s="169"/>
      <c r="AA145" s="92"/>
      <c r="AB145" s="92"/>
      <c r="AC145" s="92"/>
      <c r="AD145" s="93"/>
      <c r="AE145" s="93"/>
      <c r="AF145" s="94"/>
      <c r="AG145" s="475"/>
      <c r="AH145" s="99"/>
      <c r="AI145" s="99"/>
      <c r="AJ145" s="138"/>
      <c r="AK145" s="138"/>
      <c r="AL145" s="106"/>
      <c r="AM145" s="105"/>
      <c r="AN145" s="105"/>
      <c r="AO145" s="106"/>
      <c r="AP145" s="105"/>
      <c r="AQ145" s="105"/>
      <c r="AR145" s="106"/>
      <c r="AS145" s="97"/>
      <c r="AT145" s="6"/>
      <c r="AU145" s="105"/>
      <c r="AV145" s="455"/>
      <c r="AW145" s="496"/>
      <c r="AX145" s="508"/>
      <c r="AY145" s="498"/>
      <c r="AZ145" s="100"/>
      <c r="BA145" s="106"/>
      <c r="BB145" s="105"/>
      <c r="BC145" s="105">
        <f t="shared" si="285"/>
        <v>0</v>
      </c>
      <c r="BD145" s="106"/>
      <c r="BE145" s="105">
        <f t="shared" si="291"/>
        <v>0</v>
      </c>
      <c r="BF145" s="106"/>
      <c r="BG145" s="100">
        <f t="shared" si="221"/>
        <v>0</v>
      </c>
      <c r="BH145" s="106"/>
      <c r="BI145" s="100">
        <f t="shared" si="222"/>
        <v>0</v>
      </c>
      <c r="BJ145" s="106"/>
      <c r="BK145" s="101">
        <f t="shared" si="276"/>
        <v>0</v>
      </c>
      <c r="BL145" s="106"/>
      <c r="BM145" s="104"/>
      <c r="BN145" s="104"/>
      <c r="BO145" s="105"/>
      <c r="BP145" s="105"/>
      <c r="BQ145" s="106"/>
      <c r="BR145" s="105"/>
      <c r="BS145" s="105">
        <f t="shared" si="257"/>
        <v>0</v>
      </c>
      <c r="BT145" s="106"/>
      <c r="BU145" s="53"/>
      <c r="BV145" s="53">
        <f t="shared" si="287"/>
        <v>0</v>
      </c>
      <c r="BW145" s="54"/>
      <c r="BX145" s="350">
        <f t="shared" si="277"/>
        <v>0</v>
      </c>
      <c r="BY145" s="211"/>
      <c r="BZ145" s="211">
        <f t="shared" si="226"/>
        <v>0</v>
      </c>
      <c r="CA145" s="508"/>
      <c r="CB145" s="165"/>
      <c r="CC145" s="165"/>
      <c r="CD145" s="203"/>
      <c r="CE145" s="504"/>
      <c r="CF145" s="105"/>
      <c r="CG145" s="105"/>
      <c r="CH145" s="105"/>
      <c r="CI145" s="105"/>
      <c r="CJ145" s="105"/>
      <c r="CK145" s="524"/>
      <c r="CL145" s="53"/>
      <c r="CM145" s="54"/>
      <c r="CN145" s="105">
        <v>240</v>
      </c>
      <c r="CO145" s="100">
        <f t="shared" si="230"/>
        <v>16</v>
      </c>
      <c r="CP145" s="496"/>
      <c r="CQ145" s="439"/>
      <c r="CR145" s="504"/>
      <c r="CS145" s="105"/>
      <c r="CT145" s="105"/>
      <c r="CU145" s="105"/>
      <c r="CV145" s="105"/>
      <c r="CW145" s="105"/>
      <c r="CX145" s="53"/>
      <c r="CY145" s="109"/>
      <c r="CZ145" s="54"/>
      <c r="DA145" s="105"/>
      <c r="DB145" s="455"/>
      <c r="DC145" s="495"/>
      <c r="DD145" s="26"/>
      <c r="DF145" s="1133"/>
      <c r="DG145" s="674"/>
      <c r="DH145" s="1119">
        <f t="shared" si="224"/>
        <v>16</v>
      </c>
      <c r="DI145" s="1119"/>
      <c r="DJ145" s="101">
        <f t="shared" si="225"/>
        <v>16</v>
      </c>
      <c r="DK145" s="101"/>
      <c r="DL145" s="101"/>
      <c r="DM145" s="101"/>
      <c r="DN145" s="112"/>
      <c r="DO145" s="112"/>
      <c r="DP145" s="112"/>
      <c r="DQ145" s="112"/>
    </row>
    <row r="146" spans="1:130" ht="54" customHeight="1" x14ac:dyDescent="0.25">
      <c r="A146" s="4"/>
      <c r="B146" s="4"/>
      <c r="C146" s="166" t="s">
        <v>330</v>
      </c>
      <c r="D146" s="166" t="s">
        <v>431</v>
      </c>
      <c r="E146" s="3" t="s">
        <v>543</v>
      </c>
      <c r="F146" s="162"/>
      <c r="G146" s="162"/>
      <c r="H146" s="162"/>
      <c r="I146" s="162"/>
      <c r="J146" s="162"/>
      <c r="K146" s="162"/>
      <c r="L146" s="163"/>
      <c r="M146" s="414"/>
      <c r="N146" s="46"/>
      <c r="O146" s="164"/>
      <c r="P146" s="165"/>
      <c r="Q146" s="165"/>
      <c r="R146" s="165"/>
      <c r="S146" s="203"/>
      <c r="T146" s="89"/>
      <c r="U146" s="89"/>
      <c r="V146" s="89">
        <f t="shared" si="279"/>
        <v>0</v>
      </c>
      <c r="W146" s="137"/>
      <c r="X146" s="137"/>
      <c r="Y146" s="90">
        <f t="shared" si="280"/>
        <v>0</v>
      </c>
      <c r="Z146" s="169"/>
      <c r="AA146" s="92"/>
      <c r="AB146" s="92"/>
      <c r="AC146" s="92">
        <f t="shared" si="281"/>
        <v>0</v>
      </c>
      <c r="AD146" s="93"/>
      <c r="AE146" s="93"/>
      <c r="AF146" s="94">
        <f t="shared" si="282"/>
        <v>0</v>
      </c>
      <c r="AG146" s="475"/>
      <c r="AH146" s="99"/>
      <c r="AI146" s="99"/>
      <c r="AJ146" s="138"/>
      <c r="AK146" s="138"/>
      <c r="AL146" s="106"/>
      <c r="AM146" s="105"/>
      <c r="AN146" s="105">
        <f t="shared" si="284"/>
        <v>0</v>
      </c>
      <c r="AO146" s="106"/>
      <c r="AP146" s="105"/>
      <c r="AQ146" s="105">
        <f t="shared" si="254"/>
        <v>0</v>
      </c>
      <c r="AR146" s="106"/>
      <c r="AS146" s="97">
        <f t="shared" si="275"/>
        <v>0</v>
      </c>
      <c r="AT146" s="6"/>
      <c r="AU146" s="105"/>
      <c r="AV146" s="455">
        <f t="shared" si="227"/>
        <v>0</v>
      </c>
      <c r="AW146" s="496"/>
      <c r="AX146" s="508"/>
      <c r="AY146" s="498"/>
      <c r="AZ146" s="100"/>
      <c r="BA146" s="106"/>
      <c r="BB146" s="105"/>
      <c r="BC146" s="105">
        <f t="shared" si="285"/>
        <v>0</v>
      </c>
      <c r="BD146" s="106"/>
      <c r="BE146" s="105">
        <f>AK146+AZ146</f>
        <v>0</v>
      </c>
      <c r="BF146" s="106"/>
      <c r="BG146" s="100">
        <f t="shared" si="221"/>
        <v>0</v>
      </c>
      <c r="BH146" s="106"/>
      <c r="BI146" s="100">
        <f t="shared" si="222"/>
        <v>0</v>
      </c>
      <c r="BJ146" s="106"/>
      <c r="BK146" s="101">
        <f t="shared" si="276"/>
        <v>0</v>
      </c>
      <c r="BL146" s="106"/>
      <c r="BM146" s="104">
        <v>1250</v>
      </c>
      <c r="BN146" s="104">
        <f t="shared" si="286"/>
        <v>25</v>
      </c>
      <c r="BO146" s="105"/>
      <c r="BP146" s="105">
        <f t="shared" si="229"/>
        <v>0</v>
      </c>
      <c r="BQ146" s="106"/>
      <c r="BR146" s="105"/>
      <c r="BS146" s="105">
        <f t="shared" si="257"/>
        <v>0</v>
      </c>
      <c r="BT146" s="106"/>
      <c r="BU146" s="53"/>
      <c r="BV146" s="53">
        <f t="shared" si="287"/>
        <v>0</v>
      </c>
      <c r="BW146" s="54"/>
      <c r="BX146" s="350">
        <f t="shared" si="277"/>
        <v>0</v>
      </c>
      <c r="BY146" s="211"/>
      <c r="BZ146" s="211">
        <f t="shared" si="226"/>
        <v>0</v>
      </c>
      <c r="CA146" s="508"/>
      <c r="CB146" s="165"/>
      <c r="CC146" s="165"/>
      <c r="CD146" s="203"/>
      <c r="CE146" s="504"/>
      <c r="CF146" s="105"/>
      <c r="CG146" s="105">
        <f t="shared" si="201"/>
        <v>0</v>
      </c>
      <c r="CH146" s="105"/>
      <c r="CI146" s="105"/>
      <c r="CJ146" s="105">
        <f t="shared" si="202"/>
        <v>0</v>
      </c>
      <c r="CK146" s="524"/>
      <c r="CL146" s="53">
        <f t="shared" si="288"/>
        <v>0</v>
      </c>
      <c r="CM146" s="54"/>
      <c r="CN146" s="105"/>
      <c r="CO146" s="100">
        <f t="shared" si="230"/>
        <v>0</v>
      </c>
      <c r="CP146" s="496"/>
      <c r="CQ146" s="439"/>
      <c r="CR146" s="504"/>
      <c r="CS146" s="105"/>
      <c r="CT146" s="105">
        <f t="shared" si="289"/>
        <v>0</v>
      </c>
      <c r="CU146" s="105"/>
      <c r="CV146" s="105"/>
      <c r="CW146" s="105">
        <f t="shared" si="290"/>
        <v>0</v>
      </c>
      <c r="CX146" s="53"/>
      <c r="CY146" s="109">
        <f t="shared" si="231"/>
        <v>0</v>
      </c>
      <c r="CZ146" s="54"/>
      <c r="DA146" s="105"/>
      <c r="DB146" s="455">
        <f t="shared" si="278"/>
        <v>0</v>
      </c>
      <c r="DC146" s="495"/>
      <c r="DD146" s="26"/>
      <c r="DF146" s="1133"/>
      <c r="DG146" s="674">
        <f t="shared" si="223"/>
        <v>0</v>
      </c>
      <c r="DH146" s="1119">
        <f t="shared" si="224"/>
        <v>0</v>
      </c>
      <c r="DI146" s="1119"/>
      <c r="DJ146" s="101">
        <f t="shared" si="225"/>
        <v>0</v>
      </c>
      <c r="DK146" s="101"/>
      <c r="DL146" s="101">
        <f t="shared" si="220"/>
        <v>0</v>
      </c>
      <c r="DM146" s="101"/>
      <c r="DN146" s="112"/>
      <c r="DO146" s="112"/>
      <c r="DP146" s="112"/>
      <c r="DQ146" s="112"/>
    </row>
    <row r="147" spans="1:130" ht="58.5" customHeight="1" x14ac:dyDescent="0.25">
      <c r="A147" s="4"/>
      <c r="B147" s="4"/>
      <c r="C147" s="166" t="s">
        <v>330</v>
      </c>
      <c r="D147" s="166" t="s">
        <v>431</v>
      </c>
      <c r="E147" s="3" t="s">
        <v>544</v>
      </c>
      <c r="F147" s="162"/>
      <c r="G147" s="162"/>
      <c r="H147" s="162"/>
      <c r="I147" s="162"/>
      <c r="J147" s="162"/>
      <c r="K147" s="162"/>
      <c r="L147" s="163"/>
      <c r="M147" s="414"/>
      <c r="N147" s="46"/>
      <c r="O147" s="164"/>
      <c r="P147" s="165"/>
      <c r="Q147" s="165"/>
      <c r="R147" s="165"/>
      <c r="S147" s="203"/>
      <c r="T147" s="89"/>
      <c r="U147" s="89"/>
      <c r="V147" s="89">
        <f t="shared" si="279"/>
        <v>0</v>
      </c>
      <c r="W147" s="137"/>
      <c r="X147" s="137"/>
      <c r="Y147" s="90">
        <f t="shared" si="280"/>
        <v>0</v>
      </c>
      <c r="Z147" s="169"/>
      <c r="AA147" s="92"/>
      <c r="AB147" s="92"/>
      <c r="AC147" s="92">
        <f t="shared" si="281"/>
        <v>0</v>
      </c>
      <c r="AD147" s="93"/>
      <c r="AE147" s="93"/>
      <c r="AF147" s="94">
        <f t="shared" si="282"/>
        <v>0</v>
      </c>
      <c r="AG147" s="475"/>
      <c r="AH147" s="99"/>
      <c r="AI147" s="99"/>
      <c r="AJ147" s="138"/>
      <c r="AK147" s="138"/>
      <c r="AL147" s="106"/>
      <c r="AM147" s="105"/>
      <c r="AN147" s="105">
        <f t="shared" si="284"/>
        <v>0</v>
      </c>
      <c r="AO147" s="106"/>
      <c r="AP147" s="105"/>
      <c r="AQ147" s="105">
        <f t="shared" si="254"/>
        <v>0</v>
      </c>
      <c r="AR147" s="106"/>
      <c r="AS147" s="97">
        <f t="shared" si="275"/>
        <v>0</v>
      </c>
      <c r="AT147" s="6"/>
      <c r="AU147" s="105"/>
      <c r="AV147" s="455">
        <f t="shared" si="227"/>
        <v>0</v>
      </c>
      <c r="AW147" s="496"/>
      <c r="AX147" s="508"/>
      <c r="AY147" s="498"/>
      <c r="AZ147" s="100">
        <f>AY147/15</f>
        <v>0</v>
      </c>
      <c r="BA147" s="106"/>
      <c r="BB147" s="105"/>
      <c r="BC147" s="105">
        <f t="shared" si="285"/>
        <v>0</v>
      </c>
      <c r="BD147" s="106"/>
      <c r="BE147" s="105">
        <f>AK147+AZ147</f>
        <v>0</v>
      </c>
      <c r="BF147" s="106"/>
      <c r="BG147" s="100">
        <f t="shared" si="221"/>
        <v>0</v>
      </c>
      <c r="BH147" s="106"/>
      <c r="BI147" s="100">
        <f t="shared" si="222"/>
        <v>0</v>
      </c>
      <c r="BJ147" s="106"/>
      <c r="BK147" s="101">
        <f t="shared" si="276"/>
        <v>0</v>
      </c>
      <c r="BL147" s="106"/>
      <c r="BM147" s="104">
        <v>1250</v>
      </c>
      <c r="BN147" s="104">
        <f t="shared" si="286"/>
        <v>25</v>
      </c>
      <c r="BO147" s="105"/>
      <c r="BP147" s="105">
        <f t="shared" si="229"/>
        <v>0</v>
      </c>
      <c r="BQ147" s="106"/>
      <c r="BR147" s="105"/>
      <c r="BS147" s="105">
        <f t="shared" si="257"/>
        <v>0</v>
      </c>
      <c r="BT147" s="106"/>
      <c r="BU147" s="53"/>
      <c r="BV147" s="53">
        <f t="shared" si="287"/>
        <v>0</v>
      </c>
      <c r="BW147" s="54"/>
      <c r="BX147" s="350">
        <f t="shared" si="277"/>
        <v>0</v>
      </c>
      <c r="BY147" s="211"/>
      <c r="BZ147" s="211">
        <f t="shared" si="226"/>
        <v>0</v>
      </c>
      <c r="CA147" s="508"/>
      <c r="CB147" s="165"/>
      <c r="CC147" s="165"/>
      <c r="CD147" s="203"/>
      <c r="CE147" s="504"/>
      <c r="CF147" s="105"/>
      <c r="CG147" s="105">
        <f t="shared" si="201"/>
        <v>0</v>
      </c>
      <c r="CH147" s="105"/>
      <c r="CI147" s="105"/>
      <c r="CJ147" s="105">
        <f t="shared" si="202"/>
        <v>0</v>
      </c>
      <c r="CK147" s="524"/>
      <c r="CL147" s="53">
        <f t="shared" si="288"/>
        <v>0</v>
      </c>
      <c r="CM147" s="54"/>
      <c r="CN147" s="105"/>
      <c r="CO147" s="100">
        <f t="shared" si="230"/>
        <v>0</v>
      </c>
      <c r="CP147" s="496"/>
      <c r="CQ147" s="439"/>
      <c r="CR147" s="504"/>
      <c r="CS147" s="105"/>
      <c r="CT147" s="105">
        <f t="shared" si="289"/>
        <v>0</v>
      </c>
      <c r="CU147" s="105"/>
      <c r="CV147" s="105"/>
      <c r="CW147" s="105">
        <f t="shared" si="290"/>
        <v>0</v>
      </c>
      <c r="CX147" s="53"/>
      <c r="CY147" s="109">
        <f t="shared" si="231"/>
        <v>0</v>
      </c>
      <c r="CZ147" s="54"/>
      <c r="DA147" s="105"/>
      <c r="DB147" s="455">
        <f t="shared" si="278"/>
        <v>0</v>
      </c>
      <c r="DC147" s="495"/>
      <c r="DD147" s="26"/>
      <c r="DF147" s="1133"/>
      <c r="DG147" s="674">
        <f t="shared" si="223"/>
        <v>0</v>
      </c>
      <c r="DH147" s="1119">
        <f t="shared" si="224"/>
        <v>0</v>
      </c>
      <c r="DI147" s="1119"/>
      <c r="DJ147" s="101">
        <f>DC147+CO147+CL147+BC147+AZ147+AV147+AS147</f>
        <v>0</v>
      </c>
      <c r="DK147" s="101"/>
      <c r="DL147" s="101">
        <f t="shared" si="220"/>
        <v>0</v>
      </c>
      <c r="DM147" s="101"/>
      <c r="DN147" s="112"/>
      <c r="DO147" s="112"/>
      <c r="DP147" s="112"/>
      <c r="DQ147" s="112"/>
    </row>
    <row r="148" spans="1:130" ht="42.75" customHeight="1" x14ac:dyDescent="0.25">
      <c r="A148" s="4"/>
      <c r="B148" s="4"/>
      <c r="C148" s="166" t="s">
        <v>330</v>
      </c>
      <c r="D148" s="166" t="s">
        <v>431</v>
      </c>
      <c r="E148" s="3" t="s">
        <v>332</v>
      </c>
      <c r="F148" s="162"/>
      <c r="G148" s="162"/>
      <c r="H148" s="162"/>
      <c r="I148" s="162"/>
      <c r="J148" s="162"/>
      <c r="K148" s="162"/>
      <c r="L148" s="163"/>
      <c r="M148" s="414"/>
      <c r="N148" s="46"/>
      <c r="O148" s="164"/>
      <c r="P148" s="165"/>
      <c r="Q148" s="165"/>
      <c r="R148" s="165"/>
      <c r="S148" s="203"/>
      <c r="T148" s="89"/>
      <c r="U148" s="89"/>
      <c r="V148" s="89">
        <f t="shared" si="279"/>
        <v>0</v>
      </c>
      <c r="W148" s="137"/>
      <c r="X148" s="137"/>
      <c r="Y148" s="90">
        <f t="shared" si="280"/>
        <v>0</v>
      </c>
      <c r="Z148" s="169"/>
      <c r="AA148" s="92"/>
      <c r="AB148" s="92"/>
      <c r="AC148" s="92">
        <f t="shared" si="281"/>
        <v>0</v>
      </c>
      <c r="AD148" s="93"/>
      <c r="AE148" s="93"/>
      <c r="AF148" s="94">
        <f t="shared" si="282"/>
        <v>0</v>
      </c>
      <c r="AG148" s="475"/>
      <c r="AH148" s="99"/>
      <c r="AI148" s="99">
        <f t="shared" si="283"/>
        <v>0</v>
      </c>
      <c r="AJ148" s="138"/>
      <c r="AK148" s="138">
        <f>AJ148/15</f>
        <v>0</v>
      </c>
      <c r="AL148" s="106"/>
      <c r="AM148" s="105"/>
      <c r="AN148" s="105">
        <f t="shared" si="284"/>
        <v>0</v>
      </c>
      <c r="AO148" s="106"/>
      <c r="AP148" s="105"/>
      <c r="AQ148" s="105">
        <f t="shared" si="254"/>
        <v>0</v>
      </c>
      <c r="AR148" s="106"/>
      <c r="AS148" s="97">
        <f t="shared" si="275"/>
        <v>0</v>
      </c>
      <c r="AT148" s="6"/>
      <c r="AU148" s="105"/>
      <c r="AV148" s="455">
        <f t="shared" si="227"/>
        <v>0</v>
      </c>
      <c r="AW148" s="496"/>
      <c r="AX148" s="508"/>
      <c r="AY148" s="498"/>
      <c r="AZ148" s="100">
        <f>AY148/15</f>
        <v>0</v>
      </c>
      <c r="BA148" s="106"/>
      <c r="BB148" s="105">
        <v>375</v>
      </c>
      <c r="BC148" s="105">
        <f t="shared" si="285"/>
        <v>25</v>
      </c>
      <c r="BD148" s="106"/>
      <c r="BE148" s="105">
        <f>AK148+AZ148</f>
        <v>0</v>
      </c>
      <c r="BF148" s="106"/>
      <c r="BG148" s="100">
        <f t="shared" si="221"/>
        <v>25</v>
      </c>
      <c r="BH148" s="106"/>
      <c r="BI148" s="100">
        <f t="shared" si="222"/>
        <v>0</v>
      </c>
      <c r="BJ148" s="106"/>
      <c r="BK148" s="101">
        <f t="shared" si="276"/>
        <v>25</v>
      </c>
      <c r="BL148" s="106"/>
      <c r="BM148" s="104">
        <v>1250</v>
      </c>
      <c r="BN148" s="104">
        <f t="shared" si="286"/>
        <v>25</v>
      </c>
      <c r="BO148" s="105"/>
      <c r="BP148" s="105">
        <f t="shared" si="229"/>
        <v>0</v>
      </c>
      <c r="BQ148" s="106"/>
      <c r="BR148" s="105">
        <v>1225</v>
      </c>
      <c r="BS148" s="105">
        <f t="shared" si="257"/>
        <v>24.5</v>
      </c>
      <c r="BT148" s="106"/>
      <c r="BU148" s="53">
        <v>25</v>
      </c>
      <c r="BV148" s="53">
        <f t="shared" si="287"/>
        <v>0.5</v>
      </c>
      <c r="BW148" s="54"/>
      <c r="BX148" s="350">
        <f t="shared" si="277"/>
        <v>25</v>
      </c>
      <c r="BY148" s="211"/>
      <c r="BZ148" s="211">
        <f t="shared" si="226"/>
        <v>0</v>
      </c>
      <c r="CA148" s="508"/>
      <c r="CB148" s="165"/>
      <c r="CC148" s="165"/>
      <c r="CD148" s="203"/>
      <c r="CE148" s="504"/>
      <c r="CF148" s="105"/>
      <c r="CG148" s="105">
        <f t="shared" si="201"/>
        <v>0</v>
      </c>
      <c r="CH148" s="105"/>
      <c r="CI148" s="105"/>
      <c r="CJ148" s="105">
        <f t="shared" si="202"/>
        <v>0</v>
      </c>
      <c r="CK148" s="524"/>
      <c r="CL148" s="53">
        <f t="shared" si="288"/>
        <v>0</v>
      </c>
      <c r="CM148" s="54"/>
      <c r="CN148" s="105"/>
      <c r="CO148" s="100">
        <f t="shared" si="230"/>
        <v>0</v>
      </c>
      <c r="CP148" s="496"/>
      <c r="CQ148" s="439"/>
      <c r="CR148" s="504"/>
      <c r="CS148" s="105"/>
      <c r="CT148" s="105">
        <f t="shared" si="289"/>
        <v>0</v>
      </c>
      <c r="CU148" s="105"/>
      <c r="CV148" s="105"/>
      <c r="CW148" s="105">
        <f t="shared" si="290"/>
        <v>0</v>
      </c>
      <c r="CX148" s="53"/>
      <c r="CY148" s="109">
        <f t="shared" si="231"/>
        <v>0</v>
      </c>
      <c r="CZ148" s="54"/>
      <c r="DA148" s="105"/>
      <c r="DB148" s="455">
        <f t="shared" si="278"/>
        <v>0</v>
      </c>
      <c r="DC148" s="495"/>
      <c r="DD148" s="26"/>
      <c r="DF148" s="1133"/>
      <c r="DG148" s="674">
        <f t="shared" si="223"/>
        <v>0</v>
      </c>
      <c r="DH148" s="1119">
        <f t="shared" si="224"/>
        <v>25</v>
      </c>
      <c r="DI148" s="1119"/>
      <c r="DJ148" s="101">
        <f t="shared" si="225"/>
        <v>25</v>
      </c>
      <c r="DK148" s="101"/>
      <c r="DL148" s="101">
        <f t="shared" ref="DL148:DL180" si="292">CT148+CG148+AC148</f>
        <v>0</v>
      </c>
      <c r="DM148" s="101"/>
      <c r="DN148" s="112"/>
      <c r="DO148" s="112"/>
      <c r="DP148" s="112"/>
      <c r="DQ148" s="112"/>
    </row>
    <row r="149" spans="1:130" s="151" customFormat="1" ht="21.6" customHeight="1" x14ac:dyDescent="0.25">
      <c r="A149" s="141"/>
      <c r="B149" s="141"/>
      <c r="C149" s="159"/>
      <c r="D149" s="143"/>
      <c r="E149" s="22"/>
      <c r="F149" s="144"/>
      <c r="G149" s="144"/>
      <c r="H149" s="144"/>
      <c r="I149" s="144"/>
      <c r="J149" s="144"/>
      <c r="K149" s="144"/>
      <c r="L149" s="145"/>
      <c r="M149" s="146"/>
      <c r="N149" s="147"/>
      <c r="O149" s="131"/>
      <c r="P149" s="148"/>
      <c r="Q149" s="148"/>
      <c r="R149" s="148"/>
      <c r="S149" s="148"/>
      <c r="T149" s="123"/>
      <c r="U149" s="123"/>
      <c r="V149" s="123"/>
      <c r="W149" s="149"/>
      <c r="X149" s="149"/>
      <c r="Y149" s="124"/>
      <c r="Z149" s="125"/>
      <c r="AA149" s="123"/>
      <c r="AB149" s="123"/>
      <c r="AC149" s="123"/>
      <c r="AD149" s="124"/>
      <c r="AE149" s="124"/>
      <c r="AF149" s="126"/>
      <c r="AG149" s="474"/>
      <c r="AH149" s="129"/>
      <c r="AI149" s="129"/>
      <c r="AJ149" s="138"/>
      <c r="AK149" s="138"/>
      <c r="AL149" s="106"/>
      <c r="AM149" s="105"/>
      <c r="AN149" s="105"/>
      <c r="AO149" s="106"/>
      <c r="AP149" s="105"/>
      <c r="AQ149" s="105">
        <f t="shared" si="254"/>
        <v>0</v>
      </c>
      <c r="AR149" s="106"/>
      <c r="AS149" s="97">
        <f t="shared" si="275"/>
        <v>0</v>
      </c>
      <c r="AT149" s="6"/>
      <c r="AU149" s="105"/>
      <c r="AV149" s="455">
        <f t="shared" si="227"/>
        <v>0</v>
      </c>
      <c r="AW149" s="496"/>
      <c r="AX149" s="508"/>
      <c r="AY149" s="498"/>
      <c r="AZ149" s="100"/>
      <c r="BA149" s="101"/>
      <c r="BB149" s="100"/>
      <c r="BC149" s="100"/>
      <c r="BD149" s="101"/>
      <c r="BE149" s="105"/>
      <c r="BF149" s="106"/>
      <c r="BG149" s="100">
        <f t="shared" si="221"/>
        <v>0</v>
      </c>
      <c r="BH149" s="106"/>
      <c r="BI149" s="100">
        <f t="shared" si="222"/>
        <v>0</v>
      </c>
      <c r="BJ149" s="106"/>
      <c r="BK149" s="101">
        <f t="shared" si="276"/>
        <v>0</v>
      </c>
      <c r="BL149" s="106"/>
      <c r="BM149" s="130"/>
      <c r="BN149" s="130"/>
      <c r="BO149" s="105"/>
      <c r="BP149" s="105">
        <f t="shared" si="229"/>
        <v>0</v>
      </c>
      <c r="BQ149" s="106"/>
      <c r="BR149" s="105"/>
      <c r="BS149" s="105"/>
      <c r="BT149" s="106"/>
      <c r="BU149" s="53"/>
      <c r="BV149" s="53"/>
      <c r="BW149" s="54"/>
      <c r="BX149" s="350">
        <f t="shared" si="277"/>
        <v>0</v>
      </c>
      <c r="BY149" s="194"/>
      <c r="BZ149" s="194">
        <f t="shared" si="226"/>
        <v>0</v>
      </c>
      <c r="CA149" s="536"/>
      <c r="CB149" s="148"/>
      <c r="CC149" s="148"/>
      <c r="CD149" s="148"/>
      <c r="CE149" s="504"/>
      <c r="CF149" s="105"/>
      <c r="CG149" s="105">
        <f t="shared" si="201"/>
        <v>0</v>
      </c>
      <c r="CH149" s="105"/>
      <c r="CI149" s="105"/>
      <c r="CJ149" s="105">
        <f t="shared" si="202"/>
        <v>0</v>
      </c>
      <c r="CK149" s="523"/>
      <c r="CL149" s="102"/>
      <c r="CM149" s="103"/>
      <c r="CN149" s="100"/>
      <c r="CO149" s="100">
        <f t="shared" si="230"/>
        <v>0</v>
      </c>
      <c r="CP149" s="515"/>
      <c r="CQ149" s="441"/>
      <c r="CR149" s="504"/>
      <c r="CS149" s="105"/>
      <c r="CT149" s="105">
        <f t="shared" si="289"/>
        <v>0</v>
      </c>
      <c r="CU149" s="105"/>
      <c r="CV149" s="105"/>
      <c r="CW149" s="105">
        <f t="shared" si="290"/>
        <v>0</v>
      </c>
      <c r="CX149" s="53"/>
      <c r="CY149" s="109">
        <f t="shared" si="231"/>
        <v>0</v>
      </c>
      <c r="CZ149" s="54"/>
      <c r="DA149" s="105"/>
      <c r="DB149" s="455">
        <f t="shared" si="278"/>
        <v>0</v>
      </c>
      <c r="DC149" s="495"/>
      <c r="DD149" s="38"/>
      <c r="DF149" s="1133"/>
      <c r="DG149" s="674">
        <f t="shared" si="223"/>
        <v>0</v>
      </c>
      <c r="DH149" s="1119">
        <f t="shared" si="224"/>
        <v>0</v>
      </c>
      <c r="DI149" s="1119"/>
      <c r="DJ149" s="101">
        <f t="shared" ref="DJ149:DJ180" si="293">DC149+CO149+CL149+BC149+AZ149+AV149+AS149</f>
        <v>0</v>
      </c>
      <c r="DK149" s="101"/>
      <c r="DL149" s="101">
        <f t="shared" si="292"/>
        <v>0</v>
      </c>
      <c r="DM149" s="101"/>
      <c r="DN149" s="112"/>
      <c r="DO149" s="112"/>
      <c r="DP149" s="112"/>
      <c r="DQ149" s="112"/>
      <c r="DS149" s="152"/>
      <c r="DT149" s="152"/>
      <c r="DU149" s="152"/>
      <c r="DV149" s="152"/>
      <c r="DW149" s="152"/>
      <c r="DX149" s="152"/>
      <c r="DY149" s="152"/>
      <c r="DZ149" s="152"/>
    </row>
    <row r="150" spans="1:130" ht="21.6" customHeight="1" x14ac:dyDescent="0.25">
      <c r="A150" s="4" t="s">
        <v>28</v>
      </c>
      <c r="B150" s="4">
        <v>6</v>
      </c>
      <c r="C150" s="166" t="s">
        <v>85</v>
      </c>
      <c r="D150" s="166" t="s">
        <v>429</v>
      </c>
      <c r="E150" s="1" t="s">
        <v>90</v>
      </c>
      <c r="F150" s="162">
        <v>196</v>
      </c>
      <c r="G150" s="162">
        <v>9</v>
      </c>
      <c r="H150" s="162">
        <f>F150+G150</f>
        <v>205</v>
      </c>
      <c r="I150" s="162">
        <v>215</v>
      </c>
      <c r="J150" s="162"/>
      <c r="K150" s="162">
        <f>I150+J150</f>
        <v>215</v>
      </c>
      <c r="L150" s="163"/>
      <c r="M150" s="414"/>
      <c r="N150" s="46"/>
      <c r="O150" s="164"/>
      <c r="P150" s="165"/>
      <c r="Q150" s="165"/>
      <c r="R150" s="165"/>
      <c r="S150" s="203"/>
      <c r="T150" s="89"/>
      <c r="U150" s="89"/>
      <c r="V150" s="89">
        <f t="shared" ref="V150:V162" si="294">T150+U150</f>
        <v>0</v>
      </c>
      <c r="W150" s="137"/>
      <c r="X150" s="137"/>
      <c r="Y150" s="90">
        <f>W150+X150</f>
        <v>0</v>
      </c>
      <c r="Z150" s="169"/>
      <c r="AA150" s="92"/>
      <c r="AB150" s="92"/>
      <c r="AC150" s="92">
        <f t="shared" ref="AC150:AC162" si="295">AA150+AB150</f>
        <v>0</v>
      </c>
      <c r="AD150" s="93"/>
      <c r="AE150" s="93"/>
      <c r="AF150" s="94">
        <f t="shared" ref="AF150:AF162" si="296">AD150+AE150</f>
        <v>0</v>
      </c>
      <c r="AG150" s="475"/>
      <c r="AH150" s="99"/>
      <c r="AI150" s="99">
        <f>AH150/15</f>
        <v>0</v>
      </c>
      <c r="AJ150" s="138">
        <v>995</v>
      </c>
      <c r="AK150" s="138">
        <f t="shared" ref="AK150:AK162" si="297">AJ150/15</f>
        <v>66.333333333333329</v>
      </c>
      <c r="AL150" s="106">
        <f>SUM(AK150:AK162)</f>
        <v>129.66666666666666</v>
      </c>
      <c r="AM150" s="105"/>
      <c r="AN150" s="105">
        <f t="shared" ref="AN150:AN162" si="298">AM150/15</f>
        <v>0</v>
      </c>
      <c r="AO150" s="106">
        <f>SUM(AN150:AN162)</f>
        <v>159.33333333333331</v>
      </c>
      <c r="AP150" s="105">
        <v>135</v>
      </c>
      <c r="AQ150" s="105">
        <f t="shared" si="254"/>
        <v>9</v>
      </c>
      <c r="AR150" s="106">
        <f>SUM(AQ150:AQ162)</f>
        <v>64</v>
      </c>
      <c r="AS150" s="97">
        <f t="shared" si="275"/>
        <v>75.333333333333329</v>
      </c>
      <c r="AT150" s="6">
        <f>SUM(AS150:AS162)</f>
        <v>352.99999999999994</v>
      </c>
      <c r="AU150" s="105"/>
      <c r="AV150" s="455">
        <f t="shared" si="227"/>
        <v>0</v>
      </c>
      <c r="AW150" s="496">
        <f>SUM(AV150:AV162)</f>
        <v>21.666666666666664</v>
      </c>
      <c r="AX150" s="508"/>
      <c r="AY150" s="498">
        <v>875</v>
      </c>
      <c r="AZ150" s="100">
        <f t="shared" ref="AZ150:AZ162" si="299">AY150/15</f>
        <v>58.333333333333336</v>
      </c>
      <c r="BA150" s="106">
        <f>SUM(AZ150:AZ162)</f>
        <v>138.33333333333334</v>
      </c>
      <c r="BB150" s="105"/>
      <c r="BC150" s="105">
        <f t="shared" ref="BC150:BC162" si="300">BB150/15</f>
        <v>0</v>
      </c>
      <c r="BD150" s="106">
        <f>SUM(BC150:BC162)</f>
        <v>59.666666666666664</v>
      </c>
      <c r="BE150" s="105">
        <f>AK150+AZ150</f>
        <v>124.66666666666666</v>
      </c>
      <c r="BF150" s="106">
        <f>SUM(BE150:BE162)</f>
        <v>268</v>
      </c>
      <c r="BG150" s="100">
        <f t="shared" si="221"/>
        <v>9</v>
      </c>
      <c r="BH150" s="106">
        <f>SUM(BG150:BG162)</f>
        <v>283</v>
      </c>
      <c r="BI150" s="100">
        <f t="shared" si="222"/>
        <v>0</v>
      </c>
      <c r="BJ150" s="106">
        <f>SUM(BI150:BI162)</f>
        <v>21.666666666666664</v>
      </c>
      <c r="BK150" s="101">
        <f t="shared" si="276"/>
        <v>133.66666666666666</v>
      </c>
      <c r="BL150" s="106">
        <f>SUM(BK150:BK162)</f>
        <v>572.66666666666674</v>
      </c>
      <c r="BM150" s="104"/>
      <c r="BN150" s="104">
        <f t="shared" ref="BN150:BN162" si="301">BM150/50</f>
        <v>0</v>
      </c>
      <c r="BO150" s="105">
        <v>6200</v>
      </c>
      <c r="BP150" s="105">
        <f t="shared" si="229"/>
        <v>124</v>
      </c>
      <c r="BQ150" s="106">
        <f>SUM(BP150:BP162)</f>
        <v>189</v>
      </c>
      <c r="BR150" s="105">
        <v>450</v>
      </c>
      <c r="BS150" s="105">
        <f t="shared" si="257"/>
        <v>9</v>
      </c>
      <c r="BT150" s="106">
        <f>SUM(BS150:BS162)</f>
        <v>381</v>
      </c>
      <c r="BU150" s="53"/>
      <c r="BV150" s="53">
        <f t="shared" ref="BV150:BV162" si="302">BU150/50</f>
        <v>0</v>
      </c>
      <c r="BW150" s="54">
        <f>SUM(BV150:BV162)</f>
        <v>0</v>
      </c>
      <c r="BX150" s="350">
        <f t="shared" si="277"/>
        <v>133</v>
      </c>
      <c r="BY150" s="211">
        <f>SUM(BX150:BX162)</f>
        <v>570</v>
      </c>
      <c r="BZ150" s="211">
        <f t="shared" ref="BZ150:BZ185" si="303">BK150-BX150</f>
        <v>0.66666666666665719</v>
      </c>
      <c r="CA150" s="508"/>
      <c r="CB150" s="165"/>
      <c r="CC150" s="165"/>
      <c r="CD150" s="203"/>
      <c r="CE150" s="504"/>
      <c r="CF150" s="105"/>
      <c r="CG150" s="105">
        <f t="shared" si="201"/>
        <v>0</v>
      </c>
      <c r="CH150" s="105"/>
      <c r="CI150" s="105"/>
      <c r="CJ150" s="105">
        <f t="shared" si="202"/>
        <v>0</v>
      </c>
      <c r="CK150" s="524"/>
      <c r="CL150" s="53">
        <f t="shared" ref="CL150:CL162" si="304">CK150/15</f>
        <v>0</v>
      </c>
      <c r="CM150" s="54">
        <f>SUM(CL150:CL162)</f>
        <v>0</v>
      </c>
      <c r="CN150" s="105"/>
      <c r="CO150" s="100">
        <f t="shared" si="230"/>
        <v>0</v>
      </c>
      <c r="CP150" s="496">
        <f>SUM(CO150:CO162)</f>
        <v>0.66666666666666663</v>
      </c>
      <c r="CQ150" s="439"/>
      <c r="CR150" s="504"/>
      <c r="CS150" s="105"/>
      <c r="CT150" s="105">
        <f t="shared" si="289"/>
        <v>0</v>
      </c>
      <c r="CU150" s="105"/>
      <c r="CV150" s="105"/>
      <c r="CW150" s="105">
        <f t="shared" si="290"/>
        <v>0</v>
      </c>
      <c r="CX150" s="53"/>
      <c r="CY150" s="109">
        <f t="shared" si="231"/>
        <v>0</v>
      </c>
      <c r="CZ150" s="54">
        <f>SUM(CY150:CY162)</f>
        <v>0</v>
      </c>
      <c r="DA150" s="105"/>
      <c r="DB150" s="455">
        <f t="shared" si="278"/>
        <v>0</v>
      </c>
      <c r="DC150" s="495">
        <f>SUM(DB150:DB162)</f>
        <v>22.666666666666668</v>
      </c>
      <c r="DD150" s="26"/>
      <c r="DF150" s="1133"/>
      <c r="DG150" s="674">
        <f t="shared" si="223"/>
        <v>0</v>
      </c>
      <c r="DH150" s="1119">
        <f t="shared" si="224"/>
        <v>0</v>
      </c>
      <c r="DI150" s="1119"/>
      <c r="DJ150" s="101">
        <f t="shared" si="293"/>
        <v>156.33333333333331</v>
      </c>
      <c r="DK150" s="101">
        <f>SUM(DJ150:DJ162)</f>
        <v>596</v>
      </c>
      <c r="DL150" s="101">
        <f t="shared" si="292"/>
        <v>0</v>
      </c>
      <c r="DM150" s="101">
        <f>DL150</f>
        <v>0</v>
      </c>
      <c r="DN150" s="112">
        <f>DJ150</f>
        <v>156.33333333333331</v>
      </c>
      <c r="DO150" s="112"/>
      <c r="DP150" s="112"/>
      <c r="DQ150" s="112"/>
    </row>
    <row r="151" spans="1:130" ht="21.6" customHeight="1" x14ac:dyDescent="0.25">
      <c r="A151" s="4" t="s">
        <v>28</v>
      </c>
      <c r="B151" s="4">
        <v>4</v>
      </c>
      <c r="C151" s="416" t="s">
        <v>85</v>
      </c>
      <c r="D151" s="416"/>
      <c r="E151" s="417" t="s">
        <v>88</v>
      </c>
      <c r="F151" s="418">
        <v>11</v>
      </c>
      <c r="G151" s="418">
        <v>4</v>
      </c>
      <c r="H151" s="418">
        <f>F151+G151</f>
        <v>15</v>
      </c>
      <c r="I151" s="418">
        <v>18</v>
      </c>
      <c r="J151" s="418"/>
      <c r="K151" s="418">
        <f>I151+J151</f>
        <v>18</v>
      </c>
      <c r="L151" s="163"/>
      <c r="M151" s="415"/>
      <c r="N151" s="419"/>
      <c r="O151" s="420"/>
      <c r="P151" s="421"/>
      <c r="Q151" s="421"/>
      <c r="R151" s="421"/>
      <c r="S151" s="422"/>
      <c r="T151" s="423"/>
      <c r="U151" s="423"/>
      <c r="V151" s="423">
        <f t="shared" si="294"/>
        <v>0</v>
      </c>
      <c r="W151" s="424"/>
      <c r="X151" s="424"/>
      <c r="Y151" s="425">
        <f>W151+X151</f>
        <v>0</v>
      </c>
      <c r="Z151" s="426"/>
      <c r="AA151" s="427"/>
      <c r="AB151" s="427"/>
      <c r="AC151" s="427">
        <f t="shared" si="295"/>
        <v>0</v>
      </c>
      <c r="AD151" s="428"/>
      <c r="AE151" s="428"/>
      <c r="AF151" s="429">
        <f t="shared" si="296"/>
        <v>0</v>
      </c>
      <c r="AG151" s="475"/>
      <c r="AH151" s="99"/>
      <c r="AI151" s="99">
        <f>AH151/15</f>
        <v>0</v>
      </c>
      <c r="AJ151" s="138"/>
      <c r="AK151" s="138">
        <f t="shared" si="297"/>
        <v>0</v>
      </c>
      <c r="AL151" s="106"/>
      <c r="AM151" s="105"/>
      <c r="AN151" s="105">
        <f t="shared" si="298"/>
        <v>0</v>
      </c>
      <c r="AO151" s="106"/>
      <c r="AP151" s="105"/>
      <c r="AQ151" s="105">
        <f t="shared" si="254"/>
        <v>0</v>
      </c>
      <c r="AR151" s="106"/>
      <c r="AS151" s="97">
        <f t="shared" si="275"/>
        <v>0</v>
      </c>
      <c r="AT151" s="6"/>
      <c r="AU151" s="436"/>
      <c r="AV151" s="492">
        <f t="shared" si="227"/>
        <v>0</v>
      </c>
      <c r="AW151" s="516"/>
      <c r="AX151" s="508"/>
      <c r="AY151" s="501"/>
      <c r="AZ151" s="431">
        <f t="shared" si="299"/>
        <v>0</v>
      </c>
      <c r="BA151" s="432"/>
      <c r="BB151" s="436"/>
      <c r="BC151" s="436">
        <f t="shared" si="300"/>
        <v>0</v>
      </c>
      <c r="BD151" s="432"/>
      <c r="BE151" s="436">
        <f>AK151+AZ151</f>
        <v>0</v>
      </c>
      <c r="BF151" s="432"/>
      <c r="BG151" s="100">
        <f t="shared" si="221"/>
        <v>0</v>
      </c>
      <c r="BH151" s="432"/>
      <c r="BI151" s="100">
        <f t="shared" si="222"/>
        <v>0</v>
      </c>
      <c r="BJ151" s="432"/>
      <c r="BK151" s="101">
        <f t="shared" si="276"/>
        <v>0</v>
      </c>
      <c r="BL151" s="432"/>
      <c r="BM151" s="435"/>
      <c r="BN151" s="435">
        <f t="shared" si="301"/>
        <v>0</v>
      </c>
      <c r="BO151" s="436"/>
      <c r="BP151" s="436">
        <f t="shared" si="229"/>
        <v>0</v>
      </c>
      <c r="BQ151" s="432"/>
      <c r="BR151" s="436"/>
      <c r="BS151" s="436">
        <f t="shared" si="257"/>
        <v>0</v>
      </c>
      <c r="BT151" s="432"/>
      <c r="BU151" s="433"/>
      <c r="BV151" s="433">
        <f t="shared" si="302"/>
        <v>0</v>
      </c>
      <c r="BW151" s="434"/>
      <c r="BX151" s="350">
        <f t="shared" si="277"/>
        <v>0</v>
      </c>
      <c r="BY151" s="437"/>
      <c r="BZ151" s="437">
        <f t="shared" si="303"/>
        <v>0</v>
      </c>
      <c r="CA151" s="508"/>
      <c r="CB151" s="421"/>
      <c r="CC151" s="421"/>
      <c r="CD151" s="422"/>
      <c r="CE151" s="545"/>
      <c r="CF151" s="436"/>
      <c r="CG151" s="436">
        <f t="shared" si="201"/>
        <v>0</v>
      </c>
      <c r="CH151" s="436"/>
      <c r="CI151" s="436"/>
      <c r="CJ151" s="436">
        <f t="shared" si="202"/>
        <v>0</v>
      </c>
      <c r="CK151" s="526"/>
      <c r="CL151" s="433">
        <f t="shared" si="304"/>
        <v>0</v>
      </c>
      <c r="CM151" s="434"/>
      <c r="CN151" s="436"/>
      <c r="CO151" s="431">
        <f t="shared" si="230"/>
        <v>0</v>
      </c>
      <c r="CP151" s="516"/>
      <c r="CQ151" s="439"/>
      <c r="CR151" s="545"/>
      <c r="CS151" s="436"/>
      <c r="CT151" s="436">
        <f t="shared" si="289"/>
        <v>0</v>
      </c>
      <c r="CU151" s="436"/>
      <c r="CV151" s="436"/>
      <c r="CW151" s="436">
        <f t="shared" si="290"/>
        <v>0</v>
      </c>
      <c r="CX151" s="433"/>
      <c r="CY151" s="440">
        <f t="shared" si="231"/>
        <v>0</v>
      </c>
      <c r="CZ151" s="434"/>
      <c r="DA151" s="436"/>
      <c r="DB151" s="492">
        <f t="shared" si="278"/>
        <v>0</v>
      </c>
      <c r="DC151" s="1121"/>
      <c r="DD151" s="26"/>
      <c r="DF151" s="1136"/>
      <c r="DG151" s="674">
        <f t="shared" si="223"/>
        <v>0</v>
      </c>
      <c r="DH151" s="1119">
        <f t="shared" si="224"/>
        <v>0</v>
      </c>
      <c r="DI151" s="1119"/>
      <c r="DJ151" s="101">
        <f t="shared" si="293"/>
        <v>0</v>
      </c>
      <c r="DK151" s="101"/>
      <c r="DL151" s="101">
        <f t="shared" si="292"/>
        <v>0</v>
      </c>
      <c r="DM151" s="101"/>
      <c r="DN151" s="112"/>
      <c r="DO151" s="112"/>
      <c r="DP151" s="112"/>
      <c r="DQ151" s="112"/>
    </row>
    <row r="152" spans="1:130" ht="21.6" customHeight="1" x14ac:dyDescent="0.25">
      <c r="A152" s="4"/>
      <c r="B152" s="4"/>
      <c r="C152" s="167" t="s">
        <v>85</v>
      </c>
      <c r="D152" s="167" t="s">
        <v>431</v>
      </c>
      <c r="E152" s="3" t="s">
        <v>313</v>
      </c>
      <c r="F152" s="162"/>
      <c r="G152" s="162"/>
      <c r="H152" s="162"/>
      <c r="I152" s="162"/>
      <c r="J152" s="162"/>
      <c r="K152" s="162"/>
      <c r="L152" s="459"/>
      <c r="M152" s="166"/>
      <c r="N152" s="165"/>
      <c r="O152" s="165"/>
      <c r="P152" s="162"/>
      <c r="Q152" s="162"/>
      <c r="R152" s="162"/>
      <c r="S152" s="460"/>
      <c r="T152" s="461"/>
      <c r="U152" s="461"/>
      <c r="V152" s="462">
        <f t="shared" si="294"/>
        <v>0</v>
      </c>
      <c r="W152" s="461"/>
      <c r="X152" s="461"/>
      <c r="Y152" s="99"/>
      <c r="Z152" s="463"/>
      <c r="AA152" s="394"/>
      <c r="AB152" s="394"/>
      <c r="AC152" s="394">
        <f t="shared" si="295"/>
        <v>0</v>
      </c>
      <c r="AD152" s="138"/>
      <c r="AE152" s="138"/>
      <c r="AF152" s="138">
        <f t="shared" si="296"/>
        <v>0</v>
      </c>
      <c r="AG152" s="480"/>
      <c r="AH152" s="99">
        <f>AI152*15</f>
        <v>210</v>
      </c>
      <c r="AI152" s="99">
        <v>14</v>
      </c>
      <c r="AJ152" s="138"/>
      <c r="AK152" s="138">
        <f t="shared" si="297"/>
        <v>0</v>
      </c>
      <c r="AL152" s="106"/>
      <c r="AM152" s="105">
        <v>210</v>
      </c>
      <c r="AN152" s="105">
        <f t="shared" si="298"/>
        <v>14</v>
      </c>
      <c r="AO152" s="106"/>
      <c r="AP152" s="105"/>
      <c r="AQ152" s="105">
        <f t="shared" si="254"/>
        <v>0</v>
      </c>
      <c r="AR152" s="106"/>
      <c r="AS152" s="97">
        <f t="shared" si="275"/>
        <v>14</v>
      </c>
      <c r="AT152" s="6"/>
      <c r="AU152" s="105"/>
      <c r="AV152" s="100">
        <f t="shared" si="227"/>
        <v>0</v>
      </c>
      <c r="AW152" s="496"/>
      <c r="AX152" s="508"/>
      <c r="AY152" s="499"/>
      <c r="AZ152" s="100">
        <f t="shared" si="299"/>
        <v>0</v>
      </c>
      <c r="BA152" s="106"/>
      <c r="BB152" s="105"/>
      <c r="BC152" s="105">
        <f t="shared" si="300"/>
        <v>0</v>
      </c>
      <c r="BD152" s="106"/>
      <c r="BE152" s="105">
        <f>AK152+AZ152</f>
        <v>0</v>
      </c>
      <c r="BF152" s="106"/>
      <c r="BG152" s="100">
        <f t="shared" si="221"/>
        <v>14</v>
      </c>
      <c r="BH152" s="106"/>
      <c r="BI152" s="100">
        <f t="shared" si="222"/>
        <v>0</v>
      </c>
      <c r="BJ152" s="106"/>
      <c r="BK152" s="101">
        <f t="shared" si="276"/>
        <v>14</v>
      </c>
      <c r="BL152" s="106"/>
      <c r="BM152" s="250" t="s">
        <v>341</v>
      </c>
      <c r="BN152" s="104">
        <f t="shared" si="301"/>
        <v>14</v>
      </c>
      <c r="BO152" s="105"/>
      <c r="BP152" s="105">
        <f t="shared" si="229"/>
        <v>0</v>
      </c>
      <c r="BQ152" s="106"/>
      <c r="BR152" s="105">
        <v>700</v>
      </c>
      <c r="BS152" s="105">
        <f t="shared" si="257"/>
        <v>14</v>
      </c>
      <c r="BT152" s="106"/>
      <c r="BU152" s="53"/>
      <c r="BV152" s="53">
        <f t="shared" si="302"/>
        <v>0</v>
      </c>
      <c r="BW152" s="54"/>
      <c r="BX152" s="350">
        <f t="shared" si="277"/>
        <v>14</v>
      </c>
      <c r="BY152" s="211"/>
      <c r="BZ152" s="211">
        <f t="shared" si="303"/>
        <v>0</v>
      </c>
      <c r="CA152" s="508"/>
      <c r="CB152" s="162"/>
      <c r="CC152" s="162"/>
      <c r="CD152" s="460"/>
      <c r="CE152" s="504"/>
      <c r="CF152" s="105"/>
      <c r="CG152" s="105">
        <f t="shared" si="201"/>
        <v>0</v>
      </c>
      <c r="CH152" s="105"/>
      <c r="CI152" s="105"/>
      <c r="CJ152" s="105">
        <f t="shared" si="202"/>
        <v>0</v>
      </c>
      <c r="CK152" s="524"/>
      <c r="CL152" s="53">
        <f t="shared" si="304"/>
        <v>0</v>
      </c>
      <c r="CM152" s="54"/>
      <c r="CN152" s="105"/>
      <c r="CO152" s="100">
        <f t="shared" si="230"/>
        <v>0</v>
      </c>
      <c r="CP152" s="496"/>
      <c r="CQ152" s="439"/>
      <c r="CR152" s="504"/>
      <c r="CS152" s="105"/>
      <c r="CT152" s="105">
        <f t="shared" si="289"/>
        <v>0</v>
      </c>
      <c r="CU152" s="105"/>
      <c r="CV152" s="105"/>
      <c r="CW152" s="105">
        <f t="shared" si="290"/>
        <v>0</v>
      </c>
      <c r="CX152" s="53"/>
      <c r="CY152" s="102">
        <f t="shared" si="231"/>
        <v>0</v>
      </c>
      <c r="CZ152" s="54"/>
      <c r="DA152" s="105"/>
      <c r="DB152" s="100">
        <f t="shared" si="278"/>
        <v>0</v>
      </c>
      <c r="DC152" s="515"/>
      <c r="DD152" s="8"/>
      <c r="DF152" s="1137"/>
      <c r="DG152" s="674">
        <f t="shared" si="223"/>
        <v>0</v>
      </c>
      <c r="DH152" s="1119">
        <f t="shared" si="224"/>
        <v>0</v>
      </c>
      <c r="DI152" s="1119"/>
      <c r="DJ152" s="101">
        <f t="shared" si="293"/>
        <v>14</v>
      </c>
      <c r="DK152" s="101"/>
      <c r="DL152" s="101">
        <f t="shared" si="292"/>
        <v>0</v>
      </c>
      <c r="DM152" s="101"/>
      <c r="DN152" s="112"/>
      <c r="DO152" s="112"/>
      <c r="DP152" s="112"/>
      <c r="DQ152" s="112"/>
    </row>
    <row r="153" spans="1:130" ht="21.6" customHeight="1" x14ac:dyDescent="0.25">
      <c r="A153" s="4"/>
      <c r="B153" s="4"/>
      <c r="C153" s="167" t="s">
        <v>85</v>
      </c>
      <c r="D153" s="167" t="s">
        <v>429</v>
      </c>
      <c r="E153" s="3" t="s">
        <v>545</v>
      </c>
      <c r="F153" s="162"/>
      <c r="G153" s="162"/>
      <c r="H153" s="162"/>
      <c r="I153" s="162"/>
      <c r="J153" s="162"/>
      <c r="K153" s="162"/>
      <c r="L153" s="459"/>
      <c r="M153" s="166"/>
      <c r="N153" s="165"/>
      <c r="O153" s="165"/>
      <c r="P153" s="162"/>
      <c r="Q153" s="162"/>
      <c r="R153" s="162"/>
      <c r="S153" s="460"/>
      <c r="T153" s="461"/>
      <c r="U153" s="461"/>
      <c r="V153" s="462"/>
      <c r="W153" s="461"/>
      <c r="X153" s="461"/>
      <c r="Y153" s="99"/>
      <c r="Z153" s="463"/>
      <c r="AA153" s="394"/>
      <c r="AB153" s="394"/>
      <c r="AC153" s="394">
        <f t="shared" si="295"/>
        <v>0</v>
      </c>
      <c r="AD153" s="138"/>
      <c r="AE153" s="138"/>
      <c r="AF153" s="138">
        <f t="shared" si="296"/>
        <v>0</v>
      </c>
      <c r="AG153" s="480"/>
      <c r="AH153" s="99"/>
      <c r="AI153" s="99"/>
      <c r="AJ153" s="138">
        <v>380</v>
      </c>
      <c r="AK153" s="138">
        <f t="shared" si="297"/>
        <v>25.333333333333332</v>
      </c>
      <c r="AL153" s="106"/>
      <c r="AM153" s="105"/>
      <c r="AN153" s="105">
        <f t="shared" si="298"/>
        <v>0</v>
      </c>
      <c r="AO153" s="106"/>
      <c r="AP153" s="105"/>
      <c r="AQ153" s="105">
        <f t="shared" si="254"/>
        <v>0</v>
      </c>
      <c r="AR153" s="106"/>
      <c r="AS153" s="97">
        <f t="shared" si="275"/>
        <v>25.333333333333332</v>
      </c>
      <c r="AT153" s="6"/>
      <c r="AU153" s="105"/>
      <c r="AV153" s="100">
        <f t="shared" si="227"/>
        <v>0</v>
      </c>
      <c r="AW153" s="496"/>
      <c r="AX153" s="508"/>
      <c r="AY153" s="499">
        <v>25</v>
      </c>
      <c r="AZ153" s="100">
        <f t="shared" si="299"/>
        <v>1.6666666666666667</v>
      </c>
      <c r="BA153" s="106"/>
      <c r="BB153" s="105"/>
      <c r="BC153" s="105">
        <f t="shared" si="300"/>
        <v>0</v>
      </c>
      <c r="BD153" s="106"/>
      <c r="BE153" s="105">
        <f>AK153+AZ153</f>
        <v>27</v>
      </c>
      <c r="BF153" s="106"/>
      <c r="BG153" s="100">
        <f t="shared" si="221"/>
        <v>0</v>
      </c>
      <c r="BH153" s="106"/>
      <c r="BI153" s="100">
        <f t="shared" si="222"/>
        <v>0</v>
      </c>
      <c r="BJ153" s="106"/>
      <c r="BK153" s="101">
        <f t="shared" si="276"/>
        <v>27</v>
      </c>
      <c r="BL153" s="106"/>
      <c r="BM153" s="250"/>
      <c r="BN153" s="104"/>
      <c r="BO153" s="105">
        <v>1350</v>
      </c>
      <c r="BP153" s="105">
        <f t="shared" si="229"/>
        <v>27</v>
      </c>
      <c r="BQ153" s="106"/>
      <c r="BR153" s="105"/>
      <c r="BS153" s="105">
        <f t="shared" si="257"/>
        <v>0</v>
      </c>
      <c r="BT153" s="106"/>
      <c r="BU153" s="53"/>
      <c r="BV153" s="53">
        <f t="shared" si="302"/>
        <v>0</v>
      </c>
      <c r="BW153" s="54"/>
      <c r="BX153" s="350">
        <f t="shared" si="277"/>
        <v>27</v>
      </c>
      <c r="BY153" s="211"/>
      <c r="BZ153" s="211">
        <f t="shared" si="303"/>
        <v>0</v>
      </c>
      <c r="CA153" s="508"/>
      <c r="CB153" s="162" t="s">
        <v>265</v>
      </c>
      <c r="CC153" s="162" t="s">
        <v>265</v>
      </c>
      <c r="CD153" s="460">
        <v>42523</v>
      </c>
      <c r="CE153" s="504"/>
      <c r="CF153" s="105"/>
      <c r="CG153" s="105">
        <f t="shared" si="201"/>
        <v>0</v>
      </c>
      <c r="CH153" s="105"/>
      <c r="CI153" s="105"/>
      <c r="CJ153" s="105">
        <f t="shared" si="202"/>
        <v>0</v>
      </c>
      <c r="CK153" s="524"/>
      <c r="CL153" s="53">
        <f t="shared" si="304"/>
        <v>0</v>
      </c>
      <c r="CM153" s="54"/>
      <c r="CN153" s="105">
        <v>10</v>
      </c>
      <c r="CO153" s="100">
        <f t="shared" si="230"/>
        <v>0.66666666666666663</v>
      </c>
      <c r="CP153" s="496"/>
      <c r="CQ153" s="439"/>
      <c r="CR153" s="504"/>
      <c r="CS153" s="105"/>
      <c r="CT153" s="105">
        <f t="shared" si="289"/>
        <v>0</v>
      </c>
      <c r="CU153" s="105"/>
      <c r="CV153" s="105"/>
      <c r="CW153" s="105">
        <f t="shared" si="290"/>
        <v>0</v>
      </c>
      <c r="CX153" s="53"/>
      <c r="CY153" s="102">
        <f t="shared" si="231"/>
        <v>0</v>
      </c>
      <c r="CZ153" s="54"/>
      <c r="DA153" s="105">
        <f>245+50</f>
        <v>295</v>
      </c>
      <c r="DB153" s="100">
        <f t="shared" si="278"/>
        <v>19.666666666666668</v>
      </c>
      <c r="DC153" s="515"/>
      <c r="DD153" s="8"/>
      <c r="DF153" s="1137"/>
      <c r="DG153" s="674">
        <f t="shared" si="223"/>
        <v>19.666666666666668</v>
      </c>
      <c r="DH153" s="1119">
        <f t="shared" si="224"/>
        <v>0.66666666666666663</v>
      </c>
      <c r="DI153" s="1119"/>
      <c r="DJ153" s="101">
        <f t="shared" si="293"/>
        <v>27.666666666666664</v>
      </c>
      <c r="DK153" s="101"/>
      <c r="DL153" s="101">
        <f t="shared" si="292"/>
        <v>0</v>
      </c>
      <c r="DM153" s="101">
        <f>DL153</f>
        <v>0</v>
      </c>
      <c r="DN153" s="112">
        <f>DJ153</f>
        <v>27.666666666666664</v>
      </c>
      <c r="DO153" s="112"/>
      <c r="DP153" s="112"/>
      <c r="DQ153" s="112"/>
    </row>
    <row r="154" spans="1:130" ht="21.6" customHeight="1" x14ac:dyDescent="0.25">
      <c r="A154" s="4"/>
      <c r="B154" s="4"/>
      <c r="C154" s="167" t="s">
        <v>85</v>
      </c>
      <c r="D154" s="167" t="s">
        <v>429</v>
      </c>
      <c r="E154" s="3" t="s">
        <v>767</v>
      </c>
      <c r="F154" s="162"/>
      <c r="G154" s="162"/>
      <c r="H154" s="162"/>
      <c r="I154" s="162"/>
      <c r="J154" s="162"/>
      <c r="K154" s="162"/>
      <c r="L154" s="459"/>
      <c r="M154" s="166"/>
      <c r="N154" s="165"/>
      <c r="O154" s="165"/>
      <c r="P154" s="162"/>
      <c r="Q154" s="162"/>
      <c r="R154" s="162"/>
      <c r="S154" s="460"/>
      <c r="T154" s="461"/>
      <c r="U154" s="461"/>
      <c r="V154" s="462"/>
      <c r="W154" s="461"/>
      <c r="X154" s="461"/>
      <c r="Y154" s="99"/>
      <c r="Z154" s="463"/>
      <c r="AA154" s="394"/>
      <c r="AB154" s="394"/>
      <c r="AC154" s="394"/>
      <c r="AD154" s="138"/>
      <c r="AE154" s="138"/>
      <c r="AF154" s="138"/>
      <c r="AG154" s="480"/>
      <c r="AH154" s="99"/>
      <c r="AI154" s="99"/>
      <c r="AJ154" s="138"/>
      <c r="AK154" s="138"/>
      <c r="AL154" s="106"/>
      <c r="AM154" s="105"/>
      <c r="AN154" s="105"/>
      <c r="AO154" s="106"/>
      <c r="AP154" s="105"/>
      <c r="AQ154" s="105"/>
      <c r="AR154" s="106"/>
      <c r="AS154" s="97"/>
      <c r="AT154" s="6"/>
      <c r="AU154" s="105"/>
      <c r="AV154" s="100"/>
      <c r="AW154" s="496"/>
      <c r="AX154" s="508"/>
      <c r="AY154" s="499"/>
      <c r="AZ154" s="100"/>
      <c r="BA154" s="106"/>
      <c r="BB154" s="105"/>
      <c r="BC154" s="105"/>
      <c r="BD154" s="106"/>
      <c r="BE154" s="105"/>
      <c r="BF154" s="106"/>
      <c r="BG154" s="100"/>
      <c r="BH154" s="106"/>
      <c r="BI154" s="100"/>
      <c r="BJ154" s="106"/>
      <c r="BK154" s="101"/>
      <c r="BL154" s="106"/>
      <c r="BM154" s="250"/>
      <c r="BN154" s="104"/>
      <c r="BO154" s="105"/>
      <c r="BP154" s="105"/>
      <c r="BQ154" s="106"/>
      <c r="BR154" s="105"/>
      <c r="BS154" s="105"/>
      <c r="BT154" s="106"/>
      <c r="BU154" s="53"/>
      <c r="BV154" s="53"/>
      <c r="BW154" s="54"/>
      <c r="BX154" s="350"/>
      <c r="BY154" s="211"/>
      <c r="BZ154" s="211"/>
      <c r="CA154" s="508"/>
      <c r="CB154" s="162"/>
      <c r="CC154" s="162"/>
      <c r="CD154" s="460"/>
      <c r="CE154" s="504"/>
      <c r="CF154" s="105"/>
      <c r="CG154" s="105"/>
      <c r="CH154" s="105"/>
      <c r="CI154" s="105"/>
      <c r="CJ154" s="105"/>
      <c r="CK154" s="524"/>
      <c r="CL154" s="53"/>
      <c r="CM154" s="54"/>
      <c r="CN154" s="105"/>
      <c r="CO154" s="100"/>
      <c r="CP154" s="496"/>
      <c r="CQ154" s="439"/>
      <c r="CR154" s="504"/>
      <c r="CS154" s="105"/>
      <c r="CT154" s="105"/>
      <c r="CU154" s="105"/>
      <c r="CV154" s="105"/>
      <c r="CW154" s="105"/>
      <c r="CX154" s="53"/>
      <c r="CY154" s="102"/>
      <c r="CZ154" s="54"/>
      <c r="DA154" s="105"/>
      <c r="DB154" s="100">
        <f t="shared" si="278"/>
        <v>0</v>
      </c>
      <c r="DC154" s="515"/>
      <c r="DD154" s="8"/>
      <c r="DF154" s="1137"/>
      <c r="DG154" s="674"/>
      <c r="DH154" s="1119"/>
      <c r="DI154" s="1119"/>
      <c r="DJ154" s="101">
        <f t="shared" si="293"/>
        <v>0</v>
      </c>
      <c r="DK154" s="101"/>
      <c r="DL154" s="101">
        <f t="shared" si="292"/>
        <v>0</v>
      </c>
      <c r="DM154" s="101"/>
      <c r="DN154" s="112">
        <f>DJ154</f>
        <v>0</v>
      </c>
      <c r="DO154" s="112"/>
      <c r="DP154" s="112"/>
      <c r="DQ154" s="112"/>
    </row>
    <row r="155" spans="1:130" ht="30" customHeight="1" x14ac:dyDescent="0.25">
      <c r="A155" s="4" t="s">
        <v>28</v>
      </c>
      <c r="B155" s="4">
        <v>5</v>
      </c>
      <c r="C155" s="166" t="s">
        <v>85</v>
      </c>
      <c r="D155" s="166" t="s">
        <v>429</v>
      </c>
      <c r="E155" s="13" t="s">
        <v>89</v>
      </c>
      <c r="F155" s="162">
        <v>180</v>
      </c>
      <c r="G155" s="162">
        <v>20</v>
      </c>
      <c r="H155" s="162">
        <f>F155+G155</f>
        <v>200</v>
      </c>
      <c r="I155" s="162">
        <v>198</v>
      </c>
      <c r="J155" s="162"/>
      <c r="K155" s="162">
        <f>I155+J155</f>
        <v>198</v>
      </c>
      <c r="L155" s="459"/>
      <c r="M155" s="166"/>
      <c r="N155" s="165"/>
      <c r="O155" s="164"/>
      <c r="P155" s="165"/>
      <c r="Q155" s="165"/>
      <c r="R155" s="165"/>
      <c r="S155" s="203"/>
      <c r="T155" s="462"/>
      <c r="U155" s="462"/>
      <c r="V155" s="462">
        <f t="shared" si="294"/>
        <v>0</v>
      </c>
      <c r="W155" s="461"/>
      <c r="X155" s="461"/>
      <c r="Y155" s="99">
        <f>W155+X155</f>
        <v>0</v>
      </c>
      <c r="Z155" s="463"/>
      <c r="AA155" s="394"/>
      <c r="AB155" s="394"/>
      <c r="AC155" s="394">
        <f t="shared" si="295"/>
        <v>0</v>
      </c>
      <c r="AD155" s="138"/>
      <c r="AE155" s="138"/>
      <c r="AF155" s="138">
        <f t="shared" si="296"/>
        <v>0</v>
      </c>
      <c r="AG155" s="480"/>
      <c r="AH155" s="99">
        <f>AI155*15</f>
        <v>750</v>
      </c>
      <c r="AI155" s="99">
        <v>50</v>
      </c>
      <c r="AJ155" s="138">
        <f>180</f>
        <v>180</v>
      </c>
      <c r="AK155" s="138">
        <f t="shared" si="297"/>
        <v>12</v>
      </c>
      <c r="AL155" s="106"/>
      <c r="AM155" s="105">
        <f>660+90</f>
        <v>750</v>
      </c>
      <c r="AN155" s="105">
        <f t="shared" si="298"/>
        <v>50</v>
      </c>
      <c r="AO155" s="106"/>
      <c r="AP155" s="105"/>
      <c r="AQ155" s="105">
        <f t="shared" si="254"/>
        <v>0</v>
      </c>
      <c r="AR155" s="106"/>
      <c r="AS155" s="97">
        <f t="shared" si="275"/>
        <v>62</v>
      </c>
      <c r="AT155" s="6"/>
      <c r="AU155" s="105"/>
      <c r="AV155" s="100">
        <f t="shared" si="227"/>
        <v>0</v>
      </c>
      <c r="AW155" s="496"/>
      <c r="AX155" s="508"/>
      <c r="AY155" s="498">
        <v>255</v>
      </c>
      <c r="AZ155" s="100">
        <f t="shared" si="299"/>
        <v>17</v>
      </c>
      <c r="BA155" s="106"/>
      <c r="BB155" s="105"/>
      <c r="BC155" s="105">
        <f t="shared" si="300"/>
        <v>0</v>
      </c>
      <c r="BD155" s="106"/>
      <c r="BE155" s="105">
        <f>AK155+AZ155</f>
        <v>29</v>
      </c>
      <c r="BF155" s="106"/>
      <c r="BG155" s="100">
        <f t="shared" ref="BG155:BG171" si="305">BC155+AQ155+AN155</f>
        <v>50</v>
      </c>
      <c r="BH155" s="106"/>
      <c r="BI155" s="100">
        <f t="shared" ref="BI155:BI171" si="306">AV155</f>
        <v>0</v>
      </c>
      <c r="BJ155" s="106"/>
      <c r="BK155" s="101">
        <f t="shared" si="276"/>
        <v>79</v>
      </c>
      <c r="BL155" s="106"/>
      <c r="BM155" s="104">
        <v>3350</v>
      </c>
      <c r="BN155" s="104">
        <f t="shared" si="301"/>
        <v>67</v>
      </c>
      <c r="BO155" s="105">
        <v>600</v>
      </c>
      <c r="BP155" s="105">
        <f t="shared" si="229"/>
        <v>12</v>
      </c>
      <c r="BQ155" s="106"/>
      <c r="BR155" s="105">
        <f>2200+300+850</f>
        <v>3350</v>
      </c>
      <c r="BS155" s="105">
        <f>BR155/50</f>
        <v>67</v>
      </c>
      <c r="BT155" s="106"/>
      <c r="BU155" s="53"/>
      <c r="BV155" s="53">
        <f t="shared" si="302"/>
        <v>0</v>
      </c>
      <c r="BW155" s="54"/>
      <c r="BX155" s="350">
        <f t="shared" si="277"/>
        <v>79</v>
      </c>
      <c r="BY155" s="211"/>
      <c r="BZ155" s="211">
        <f t="shared" si="303"/>
        <v>0</v>
      </c>
      <c r="CA155" s="508"/>
      <c r="CB155" s="165"/>
      <c r="CC155" s="165"/>
      <c r="CD155" s="203"/>
      <c r="CE155" s="504"/>
      <c r="CF155" s="105"/>
      <c r="CG155" s="105">
        <f t="shared" si="201"/>
        <v>0</v>
      </c>
      <c r="CH155" s="105"/>
      <c r="CI155" s="105"/>
      <c r="CJ155" s="105">
        <f t="shared" si="202"/>
        <v>0</v>
      </c>
      <c r="CK155" s="524"/>
      <c r="CL155" s="53">
        <f t="shared" si="304"/>
        <v>0</v>
      </c>
      <c r="CM155" s="54"/>
      <c r="CN155" s="105"/>
      <c r="CO155" s="100">
        <f t="shared" si="230"/>
        <v>0</v>
      </c>
      <c r="CP155" s="496"/>
      <c r="CQ155" s="439"/>
      <c r="CR155" s="504"/>
      <c r="CS155" s="105"/>
      <c r="CT155" s="105">
        <f t="shared" si="289"/>
        <v>0</v>
      </c>
      <c r="CU155" s="105"/>
      <c r="CV155" s="105"/>
      <c r="CW155" s="105">
        <f t="shared" si="290"/>
        <v>0</v>
      </c>
      <c r="CX155" s="53"/>
      <c r="CY155" s="102">
        <f t="shared" si="231"/>
        <v>0</v>
      </c>
      <c r="CZ155" s="54"/>
      <c r="DA155" s="105"/>
      <c r="DB155" s="100">
        <f t="shared" si="278"/>
        <v>0</v>
      </c>
      <c r="DC155" s="515"/>
      <c r="DD155" s="575"/>
      <c r="DF155" s="1137"/>
      <c r="DG155" s="674">
        <f t="shared" ref="DG155:DG180" si="307">AV155+CY155+DB155</f>
        <v>0</v>
      </c>
      <c r="DH155" s="1119">
        <f t="shared" ref="DH155:DH180" si="308">BC155+CL155+CO155</f>
        <v>0</v>
      </c>
      <c r="DI155" s="1119"/>
      <c r="DJ155" s="101">
        <f t="shared" si="293"/>
        <v>79</v>
      </c>
      <c r="DK155" s="101"/>
      <c r="DL155" s="101">
        <f t="shared" si="292"/>
        <v>0</v>
      </c>
      <c r="DM155" s="101">
        <f t="shared" ref="DM155:DM157" si="309">DL155</f>
        <v>0</v>
      </c>
      <c r="DN155" s="112">
        <f>DJ155</f>
        <v>79</v>
      </c>
      <c r="DO155" s="112"/>
      <c r="DP155" s="112"/>
      <c r="DQ155" s="112"/>
    </row>
    <row r="156" spans="1:130" ht="21.6" customHeight="1" x14ac:dyDescent="0.25">
      <c r="A156" s="4"/>
      <c r="B156" s="4"/>
      <c r="C156" s="166" t="s">
        <v>85</v>
      </c>
      <c r="D156" s="166" t="s">
        <v>429</v>
      </c>
      <c r="E156" s="13" t="s">
        <v>622</v>
      </c>
      <c r="F156" s="162"/>
      <c r="G156" s="162"/>
      <c r="H156" s="162"/>
      <c r="I156" s="162"/>
      <c r="J156" s="162"/>
      <c r="K156" s="162"/>
      <c r="L156" s="459"/>
      <c r="M156" s="166"/>
      <c r="N156" s="165"/>
      <c r="O156" s="164"/>
      <c r="P156" s="165"/>
      <c r="Q156" s="165"/>
      <c r="R156" s="165"/>
      <c r="S156" s="203"/>
      <c r="T156" s="462"/>
      <c r="U156" s="462"/>
      <c r="V156" s="462"/>
      <c r="W156" s="461"/>
      <c r="X156" s="461"/>
      <c r="Y156" s="99"/>
      <c r="Z156" s="463"/>
      <c r="AA156" s="394"/>
      <c r="AB156" s="394"/>
      <c r="AC156" s="394"/>
      <c r="AD156" s="138"/>
      <c r="AE156" s="138"/>
      <c r="AF156" s="138"/>
      <c r="AG156" s="480"/>
      <c r="AH156" s="99"/>
      <c r="AI156" s="99"/>
      <c r="AJ156" s="138"/>
      <c r="AK156" s="138"/>
      <c r="AL156" s="106"/>
      <c r="AM156" s="105"/>
      <c r="AN156" s="105"/>
      <c r="AO156" s="106"/>
      <c r="AP156" s="105">
        <v>480</v>
      </c>
      <c r="AQ156" s="105">
        <f t="shared" si="254"/>
        <v>32</v>
      </c>
      <c r="AR156" s="106"/>
      <c r="AS156" s="97">
        <f t="shared" si="275"/>
        <v>32</v>
      </c>
      <c r="AT156" s="6"/>
      <c r="AU156" s="105">
        <v>145</v>
      </c>
      <c r="AV156" s="100">
        <f t="shared" si="227"/>
        <v>9.6666666666666661</v>
      </c>
      <c r="AW156" s="496"/>
      <c r="AX156" s="508"/>
      <c r="AY156" s="498"/>
      <c r="AZ156" s="100"/>
      <c r="BA156" s="106"/>
      <c r="BB156" s="105">
        <v>645</v>
      </c>
      <c r="BC156" s="105">
        <f t="shared" si="300"/>
        <v>43</v>
      </c>
      <c r="BD156" s="106"/>
      <c r="BE156" s="105"/>
      <c r="BF156" s="106"/>
      <c r="BG156" s="100">
        <f t="shared" si="305"/>
        <v>75</v>
      </c>
      <c r="BH156" s="106"/>
      <c r="BI156" s="100">
        <f t="shared" si="306"/>
        <v>9.6666666666666661</v>
      </c>
      <c r="BJ156" s="106"/>
      <c r="BK156" s="101">
        <f t="shared" si="276"/>
        <v>84.666666666666671</v>
      </c>
      <c r="BL156" s="106"/>
      <c r="BM156" s="104"/>
      <c r="BN156" s="104"/>
      <c r="BO156" s="105"/>
      <c r="BP156" s="105">
        <f t="shared" si="229"/>
        <v>0</v>
      </c>
      <c r="BQ156" s="106"/>
      <c r="BR156" s="105">
        <f>2150+2050</f>
        <v>4200</v>
      </c>
      <c r="BS156" s="105">
        <f t="shared" si="257"/>
        <v>84</v>
      </c>
      <c r="BT156" s="106"/>
      <c r="BU156" s="53"/>
      <c r="BV156" s="53"/>
      <c r="BW156" s="54"/>
      <c r="BX156" s="350">
        <f t="shared" si="277"/>
        <v>84</v>
      </c>
      <c r="BY156" s="211"/>
      <c r="BZ156" s="211">
        <f t="shared" si="303"/>
        <v>0.6666666666666714</v>
      </c>
      <c r="CA156" s="508"/>
      <c r="CB156" s="165"/>
      <c r="CC156" s="165"/>
      <c r="CD156" s="203"/>
      <c r="CE156" s="504"/>
      <c r="CF156" s="105"/>
      <c r="CG156" s="105"/>
      <c r="CH156" s="105"/>
      <c r="CI156" s="105"/>
      <c r="CJ156" s="105"/>
      <c r="CK156" s="524"/>
      <c r="CL156" s="53"/>
      <c r="CM156" s="54"/>
      <c r="CN156" s="105"/>
      <c r="CO156" s="100">
        <f t="shared" si="230"/>
        <v>0</v>
      </c>
      <c r="CP156" s="496"/>
      <c r="CQ156" s="439"/>
      <c r="CR156" s="504"/>
      <c r="CS156" s="105"/>
      <c r="CT156" s="105"/>
      <c r="CU156" s="105"/>
      <c r="CV156" s="105"/>
      <c r="CW156" s="105"/>
      <c r="CX156" s="53"/>
      <c r="CY156" s="102">
        <f t="shared" si="231"/>
        <v>0</v>
      </c>
      <c r="CZ156" s="54"/>
      <c r="DA156" s="105"/>
      <c r="DB156" s="100">
        <f t="shared" si="278"/>
        <v>0</v>
      </c>
      <c r="DC156" s="515"/>
      <c r="DD156" s="575"/>
      <c r="DF156" s="1137"/>
      <c r="DG156" s="674">
        <f t="shared" si="307"/>
        <v>9.6666666666666661</v>
      </c>
      <c r="DH156" s="1119">
        <f t="shared" si="308"/>
        <v>43</v>
      </c>
      <c r="DI156" s="1119"/>
      <c r="DJ156" s="101">
        <f t="shared" si="293"/>
        <v>84.666666666666657</v>
      </c>
      <c r="DK156" s="101"/>
      <c r="DL156" s="1124">
        <f t="shared" si="292"/>
        <v>0</v>
      </c>
      <c r="DM156" s="1124">
        <f t="shared" si="309"/>
        <v>0</v>
      </c>
      <c r="DN156" s="112">
        <f>DJ156</f>
        <v>84.666666666666657</v>
      </c>
      <c r="DO156" s="112"/>
      <c r="DP156" s="112"/>
      <c r="DQ156" s="112"/>
    </row>
    <row r="157" spans="1:130" s="139" customFormat="1" ht="21.6" customHeight="1" x14ac:dyDescent="0.25">
      <c r="A157" s="4" t="s">
        <v>28</v>
      </c>
      <c r="B157" s="4">
        <v>1</v>
      </c>
      <c r="C157" s="80" t="s">
        <v>85</v>
      </c>
      <c r="D157" s="80" t="s">
        <v>429</v>
      </c>
      <c r="E157" s="442" t="s">
        <v>86</v>
      </c>
      <c r="F157" s="443">
        <v>12</v>
      </c>
      <c r="G157" s="443">
        <v>3</v>
      </c>
      <c r="H157" s="443">
        <f>F157+G157</f>
        <v>15</v>
      </c>
      <c r="I157" s="443">
        <v>15.5</v>
      </c>
      <c r="J157" s="443"/>
      <c r="K157" s="443">
        <f>I157+J157</f>
        <v>15.5</v>
      </c>
      <c r="L157" s="136"/>
      <c r="M157" s="444"/>
      <c r="N157" s="445"/>
      <c r="O157" s="157"/>
      <c r="P157" s="446"/>
      <c r="Q157" s="446"/>
      <c r="R157" s="446"/>
      <c r="S157" s="447"/>
      <c r="T157" s="448"/>
      <c r="U157" s="448"/>
      <c r="V157" s="448">
        <f t="shared" si="294"/>
        <v>0</v>
      </c>
      <c r="W157" s="449"/>
      <c r="X157" s="449"/>
      <c r="Y157" s="450">
        <f>W157+X157</f>
        <v>0</v>
      </c>
      <c r="Z157" s="451"/>
      <c r="AA157" s="452"/>
      <c r="AB157" s="452"/>
      <c r="AC157" s="452">
        <f t="shared" si="295"/>
        <v>0</v>
      </c>
      <c r="AD157" s="453"/>
      <c r="AE157" s="453"/>
      <c r="AF157" s="454">
        <f t="shared" si="296"/>
        <v>0</v>
      </c>
      <c r="AG157" s="473"/>
      <c r="AH157" s="99">
        <f>AI157*15</f>
        <v>270</v>
      </c>
      <c r="AI157" s="99">
        <v>18</v>
      </c>
      <c r="AJ157" s="138"/>
      <c r="AK157" s="138">
        <f t="shared" si="297"/>
        <v>0</v>
      </c>
      <c r="AL157" s="106"/>
      <c r="AM157" s="105"/>
      <c r="AN157" s="105">
        <f t="shared" si="298"/>
        <v>0</v>
      </c>
      <c r="AO157" s="106"/>
      <c r="AP157" s="105"/>
      <c r="AQ157" s="105">
        <f t="shared" si="254"/>
        <v>0</v>
      </c>
      <c r="AR157" s="106"/>
      <c r="AS157" s="97">
        <f t="shared" si="275"/>
        <v>0</v>
      </c>
      <c r="AT157" s="6"/>
      <c r="AU157" s="107">
        <v>180</v>
      </c>
      <c r="AV157" s="455">
        <f t="shared" si="227"/>
        <v>12</v>
      </c>
      <c r="AW157" s="517"/>
      <c r="AX157" s="508"/>
      <c r="AY157" s="502"/>
      <c r="AZ157" s="455">
        <f t="shared" si="299"/>
        <v>0</v>
      </c>
      <c r="BA157" s="456"/>
      <c r="BB157" s="107">
        <v>40</v>
      </c>
      <c r="BC157" s="107">
        <f t="shared" si="300"/>
        <v>2.6666666666666665</v>
      </c>
      <c r="BD157" s="456"/>
      <c r="BE157" s="107">
        <f t="shared" ref="BE157:BE162" si="310">AK157+AZ157</f>
        <v>0</v>
      </c>
      <c r="BF157" s="456"/>
      <c r="BG157" s="100">
        <f t="shared" si="305"/>
        <v>2.6666666666666665</v>
      </c>
      <c r="BH157" s="456"/>
      <c r="BI157" s="100">
        <f t="shared" si="306"/>
        <v>12</v>
      </c>
      <c r="BJ157" s="456"/>
      <c r="BK157" s="101">
        <f t="shared" si="276"/>
        <v>14.666666666666666</v>
      </c>
      <c r="BL157" s="456"/>
      <c r="BM157" s="458">
        <v>900</v>
      </c>
      <c r="BN157" s="458">
        <f t="shared" si="301"/>
        <v>18</v>
      </c>
      <c r="BO157" s="107"/>
      <c r="BP157" s="107">
        <f t="shared" si="229"/>
        <v>0</v>
      </c>
      <c r="BQ157" s="456"/>
      <c r="BR157" s="107">
        <v>700</v>
      </c>
      <c r="BS157" s="107">
        <f t="shared" si="257"/>
        <v>14</v>
      </c>
      <c r="BT157" s="456"/>
      <c r="BU157" s="457"/>
      <c r="BV157" s="457">
        <f t="shared" si="302"/>
        <v>0</v>
      </c>
      <c r="BW157" s="181"/>
      <c r="BX157" s="350">
        <f t="shared" si="277"/>
        <v>14</v>
      </c>
      <c r="BY157" s="266"/>
      <c r="BZ157" s="266">
        <f t="shared" si="303"/>
        <v>0.66666666666666607</v>
      </c>
      <c r="CA157" s="508"/>
      <c r="CB157" s="446"/>
      <c r="CC157" s="446"/>
      <c r="CD157" s="447"/>
      <c r="CE157" s="546"/>
      <c r="CF157" s="107"/>
      <c r="CG157" s="107">
        <f t="shared" ref="CG157:CG202" si="311">CE157+CF157</f>
        <v>0</v>
      </c>
      <c r="CH157" s="107"/>
      <c r="CI157" s="107"/>
      <c r="CJ157" s="107">
        <f t="shared" ref="CJ157:CJ202" si="312">CH157+CI157</f>
        <v>0</v>
      </c>
      <c r="CK157" s="527"/>
      <c r="CL157" s="457">
        <f t="shared" si="304"/>
        <v>0</v>
      </c>
      <c r="CM157" s="181"/>
      <c r="CN157" s="107"/>
      <c r="CO157" s="455">
        <f t="shared" si="230"/>
        <v>0</v>
      </c>
      <c r="CP157" s="517"/>
      <c r="CQ157" s="439"/>
      <c r="CR157" s="546"/>
      <c r="CS157" s="107"/>
      <c r="CT157" s="107">
        <f t="shared" si="289"/>
        <v>0</v>
      </c>
      <c r="CU157" s="107"/>
      <c r="CV157" s="107"/>
      <c r="CW157" s="107">
        <f t="shared" si="290"/>
        <v>0</v>
      </c>
      <c r="CX157" s="457"/>
      <c r="CY157" s="109">
        <f t="shared" si="231"/>
        <v>0</v>
      </c>
      <c r="CZ157" s="181"/>
      <c r="DA157" s="595">
        <v>45</v>
      </c>
      <c r="DB157" s="455">
        <f t="shared" si="278"/>
        <v>3</v>
      </c>
      <c r="DC157" s="495"/>
      <c r="DD157" s="27"/>
      <c r="DF157" s="1133"/>
      <c r="DG157" s="674">
        <f t="shared" si="307"/>
        <v>15</v>
      </c>
      <c r="DH157" s="1119">
        <f t="shared" si="308"/>
        <v>2.6666666666666665</v>
      </c>
      <c r="DI157" s="1119"/>
      <c r="DJ157" s="101">
        <f t="shared" si="293"/>
        <v>14.666666666666666</v>
      </c>
      <c r="DK157" s="101"/>
      <c r="DL157" s="493">
        <f t="shared" si="292"/>
        <v>0</v>
      </c>
      <c r="DM157" s="493">
        <f t="shared" si="309"/>
        <v>0</v>
      </c>
      <c r="DN157" s="112">
        <f>DJ157</f>
        <v>14.666666666666666</v>
      </c>
      <c r="DO157" s="112"/>
      <c r="DP157" s="112"/>
      <c r="DQ157" s="112"/>
      <c r="DS157" s="140"/>
      <c r="DT157" s="140"/>
      <c r="DU157" s="140"/>
      <c r="DV157" s="140"/>
      <c r="DW157" s="140"/>
      <c r="DX157" s="140"/>
      <c r="DY157" s="140"/>
      <c r="DZ157" s="140"/>
    </row>
    <row r="158" spans="1:130" ht="21.6" customHeight="1" x14ac:dyDescent="0.25">
      <c r="A158" s="4" t="s">
        <v>28</v>
      </c>
      <c r="B158" s="4">
        <v>3</v>
      </c>
      <c r="C158" s="166" t="s">
        <v>85</v>
      </c>
      <c r="D158" s="166"/>
      <c r="E158" s="1" t="s">
        <v>87</v>
      </c>
      <c r="F158" s="162">
        <v>14</v>
      </c>
      <c r="G158" s="162">
        <v>1</v>
      </c>
      <c r="H158" s="162">
        <f>F158+G158</f>
        <v>15</v>
      </c>
      <c r="I158" s="162">
        <v>23</v>
      </c>
      <c r="J158" s="162"/>
      <c r="K158" s="162">
        <f>I158+J158</f>
        <v>23</v>
      </c>
      <c r="L158" s="163"/>
      <c r="M158" s="414"/>
      <c r="N158" s="46"/>
      <c r="O158" s="164"/>
      <c r="P158" s="165"/>
      <c r="Q158" s="165"/>
      <c r="R158" s="165"/>
      <c r="S158" s="203"/>
      <c r="T158" s="89"/>
      <c r="U158" s="89"/>
      <c r="V158" s="89">
        <f t="shared" si="294"/>
        <v>0</v>
      </c>
      <c r="W158" s="137"/>
      <c r="X158" s="137"/>
      <c r="Y158" s="90">
        <f>W158+X158</f>
        <v>0</v>
      </c>
      <c r="Z158" s="169"/>
      <c r="AA158" s="92"/>
      <c r="AB158" s="92"/>
      <c r="AC158" s="92">
        <f t="shared" si="295"/>
        <v>0</v>
      </c>
      <c r="AD158" s="93"/>
      <c r="AE158" s="93"/>
      <c r="AF158" s="94">
        <f t="shared" si="296"/>
        <v>0</v>
      </c>
      <c r="AG158" s="475"/>
      <c r="AH158" s="99"/>
      <c r="AI158" s="99">
        <f>AH158/15</f>
        <v>0</v>
      </c>
      <c r="AJ158" s="138"/>
      <c r="AK158" s="138">
        <f t="shared" si="297"/>
        <v>0</v>
      </c>
      <c r="AL158" s="106"/>
      <c r="AM158" s="105"/>
      <c r="AN158" s="105">
        <f t="shared" si="298"/>
        <v>0</v>
      </c>
      <c r="AO158" s="106"/>
      <c r="AP158" s="105"/>
      <c r="AQ158" s="105">
        <f t="shared" si="254"/>
        <v>0</v>
      </c>
      <c r="AR158" s="106"/>
      <c r="AS158" s="97">
        <f t="shared" si="275"/>
        <v>0</v>
      </c>
      <c r="AT158" s="6"/>
      <c r="AU158" s="105"/>
      <c r="AV158" s="455">
        <f t="shared" si="227"/>
        <v>0</v>
      </c>
      <c r="AW158" s="496"/>
      <c r="AX158" s="508"/>
      <c r="AY158" s="498"/>
      <c r="AZ158" s="100">
        <f t="shared" si="299"/>
        <v>0</v>
      </c>
      <c r="BA158" s="106"/>
      <c r="BB158" s="105"/>
      <c r="BC158" s="105">
        <f t="shared" si="300"/>
        <v>0</v>
      </c>
      <c r="BD158" s="106"/>
      <c r="BE158" s="105">
        <f t="shared" si="310"/>
        <v>0</v>
      </c>
      <c r="BF158" s="106"/>
      <c r="BG158" s="100">
        <f t="shared" si="305"/>
        <v>0</v>
      </c>
      <c r="BH158" s="106"/>
      <c r="BI158" s="100">
        <f t="shared" si="306"/>
        <v>0</v>
      </c>
      <c r="BJ158" s="106"/>
      <c r="BK158" s="101">
        <f t="shared" si="276"/>
        <v>0</v>
      </c>
      <c r="BL158" s="106"/>
      <c r="BM158" s="104"/>
      <c r="BN158" s="104">
        <f t="shared" si="301"/>
        <v>0</v>
      </c>
      <c r="BO158" s="105"/>
      <c r="BP158" s="105">
        <f t="shared" si="229"/>
        <v>0</v>
      </c>
      <c r="BQ158" s="106"/>
      <c r="BR158" s="105"/>
      <c r="BS158" s="105">
        <f t="shared" si="257"/>
        <v>0</v>
      </c>
      <c r="BT158" s="106"/>
      <c r="BU158" s="53"/>
      <c r="BV158" s="53">
        <f t="shared" si="302"/>
        <v>0</v>
      </c>
      <c r="BW158" s="54"/>
      <c r="BX158" s="350">
        <f t="shared" si="277"/>
        <v>0</v>
      </c>
      <c r="BY158" s="211"/>
      <c r="BZ158" s="211">
        <f t="shared" si="303"/>
        <v>0</v>
      </c>
      <c r="CA158" s="508"/>
      <c r="CB158" s="165"/>
      <c r="CC158" s="165"/>
      <c r="CD158" s="203"/>
      <c r="CE158" s="504"/>
      <c r="CF158" s="105"/>
      <c r="CG158" s="105">
        <f t="shared" si="311"/>
        <v>0</v>
      </c>
      <c r="CH158" s="105"/>
      <c r="CI158" s="105"/>
      <c r="CJ158" s="105">
        <f t="shared" si="312"/>
        <v>0</v>
      </c>
      <c r="CK158" s="524"/>
      <c r="CL158" s="53">
        <f t="shared" si="304"/>
        <v>0</v>
      </c>
      <c r="CM158" s="54"/>
      <c r="CN158" s="105"/>
      <c r="CO158" s="100">
        <f t="shared" si="230"/>
        <v>0</v>
      </c>
      <c r="CP158" s="496"/>
      <c r="CQ158" s="439"/>
      <c r="CR158" s="504"/>
      <c r="CS158" s="105"/>
      <c r="CT158" s="105">
        <f t="shared" si="289"/>
        <v>0</v>
      </c>
      <c r="CU158" s="105"/>
      <c r="CV158" s="105"/>
      <c r="CW158" s="105">
        <f t="shared" si="290"/>
        <v>0</v>
      </c>
      <c r="CX158" s="53"/>
      <c r="CY158" s="109">
        <f t="shared" si="231"/>
        <v>0</v>
      </c>
      <c r="CZ158" s="54"/>
      <c r="DA158" s="105"/>
      <c r="DB158" s="455">
        <f t="shared" si="278"/>
        <v>0</v>
      </c>
      <c r="DC158" s="495"/>
      <c r="DD158" s="26"/>
      <c r="DF158" s="1133"/>
      <c r="DG158" s="674">
        <f t="shared" si="307"/>
        <v>0</v>
      </c>
      <c r="DH158" s="1119">
        <f t="shared" si="308"/>
        <v>0</v>
      </c>
      <c r="DI158" s="1119"/>
      <c r="DJ158" s="101">
        <f t="shared" si="293"/>
        <v>0</v>
      </c>
      <c r="DK158" s="101"/>
      <c r="DL158" s="101">
        <f t="shared" si="292"/>
        <v>0</v>
      </c>
      <c r="DM158" s="101"/>
      <c r="DN158" s="112"/>
      <c r="DO158" s="112"/>
      <c r="DP158" s="112"/>
      <c r="DQ158" s="112"/>
    </row>
    <row r="159" spans="1:130" ht="21.6" customHeight="1" x14ac:dyDescent="0.25">
      <c r="A159" s="4" t="s">
        <v>28</v>
      </c>
      <c r="B159" s="4">
        <v>7</v>
      </c>
      <c r="C159" s="174" t="s">
        <v>85</v>
      </c>
      <c r="D159" s="174" t="s">
        <v>429</v>
      </c>
      <c r="E159" s="1" t="s">
        <v>91</v>
      </c>
      <c r="F159" s="162">
        <v>69</v>
      </c>
      <c r="G159" s="162">
        <v>7</v>
      </c>
      <c r="H159" s="162">
        <f>F159+G159</f>
        <v>76</v>
      </c>
      <c r="I159" s="162">
        <v>118.7</v>
      </c>
      <c r="J159" s="162"/>
      <c r="K159" s="162">
        <f>I159+J159</f>
        <v>118.7</v>
      </c>
      <c r="L159" s="163"/>
      <c r="M159" s="414"/>
      <c r="N159" s="46"/>
      <c r="O159" s="164"/>
      <c r="P159" s="165"/>
      <c r="Q159" s="165"/>
      <c r="R159" s="165"/>
      <c r="S159" s="203"/>
      <c r="T159" s="89"/>
      <c r="U159" s="89"/>
      <c r="V159" s="89">
        <f t="shared" si="294"/>
        <v>0</v>
      </c>
      <c r="W159" s="137"/>
      <c r="X159" s="137"/>
      <c r="Y159" s="90">
        <f>W159+X159</f>
        <v>0</v>
      </c>
      <c r="Z159" s="169"/>
      <c r="AA159" s="92"/>
      <c r="AB159" s="92"/>
      <c r="AC159" s="92">
        <f t="shared" si="295"/>
        <v>0</v>
      </c>
      <c r="AD159" s="93"/>
      <c r="AE159" s="93"/>
      <c r="AF159" s="94">
        <f t="shared" si="296"/>
        <v>0</v>
      </c>
      <c r="AG159" s="475"/>
      <c r="AH159" s="99"/>
      <c r="AI159" s="99">
        <f>AH159/15</f>
        <v>0</v>
      </c>
      <c r="AJ159" s="138"/>
      <c r="AK159" s="138">
        <f t="shared" si="297"/>
        <v>0</v>
      </c>
      <c r="AL159" s="106"/>
      <c r="AM159" s="105"/>
      <c r="AN159" s="105">
        <f t="shared" si="298"/>
        <v>0</v>
      </c>
      <c r="AO159" s="106"/>
      <c r="AP159" s="105"/>
      <c r="AQ159" s="105">
        <f t="shared" si="254"/>
        <v>0</v>
      </c>
      <c r="AR159" s="106"/>
      <c r="AS159" s="97">
        <f t="shared" si="275"/>
        <v>0</v>
      </c>
      <c r="AT159" s="6"/>
      <c r="AU159" s="105"/>
      <c r="AV159" s="455">
        <f t="shared" si="227"/>
        <v>0</v>
      </c>
      <c r="AW159" s="496"/>
      <c r="AX159" s="508"/>
      <c r="AY159" s="498">
        <v>920</v>
      </c>
      <c r="AZ159" s="100">
        <f t="shared" si="299"/>
        <v>61.333333333333336</v>
      </c>
      <c r="BA159" s="106"/>
      <c r="BB159" s="105">
        <v>210</v>
      </c>
      <c r="BC159" s="105">
        <f t="shared" si="300"/>
        <v>14</v>
      </c>
      <c r="BD159" s="106"/>
      <c r="BE159" s="105">
        <f t="shared" si="310"/>
        <v>61.333333333333336</v>
      </c>
      <c r="BF159" s="106"/>
      <c r="BG159" s="100">
        <f t="shared" si="305"/>
        <v>14</v>
      </c>
      <c r="BH159" s="106"/>
      <c r="BI159" s="100">
        <f t="shared" si="306"/>
        <v>0</v>
      </c>
      <c r="BJ159" s="106"/>
      <c r="BK159" s="101">
        <f t="shared" si="276"/>
        <v>75.333333333333343</v>
      </c>
      <c r="BL159" s="106"/>
      <c r="BM159" s="104"/>
      <c r="BN159" s="104">
        <f t="shared" si="301"/>
        <v>0</v>
      </c>
      <c r="BO159" s="105"/>
      <c r="BP159" s="105">
        <f t="shared" si="229"/>
        <v>0</v>
      </c>
      <c r="BQ159" s="106"/>
      <c r="BR159" s="105">
        <f>1750+600+300+1100</f>
        <v>3750</v>
      </c>
      <c r="BS159" s="105">
        <f t="shared" si="257"/>
        <v>75</v>
      </c>
      <c r="BT159" s="106"/>
      <c r="BU159" s="53"/>
      <c r="BV159" s="53">
        <f t="shared" si="302"/>
        <v>0</v>
      </c>
      <c r="BW159" s="54"/>
      <c r="BX159" s="350">
        <f t="shared" si="277"/>
        <v>75</v>
      </c>
      <c r="BY159" s="211"/>
      <c r="BZ159" s="211">
        <f t="shared" si="303"/>
        <v>0.33333333333334281</v>
      </c>
      <c r="CA159" s="508"/>
      <c r="CB159" s="165"/>
      <c r="CC159" s="165"/>
      <c r="CD159" s="203"/>
      <c r="CE159" s="504"/>
      <c r="CF159" s="105"/>
      <c r="CG159" s="105">
        <f t="shared" si="311"/>
        <v>0</v>
      </c>
      <c r="CH159" s="105"/>
      <c r="CI159" s="105"/>
      <c r="CJ159" s="105">
        <f t="shared" si="312"/>
        <v>0</v>
      </c>
      <c r="CK159" s="524"/>
      <c r="CL159" s="53">
        <f t="shared" si="304"/>
        <v>0</v>
      </c>
      <c r="CM159" s="54"/>
      <c r="CN159" s="105"/>
      <c r="CO159" s="100">
        <f t="shared" si="230"/>
        <v>0</v>
      </c>
      <c r="CP159" s="496"/>
      <c r="CQ159" s="439"/>
      <c r="CR159" s="504"/>
      <c r="CS159" s="105"/>
      <c r="CT159" s="105">
        <f t="shared" si="289"/>
        <v>0</v>
      </c>
      <c r="CU159" s="105"/>
      <c r="CV159" s="105"/>
      <c r="CW159" s="105">
        <f t="shared" si="290"/>
        <v>0</v>
      </c>
      <c r="CX159" s="53"/>
      <c r="CY159" s="109">
        <f t="shared" si="231"/>
        <v>0</v>
      </c>
      <c r="CZ159" s="54"/>
      <c r="DA159" s="105"/>
      <c r="DB159" s="455">
        <f t="shared" si="278"/>
        <v>0</v>
      </c>
      <c r="DC159" s="495"/>
      <c r="DD159" s="26"/>
      <c r="DF159" s="1133"/>
      <c r="DG159" s="674">
        <f t="shared" si="307"/>
        <v>0</v>
      </c>
      <c r="DH159" s="1119">
        <f t="shared" si="308"/>
        <v>14</v>
      </c>
      <c r="DI159" s="1119"/>
      <c r="DJ159" s="101">
        <f t="shared" si="293"/>
        <v>75.333333333333343</v>
      </c>
      <c r="DK159" s="101"/>
      <c r="DL159" s="101">
        <f t="shared" si="292"/>
        <v>0</v>
      </c>
      <c r="DM159" s="101">
        <f t="shared" ref="DM159:DM160" si="313">DL159</f>
        <v>0</v>
      </c>
      <c r="DN159" s="112">
        <f>DJ159</f>
        <v>75.333333333333343</v>
      </c>
      <c r="DO159" s="112"/>
      <c r="DP159" s="112"/>
      <c r="DQ159" s="112"/>
    </row>
    <row r="160" spans="1:130" ht="21.6" customHeight="1" x14ac:dyDescent="0.25">
      <c r="A160" s="4"/>
      <c r="B160" s="4"/>
      <c r="C160" s="174" t="s">
        <v>85</v>
      </c>
      <c r="D160" s="174" t="s">
        <v>429</v>
      </c>
      <c r="E160" s="1" t="s">
        <v>546</v>
      </c>
      <c r="F160" s="162"/>
      <c r="G160" s="162"/>
      <c r="H160" s="162"/>
      <c r="I160" s="162"/>
      <c r="J160" s="162"/>
      <c r="K160" s="162"/>
      <c r="L160" s="163"/>
      <c r="M160" s="414"/>
      <c r="N160" s="46"/>
      <c r="O160" s="164"/>
      <c r="P160" s="165"/>
      <c r="Q160" s="165"/>
      <c r="R160" s="165"/>
      <c r="S160" s="203"/>
      <c r="T160" s="89"/>
      <c r="U160" s="89"/>
      <c r="V160" s="89"/>
      <c r="W160" s="137"/>
      <c r="X160" s="137"/>
      <c r="Y160" s="90"/>
      <c r="Z160" s="169"/>
      <c r="AA160" s="92"/>
      <c r="AB160" s="92"/>
      <c r="AC160" s="92">
        <f t="shared" si="295"/>
        <v>0</v>
      </c>
      <c r="AD160" s="93"/>
      <c r="AE160" s="93"/>
      <c r="AF160" s="94">
        <f t="shared" si="296"/>
        <v>0</v>
      </c>
      <c r="AG160" s="475"/>
      <c r="AH160" s="99"/>
      <c r="AI160" s="99"/>
      <c r="AJ160" s="138">
        <v>390</v>
      </c>
      <c r="AK160" s="138">
        <f t="shared" si="297"/>
        <v>26</v>
      </c>
      <c r="AL160" s="106"/>
      <c r="AM160" s="105"/>
      <c r="AN160" s="105">
        <f t="shared" si="298"/>
        <v>0</v>
      </c>
      <c r="AO160" s="106"/>
      <c r="AP160" s="105">
        <v>315</v>
      </c>
      <c r="AQ160" s="105">
        <f t="shared" si="254"/>
        <v>21</v>
      </c>
      <c r="AR160" s="106"/>
      <c r="AS160" s="97">
        <f t="shared" si="275"/>
        <v>47</v>
      </c>
      <c r="AT160" s="6"/>
      <c r="AU160" s="105"/>
      <c r="AV160" s="455">
        <f t="shared" si="227"/>
        <v>0</v>
      </c>
      <c r="AW160" s="496"/>
      <c r="AX160" s="508"/>
      <c r="AY160" s="498"/>
      <c r="AZ160" s="100">
        <f t="shared" si="299"/>
        <v>0</v>
      </c>
      <c r="BA160" s="106"/>
      <c r="BB160" s="105"/>
      <c r="BC160" s="105">
        <f t="shared" si="300"/>
        <v>0</v>
      </c>
      <c r="BD160" s="106"/>
      <c r="BE160" s="105">
        <f t="shared" si="310"/>
        <v>26</v>
      </c>
      <c r="BF160" s="106"/>
      <c r="BG160" s="100">
        <f t="shared" si="305"/>
        <v>21</v>
      </c>
      <c r="BH160" s="106"/>
      <c r="BI160" s="100">
        <f t="shared" si="306"/>
        <v>0</v>
      </c>
      <c r="BJ160" s="106"/>
      <c r="BK160" s="101">
        <f t="shared" si="276"/>
        <v>47</v>
      </c>
      <c r="BL160" s="106"/>
      <c r="BM160" s="104"/>
      <c r="BN160" s="104"/>
      <c r="BO160" s="105">
        <v>1300</v>
      </c>
      <c r="BP160" s="105">
        <f t="shared" si="229"/>
        <v>26</v>
      </c>
      <c r="BQ160" s="106"/>
      <c r="BR160" s="105">
        <v>1050</v>
      </c>
      <c r="BS160" s="105">
        <f t="shared" si="257"/>
        <v>21</v>
      </c>
      <c r="BT160" s="106"/>
      <c r="BU160" s="53"/>
      <c r="BV160" s="53">
        <f t="shared" si="302"/>
        <v>0</v>
      </c>
      <c r="BW160" s="54"/>
      <c r="BX160" s="350">
        <f t="shared" si="277"/>
        <v>47</v>
      </c>
      <c r="BY160" s="211"/>
      <c r="BZ160" s="211">
        <f t="shared" si="303"/>
        <v>0</v>
      </c>
      <c r="CA160" s="508"/>
      <c r="CB160" s="165"/>
      <c r="CC160" s="165"/>
      <c r="CD160" s="203"/>
      <c r="CE160" s="504"/>
      <c r="CF160" s="105"/>
      <c r="CG160" s="105">
        <f t="shared" si="311"/>
        <v>0</v>
      </c>
      <c r="CH160" s="105"/>
      <c r="CI160" s="105"/>
      <c r="CJ160" s="105">
        <f t="shared" si="312"/>
        <v>0</v>
      </c>
      <c r="CK160" s="524"/>
      <c r="CL160" s="53">
        <f t="shared" si="304"/>
        <v>0</v>
      </c>
      <c r="CM160" s="54"/>
      <c r="CN160" s="105"/>
      <c r="CO160" s="100">
        <f t="shared" si="230"/>
        <v>0</v>
      </c>
      <c r="CP160" s="496"/>
      <c r="CQ160" s="439"/>
      <c r="CR160" s="504"/>
      <c r="CS160" s="105"/>
      <c r="CT160" s="105">
        <f t="shared" si="289"/>
        <v>0</v>
      </c>
      <c r="CU160" s="105"/>
      <c r="CV160" s="105"/>
      <c r="CW160" s="105">
        <f t="shared" si="290"/>
        <v>0</v>
      </c>
      <c r="CX160" s="53"/>
      <c r="CY160" s="109">
        <f t="shared" si="231"/>
        <v>0</v>
      </c>
      <c r="CZ160" s="54"/>
      <c r="DA160" s="105"/>
      <c r="DB160" s="455">
        <f t="shared" si="278"/>
        <v>0</v>
      </c>
      <c r="DC160" s="495"/>
      <c r="DD160" s="26"/>
      <c r="DF160" s="1133"/>
      <c r="DG160" s="674">
        <f t="shared" si="307"/>
        <v>0</v>
      </c>
      <c r="DH160" s="1119">
        <f t="shared" si="308"/>
        <v>0</v>
      </c>
      <c r="DI160" s="1119"/>
      <c r="DJ160" s="101">
        <f t="shared" si="293"/>
        <v>47</v>
      </c>
      <c r="DK160" s="101"/>
      <c r="DL160" s="101">
        <f t="shared" si="292"/>
        <v>0</v>
      </c>
      <c r="DM160" s="101">
        <f t="shared" si="313"/>
        <v>0</v>
      </c>
      <c r="DN160" s="112">
        <f>DJ160</f>
        <v>47</v>
      </c>
      <c r="DO160" s="112"/>
      <c r="DP160" s="112"/>
      <c r="DQ160" s="112"/>
    </row>
    <row r="161" spans="1:130" ht="36" customHeight="1" x14ac:dyDescent="0.25">
      <c r="A161" s="4"/>
      <c r="B161" s="4"/>
      <c r="C161" s="253" t="s">
        <v>85</v>
      </c>
      <c r="D161" s="253" t="s">
        <v>431</v>
      </c>
      <c r="E161" s="3" t="s">
        <v>314</v>
      </c>
      <c r="F161" s="162"/>
      <c r="G161" s="162"/>
      <c r="H161" s="162"/>
      <c r="I161" s="162"/>
      <c r="J161" s="162"/>
      <c r="K161" s="162"/>
      <c r="L161" s="163"/>
      <c r="M161" s="414"/>
      <c r="N161" s="46"/>
      <c r="O161" s="164"/>
      <c r="P161" s="165"/>
      <c r="Q161" s="165"/>
      <c r="R161" s="165"/>
      <c r="S161" s="203"/>
      <c r="T161" s="89"/>
      <c r="U161" s="89"/>
      <c r="V161" s="89">
        <f t="shared" si="294"/>
        <v>0</v>
      </c>
      <c r="W161" s="137"/>
      <c r="X161" s="137"/>
      <c r="Y161" s="90"/>
      <c r="Z161" s="169"/>
      <c r="AA161" s="92"/>
      <c r="AB161" s="92"/>
      <c r="AC161" s="92">
        <f t="shared" si="295"/>
        <v>0</v>
      </c>
      <c r="AD161" s="93"/>
      <c r="AE161" s="93"/>
      <c r="AF161" s="94">
        <f t="shared" si="296"/>
        <v>0</v>
      </c>
      <c r="AG161" s="475"/>
      <c r="AH161" s="99">
        <f>AI161*15</f>
        <v>450</v>
      </c>
      <c r="AI161" s="99">
        <v>30</v>
      </c>
      <c r="AJ161" s="138"/>
      <c r="AK161" s="138">
        <f t="shared" si="297"/>
        <v>0</v>
      </c>
      <c r="AL161" s="106"/>
      <c r="AM161" s="105">
        <f>285+165</f>
        <v>450</v>
      </c>
      <c r="AN161" s="105">
        <f t="shared" si="298"/>
        <v>30</v>
      </c>
      <c r="AO161" s="106"/>
      <c r="AP161" s="105"/>
      <c r="AQ161" s="105">
        <f t="shared" si="254"/>
        <v>0</v>
      </c>
      <c r="AR161" s="106"/>
      <c r="AS161" s="97">
        <f t="shared" si="275"/>
        <v>30</v>
      </c>
      <c r="AT161" s="6"/>
      <c r="AU161" s="105"/>
      <c r="AV161" s="455">
        <f t="shared" si="227"/>
        <v>0</v>
      </c>
      <c r="AW161" s="496"/>
      <c r="AX161" s="508"/>
      <c r="AY161" s="498"/>
      <c r="AZ161" s="100">
        <f t="shared" si="299"/>
        <v>0</v>
      </c>
      <c r="BA161" s="106"/>
      <c r="BB161" s="105"/>
      <c r="BC161" s="105">
        <f t="shared" si="300"/>
        <v>0</v>
      </c>
      <c r="BD161" s="106"/>
      <c r="BE161" s="105">
        <f t="shared" si="310"/>
        <v>0</v>
      </c>
      <c r="BF161" s="106"/>
      <c r="BG161" s="100">
        <f t="shared" si="305"/>
        <v>30</v>
      </c>
      <c r="BH161" s="106"/>
      <c r="BI161" s="100">
        <f t="shared" si="306"/>
        <v>0</v>
      </c>
      <c r="BJ161" s="106"/>
      <c r="BK161" s="101">
        <f t="shared" si="276"/>
        <v>30</v>
      </c>
      <c r="BL161" s="106"/>
      <c r="BM161" s="104">
        <v>1500</v>
      </c>
      <c r="BN161" s="104">
        <f t="shared" si="301"/>
        <v>30</v>
      </c>
      <c r="BO161" s="105"/>
      <c r="BP161" s="105">
        <f t="shared" si="229"/>
        <v>0</v>
      </c>
      <c r="BQ161" s="106"/>
      <c r="BR161" s="105">
        <v>1500</v>
      </c>
      <c r="BS161" s="105">
        <f t="shared" si="257"/>
        <v>30</v>
      </c>
      <c r="BT161" s="106"/>
      <c r="BU161" s="53"/>
      <c r="BV161" s="53">
        <f t="shared" si="302"/>
        <v>0</v>
      </c>
      <c r="BW161" s="54"/>
      <c r="BX161" s="350">
        <f t="shared" si="277"/>
        <v>30</v>
      </c>
      <c r="BY161" s="211"/>
      <c r="BZ161" s="211">
        <f t="shared" si="303"/>
        <v>0</v>
      </c>
      <c r="CA161" s="508"/>
      <c r="CB161" s="165"/>
      <c r="CC161" s="165"/>
      <c r="CD161" s="203"/>
      <c r="CE161" s="504"/>
      <c r="CF161" s="105"/>
      <c r="CG161" s="105">
        <f t="shared" si="311"/>
        <v>0</v>
      </c>
      <c r="CH161" s="105"/>
      <c r="CI161" s="105"/>
      <c r="CJ161" s="105">
        <f t="shared" si="312"/>
        <v>0</v>
      </c>
      <c r="CK161" s="524"/>
      <c r="CL161" s="53">
        <f t="shared" si="304"/>
        <v>0</v>
      </c>
      <c r="CM161" s="54"/>
      <c r="CN161" s="105"/>
      <c r="CO161" s="100">
        <f t="shared" si="230"/>
        <v>0</v>
      </c>
      <c r="CP161" s="496"/>
      <c r="CQ161" s="439"/>
      <c r="CR161" s="504"/>
      <c r="CS161" s="105"/>
      <c r="CT161" s="105">
        <f t="shared" si="289"/>
        <v>0</v>
      </c>
      <c r="CU161" s="105"/>
      <c r="CV161" s="105"/>
      <c r="CW161" s="105">
        <f t="shared" si="290"/>
        <v>0</v>
      </c>
      <c r="CX161" s="53"/>
      <c r="CY161" s="109">
        <f t="shared" si="231"/>
        <v>0</v>
      </c>
      <c r="CZ161" s="54"/>
      <c r="DA161" s="105"/>
      <c r="DB161" s="455">
        <f t="shared" si="278"/>
        <v>0</v>
      </c>
      <c r="DC161" s="495"/>
      <c r="DD161" s="26" t="s">
        <v>336</v>
      </c>
      <c r="DF161" s="1133"/>
      <c r="DG161" s="674">
        <f t="shared" si="307"/>
        <v>0</v>
      </c>
      <c r="DH161" s="1119">
        <f t="shared" si="308"/>
        <v>0</v>
      </c>
      <c r="DI161" s="1119"/>
      <c r="DJ161" s="101">
        <f t="shared" si="293"/>
        <v>30</v>
      </c>
      <c r="DK161" s="101"/>
      <c r="DL161" s="101">
        <f t="shared" si="292"/>
        <v>0</v>
      </c>
      <c r="DM161" s="101"/>
      <c r="DN161" s="112"/>
      <c r="DO161" s="112"/>
      <c r="DP161" s="112"/>
      <c r="DQ161" s="112"/>
    </row>
    <row r="162" spans="1:130" ht="21.6" customHeight="1" x14ac:dyDescent="0.25">
      <c r="A162" s="4" t="s">
        <v>28</v>
      </c>
      <c r="B162" s="4">
        <v>2</v>
      </c>
      <c r="C162" s="166" t="s">
        <v>85</v>
      </c>
      <c r="D162" s="166" t="s">
        <v>431</v>
      </c>
      <c r="E162" s="1" t="s">
        <v>74</v>
      </c>
      <c r="F162" s="162">
        <v>10</v>
      </c>
      <c r="G162" s="162">
        <v>5</v>
      </c>
      <c r="H162" s="162">
        <f>F162+G162</f>
        <v>15</v>
      </c>
      <c r="I162" s="162"/>
      <c r="J162" s="162">
        <v>16</v>
      </c>
      <c r="K162" s="162">
        <f>I162+J162</f>
        <v>16</v>
      </c>
      <c r="L162" s="163"/>
      <c r="M162" s="414"/>
      <c r="N162" s="46"/>
      <c r="O162" s="164"/>
      <c r="P162" s="165"/>
      <c r="Q162" s="165"/>
      <c r="R162" s="165"/>
      <c r="S162" s="203"/>
      <c r="T162" s="89"/>
      <c r="U162" s="89"/>
      <c r="V162" s="89">
        <f t="shared" si="294"/>
        <v>0</v>
      </c>
      <c r="W162" s="137"/>
      <c r="X162" s="137"/>
      <c r="Y162" s="90">
        <f>W162+X162</f>
        <v>0</v>
      </c>
      <c r="Z162" s="169"/>
      <c r="AA162" s="92"/>
      <c r="AB162" s="92"/>
      <c r="AC162" s="92">
        <f t="shared" si="295"/>
        <v>0</v>
      </c>
      <c r="AD162" s="93"/>
      <c r="AE162" s="93"/>
      <c r="AF162" s="94">
        <f t="shared" si="296"/>
        <v>0</v>
      </c>
      <c r="AG162" s="475"/>
      <c r="AH162" s="99"/>
      <c r="AI162" s="99">
        <f>AH162/15</f>
        <v>0</v>
      </c>
      <c r="AJ162" s="138"/>
      <c r="AK162" s="138">
        <f t="shared" si="297"/>
        <v>0</v>
      </c>
      <c r="AL162" s="106"/>
      <c r="AM162" s="105">
        <v>980</v>
      </c>
      <c r="AN162" s="105">
        <f t="shared" si="298"/>
        <v>65.333333333333329</v>
      </c>
      <c r="AO162" s="106"/>
      <c r="AP162" s="105">
        <v>30</v>
      </c>
      <c r="AQ162" s="105">
        <f t="shared" si="254"/>
        <v>2</v>
      </c>
      <c r="AR162" s="106"/>
      <c r="AS162" s="97">
        <f t="shared" si="275"/>
        <v>67.333333333333329</v>
      </c>
      <c r="AT162" s="6"/>
      <c r="AU162" s="105"/>
      <c r="AV162" s="455">
        <f t="shared" si="227"/>
        <v>0</v>
      </c>
      <c r="AW162" s="496"/>
      <c r="AX162" s="508"/>
      <c r="AY162" s="498"/>
      <c r="AZ162" s="100">
        <f t="shared" si="299"/>
        <v>0</v>
      </c>
      <c r="BA162" s="106"/>
      <c r="BB162" s="105"/>
      <c r="BC162" s="105">
        <f t="shared" si="300"/>
        <v>0</v>
      </c>
      <c r="BD162" s="106"/>
      <c r="BE162" s="105">
        <f t="shared" si="310"/>
        <v>0</v>
      </c>
      <c r="BF162" s="106"/>
      <c r="BG162" s="100">
        <f t="shared" si="305"/>
        <v>67.333333333333329</v>
      </c>
      <c r="BH162" s="106"/>
      <c r="BI162" s="100">
        <f t="shared" si="306"/>
        <v>0</v>
      </c>
      <c r="BJ162" s="106"/>
      <c r="BK162" s="101">
        <f t="shared" si="276"/>
        <v>67.333333333333329</v>
      </c>
      <c r="BL162" s="106"/>
      <c r="BM162" s="104"/>
      <c r="BN162" s="104">
        <f t="shared" si="301"/>
        <v>0</v>
      </c>
      <c r="BO162" s="105"/>
      <c r="BP162" s="105">
        <f t="shared" si="229"/>
        <v>0</v>
      </c>
      <c r="BQ162" s="106"/>
      <c r="BR162" s="105">
        <f>3250+100</f>
        <v>3350</v>
      </c>
      <c r="BS162" s="105">
        <f t="shared" si="257"/>
        <v>67</v>
      </c>
      <c r="BT162" s="106"/>
      <c r="BU162" s="53"/>
      <c r="BV162" s="53">
        <f t="shared" si="302"/>
        <v>0</v>
      </c>
      <c r="BW162" s="54"/>
      <c r="BX162" s="350">
        <f t="shared" si="277"/>
        <v>67</v>
      </c>
      <c r="BY162" s="211"/>
      <c r="BZ162" s="211">
        <f t="shared" si="303"/>
        <v>0.3333333333333286</v>
      </c>
      <c r="CA162" s="508"/>
      <c r="CB162" s="165"/>
      <c r="CC162" s="165"/>
      <c r="CD162" s="203"/>
      <c r="CE162" s="504"/>
      <c r="CF162" s="105"/>
      <c r="CG162" s="105">
        <f t="shared" si="311"/>
        <v>0</v>
      </c>
      <c r="CH162" s="105"/>
      <c r="CI162" s="105"/>
      <c r="CJ162" s="105">
        <f t="shared" si="312"/>
        <v>0</v>
      </c>
      <c r="CK162" s="524"/>
      <c r="CL162" s="53">
        <f t="shared" si="304"/>
        <v>0</v>
      </c>
      <c r="CM162" s="54"/>
      <c r="CN162" s="105"/>
      <c r="CO162" s="100">
        <f t="shared" si="230"/>
        <v>0</v>
      </c>
      <c r="CP162" s="496"/>
      <c r="CQ162" s="439"/>
      <c r="CR162" s="504"/>
      <c r="CS162" s="105"/>
      <c r="CT162" s="105">
        <f t="shared" si="289"/>
        <v>0</v>
      </c>
      <c r="CU162" s="105"/>
      <c r="CV162" s="105"/>
      <c r="CW162" s="105">
        <f t="shared" si="290"/>
        <v>0</v>
      </c>
      <c r="CX162" s="53"/>
      <c r="CY162" s="109">
        <f t="shared" si="231"/>
        <v>0</v>
      </c>
      <c r="CZ162" s="54"/>
      <c r="DA162" s="105"/>
      <c r="DB162" s="455">
        <f t="shared" si="278"/>
        <v>0</v>
      </c>
      <c r="DC162" s="495"/>
      <c r="DD162" s="26"/>
      <c r="DF162" s="1133"/>
      <c r="DG162" s="674">
        <f t="shared" si="307"/>
        <v>0</v>
      </c>
      <c r="DH162" s="1119">
        <f t="shared" si="308"/>
        <v>0</v>
      </c>
      <c r="DI162" s="1119"/>
      <c r="DJ162" s="101">
        <f t="shared" si="293"/>
        <v>67.333333333333329</v>
      </c>
      <c r="DK162" s="101"/>
      <c r="DL162" s="101">
        <f t="shared" si="292"/>
        <v>0</v>
      </c>
      <c r="DM162" s="101"/>
      <c r="DN162" s="112"/>
      <c r="DO162" s="112"/>
      <c r="DP162" s="112"/>
      <c r="DQ162" s="112"/>
    </row>
    <row r="163" spans="1:130" s="151" customFormat="1" ht="21.6" customHeight="1" x14ac:dyDescent="0.25">
      <c r="A163" s="141"/>
      <c r="B163" s="141"/>
      <c r="C163" s="159"/>
      <c r="D163" s="143"/>
      <c r="E163" s="22"/>
      <c r="F163" s="144"/>
      <c r="G163" s="144"/>
      <c r="H163" s="144"/>
      <c r="I163" s="144"/>
      <c r="J163" s="144"/>
      <c r="K163" s="144"/>
      <c r="L163" s="145"/>
      <c r="M163" s="146"/>
      <c r="N163" s="147"/>
      <c r="O163" s="131"/>
      <c r="P163" s="148"/>
      <c r="Q163" s="148"/>
      <c r="R163" s="148"/>
      <c r="S163" s="148"/>
      <c r="T163" s="123"/>
      <c r="U163" s="123"/>
      <c r="V163" s="123"/>
      <c r="W163" s="149"/>
      <c r="X163" s="149"/>
      <c r="Y163" s="124"/>
      <c r="Z163" s="125"/>
      <c r="AA163" s="123"/>
      <c r="AB163" s="123"/>
      <c r="AC163" s="123"/>
      <c r="AD163" s="124"/>
      <c r="AE163" s="124"/>
      <c r="AF163" s="126"/>
      <c r="AG163" s="474"/>
      <c r="AH163" s="129"/>
      <c r="AI163" s="129"/>
      <c r="AJ163" s="138"/>
      <c r="AK163" s="138"/>
      <c r="AL163" s="106"/>
      <c r="AM163" s="105"/>
      <c r="AN163" s="105"/>
      <c r="AO163" s="106"/>
      <c r="AP163" s="105"/>
      <c r="AQ163" s="105">
        <f t="shared" si="254"/>
        <v>0</v>
      </c>
      <c r="AR163" s="106"/>
      <c r="AS163" s="97">
        <f t="shared" si="275"/>
        <v>0</v>
      </c>
      <c r="AT163" s="6"/>
      <c r="AU163" s="105"/>
      <c r="AV163" s="455">
        <f t="shared" si="227"/>
        <v>0</v>
      </c>
      <c r="AW163" s="496"/>
      <c r="AX163" s="508"/>
      <c r="AY163" s="498"/>
      <c r="AZ163" s="100"/>
      <c r="BA163" s="101"/>
      <c r="BB163" s="100"/>
      <c r="BC163" s="100"/>
      <c r="BD163" s="101"/>
      <c r="BE163" s="105"/>
      <c r="BF163" s="106"/>
      <c r="BG163" s="100">
        <f t="shared" si="305"/>
        <v>0</v>
      </c>
      <c r="BH163" s="106"/>
      <c r="BI163" s="100">
        <f t="shared" si="306"/>
        <v>0</v>
      </c>
      <c r="BJ163" s="106"/>
      <c r="BK163" s="101">
        <f t="shared" si="276"/>
        <v>0</v>
      </c>
      <c r="BL163" s="106"/>
      <c r="BM163" s="130"/>
      <c r="BN163" s="130"/>
      <c r="BO163" s="105"/>
      <c r="BP163" s="105">
        <f t="shared" si="229"/>
        <v>0</v>
      </c>
      <c r="BQ163" s="106"/>
      <c r="BR163" s="105"/>
      <c r="BS163" s="105"/>
      <c r="BT163" s="106"/>
      <c r="BU163" s="53"/>
      <c r="BV163" s="53"/>
      <c r="BW163" s="54"/>
      <c r="BX163" s="350">
        <f t="shared" si="277"/>
        <v>0</v>
      </c>
      <c r="BY163" s="194"/>
      <c r="BZ163" s="194">
        <f t="shared" si="303"/>
        <v>0</v>
      </c>
      <c r="CA163" s="536"/>
      <c r="CB163" s="148"/>
      <c r="CC163" s="148"/>
      <c r="CD163" s="148"/>
      <c r="CE163" s="504"/>
      <c r="CF163" s="105"/>
      <c r="CG163" s="105">
        <f t="shared" si="311"/>
        <v>0</v>
      </c>
      <c r="CH163" s="105"/>
      <c r="CI163" s="105"/>
      <c r="CJ163" s="105">
        <f t="shared" si="312"/>
        <v>0</v>
      </c>
      <c r="CK163" s="523"/>
      <c r="CL163" s="102"/>
      <c r="CM163" s="103"/>
      <c r="CN163" s="100"/>
      <c r="CO163" s="100">
        <f t="shared" si="230"/>
        <v>0</v>
      </c>
      <c r="CP163" s="515"/>
      <c r="CQ163" s="441"/>
      <c r="CR163" s="504"/>
      <c r="CS163" s="105"/>
      <c r="CT163" s="105">
        <f t="shared" si="289"/>
        <v>0</v>
      </c>
      <c r="CU163" s="105"/>
      <c r="CV163" s="105"/>
      <c r="CW163" s="105">
        <f t="shared" si="290"/>
        <v>0</v>
      </c>
      <c r="CX163" s="53"/>
      <c r="CY163" s="109">
        <f t="shared" si="231"/>
        <v>0</v>
      </c>
      <c r="CZ163" s="54"/>
      <c r="DA163" s="105"/>
      <c r="DB163" s="455">
        <f t="shared" si="278"/>
        <v>0</v>
      </c>
      <c r="DC163" s="495"/>
      <c r="DD163" s="38"/>
      <c r="DF163" s="1133"/>
      <c r="DG163" s="674">
        <f t="shared" si="307"/>
        <v>0</v>
      </c>
      <c r="DH163" s="1119">
        <f t="shared" si="308"/>
        <v>0</v>
      </c>
      <c r="DI163" s="1119"/>
      <c r="DJ163" s="101">
        <f t="shared" si="293"/>
        <v>0</v>
      </c>
      <c r="DK163" s="101"/>
      <c r="DL163" s="101">
        <f t="shared" si="292"/>
        <v>0</v>
      </c>
      <c r="DM163" s="101"/>
      <c r="DN163" s="112"/>
      <c r="DO163" s="112"/>
      <c r="DP163" s="112"/>
      <c r="DQ163" s="112"/>
      <c r="DS163" s="152"/>
      <c r="DT163" s="152"/>
      <c r="DU163" s="152"/>
      <c r="DV163" s="152"/>
      <c r="DW163" s="152"/>
      <c r="DX163" s="152"/>
      <c r="DY163" s="152"/>
      <c r="DZ163" s="152"/>
    </row>
    <row r="164" spans="1:130" s="139" customFormat="1" ht="21.6" customHeight="1" x14ac:dyDescent="0.25">
      <c r="A164" s="4" t="s">
        <v>28</v>
      </c>
      <c r="B164" s="4">
        <v>1</v>
      </c>
      <c r="C164" s="182" t="s">
        <v>92</v>
      </c>
      <c r="D164" s="182" t="s">
        <v>429</v>
      </c>
      <c r="E164" s="13" t="s">
        <v>93</v>
      </c>
      <c r="F164" s="135">
        <v>145</v>
      </c>
      <c r="G164" s="135">
        <v>74</v>
      </c>
      <c r="H164" s="135">
        <f t="shared" ref="H164:H176" si="314">F164+G164</f>
        <v>219</v>
      </c>
      <c r="I164" s="135">
        <v>42.217700000000001</v>
      </c>
      <c r="J164" s="135"/>
      <c r="K164" s="135">
        <f t="shared" ref="K164:K165" si="315">I164+J164</f>
        <v>42.217700000000001</v>
      </c>
      <c r="L164" s="183"/>
      <c r="M164" s="5"/>
      <c r="N164" s="41"/>
      <c r="O164" s="6"/>
      <c r="P164" s="7"/>
      <c r="Q164" s="7"/>
      <c r="R164" s="7"/>
      <c r="S164" s="7"/>
      <c r="T164" s="89"/>
      <c r="U164" s="89"/>
      <c r="V164" s="89">
        <f t="shared" ref="V164:V166" si="316">T164+U164</f>
        <v>0</v>
      </c>
      <c r="W164" s="137"/>
      <c r="X164" s="137"/>
      <c r="Y164" s="90">
        <f t="shared" ref="Y164:Y175" si="317">W164+X164</f>
        <v>0</v>
      </c>
      <c r="Z164" s="91"/>
      <c r="AA164" s="92"/>
      <c r="AB164" s="92"/>
      <c r="AC164" s="92">
        <f t="shared" ref="AC164:AC175" si="318">AA164+AB164</f>
        <v>0</v>
      </c>
      <c r="AD164" s="93"/>
      <c r="AE164" s="93"/>
      <c r="AF164" s="94">
        <f t="shared" ref="AF164:AF175" si="319">AD164+AE164</f>
        <v>0</v>
      </c>
      <c r="AG164" s="473"/>
      <c r="AH164" s="99">
        <v>320</v>
      </c>
      <c r="AI164" s="99">
        <f t="shared" ref="AI164:AI176" si="320">AH164/15</f>
        <v>21.333333333333332</v>
      </c>
      <c r="AJ164" s="138">
        <v>320</v>
      </c>
      <c r="AK164" s="138">
        <f t="shared" ref="AK164:AK176" si="321">AJ164/15</f>
        <v>21.333333333333332</v>
      </c>
      <c r="AL164" s="106">
        <f>SUM(AK164:AK176)</f>
        <v>233.33333333333329</v>
      </c>
      <c r="AM164" s="105"/>
      <c r="AN164" s="105">
        <f t="shared" ref="AN164:AN176" si="322">AM164/15</f>
        <v>0</v>
      </c>
      <c r="AO164" s="106">
        <f>SUM(AN164:AN176)</f>
        <v>127.66666666666667</v>
      </c>
      <c r="AP164" s="105"/>
      <c r="AQ164" s="105">
        <f t="shared" si="254"/>
        <v>0</v>
      </c>
      <c r="AR164" s="106">
        <f>SUM(AQ164:AQ176)</f>
        <v>0</v>
      </c>
      <c r="AS164" s="97">
        <f t="shared" si="275"/>
        <v>21.333333333333332</v>
      </c>
      <c r="AT164" s="6">
        <f>SUM(AS164:AS176)</f>
        <v>360.99999999999994</v>
      </c>
      <c r="AU164" s="105"/>
      <c r="AV164" s="455">
        <f t="shared" si="227"/>
        <v>0</v>
      </c>
      <c r="AW164" s="496">
        <f>SUM(AV164:AV176)</f>
        <v>0</v>
      </c>
      <c r="AX164" s="508"/>
      <c r="AY164" s="498">
        <v>60</v>
      </c>
      <c r="AZ164" s="100">
        <f t="shared" ref="AZ164:AZ176" si="323">AY164/15</f>
        <v>4</v>
      </c>
      <c r="BA164" s="106">
        <f>SUM(AZ164:AZ176)</f>
        <v>55.666666666666671</v>
      </c>
      <c r="BB164" s="105"/>
      <c r="BC164" s="105">
        <f t="shared" ref="BC164:BC176" si="324">BB164/15</f>
        <v>0</v>
      </c>
      <c r="BD164" s="106">
        <f>SUM(BC164:BC176)</f>
        <v>0</v>
      </c>
      <c r="BE164" s="105">
        <f t="shared" ref="BE164:BE171" si="325">AK164+AZ164</f>
        <v>25.333333333333332</v>
      </c>
      <c r="BF164" s="106">
        <f>SUM(BE164:BE176)</f>
        <v>289</v>
      </c>
      <c r="BG164" s="100">
        <f t="shared" si="305"/>
        <v>0</v>
      </c>
      <c r="BH164" s="106">
        <f>SUM(BG164:BG176)</f>
        <v>127.66666666666667</v>
      </c>
      <c r="BI164" s="100">
        <f t="shared" si="306"/>
        <v>0</v>
      </c>
      <c r="BJ164" s="106">
        <f>SUM(BI164:BI176)</f>
        <v>0</v>
      </c>
      <c r="BK164" s="101">
        <f t="shared" si="276"/>
        <v>25.333333333333332</v>
      </c>
      <c r="BL164" s="106">
        <f>SUM(BK164:BK176)</f>
        <v>416.66666666666663</v>
      </c>
      <c r="BM164" s="104">
        <v>1250</v>
      </c>
      <c r="BN164" s="104">
        <f t="shared" ref="BN164:BN176" si="326">BM164/50</f>
        <v>25</v>
      </c>
      <c r="BO164" s="105">
        <v>1250</v>
      </c>
      <c r="BP164" s="105">
        <f t="shared" si="229"/>
        <v>25</v>
      </c>
      <c r="BQ164" s="106">
        <f>SUM(BP164:BP176)</f>
        <v>284</v>
      </c>
      <c r="BR164" s="105"/>
      <c r="BS164" s="105">
        <f t="shared" si="257"/>
        <v>0</v>
      </c>
      <c r="BT164" s="106">
        <f>SUM(BS164:BS176)</f>
        <v>125</v>
      </c>
      <c r="BU164" s="53"/>
      <c r="BV164" s="53">
        <f t="shared" ref="BV164:BV176" si="327">BU164/50</f>
        <v>0</v>
      </c>
      <c r="BW164" s="54">
        <f>SUM(BV164:BV176)</f>
        <v>0</v>
      </c>
      <c r="BX164" s="350">
        <f t="shared" si="277"/>
        <v>25</v>
      </c>
      <c r="BY164" s="211">
        <f>SUM(BX164:BX176)</f>
        <v>409</v>
      </c>
      <c r="BZ164" s="211">
        <f t="shared" si="303"/>
        <v>0.33333333333333215</v>
      </c>
      <c r="CA164" s="508"/>
      <c r="CB164" s="7"/>
      <c r="CC164" s="7"/>
      <c r="CD164" s="7"/>
      <c r="CE164" s="504"/>
      <c r="CF164" s="105"/>
      <c r="CG164" s="105">
        <f t="shared" si="311"/>
        <v>0</v>
      </c>
      <c r="CH164" s="105"/>
      <c r="CI164" s="105"/>
      <c r="CJ164" s="105">
        <f t="shared" si="312"/>
        <v>0</v>
      </c>
      <c r="CK164" s="524"/>
      <c r="CL164" s="53">
        <f t="shared" ref="CL164:CL176" si="328">CK164/15</f>
        <v>0</v>
      </c>
      <c r="CM164" s="54">
        <f>SUM(CL164:CL176)</f>
        <v>0</v>
      </c>
      <c r="CN164" s="105"/>
      <c r="CO164" s="100">
        <f t="shared" si="230"/>
        <v>0</v>
      </c>
      <c r="CP164" s="496">
        <f>SUM(CO164:CO176)</f>
        <v>0</v>
      </c>
      <c r="CQ164" s="439"/>
      <c r="CR164" s="504"/>
      <c r="CS164" s="105"/>
      <c r="CT164" s="105">
        <f t="shared" si="289"/>
        <v>0</v>
      </c>
      <c r="CU164" s="105"/>
      <c r="CV164" s="105"/>
      <c r="CW164" s="105">
        <f t="shared" si="290"/>
        <v>0</v>
      </c>
      <c r="CX164" s="53"/>
      <c r="CY164" s="109">
        <f t="shared" si="231"/>
        <v>0</v>
      </c>
      <c r="CZ164" s="54">
        <f>SUM(CY164:CY176)</f>
        <v>0</v>
      </c>
      <c r="DA164" s="105"/>
      <c r="DB164" s="455">
        <f t="shared" si="278"/>
        <v>0</v>
      </c>
      <c r="DC164" s="495">
        <f>SUM(DB164:DB176)</f>
        <v>0</v>
      </c>
      <c r="DD164" s="27"/>
      <c r="DF164" s="1133"/>
      <c r="DG164" s="674">
        <f t="shared" si="307"/>
        <v>0</v>
      </c>
      <c r="DH164" s="1119">
        <f t="shared" si="308"/>
        <v>0</v>
      </c>
      <c r="DI164" s="1119"/>
      <c r="DJ164" s="101">
        <f t="shared" si="293"/>
        <v>25.333333333333332</v>
      </c>
      <c r="DK164" s="101">
        <f>SUM(DJ164:DJ176)</f>
        <v>416.66666666666663</v>
      </c>
      <c r="DL164" s="101">
        <f t="shared" si="292"/>
        <v>0</v>
      </c>
      <c r="DM164" s="101">
        <f t="shared" ref="DM164:DM169" si="329">DL164</f>
        <v>0</v>
      </c>
      <c r="DN164" s="112">
        <f t="shared" ref="DN164:DN169" si="330">DJ164</f>
        <v>25.333333333333332</v>
      </c>
      <c r="DO164" s="112"/>
      <c r="DP164" s="112"/>
      <c r="DQ164" s="112"/>
      <c r="DS164" s="140"/>
      <c r="DT164" s="140"/>
      <c r="DU164" s="140"/>
      <c r="DV164" s="140"/>
      <c r="DW164" s="140"/>
      <c r="DX164" s="140"/>
      <c r="DY164" s="140"/>
      <c r="DZ164" s="140"/>
    </row>
    <row r="165" spans="1:130" s="139" customFormat="1" ht="21.6" customHeight="1" x14ac:dyDescent="0.25">
      <c r="A165" s="4" t="s">
        <v>28</v>
      </c>
      <c r="B165" s="4">
        <v>2</v>
      </c>
      <c r="C165" s="182" t="s">
        <v>92</v>
      </c>
      <c r="D165" s="182" t="s">
        <v>429</v>
      </c>
      <c r="E165" s="13" t="s">
        <v>94</v>
      </c>
      <c r="F165" s="135">
        <v>409</v>
      </c>
      <c r="G165" s="135">
        <v>141</v>
      </c>
      <c r="H165" s="135">
        <f t="shared" si="314"/>
        <v>550</v>
      </c>
      <c r="I165" s="135">
        <v>88.644199999999998</v>
      </c>
      <c r="J165" s="135"/>
      <c r="K165" s="135">
        <f t="shared" si="315"/>
        <v>88.644199999999998</v>
      </c>
      <c r="L165" s="183"/>
      <c r="M165" s="5"/>
      <c r="N165" s="41"/>
      <c r="O165" s="6"/>
      <c r="P165" s="7"/>
      <c r="Q165" s="7"/>
      <c r="R165" s="7"/>
      <c r="S165" s="7"/>
      <c r="T165" s="89"/>
      <c r="U165" s="89"/>
      <c r="V165" s="89">
        <f t="shared" si="316"/>
        <v>0</v>
      </c>
      <c r="W165" s="137"/>
      <c r="X165" s="137"/>
      <c r="Y165" s="90">
        <f t="shared" si="317"/>
        <v>0</v>
      </c>
      <c r="Z165" s="91"/>
      <c r="AA165" s="92"/>
      <c r="AB165" s="92"/>
      <c r="AC165" s="92">
        <f t="shared" si="318"/>
        <v>0</v>
      </c>
      <c r="AD165" s="93"/>
      <c r="AE165" s="93"/>
      <c r="AF165" s="94">
        <f t="shared" si="319"/>
        <v>0</v>
      </c>
      <c r="AG165" s="473"/>
      <c r="AH165" s="99">
        <f>230+432</f>
        <v>662</v>
      </c>
      <c r="AI165" s="99">
        <f>AH165/15</f>
        <v>44.133333333333333</v>
      </c>
      <c r="AJ165" s="138">
        <v>230</v>
      </c>
      <c r="AK165" s="138">
        <f t="shared" si="321"/>
        <v>15.333333333333334</v>
      </c>
      <c r="AL165" s="106"/>
      <c r="AM165" s="105">
        <v>430</v>
      </c>
      <c r="AN165" s="105">
        <f t="shared" si="322"/>
        <v>28.666666666666668</v>
      </c>
      <c r="AO165" s="106"/>
      <c r="AP165" s="105"/>
      <c r="AQ165" s="105">
        <f t="shared" si="254"/>
        <v>0</v>
      </c>
      <c r="AR165" s="106"/>
      <c r="AS165" s="97">
        <f t="shared" si="275"/>
        <v>44</v>
      </c>
      <c r="AT165" s="6"/>
      <c r="AU165" s="105"/>
      <c r="AV165" s="455">
        <f t="shared" si="227"/>
        <v>0</v>
      </c>
      <c r="AW165" s="496"/>
      <c r="AX165" s="508"/>
      <c r="AY165" s="498"/>
      <c r="AZ165" s="100">
        <f t="shared" si="323"/>
        <v>0</v>
      </c>
      <c r="BA165" s="101"/>
      <c r="BB165" s="100"/>
      <c r="BC165" s="100">
        <f t="shared" si="324"/>
        <v>0</v>
      </c>
      <c r="BD165" s="101"/>
      <c r="BE165" s="105">
        <f t="shared" si="325"/>
        <v>15.333333333333334</v>
      </c>
      <c r="BF165" s="106"/>
      <c r="BG165" s="100">
        <f t="shared" si="305"/>
        <v>28.666666666666668</v>
      </c>
      <c r="BH165" s="106"/>
      <c r="BI165" s="100">
        <f t="shared" si="306"/>
        <v>0</v>
      </c>
      <c r="BJ165" s="106"/>
      <c r="BK165" s="101">
        <f t="shared" si="276"/>
        <v>44</v>
      </c>
      <c r="BL165" s="106"/>
      <c r="BM165" s="104">
        <v>750</v>
      </c>
      <c r="BN165" s="104">
        <f t="shared" si="326"/>
        <v>15</v>
      </c>
      <c r="BO165" s="105">
        <v>750</v>
      </c>
      <c r="BP165" s="105">
        <f t="shared" si="229"/>
        <v>15</v>
      </c>
      <c r="BQ165" s="106"/>
      <c r="BR165" s="105">
        <v>1400</v>
      </c>
      <c r="BS165" s="105">
        <f t="shared" si="257"/>
        <v>28</v>
      </c>
      <c r="BT165" s="106"/>
      <c r="BU165" s="53"/>
      <c r="BV165" s="53">
        <f t="shared" si="327"/>
        <v>0</v>
      </c>
      <c r="BW165" s="54"/>
      <c r="BX165" s="350">
        <f t="shared" si="277"/>
        <v>43</v>
      </c>
      <c r="BY165" s="211"/>
      <c r="BZ165" s="211">
        <f t="shared" si="303"/>
        <v>1</v>
      </c>
      <c r="CA165" s="508"/>
      <c r="CB165" s="7"/>
      <c r="CC165" s="7"/>
      <c r="CD165" s="7"/>
      <c r="CE165" s="504"/>
      <c r="CF165" s="105"/>
      <c r="CG165" s="105">
        <f t="shared" si="311"/>
        <v>0</v>
      </c>
      <c r="CH165" s="105"/>
      <c r="CI165" s="105"/>
      <c r="CJ165" s="105">
        <f t="shared" si="312"/>
        <v>0</v>
      </c>
      <c r="CK165" s="523"/>
      <c r="CL165" s="102">
        <f t="shared" si="328"/>
        <v>0</v>
      </c>
      <c r="CM165" s="103"/>
      <c r="CN165" s="100"/>
      <c r="CO165" s="100">
        <f t="shared" si="230"/>
        <v>0</v>
      </c>
      <c r="CP165" s="515"/>
      <c r="CQ165" s="441"/>
      <c r="CR165" s="504"/>
      <c r="CS165" s="105"/>
      <c r="CT165" s="105">
        <f t="shared" si="289"/>
        <v>0</v>
      </c>
      <c r="CU165" s="105"/>
      <c r="CV165" s="105"/>
      <c r="CW165" s="105">
        <f t="shared" si="290"/>
        <v>0</v>
      </c>
      <c r="CX165" s="53"/>
      <c r="CY165" s="109">
        <f t="shared" si="231"/>
        <v>0</v>
      </c>
      <c r="CZ165" s="54"/>
      <c r="DA165" s="105"/>
      <c r="DB165" s="455">
        <f t="shared" si="278"/>
        <v>0</v>
      </c>
      <c r="DC165" s="495"/>
      <c r="DD165" s="27" t="s">
        <v>589</v>
      </c>
      <c r="DF165" s="1133"/>
      <c r="DG165" s="674">
        <f t="shared" si="307"/>
        <v>0</v>
      </c>
      <c r="DH165" s="1119">
        <f t="shared" si="308"/>
        <v>0</v>
      </c>
      <c r="DI165" s="1119"/>
      <c r="DJ165" s="101">
        <f t="shared" si="293"/>
        <v>44</v>
      </c>
      <c r="DK165" s="101"/>
      <c r="DL165" s="101">
        <f t="shared" si="292"/>
        <v>0</v>
      </c>
      <c r="DM165" s="101">
        <f t="shared" si="329"/>
        <v>0</v>
      </c>
      <c r="DN165" s="112">
        <f t="shared" si="330"/>
        <v>44</v>
      </c>
      <c r="DO165" s="112"/>
      <c r="DP165" s="112"/>
      <c r="DQ165" s="112"/>
      <c r="DS165" s="140"/>
      <c r="DT165" s="140"/>
      <c r="DU165" s="140"/>
      <c r="DV165" s="140"/>
      <c r="DW165" s="140"/>
      <c r="DX165" s="140"/>
      <c r="DY165" s="140"/>
      <c r="DZ165" s="140"/>
    </row>
    <row r="166" spans="1:130" s="139" customFormat="1" ht="21.6" customHeight="1" x14ac:dyDescent="0.25">
      <c r="A166" s="4"/>
      <c r="B166" s="4"/>
      <c r="C166" s="182" t="s">
        <v>92</v>
      </c>
      <c r="D166" s="182" t="s">
        <v>429</v>
      </c>
      <c r="E166" s="3" t="s">
        <v>417</v>
      </c>
      <c r="F166" s="135"/>
      <c r="G166" s="135"/>
      <c r="H166" s="135"/>
      <c r="I166" s="135"/>
      <c r="J166" s="135"/>
      <c r="K166" s="135"/>
      <c r="L166" s="183"/>
      <c r="M166" s="5"/>
      <c r="N166" s="205"/>
      <c r="O166" s="202"/>
      <c r="P166" s="7"/>
      <c r="Q166" s="7"/>
      <c r="R166" s="7"/>
      <c r="S166" s="7"/>
      <c r="T166" s="89"/>
      <c r="U166" s="89"/>
      <c r="V166" s="89">
        <f t="shared" si="316"/>
        <v>0</v>
      </c>
      <c r="W166" s="137"/>
      <c r="X166" s="137"/>
      <c r="Y166" s="90">
        <f t="shared" si="317"/>
        <v>0</v>
      </c>
      <c r="Z166" s="91"/>
      <c r="AA166" s="92"/>
      <c r="AB166" s="92"/>
      <c r="AC166" s="92">
        <f t="shared" si="318"/>
        <v>0</v>
      </c>
      <c r="AD166" s="93"/>
      <c r="AE166" s="93"/>
      <c r="AF166" s="94">
        <f t="shared" si="319"/>
        <v>0</v>
      </c>
      <c r="AG166" s="473"/>
      <c r="AH166" s="99">
        <f>225+230</f>
        <v>455</v>
      </c>
      <c r="AI166" s="99">
        <f t="shared" si="320"/>
        <v>30.333333333333332</v>
      </c>
      <c r="AJ166" s="138">
        <v>225</v>
      </c>
      <c r="AK166" s="138">
        <f t="shared" si="321"/>
        <v>15</v>
      </c>
      <c r="AL166" s="106"/>
      <c r="AM166" s="105">
        <v>230</v>
      </c>
      <c r="AN166" s="105">
        <f t="shared" si="322"/>
        <v>15.333333333333334</v>
      </c>
      <c r="AO166" s="106"/>
      <c r="AP166" s="105"/>
      <c r="AQ166" s="105">
        <f t="shared" ref="AQ166:AQ200" si="331">AP166/15</f>
        <v>0</v>
      </c>
      <c r="AR166" s="106"/>
      <c r="AS166" s="97">
        <f t="shared" si="275"/>
        <v>30.333333333333336</v>
      </c>
      <c r="AT166" s="6"/>
      <c r="AU166" s="105"/>
      <c r="AV166" s="455">
        <f t="shared" si="227"/>
        <v>0</v>
      </c>
      <c r="AW166" s="496"/>
      <c r="AX166" s="508"/>
      <c r="AY166" s="498">
        <v>190</v>
      </c>
      <c r="AZ166" s="100">
        <f t="shared" si="323"/>
        <v>12.666666666666666</v>
      </c>
      <c r="BA166" s="101"/>
      <c r="BB166" s="100"/>
      <c r="BC166" s="100">
        <f t="shared" si="324"/>
        <v>0</v>
      </c>
      <c r="BD166" s="101"/>
      <c r="BE166" s="105">
        <f t="shared" si="325"/>
        <v>27.666666666666664</v>
      </c>
      <c r="BF166" s="106"/>
      <c r="BG166" s="100">
        <f t="shared" si="305"/>
        <v>15.333333333333334</v>
      </c>
      <c r="BH166" s="106"/>
      <c r="BI166" s="100">
        <f t="shared" si="306"/>
        <v>0</v>
      </c>
      <c r="BJ166" s="106"/>
      <c r="BK166" s="101">
        <f t="shared" si="276"/>
        <v>43</v>
      </c>
      <c r="BL166" s="106"/>
      <c r="BM166" s="104">
        <v>1350</v>
      </c>
      <c r="BN166" s="104">
        <f t="shared" si="326"/>
        <v>27</v>
      </c>
      <c r="BO166" s="105">
        <v>1350</v>
      </c>
      <c r="BP166" s="105">
        <f t="shared" si="229"/>
        <v>27</v>
      </c>
      <c r="BQ166" s="106"/>
      <c r="BR166" s="105">
        <v>750</v>
      </c>
      <c r="BS166" s="105">
        <f t="shared" si="257"/>
        <v>15</v>
      </c>
      <c r="BT166" s="106"/>
      <c r="BU166" s="53"/>
      <c r="BV166" s="53">
        <f t="shared" si="327"/>
        <v>0</v>
      </c>
      <c r="BW166" s="54"/>
      <c r="BX166" s="350">
        <f t="shared" si="277"/>
        <v>42</v>
      </c>
      <c r="BY166" s="211"/>
      <c r="BZ166" s="211">
        <f t="shared" si="303"/>
        <v>1</v>
      </c>
      <c r="CA166" s="508"/>
      <c r="CB166" s="7"/>
      <c r="CC166" s="7"/>
      <c r="CD166" s="7"/>
      <c r="CE166" s="504"/>
      <c r="CF166" s="105"/>
      <c r="CG166" s="105">
        <f t="shared" si="311"/>
        <v>0</v>
      </c>
      <c r="CH166" s="105"/>
      <c r="CI166" s="105"/>
      <c r="CJ166" s="105">
        <f t="shared" si="312"/>
        <v>0</v>
      </c>
      <c r="CK166" s="523"/>
      <c r="CL166" s="102">
        <f t="shared" si="328"/>
        <v>0</v>
      </c>
      <c r="CM166" s="103"/>
      <c r="CN166" s="100"/>
      <c r="CO166" s="100">
        <f t="shared" si="230"/>
        <v>0</v>
      </c>
      <c r="CP166" s="515"/>
      <c r="CQ166" s="441"/>
      <c r="CR166" s="504"/>
      <c r="CS166" s="105"/>
      <c r="CT166" s="105">
        <f t="shared" si="289"/>
        <v>0</v>
      </c>
      <c r="CU166" s="105"/>
      <c r="CV166" s="105"/>
      <c r="CW166" s="105">
        <f t="shared" si="290"/>
        <v>0</v>
      </c>
      <c r="CX166" s="53"/>
      <c r="CY166" s="109">
        <f t="shared" si="231"/>
        <v>0</v>
      </c>
      <c r="CZ166" s="54"/>
      <c r="DA166" s="105"/>
      <c r="DB166" s="455">
        <f t="shared" si="278"/>
        <v>0</v>
      </c>
      <c r="DC166" s="495"/>
      <c r="DD166" s="27" t="s">
        <v>589</v>
      </c>
      <c r="DF166" s="1133"/>
      <c r="DG166" s="674">
        <f t="shared" si="307"/>
        <v>0</v>
      </c>
      <c r="DH166" s="1119">
        <f t="shared" si="308"/>
        <v>0</v>
      </c>
      <c r="DI166" s="1119"/>
      <c r="DJ166" s="101">
        <f t="shared" si="293"/>
        <v>43</v>
      </c>
      <c r="DK166" s="101"/>
      <c r="DL166" s="493">
        <f t="shared" si="292"/>
        <v>0</v>
      </c>
      <c r="DM166" s="493">
        <f t="shared" si="329"/>
        <v>0</v>
      </c>
      <c r="DN166" s="112">
        <f t="shared" si="330"/>
        <v>43</v>
      </c>
      <c r="DO166" s="112"/>
      <c r="DP166" s="112"/>
      <c r="DQ166" s="112"/>
      <c r="DS166" s="140"/>
      <c r="DT166" s="140"/>
      <c r="DU166" s="140"/>
      <c r="DV166" s="140"/>
      <c r="DW166" s="140"/>
      <c r="DX166" s="140"/>
      <c r="DY166" s="140"/>
      <c r="DZ166" s="140"/>
    </row>
    <row r="167" spans="1:130" s="139" customFormat="1" ht="21.6" customHeight="1" x14ac:dyDescent="0.25">
      <c r="A167" s="4" t="s">
        <v>28</v>
      </c>
      <c r="B167" s="4">
        <v>3</v>
      </c>
      <c r="C167" s="182" t="s">
        <v>92</v>
      </c>
      <c r="D167" s="182" t="s">
        <v>429</v>
      </c>
      <c r="E167" s="2" t="s">
        <v>95</v>
      </c>
      <c r="F167" s="135">
        <v>298</v>
      </c>
      <c r="G167" s="135">
        <v>124</v>
      </c>
      <c r="H167" s="135">
        <f t="shared" si="314"/>
        <v>422</v>
      </c>
      <c r="I167" s="135">
        <v>94.5685</v>
      </c>
      <c r="J167" s="135"/>
      <c r="K167" s="135">
        <f t="shared" ref="K167:K176" si="332">I167+J167</f>
        <v>94.5685</v>
      </c>
      <c r="L167" s="183"/>
      <c r="M167" s="5"/>
      <c r="N167" s="41"/>
      <c r="O167" s="6"/>
      <c r="P167" s="7"/>
      <c r="Q167" s="7"/>
      <c r="R167" s="7"/>
      <c r="S167" s="7"/>
      <c r="T167" s="89"/>
      <c r="U167" s="89"/>
      <c r="V167" s="89">
        <v>18</v>
      </c>
      <c r="W167" s="137"/>
      <c r="X167" s="137"/>
      <c r="Y167" s="90">
        <f t="shared" si="317"/>
        <v>0</v>
      </c>
      <c r="Z167" s="91"/>
      <c r="AA167" s="92"/>
      <c r="AB167" s="92"/>
      <c r="AC167" s="92">
        <f t="shared" ref="AC167" si="333">AA167+AB167</f>
        <v>0</v>
      </c>
      <c r="AD167" s="93"/>
      <c r="AE167" s="93"/>
      <c r="AF167" s="94">
        <f t="shared" si="319"/>
        <v>0</v>
      </c>
      <c r="AG167" s="473"/>
      <c r="AH167" s="99">
        <v>230</v>
      </c>
      <c r="AI167" s="99">
        <f t="shared" si="320"/>
        <v>15.333333333333334</v>
      </c>
      <c r="AJ167" s="138"/>
      <c r="AK167" s="138">
        <f t="shared" si="321"/>
        <v>0</v>
      </c>
      <c r="AL167" s="106"/>
      <c r="AM167" s="105">
        <v>230</v>
      </c>
      <c r="AN167" s="105">
        <f t="shared" si="322"/>
        <v>15.333333333333334</v>
      </c>
      <c r="AO167" s="106"/>
      <c r="AP167" s="105"/>
      <c r="AQ167" s="105">
        <f t="shared" si="331"/>
        <v>0</v>
      </c>
      <c r="AR167" s="106"/>
      <c r="AS167" s="97">
        <f t="shared" si="275"/>
        <v>15.333333333333334</v>
      </c>
      <c r="AT167" s="6"/>
      <c r="AU167" s="105"/>
      <c r="AV167" s="455">
        <f t="shared" si="227"/>
        <v>0</v>
      </c>
      <c r="AW167" s="496"/>
      <c r="AX167" s="508"/>
      <c r="AY167" s="498"/>
      <c r="AZ167" s="100">
        <f t="shared" si="323"/>
        <v>0</v>
      </c>
      <c r="BA167" s="101"/>
      <c r="BB167" s="100"/>
      <c r="BC167" s="100">
        <f t="shared" si="324"/>
        <v>0</v>
      </c>
      <c r="BD167" s="101"/>
      <c r="BE167" s="105">
        <f t="shared" si="325"/>
        <v>0</v>
      </c>
      <c r="BF167" s="106"/>
      <c r="BG167" s="100">
        <f t="shared" si="305"/>
        <v>15.333333333333334</v>
      </c>
      <c r="BH167" s="106"/>
      <c r="BI167" s="100">
        <f t="shared" si="306"/>
        <v>0</v>
      </c>
      <c r="BJ167" s="106"/>
      <c r="BK167" s="101">
        <f t="shared" si="276"/>
        <v>15.333333333333334</v>
      </c>
      <c r="BL167" s="106"/>
      <c r="BM167" s="104"/>
      <c r="BN167" s="104">
        <f t="shared" si="326"/>
        <v>0</v>
      </c>
      <c r="BO167" s="105"/>
      <c r="BP167" s="105">
        <f t="shared" si="229"/>
        <v>0</v>
      </c>
      <c r="BQ167" s="106"/>
      <c r="BR167" s="105">
        <v>750</v>
      </c>
      <c r="BS167" s="105">
        <f t="shared" si="257"/>
        <v>15</v>
      </c>
      <c r="BT167" s="106"/>
      <c r="BU167" s="53"/>
      <c r="BV167" s="53">
        <f t="shared" si="327"/>
        <v>0</v>
      </c>
      <c r="BW167" s="54"/>
      <c r="BX167" s="350">
        <f t="shared" si="277"/>
        <v>15</v>
      </c>
      <c r="BY167" s="211"/>
      <c r="BZ167" s="211">
        <f t="shared" si="303"/>
        <v>0.33333333333333393</v>
      </c>
      <c r="CA167" s="508"/>
      <c r="CB167" s="7"/>
      <c r="CC167" s="7"/>
      <c r="CD167" s="7"/>
      <c r="CE167" s="504"/>
      <c r="CF167" s="105"/>
      <c r="CG167" s="105">
        <f t="shared" si="311"/>
        <v>0</v>
      </c>
      <c r="CH167" s="105"/>
      <c r="CI167" s="105"/>
      <c r="CJ167" s="105">
        <f t="shared" si="312"/>
        <v>0</v>
      </c>
      <c r="CK167" s="523"/>
      <c r="CL167" s="102">
        <f t="shared" si="328"/>
        <v>0</v>
      </c>
      <c r="CM167" s="103"/>
      <c r="CN167" s="100"/>
      <c r="CO167" s="100">
        <f t="shared" si="230"/>
        <v>0</v>
      </c>
      <c r="CP167" s="515"/>
      <c r="CQ167" s="441"/>
      <c r="CR167" s="504"/>
      <c r="CS167" s="105"/>
      <c r="CT167" s="105">
        <f t="shared" si="289"/>
        <v>0</v>
      </c>
      <c r="CU167" s="105"/>
      <c r="CV167" s="105"/>
      <c r="CW167" s="105">
        <f t="shared" si="290"/>
        <v>0</v>
      </c>
      <c r="CX167" s="53"/>
      <c r="CY167" s="109">
        <f t="shared" si="231"/>
        <v>0</v>
      </c>
      <c r="CZ167" s="54"/>
      <c r="DA167" s="105"/>
      <c r="DB167" s="455">
        <f t="shared" si="278"/>
        <v>0</v>
      </c>
      <c r="DC167" s="495"/>
      <c r="DD167" s="27" t="s">
        <v>589</v>
      </c>
      <c r="DF167" s="1133"/>
      <c r="DG167" s="674">
        <f t="shared" si="307"/>
        <v>0</v>
      </c>
      <c r="DH167" s="1119">
        <f t="shared" si="308"/>
        <v>0</v>
      </c>
      <c r="DI167" s="1119"/>
      <c r="DJ167" s="101">
        <f t="shared" si="293"/>
        <v>15.333333333333334</v>
      </c>
      <c r="DK167" s="101"/>
      <c r="DL167" s="101">
        <f t="shared" si="292"/>
        <v>0</v>
      </c>
      <c r="DM167" s="101">
        <f t="shared" si="329"/>
        <v>0</v>
      </c>
      <c r="DN167" s="112">
        <f t="shared" si="330"/>
        <v>15.333333333333334</v>
      </c>
      <c r="DO167" s="112"/>
      <c r="DP167" s="112"/>
      <c r="DQ167" s="112"/>
      <c r="DS167" s="140"/>
      <c r="DT167" s="140"/>
      <c r="DU167" s="140"/>
      <c r="DV167" s="140"/>
      <c r="DW167" s="140"/>
      <c r="DX167" s="140"/>
      <c r="DY167" s="140"/>
      <c r="DZ167" s="140"/>
    </row>
    <row r="168" spans="1:130" s="139" customFormat="1" ht="21.6" customHeight="1" x14ac:dyDescent="0.25">
      <c r="A168" s="4"/>
      <c r="B168" s="4"/>
      <c r="C168" s="182" t="s">
        <v>92</v>
      </c>
      <c r="D168" s="182" t="s">
        <v>429</v>
      </c>
      <c r="E168" s="3" t="s">
        <v>281</v>
      </c>
      <c r="F168" s="135"/>
      <c r="G168" s="135"/>
      <c r="H168" s="135"/>
      <c r="I168" s="135"/>
      <c r="J168" s="135"/>
      <c r="K168" s="135"/>
      <c r="L168" s="183"/>
      <c r="M168" s="5"/>
      <c r="N168" s="205"/>
      <c r="O168" s="6"/>
      <c r="P168" s="7"/>
      <c r="Q168" s="7"/>
      <c r="R168" s="7"/>
      <c r="S168" s="7"/>
      <c r="T168" s="89"/>
      <c r="U168" s="89"/>
      <c r="V168" s="89">
        <f t="shared" ref="V168:V175" si="334">T168+U168</f>
        <v>0</v>
      </c>
      <c r="W168" s="137"/>
      <c r="X168" s="137"/>
      <c r="Y168" s="90">
        <f t="shared" si="317"/>
        <v>0</v>
      </c>
      <c r="Z168" s="91"/>
      <c r="AA168" s="92"/>
      <c r="AB168" s="92"/>
      <c r="AC168" s="92">
        <f t="shared" si="318"/>
        <v>0</v>
      </c>
      <c r="AD168" s="93"/>
      <c r="AE168" s="93"/>
      <c r="AF168" s="94">
        <f t="shared" si="319"/>
        <v>0</v>
      </c>
      <c r="AG168" s="473"/>
      <c r="AH168" s="99">
        <f>114+160</f>
        <v>274</v>
      </c>
      <c r="AI168" s="99">
        <f t="shared" si="320"/>
        <v>18.266666666666666</v>
      </c>
      <c r="AJ168" s="138">
        <v>110</v>
      </c>
      <c r="AK168" s="138">
        <f t="shared" si="321"/>
        <v>7.333333333333333</v>
      </c>
      <c r="AL168" s="106"/>
      <c r="AM168" s="105">
        <v>160</v>
      </c>
      <c r="AN168" s="105">
        <f t="shared" si="322"/>
        <v>10.666666666666666</v>
      </c>
      <c r="AO168" s="106"/>
      <c r="AP168" s="254"/>
      <c r="AQ168" s="254">
        <f t="shared" si="331"/>
        <v>0</v>
      </c>
      <c r="AR168" s="255"/>
      <c r="AS168" s="97">
        <f t="shared" si="275"/>
        <v>18</v>
      </c>
      <c r="AT168" s="6"/>
      <c r="AU168" s="254"/>
      <c r="AV168" s="455">
        <f t="shared" si="227"/>
        <v>0</v>
      </c>
      <c r="AW168" s="518"/>
      <c r="AX168" s="510"/>
      <c r="AY168" s="498">
        <v>55</v>
      </c>
      <c r="AZ168" s="100">
        <f t="shared" si="323"/>
        <v>3.6666666666666665</v>
      </c>
      <c r="BA168" s="101"/>
      <c r="BB168" s="100"/>
      <c r="BC168" s="100">
        <f t="shared" si="324"/>
        <v>0</v>
      </c>
      <c r="BD168" s="101"/>
      <c r="BE168" s="105">
        <f t="shared" si="325"/>
        <v>11</v>
      </c>
      <c r="BF168" s="106"/>
      <c r="BG168" s="100">
        <f t="shared" si="305"/>
        <v>10.666666666666666</v>
      </c>
      <c r="BH168" s="106"/>
      <c r="BI168" s="100">
        <f t="shared" si="306"/>
        <v>0</v>
      </c>
      <c r="BJ168" s="106"/>
      <c r="BK168" s="101">
        <f t="shared" si="276"/>
        <v>21.666666666666664</v>
      </c>
      <c r="BL168" s="106"/>
      <c r="BM168" s="104">
        <v>500</v>
      </c>
      <c r="BN168" s="104">
        <f>BM168/50</f>
        <v>10</v>
      </c>
      <c r="BO168" s="105">
        <v>500</v>
      </c>
      <c r="BP168" s="254">
        <f t="shared" si="229"/>
        <v>10</v>
      </c>
      <c r="BQ168" s="255"/>
      <c r="BR168" s="254">
        <v>500</v>
      </c>
      <c r="BS168" s="254">
        <f t="shared" si="257"/>
        <v>10</v>
      </c>
      <c r="BT168" s="255"/>
      <c r="BU168" s="256"/>
      <c r="BV168" s="256">
        <f t="shared" si="327"/>
        <v>0</v>
      </c>
      <c r="BW168" s="257"/>
      <c r="BX168" s="350">
        <f t="shared" si="277"/>
        <v>20</v>
      </c>
      <c r="BY168" s="211"/>
      <c r="BZ168" s="211">
        <f t="shared" si="303"/>
        <v>1.6666666666666643</v>
      </c>
      <c r="CA168" s="510"/>
      <c r="CB168" s="7"/>
      <c r="CC168" s="7"/>
      <c r="CD168" s="7"/>
      <c r="CE168" s="547"/>
      <c r="CF168" s="254"/>
      <c r="CG168" s="254">
        <f t="shared" si="311"/>
        <v>0</v>
      </c>
      <c r="CH168" s="254"/>
      <c r="CI168" s="254"/>
      <c r="CJ168" s="254">
        <f t="shared" si="312"/>
        <v>0</v>
      </c>
      <c r="CK168" s="523"/>
      <c r="CL168" s="102">
        <f t="shared" si="328"/>
        <v>0</v>
      </c>
      <c r="CM168" s="103"/>
      <c r="CN168" s="100"/>
      <c r="CO168" s="100">
        <f t="shared" si="230"/>
        <v>0</v>
      </c>
      <c r="CP168" s="515"/>
      <c r="CQ168" s="441"/>
      <c r="CR168" s="547"/>
      <c r="CS168" s="254"/>
      <c r="CT168" s="254">
        <f t="shared" si="289"/>
        <v>0</v>
      </c>
      <c r="CU168" s="254"/>
      <c r="CV168" s="254"/>
      <c r="CW168" s="254">
        <f t="shared" si="290"/>
        <v>0</v>
      </c>
      <c r="CX168" s="259"/>
      <c r="CY168" s="109">
        <f t="shared" si="231"/>
        <v>0</v>
      </c>
      <c r="CZ168" s="257"/>
      <c r="DA168" s="254"/>
      <c r="DB168" s="455">
        <f t="shared" si="278"/>
        <v>0</v>
      </c>
      <c r="DC168" s="495"/>
      <c r="DD168" s="27" t="s">
        <v>590</v>
      </c>
      <c r="DF168" s="1133"/>
      <c r="DG168" s="674">
        <f t="shared" si="307"/>
        <v>0</v>
      </c>
      <c r="DH168" s="1119">
        <f t="shared" si="308"/>
        <v>0</v>
      </c>
      <c r="DI168" s="1119"/>
      <c r="DJ168" s="101">
        <f t="shared" si="293"/>
        <v>21.666666666666668</v>
      </c>
      <c r="DK168" s="101"/>
      <c r="DL168" s="101">
        <f t="shared" si="292"/>
        <v>0</v>
      </c>
      <c r="DM168" s="101">
        <f t="shared" si="329"/>
        <v>0</v>
      </c>
      <c r="DN168" s="112">
        <f t="shared" si="330"/>
        <v>21.666666666666668</v>
      </c>
      <c r="DO168" s="112"/>
      <c r="DP168" s="112"/>
      <c r="DQ168" s="112"/>
      <c r="DS168" s="140"/>
      <c r="DT168" s="140"/>
      <c r="DU168" s="140"/>
      <c r="DV168" s="140"/>
      <c r="DW168" s="140"/>
      <c r="DX168" s="140"/>
      <c r="DY168" s="140"/>
      <c r="DZ168" s="140"/>
    </row>
    <row r="169" spans="1:130" s="139" customFormat="1" ht="27" customHeight="1" x14ac:dyDescent="0.25">
      <c r="A169" s="4"/>
      <c r="B169" s="4"/>
      <c r="C169" s="182" t="s">
        <v>92</v>
      </c>
      <c r="D169" s="182" t="s">
        <v>429</v>
      </c>
      <c r="E169" s="3" t="s">
        <v>283</v>
      </c>
      <c r="F169" s="135"/>
      <c r="G169" s="135"/>
      <c r="H169" s="135"/>
      <c r="I169" s="135"/>
      <c r="J169" s="135"/>
      <c r="K169" s="135"/>
      <c r="L169" s="183"/>
      <c r="M169" s="5"/>
      <c r="N169" s="205"/>
      <c r="O169" s="6"/>
      <c r="P169" s="7"/>
      <c r="Q169" s="7"/>
      <c r="R169" s="7"/>
      <c r="S169" s="7"/>
      <c r="T169" s="89"/>
      <c r="U169" s="89"/>
      <c r="V169" s="89">
        <f t="shared" si="334"/>
        <v>0</v>
      </c>
      <c r="W169" s="137"/>
      <c r="X169" s="137"/>
      <c r="Y169" s="90">
        <f t="shared" si="317"/>
        <v>0</v>
      </c>
      <c r="Z169" s="91"/>
      <c r="AA169" s="92"/>
      <c r="AB169" s="92"/>
      <c r="AC169" s="92">
        <f t="shared" si="318"/>
        <v>0</v>
      </c>
      <c r="AD169" s="93"/>
      <c r="AE169" s="93"/>
      <c r="AF169" s="94">
        <f t="shared" si="319"/>
        <v>0</v>
      </c>
      <c r="AG169" s="473"/>
      <c r="AH169" s="99">
        <v>1040</v>
      </c>
      <c r="AI169" s="99">
        <f t="shared" si="320"/>
        <v>69.333333333333329</v>
      </c>
      <c r="AJ169" s="138">
        <v>1040</v>
      </c>
      <c r="AK169" s="138">
        <f t="shared" si="321"/>
        <v>69.333333333333329</v>
      </c>
      <c r="AL169" s="106"/>
      <c r="AM169" s="105"/>
      <c r="AN169" s="105">
        <f t="shared" si="322"/>
        <v>0</v>
      </c>
      <c r="AO169" s="106"/>
      <c r="AP169" s="105"/>
      <c r="AQ169" s="105">
        <f t="shared" si="331"/>
        <v>0</v>
      </c>
      <c r="AR169" s="106"/>
      <c r="AS169" s="97">
        <f t="shared" si="275"/>
        <v>69.333333333333329</v>
      </c>
      <c r="AT169" s="6"/>
      <c r="AU169" s="105"/>
      <c r="AV169" s="455">
        <f t="shared" si="227"/>
        <v>0</v>
      </c>
      <c r="AW169" s="496"/>
      <c r="AX169" s="508"/>
      <c r="AY169" s="498"/>
      <c r="AZ169" s="100">
        <f t="shared" si="323"/>
        <v>0</v>
      </c>
      <c r="BA169" s="101"/>
      <c r="BB169" s="100"/>
      <c r="BC169" s="100">
        <f t="shared" si="324"/>
        <v>0</v>
      </c>
      <c r="BD169" s="101"/>
      <c r="BE169" s="105">
        <f t="shared" si="325"/>
        <v>69.333333333333329</v>
      </c>
      <c r="BF169" s="106"/>
      <c r="BG169" s="100">
        <f t="shared" si="305"/>
        <v>0</v>
      </c>
      <c r="BH169" s="106"/>
      <c r="BI169" s="100">
        <f t="shared" si="306"/>
        <v>0</v>
      </c>
      <c r="BJ169" s="106"/>
      <c r="BK169" s="101">
        <f t="shared" si="276"/>
        <v>69.333333333333329</v>
      </c>
      <c r="BL169" s="106"/>
      <c r="BM169" s="104">
        <v>3450</v>
      </c>
      <c r="BN169" s="104">
        <f t="shared" ref="BN169:BN170" si="335">BM169/50</f>
        <v>69</v>
      </c>
      <c r="BO169" s="105">
        <v>3450</v>
      </c>
      <c r="BP169" s="105">
        <f t="shared" si="229"/>
        <v>69</v>
      </c>
      <c r="BQ169" s="106"/>
      <c r="BR169" s="105"/>
      <c r="BS169" s="105">
        <f t="shared" si="257"/>
        <v>0</v>
      </c>
      <c r="BT169" s="106"/>
      <c r="BU169" s="53"/>
      <c r="BV169" s="53">
        <f t="shared" si="327"/>
        <v>0</v>
      </c>
      <c r="BW169" s="54"/>
      <c r="BX169" s="350">
        <f t="shared" si="277"/>
        <v>69</v>
      </c>
      <c r="BY169" s="211"/>
      <c r="BZ169" s="211">
        <f t="shared" si="303"/>
        <v>0.3333333333333286</v>
      </c>
      <c r="CA169" s="508"/>
      <c r="CB169" s="7"/>
      <c r="CC169" s="7"/>
      <c r="CD169" s="7"/>
      <c r="CE169" s="504"/>
      <c r="CF169" s="105"/>
      <c r="CG169" s="105">
        <f t="shared" si="311"/>
        <v>0</v>
      </c>
      <c r="CH169" s="105"/>
      <c r="CI169" s="105"/>
      <c r="CJ169" s="105">
        <f t="shared" si="312"/>
        <v>0</v>
      </c>
      <c r="CK169" s="523"/>
      <c r="CL169" s="102">
        <f t="shared" si="328"/>
        <v>0</v>
      </c>
      <c r="CM169" s="103"/>
      <c r="CN169" s="100"/>
      <c r="CO169" s="100">
        <f t="shared" si="230"/>
        <v>0</v>
      </c>
      <c r="CP169" s="515"/>
      <c r="CQ169" s="441"/>
      <c r="CR169" s="504"/>
      <c r="CS169" s="105"/>
      <c r="CT169" s="105">
        <f t="shared" si="289"/>
        <v>0</v>
      </c>
      <c r="CU169" s="105"/>
      <c r="CV169" s="105"/>
      <c r="CW169" s="105">
        <f t="shared" si="290"/>
        <v>0</v>
      </c>
      <c r="CX169" s="53"/>
      <c r="CY169" s="109">
        <f t="shared" si="231"/>
        <v>0</v>
      </c>
      <c r="CZ169" s="54"/>
      <c r="DA169" s="105"/>
      <c r="DB169" s="455">
        <f t="shared" si="278"/>
        <v>0</v>
      </c>
      <c r="DC169" s="495"/>
      <c r="DD169" s="27" t="s">
        <v>375</v>
      </c>
      <c r="DF169" s="1133"/>
      <c r="DG169" s="674">
        <f t="shared" si="307"/>
        <v>0</v>
      </c>
      <c r="DH169" s="1119">
        <f t="shared" si="308"/>
        <v>0</v>
      </c>
      <c r="DI169" s="1119"/>
      <c r="DJ169" s="101">
        <f t="shared" si="293"/>
        <v>69.333333333333329</v>
      </c>
      <c r="DK169" s="101"/>
      <c r="DL169" s="101">
        <f t="shared" si="292"/>
        <v>0</v>
      </c>
      <c r="DM169" s="101">
        <f t="shared" si="329"/>
        <v>0</v>
      </c>
      <c r="DN169" s="112">
        <f t="shared" si="330"/>
        <v>69.333333333333329</v>
      </c>
      <c r="DO169" s="112"/>
      <c r="DP169" s="112"/>
      <c r="DQ169" s="112"/>
      <c r="DS169" s="140"/>
      <c r="DT169" s="140"/>
      <c r="DU169" s="140"/>
      <c r="DV169" s="140"/>
      <c r="DW169" s="140"/>
      <c r="DX169" s="140"/>
      <c r="DY169" s="140"/>
      <c r="DZ169" s="140"/>
    </row>
    <row r="170" spans="1:130" ht="21.6" customHeight="1" x14ac:dyDescent="0.25">
      <c r="A170" s="4"/>
      <c r="B170" s="4"/>
      <c r="C170" s="167" t="s">
        <v>92</v>
      </c>
      <c r="D170" s="167"/>
      <c r="E170" s="3" t="s">
        <v>284</v>
      </c>
      <c r="F170" s="162"/>
      <c r="G170" s="162"/>
      <c r="H170" s="162"/>
      <c r="I170" s="162"/>
      <c r="J170" s="162"/>
      <c r="K170" s="162"/>
      <c r="L170" s="168"/>
      <c r="M170" s="414"/>
      <c r="N170" s="205"/>
      <c r="O170" s="164"/>
      <c r="P170" s="165"/>
      <c r="Q170" s="165"/>
      <c r="R170" s="165"/>
      <c r="S170" s="165"/>
      <c r="T170" s="89"/>
      <c r="U170" s="89"/>
      <c r="V170" s="89"/>
      <c r="W170" s="137"/>
      <c r="X170" s="137"/>
      <c r="Y170" s="90"/>
      <c r="Z170" s="169"/>
      <c r="AA170" s="92"/>
      <c r="AB170" s="92"/>
      <c r="AC170" s="92">
        <f t="shared" si="318"/>
        <v>0</v>
      </c>
      <c r="AD170" s="93"/>
      <c r="AE170" s="93"/>
      <c r="AF170" s="94">
        <f t="shared" si="319"/>
        <v>0</v>
      </c>
      <c r="AG170" s="475"/>
      <c r="AH170" s="99"/>
      <c r="AI170" s="99">
        <f t="shared" si="320"/>
        <v>0</v>
      </c>
      <c r="AJ170" s="138"/>
      <c r="AK170" s="138">
        <f t="shared" si="321"/>
        <v>0</v>
      </c>
      <c r="AL170" s="106"/>
      <c r="AM170" s="105"/>
      <c r="AN170" s="105">
        <f t="shared" si="322"/>
        <v>0</v>
      </c>
      <c r="AO170" s="106"/>
      <c r="AP170" s="105"/>
      <c r="AQ170" s="105">
        <f t="shared" si="331"/>
        <v>0</v>
      </c>
      <c r="AR170" s="106"/>
      <c r="AS170" s="97">
        <f t="shared" si="275"/>
        <v>0</v>
      </c>
      <c r="AT170" s="6"/>
      <c r="AU170" s="105"/>
      <c r="AV170" s="455">
        <f t="shared" si="227"/>
        <v>0</v>
      </c>
      <c r="AW170" s="496"/>
      <c r="AX170" s="508"/>
      <c r="AY170" s="498"/>
      <c r="AZ170" s="100">
        <f t="shared" si="323"/>
        <v>0</v>
      </c>
      <c r="BA170" s="101"/>
      <c r="BB170" s="100"/>
      <c r="BC170" s="100">
        <f t="shared" si="324"/>
        <v>0</v>
      </c>
      <c r="BD170" s="101"/>
      <c r="BE170" s="105">
        <f t="shared" si="325"/>
        <v>0</v>
      </c>
      <c r="BF170" s="106"/>
      <c r="BG170" s="100">
        <f t="shared" si="305"/>
        <v>0</v>
      </c>
      <c r="BH170" s="106"/>
      <c r="BI170" s="100">
        <f t="shared" si="306"/>
        <v>0</v>
      </c>
      <c r="BJ170" s="106"/>
      <c r="BK170" s="101">
        <f t="shared" si="276"/>
        <v>0</v>
      </c>
      <c r="BL170" s="106"/>
      <c r="BM170" s="104"/>
      <c r="BN170" s="104">
        <f t="shared" si="335"/>
        <v>0</v>
      </c>
      <c r="BO170" s="105"/>
      <c r="BP170" s="105">
        <f t="shared" si="229"/>
        <v>0</v>
      </c>
      <c r="BQ170" s="106"/>
      <c r="BR170" s="105"/>
      <c r="BS170" s="105">
        <f t="shared" si="257"/>
        <v>0</v>
      </c>
      <c r="BT170" s="106"/>
      <c r="BU170" s="53"/>
      <c r="BV170" s="53">
        <f t="shared" si="327"/>
        <v>0</v>
      </c>
      <c r="BW170" s="54"/>
      <c r="BX170" s="350">
        <f t="shared" si="277"/>
        <v>0</v>
      </c>
      <c r="BY170" s="211"/>
      <c r="BZ170" s="211">
        <f t="shared" si="303"/>
        <v>0</v>
      </c>
      <c r="CA170" s="508"/>
      <c r="CB170" s="165"/>
      <c r="CC170" s="165"/>
      <c r="CD170" s="165"/>
      <c r="CE170" s="504"/>
      <c r="CF170" s="105"/>
      <c r="CG170" s="105">
        <f t="shared" si="311"/>
        <v>0</v>
      </c>
      <c r="CH170" s="105"/>
      <c r="CI170" s="105"/>
      <c r="CJ170" s="105">
        <f t="shared" si="312"/>
        <v>0</v>
      </c>
      <c r="CK170" s="523"/>
      <c r="CL170" s="102">
        <f t="shared" si="328"/>
        <v>0</v>
      </c>
      <c r="CM170" s="103"/>
      <c r="CN170" s="100"/>
      <c r="CO170" s="100">
        <f t="shared" si="230"/>
        <v>0</v>
      </c>
      <c r="CP170" s="515"/>
      <c r="CQ170" s="441"/>
      <c r="CR170" s="504"/>
      <c r="CS170" s="105"/>
      <c r="CT170" s="105">
        <f t="shared" si="289"/>
        <v>0</v>
      </c>
      <c r="CU170" s="105"/>
      <c r="CV170" s="105"/>
      <c r="CW170" s="105">
        <f t="shared" si="290"/>
        <v>0</v>
      </c>
      <c r="CX170" s="53"/>
      <c r="CY170" s="109">
        <f t="shared" si="231"/>
        <v>0</v>
      </c>
      <c r="CZ170" s="54"/>
      <c r="DA170" s="105"/>
      <c r="DB170" s="455">
        <f t="shared" si="278"/>
        <v>0</v>
      </c>
      <c r="DC170" s="495"/>
      <c r="DD170" s="26" t="s">
        <v>375</v>
      </c>
      <c r="DF170" s="1133"/>
      <c r="DG170" s="674">
        <f t="shared" si="307"/>
        <v>0</v>
      </c>
      <c r="DH170" s="1119">
        <f t="shared" si="308"/>
        <v>0</v>
      </c>
      <c r="DI170" s="1119"/>
      <c r="DJ170" s="101">
        <f t="shared" si="293"/>
        <v>0</v>
      </c>
      <c r="DK170" s="101"/>
      <c r="DL170" s="101">
        <f t="shared" si="292"/>
        <v>0</v>
      </c>
      <c r="DM170" s="101"/>
      <c r="DN170" s="112"/>
      <c r="DO170" s="112"/>
      <c r="DP170" s="112"/>
      <c r="DQ170" s="112"/>
    </row>
    <row r="171" spans="1:130" s="139" customFormat="1" ht="21.6" customHeight="1" x14ac:dyDescent="0.25">
      <c r="A171" s="4" t="s">
        <v>28</v>
      </c>
      <c r="B171" s="4">
        <v>5</v>
      </c>
      <c r="C171" s="182" t="s">
        <v>92</v>
      </c>
      <c r="D171" s="182"/>
      <c r="E171" s="2" t="s">
        <v>96</v>
      </c>
      <c r="F171" s="135">
        <v>204</v>
      </c>
      <c r="G171" s="135">
        <v>76</v>
      </c>
      <c r="H171" s="135">
        <f t="shared" si="314"/>
        <v>280</v>
      </c>
      <c r="I171" s="208">
        <v>66.848299999999995</v>
      </c>
      <c r="J171" s="135"/>
      <c r="K171" s="135">
        <f t="shared" si="332"/>
        <v>66.848299999999995</v>
      </c>
      <c r="L171" s="183"/>
      <c r="M171" s="5"/>
      <c r="N171" s="41"/>
      <c r="O171" s="6"/>
      <c r="P171" s="7"/>
      <c r="Q171" s="7"/>
      <c r="R171" s="7"/>
      <c r="S171" s="7"/>
      <c r="T171" s="89"/>
      <c r="U171" s="89"/>
      <c r="V171" s="89">
        <f t="shared" si="334"/>
        <v>0</v>
      </c>
      <c r="W171" s="137"/>
      <c r="X171" s="137"/>
      <c r="Y171" s="90">
        <f t="shared" si="317"/>
        <v>0</v>
      </c>
      <c r="Z171" s="91"/>
      <c r="AA171" s="92"/>
      <c r="AB171" s="92"/>
      <c r="AC171" s="92">
        <f t="shared" si="318"/>
        <v>0</v>
      </c>
      <c r="AD171" s="93"/>
      <c r="AE171" s="93"/>
      <c r="AF171" s="94">
        <f t="shared" si="319"/>
        <v>0</v>
      </c>
      <c r="AG171" s="473"/>
      <c r="AH171" s="99"/>
      <c r="AI171" s="99">
        <f t="shared" si="320"/>
        <v>0</v>
      </c>
      <c r="AJ171" s="138"/>
      <c r="AK171" s="138">
        <f t="shared" si="321"/>
        <v>0</v>
      </c>
      <c r="AL171" s="106"/>
      <c r="AM171" s="105"/>
      <c r="AN171" s="105">
        <f t="shared" si="322"/>
        <v>0</v>
      </c>
      <c r="AO171" s="106"/>
      <c r="AP171" s="105"/>
      <c r="AQ171" s="105">
        <f t="shared" si="331"/>
        <v>0</v>
      </c>
      <c r="AR171" s="106"/>
      <c r="AS171" s="97">
        <f t="shared" si="275"/>
        <v>0</v>
      </c>
      <c r="AT171" s="6"/>
      <c r="AU171" s="105"/>
      <c r="AV171" s="455">
        <f t="shared" si="227"/>
        <v>0</v>
      </c>
      <c r="AW171" s="496"/>
      <c r="AX171" s="508"/>
      <c r="AY171" s="498"/>
      <c r="AZ171" s="100">
        <f t="shared" si="323"/>
        <v>0</v>
      </c>
      <c r="BA171" s="101"/>
      <c r="BB171" s="100"/>
      <c r="BC171" s="100">
        <f t="shared" si="324"/>
        <v>0</v>
      </c>
      <c r="BD171" s="101"/>
      <c r="BE171" s="105">
        <f t="shared" si="325"/>
        <v>0</v>
      </c>
      <c r="BF171" s="106"/>
      <c r="BG171" s="100">
        <f t="shared" si="305"/>
        <v>0</v>
      </c>
      <c r="BH171" s="106"/>
      <c r="BI171" s="100">
        <f t="shared" si="306"/>
        <v>0</v>
      </c>
      <c r="BJ171" s="106"/>
      <c r="BK171" s="101">
        <f t="shared" si="276"/>
        <v>0</v>
      </c>
      <c r="BL171" s="106"/>
      <c r="BM171" s="104"/>
      <c r="BN171" s="104">
        <f t="shared" si="326"/>
        <v>0</v>
      </c>
      <c r="BO171" s="105"/>
      <c r="BP171" s="105">
        <f t="shared" si="229"/>
        <v>0</v>
      </c>
      <c r="BQ171" s="106"/>
      <c r="BR171" s="105"/>
      <c r="BS171" s="105">
        <f t="shared" si="257"/>
        <v>0</v>
      </c>
      <c r="BT171" s="106"/>
      <c r="BU171" s="53"/>
      <c r="BV171" s="53">
        <f t="shared" si="327"/>
        <v>0</v>
      </c>
      <c r="BW171" s="54"/>
      <c r="BX171" s="350">
        <f t="shared" si="277"/>
        <v>0</v>
      </c>
      <c r="BY171" s="211"/>
      <c r="BZ171" s="211">
        <f t="shared" si="303"/>
        <v>0</v>
      </c>
      <c r="CA171" s="508"/>
      <c r="CB171" s="7"/>
      <c r="CC171" s="7"/>
      <c r="CD171" s="7"/>
      <c r="CE171" s="504"/>
      <c r="CF171" s="105"/>
      <c r="CG171" s="105">
        <f t="shared" si="311"/>
        <v>0</v>
      </c>
      <c r="CH171" s="105"/>
      <c r="CI171" s="105"/>
      <c r="CJ171" s="105">
        <f t="shared" si="312"/>
        <v>0</v>
      </c>
      <c r="CK171" s="523"/>
      <c r="CL171" s="102">
        <f t="shared" si="328"/>
        <v>0</v>
      </c>
      <c r="CM171" s="103"/>
      <c r="CN171" s="100"/>
      <c r="CO171" s="100">
        <f t="shared" si="230"/>
        <v>0</v>
      </c>
      <c r="CP171" s="515"/>
      <c r="CQ171" s="441"/>
      <c r="CR171" s="504"/>
      <c r="CS171" s="105"/>
      <c r="CT171" s="105">
        <f t="shared" si="289"/>
        <v>0</v>
      </c>
      <c r="CU171" s="105"/>
      <c r="CV171" s="105"/>
      <c r="CW171" s="105">
        <f t="shared" si="290"/>
        <v>0</v>
      </c>
      <c r="CX171" s="53"/>
      <c r="CY171" s="109">
        <f t="shared" si="231"/>
        <v>0</v>
      </c>
      <c r="CZ171" s="54"/>
      <c r="DA171" s="105"/>
      <c r="DB171" s="455">
        <f t="shared" si="278"/>
        <v>0</v>
      </c>
      <c r="DC171" s="495"/>
      <c r="DD171" s="27"/>
      <c r="DF171" s="1133"/>
      <c r="DG171" s="674">
        <f t="shared" si="307"/>
        <v>0</v>
      </c>
      <c r="DH171" s="1119">
        <f t="shared" si="308"/>
        <v>0</v>
      </c>
      <c r="DI171" s="1119"/>
      <c r="DJ171" s="101">
        <f t="shared" si="293"/>
        <v>0</v>
      </c>
      <c r="DK171" s="101"/>
      <c r="DL171" s="101">
        <f t="shared" si="292"/>
        <v>0</v>
      </c>
      <c r="DM171" s="101"/>
      <c r="DN171" s="112"/>
      <c r="DO171" s="112"/>
      <c r="DP171" s="112"/>
      <c r="DQ171" s="112"/>
      <c r="DS171" s="140"/>
      <c r="DT171" s="140"/>
      <c r="DU171" s="140"/>
      <c r="DV171" s="140"/>
      <c r="DW171" s="140"/>
      <c r="DX171" s="140"/>
      <c r="DY171" s="140"/>
      <c r="DZ171" s="140"/>
    </row>
    <row r="172" spans="1:130" s="725" customFormat="1" ht="50.25" customHeight="1" x14ac:dyDescent="0.25">
      <c r="A172" s="4"/>
      <c r="B172" s="4"/>
      <c r="C172" s="182" t="s">
        <v>92</v>
      </c>
      <c r="D172" s="182" t="s">
        <v>431</v>
      </c>
      <c r="E172" s="2" t="s">
        <v>773</v>
      </c>
      <c r="F172" s="135"/>
      <c r="G172" s="135"/>
      <c r="H172" s="135"/>
      <c r="I172" s="208"/>
      <c r="J172" s="135"/>
      <c r="K172" s="135"/>
      <c r="L172" s="183"/>
      <c r="M172" s="5"/>
      <c r="N172" s="41"/>
      <c r="O172" s="6"/>
      <c r="P172" s="7"/>
      <c r="Q172" s="7"/>
      <c r="R172" s="7"/>
      <c r="S172" s="7"/>
      <c r="T172" s="89"/>
      <c r="U172" s="89"/>
      <c r="V172" s="89"/>
      <c r="W172" s="137"/>
      <c r="X172" s="137"/>
      <c r="Y172" s="90"/>
      <c r="Z172" s="91"/>
      <c r="AA172" s="92"/>
      <c r="AB172" s="92"/>
      <c r="AC172" s="92"/>
      <c r="AD172" s="93"/>
      <c r="AE172" s="93"/>
      <c r="AF172" s="94"/>
      <c r="AG172" s="473"/>
      <c r="AH172" s="99"/>
      <c r="AI172" s="99"/>
      <c r="AJ172" s="138"/>
      <c r="AK172" s="138"/>
      <c r="AL172" s="106"/>
      <c r="AM172" s="105"/>
      <c r="AN172" s="105"/>
      <c r="AO172" s="106"/>
      <c r="AP172" s="105"/>
      <c r="AQ172" s="105"/>
      <c r="AR172" s="106"/>
      <c r="AS172" s="97"/>
      <c r="AT172" s="6"/>
      <c r="AU172" s="105"/>
      <c r="AV172" s="455"/>
      <c r="AW172" s="496"/>
      <c r="AX172" s="508"/>
      <c r="AY172" s="498"/>
      <c r="AZ172" s="100"/>
      <c r="BA172" s="101"/>
      <c r="BB172" s="100"/>
      <c r="BC172" s="100"/>
      <c r="BD172" s="101"/>
      <c r="BE172" s="105"/>
      <c r="BF172" s="106"/>
      <c r="BG172" s="100"/>
      <c r="BH172" s="106"/>
      <c r="BI172" s="100"/>
      <c r="BJ172" s="106"/>
      <c r="BK172" s="101"/>
      <c r="BL172" s="106"/>
      <c r="BM172" s="104"/>
      <c r="BN172" s="104"/>
      <c r="BO172" s="105"/>
      <c r="BP172" s="105"/>
      <c r="BQ172" s="106"/>
      <c r="BR172" s="105"/>
      <c r="BS172" s="105"/>
      <c r="BT172" s="106"/>
      <c r="BU172" s="53"/>
      <c r="BV172" s="53"/>
      <c r="BW172" s="54"/>
      <c r="BX172" s="350"/>
      <c r="BY172" s="211"/>
      <c r="BZ172" s="211"/>
      <c r="CA172" s="508"/>
      <c r="CB172" s="7"/>
      <c r="CC172" s="7"/>
      <c r="CD172" s="7"/>
      <c r="CE172" s="504"/>
      <c r="CF172" s="105"/>
      <c r="CG172" s="105">
        <f t="shared" si="311"/>
        <v>0</v>
      </c>
      <c r="CH172" s="105"/>
      <c r="CI172" s="105"/>
      <c r="CJ172" s="105">
        <f t="shared" si="312"/>
        <v>0</v>
      </c>
      <c r="CK172" s="523"/>
      <c r="CL172" s="102"/>
      <c r="CM172" s="103"/>
      <c r="CN172" s="100"/>
      <c r="CO172" s="100">
        <f t="shared" si="230"/>
        <v>0</v>
      </c>
      <c r="CP172" s="515"/>
      <c r="CQ172" s="441"/>
      <c r="CR172" s="504"/>
      <c r="CS172" s="105"/>
      <c r="CT172" s="105">
        <f t="shared" si="289"/>
        <v>0</v>
      </c>
      <c r="CU172" s="105"/>
      <c r="CV172" s="105"/>
      <c r="CW172" s="105">
        <f t="shared" si="290"/>
        <v>0</v>
      </c>
      <c r="CX172" s="53"/>
      <c r="CY172" s="109"/>
      <c r="CZ172" s="54"/>
      <c r="DA172" s="105"/>
      <c r="DB172" s="455">
        <f t="shared" si="278"/>
        <v>0</v>
      </c>
      <c r="DC172" s="495"/>
      <c r="DD172" s="27"/>
      <c r="DF172" s="1133"/>
      <c r="DG172" s="674">
        <f t="shared" si="307"/>
        <v>0</v>
      </c>
      <c r="DH172" s="1119">
        <f t="shared" si="308"/>
        <v>0</v>
      </c>
      <c r="DI172" s="1119"/>
      <c r="DJ172" s="101">
        <f t="shared" si="293"/>
        <v>0</v>
      </c>
      <c r="DK172" s="101"/>
      <c r="DL172" s="101">
        <f t="shared" si="292"/>
        <v>0</v>
      </c>
      <c r="DM172" s="101"/>
      <c r="DN172" s="112"/>
      <c r="DO172" s="112"/>
      <c r="DP172" s="112"/>
      <c r="DQ172" s="112"/>
      <c r="DS172" s="140"/>
      <c r="DT172" s="140"/>
      <c r="DU172" s="140"/>
      <c r="DV172" s="140"/>
      <c r="DW172" s="140"/>
      <c r="DX172" s="140"/>
      <c r="DY172" s="140"/>
      <c r="DZ172" s="140"/>
    </row>
    <row r="173" spans="1:130" s="139" customFormat="1" ht="21.6" customHeight="1" x14ac:dyDescent="0.25">
      <c r="A173" s="4" t="s">
        <v>28</v>
      </c>
      <c r="B173" s="4">
        <v>7</v>
      </c>
      <c r="C173" s="182" t="s">
        <v>92</v>
      </c>
      <c r="D173" s="182" t="s">
        <v>429</v>
      </c>
      <c r="E173" s="13" t="s">
        <v>97</v>
      </c>
      <c r="F173" s="135">
        <v>329</v>
      </c>
      <c r="G173" s="135">
        <v>123</v>
      </c>
      <c r="H173" s="135">
        <f t="shared" si="314"/>
        <v>452</v>
      </c>
      <c r="I173" s="135">
        <v>93.5154</v>
      </c>
      <c r="J173" s="135"/>
      <c r="K173" s="135">
        <f t="shared" si="332"/>
        <v>93.5154</v>
      </c>
      <c r="L173" s="183"/>
      <c r="M173" s="5"/>
      <c r="N173" s="41"/>
      <c r="O173" s="6"/>
      <c r="P173" s="7"/>
      <c r="Q173" s="7"/>
      <c r="R173" s="7"/>
      <c r="S173" s="7"/>
      <c r="T173" s="89"/>
      <c r="U173" s="89"/>
      <c r="V173" s="89">
        <f t="shared" si="334"/>
        <v>0</v>
      </c>
      <c r="W173" s="137"/>
      <c r="X173" s="137"/>
      <c r="Y173" s="90">
        <f t="shared" si="317"/>
        <v>0</v>
      </c>
      <c r="Z173" s="91"/>
      <c r="AA173" s="92"/>
      <c r="AB173" s="92"/>
      <c r="AC173" s="92">
        <f t="shared" si="318"/>
        <v>0</v>
      </c>
      <c r="AD173" s="93"/>
      <c r="AE173" s="93"/>
      <c r="AF173" s="94">
        <f t="shared" si="319"/>
        <v>0</v>
      </c>
      <c r="AG173" s="473"/>
      <c r="AH173" s="99">
        <v>775</v>
      </c>
      <c r="AI173" s="99">
        <f t="shared" si="320"/>
        <v>51.666666666666664</v>
      </c>
      <c r="AJ173" s="138">
        <v>775</v>
      </c>
      <c r="AK173" s="138">
        <f t="shared" si="321"/>
        <v>51.666666666666664</v>
      </c>
      <c r="AL173" s="106"/>
      <c r="AM173" s="105"/>
      <c r="AN173" s="105">
        <f t="shared" si="322"/>
        <v>0</v>
      </c>
      <c r="AO173" s="106"/>
      <c r="AP173" s="254"/>
      <c r="AQ173" s="254">
        <f t="shared" si="331"/>
        <v>0</v>
      </c>
      <c r="AR173" s="255"/>
      <c r="AS173" s="97">
        <f t="shared" si="275"/>
        <v>51.666666666666664</v>
      </c>
      <c r="AT173" s="6"/>
      <c r="AU173" s="254"/>
      <c r="AV173" s="455">
        <f t="shared" si="227"/>
        <v>0</v>
      </c>
      <c r="AW173" s="518"/>
      <c r="AX173" s="510"/>
      <c r="AY173" s="498">
        <v>500</v>
      </c>
      <c r="AZ173" s="100">
        <f t="shared" si="323"/>
        <v>33.333333333333336</v>
      </c>
      <c r="BA173" s="101"/>
      <c r="BB173" s="100"/>
      <c r="BC173" s="100">
        <f t="shared" si="324"/>
        <v>0</v>
      </c>
      <c r="BD173" s="101"/>
      <c r="BE173" s="105">
        <f>AK173+AZ173</f>
        <v>85</v>
      </c>
      <c r="BF173" s="106"/>
      <c r="BG173" s="100">
        <f t="shared" ref="BG173:BG180" si="336">BC173+AQ173+AN173</f>
        <v>0</v>
      </c>
      <c r="BH173" s="106"/>
      <c r="BI173" s="100">
        <f t="shared" ref="BI173:BI180" si="337">AV173</f>
        <v>0</v>
      </c>
      <c r="BJ173" s="106"/>
      <c r="BK173" s="101">
        <f t="shared" si="276"/>
        <v>85</v>
      </c>
      <c r="BL173" s="106"/>
      <c r="BM173" s="104">
        <v>4200</v>
      </c>
      <c r="BN173" s="104">
        <f t="shared" si="326"/>
        <v>84</v>
      </c>
      <c r="BO173" s="105">
        <v>4200</v>
      </c>
      <c r="BP173" s="254">
        <f t="shared" si="229"/>
        <v>84</v>
      </c>
      <c r="BQ173" s="255"/>
      <c r="BR173" s="254"/>
      <c r="BS173" s="254">
        <f t="shared" si="257"/>
        <v>0</v>
      </c>
      <c r="BT173" s="255"/>
      <c r="BU173" s="259"/>
      <c r="BV173" s="259">
        <f t="shared" si="327"/>
        <v>0</v>
      </c>
      <c r="BW173" s="257"/>
      <c r="BX173" s="350">
        <f t="shared" si="277"/>
        <v>84</v>
      </c>
      <c r="BY173" s="211"/>
      <c r="BZ173" s="211">
        <f t="shared" si="303"/>
        <v>1</v>
      </c>
      <c r="CA173" s="510"/>
      <c r="CB173" s="7"/>
      <c r="CC173" s="7"/>
      <c r="CD173" s="7"/>
      <c r="CE173" s="547"/>
      <c r="CF173" s="254"/>
      <c r="CG173" s="254">
        <f t="shared" si="311"/>
        <v>0</v>
      </c>
      <c r="CH173" s="254"/>
      <c r="CI173" s="254"/>
      <c r="CJ173" s="254">
        <f t="shared" si="312"/>
        <v>0</v>
      </c>
      <c r="CK173" s="523"/>
      <c r="CL173" s="102">
        <f t="shared" si="328"/>
        <v>0</v>
      </c>
      <c r="CM173" s="103"/>
      <c r="CN173" s="100"/>
      <c r="CO173" s="100">
        <f t="shared" si="230"/>
        <v>0</v>
      </c>
      <c r="CP173" s="515"/>
      <c r="CQ173" s="441"/>
      <c r="CR173" s="547"/>
      <c r="CS173" s="254"/>
      <c r="CT173" s="254">
        <f t="shared" si="289"/>
        <v>0</v>
      </c>
      <c r="CU173" s="254"/>
      <c r="CV173" s="254"/>
      <c r="CW173" s="254">
        <f t="shared" si="290"/>
        <v>0</v>
      </c>
      <c r="CX173" s="259"/>
      <c r="CY173" s="109">
        <f t="shared" si="231"/>
        <v>0</v>
      </c>
      <c r="CZ173" s="257"/>
      <c r="DA173" s="254"/>
      <c r="DB173" s="455">
        <f t="shared" si="278"/>
        <v>0</v>
      </c>
      <c r="DC173" s="495"/>
      <c r="DD173" s="27"/>
      <c r="DF173" s="1133"/>
      <c r="DG173" s="674">
        <f t="shared" si="307"/>
        <v>0</v>
      </c>
      <c r="DH173" s="1119">
        <f t="shared" si="308"/>
        <v>0</v>
      </c>
      <c r="DI173" s="1119"/>
      <c r="DJ173" s="101">
        <f t="shared" si="293"/>
        <v>85</v>
      </c>
      <c r="DK173" s="101"/>
      <c r="DL173" s="101">
        <f t="shared" si="292"/>
        <v>0</v>
      </c>
      <c r="DM173" s="101">
        <f t="shared" ref="DM173:DM176" si="338">DL173</f>
        <v>0</v>
      </c>
      <c r="DN173" s="112">
        <f>DJ173</f>
        <v>85</v>
      </c>
      <c r="DO173" s="112"/>
      <c r="DP173" s="112"/>
      <c r="DQ173" s="112"/>
      <c r="DS173" s="140"/>
      <c r="DT173" s="140"/>
      <c r="DU173" s="140"/>
      <c r="DV173" s="140"/>
      <c r="DW173" s="140"/>
      <c r="DX173" s="140"/>
      <c r="DY173" s="140"/>
      <c r="DZ173" s="140"/>
    </row>
    <row r="174" spans="1:130" s="139" customFormat="1" ht="21.6" customHeight="1" x14ac:dyDescent="0.25">
      <c r="A174" s="4" t="s">
        <v>28</v>
      </c>
      <c r="B174" s="4">
        <v>8</v>
      </c>
      <c r="C174" s="182" t="s">
        <v>92</v>
      </c>
      <c r="D174" s="182" t="s">
        <v>429</v>
      </c>
      <c r="E174" s="13" t="s">
        <v>98</v>
      </c>
      <c r="F174" s="135">
        <v>115</v>
      </c>
      <c r="G174" s="135">
        <v>19</v>
      </c>
      <c r="H174" s="135">
        <f t="shared" si="314"/>
        <v>134</v>
      </c>
      <c r="I174" s="135">
        <v>40.785699999999999</v>
      </c>
      <c r="J174" s="135"/>
      <c r="K174" s="135">
        <f t="shared" si="332"/>
        <v>40.785699999999999</v>
      </c>
      <c r="L174" s="183"/>
      <c r="M174" s="5"/>
      <c r="N174" s="41"/>
      <c r="O174" s="6"/>
      <c r="P174" s="7"/>
      <c r="Q174" s="7"/>
      <c r="R174" s="7"/>
      <c r="S174" s="7"/>
      <c r="T174" s="89"/>
      <c r="U174" s="89"/>
      <c r="V174" s="89">
        <f t="shared" si="334"/>
        <v>0</v>
      </c>
      <c r="W174" s="137"/>
      <c r="X174" s="137"/>
      <c r="Y174" s="90">
        <f t="shared" si="317"/>
        <v>0</v>
      </c>
      <c r="Z174" s="91"/>
      <c r="AA174" s="92"/>
      <c r="AB174" s="92"/>
      <c r="AC174" s="92">
        <f t="shared" si="318"/>
        <v>0</v>
      </c>
      <c r="AD174" s="93"/>
      <c r="AE174" s="93"/>
      <c r="AF174" s="94">
        <f t="shared" si="319"/>
        <v>0</v>
      </c>
      <c r="AG174" s="473"/>
      <c r="AH174" s="99">
        <v>265</v>
      </c>
      <c r="AI174" s="99">
        <f t="shared" si="320"/>
        <v>17.666666666666668</v>
      </c>
      <c r="AJ174" s="138">
        <v>265</v>
      </c>
      <c r="AK174" s="138">
        <f t="shared" si="321"/>
        <v>17.666666666666668</v>
      </c>
      <c r="AL174" s="106"/>
      <c r="AM174" s="105"/>
      <c r="AN174" s="105">
        <f t="shared" si="322"/>
        <v>0</v>
      </c>
      <c r="AO174" s="106"/>
      <c r="AP174" s="105"/>
      <c r="AQ174" s="105">
        <f t="shared" si="331"/>
        <v>0</v>
      </c>
      <c r="AR174" s="106"/>
      <c r="AS174" s="97">
        <f t="shared" si="275"/>
        <v>17.666666666666668</v>
      </c>
      <c r="AT174" s="6"/>
      <c r="AU174" s="105"/>
      <c r="AV174" s="455">
        <f t="shared" si="227"/>
        <v>0</v>
      </c>
      <c r="AW174" s="496"/>
      <c r="AX174" s="508"/>
      <c r="AY174" s="498">
        <v>30</v>
      </c>
      <c r="AZ174" s="100">
        <f t="shared" si="323"/>
        <v>2</v>
      </c>
      <c r="BA174" s="101"/>
      <c r="BB174" s="100"/>
      <c r="BC174" s="100">
        <f t="shared" si="324"/>
        <v>0</v>
      </c>
      <c r="BD174" s="101"/>
      <c r="BE174" s="105">
        <f>AK174+AZ174</f>
        <v>19.666666666666668</v>
      </c>
      <c r="BF174" s="106"/>
      <c r="BG174" s="100">
        <f t="shared" si="336"/>
        <v>0</v>
      </c>
      <c r="BH174" s="106"/>
      <c r="BI174" s="100">
        <f t="shared" si="337"/>
        <v>0</v>
      </c>
      <c r="BJ174" s="106"/>
      <c r="BK174" s="101">
        <f t="shared" si="276"/>
        <v>19.666666666666668</v>
      </c>
      <c r="BL174" s="106"/>
      <c r="BM174" s="104">
        <v>950</v>
      </c>
      <c r="BN174" s="104">
        <f t="shared" si="326"/>
        <v>19</v>
      </c>
      <c r="BO174" s="105">
        <v>950</v>
      </c>
      <c r="BP174" s="105">
        <f t="shared" si="229"/>
        <v>19</v>
      </c>
      <c r="BQ174" s="106"/>
      <c r="BR174" s="105"/>
      <c r="BS174" s="105">
        <f t="shared" si="257"/>
        <v>0</v>
      </c>
      <c r="BT174" s="106"/>
      <c r="BU174" s="53"/>
      <c r="BV174" s="53">
        <f t="shared" si="327"/>
        <v>0</v>
      </c>
      <c r="BW174" s="54"/>
      <c r="BX174" s="350">
        <f t="shared" si="277"/>
        <v>19</v>
      </c>
      <c r="BY174" s="211"/>
      <c r="BZ174" s="211">
        <f t="shared" si="303"/>
        <v>0.66666666666666785</v>
      </c>
      <c r="CA174" s="508"/>
      <c r="CB174" s="7"/>
      <c r="CC174" s="7"/>
      <c r="CD174" s="7"/>
      <c r="CE174" s="504"/>
      <c r="CF174" s="105"/>
      <c r="CG174" s="105">
        <f t="shared" si="311"/>
        <v>0</v>
      </c>
      <c r="CH174" s="105"/>
      <c r="CI174" s="105"/>
      <c r="CJ174" s="105">
        <f t="shared" si="312"/>
        <v>0</v>
      </c>
      <c r="CK174" s="523"/>
      <c r="CL174" s="102">
        <f t="shared" si="328"/>
        <v>0</v>
      </c>
      <c r="CM174" s="103"/>
      <c r="CN174" s="100"/>
      <c r="CO174" s="100">
        <f t="shared" si="230"/>
        <v>0</v>
      </c>
      <c r="CP174" s="515"/>
      <c r="CQ174" s="441"/>
      <c r="CR174" s="504"/>
      <c r="CS174" s="105"/>
      <c r="CT174" s="105">
        <f t="shared" si="289"/>
        <v>0</v>
      </c>
      <c r="CU174" s="105"/>
      <c r="CV174" s="105"/>
      <c r="CW174" s="105">
        <f t="shared" si="290"/>
        <v>0</v>
      </c>
      <c r="CX174" s="53"/>
      <c r="CY174" s="109">
        <f t="shared" si="231"/>
        <v>0</v>
      </c>
      <c r="CZ174" s="54"/>
      <c r="DA174" s="105"/>
      <c r="DB174" s="455">
        <f t="shared" si="278"/>
        <v>0</v>
      </c>
      <c r="DC174" s="495"/>
      <c r="DD174" s="27"/>
      <c r="DF174" s="1133"/>
      <c r="DG174" s="674">
        <f t="shared" si="307"/>
        <v>0</v>
      </c>
      <c r="DH174" s="1119">
        <f t="shared" si="308"/>
        <v>0</v>
      </c>
      <c r="DI174" s="1119"/>
      <c r="DJ174" s="101">
        <f t="shared" si="293"/>
        <v>19.666666666666668</v>
      </c>
      <c r="DK174" s="101"/>
      <c r="DL174" s="101">
        <f t="shared" si="292"/>
        <v>0</v>
      </c>
      <c r="DM174" s="101">
        <f t="shared" si="338"/>
        <v>0</v>
      </c>
      <c r="DN174" s="112">
        <f>DJ174</f>
        <v>19.666666666666668</v>
      </c>
      <c r="DO174" s="112"/>
      <c r="DP174" s="112"/>
      <c r="DQ174" s="112"/>
      <c r="DS174" s="140"/>
      <c r="DT174" s="140"/>
      <c r="DU174" s="140"/>
      <c r="DV174" s="140"/>
      <c r="DW174" s="140"/>
      <c r="DX174" s="140"/>
      <c r="DY174" s="140"/>
      <c r="DZ174" s="140"/>
    </row>
    <row r="175" spans="1:130" s="139" customFormat="1" ht="21.6" customHeight="1" x14ac:dyDescent="0.25">
      <c r="A175" s="4" t="s">
        <v>28</v>
      </c>
      <c r="B175" s="4">
        <v>9</v>
      </c>
      <c r="C175" s="182" t="s">
        <v>92</v>
      </c>
      <c r="D175" s="182" t="s">
        <v>429</v>
      </c>
      <c r="E175" s="13" t="s">
        <v>99</v>
      </c>
      <c r="F175" s="135">
        <v>116</v>
      </c>
      <c r="G175" s="135">
        <v>48</v>
      </c>
      <c r="H175" s="135">
        <f t="shared" si="314"/>
        <v>164</v>
      </c>
      <c r="I175" s="135">
        <v>45.682099999999998</v>
      </c>
      <c r="J175" s="135"/>
      <c r="K175" s="135">
        <f t="shared" si="332"/>
        <v>45.682099999999998</v>
      </c>
      <c r="L175" s="183"/>
      <c r="M175" s="5"/>
      <c r="N175" s="41"/>
      <c r="O175" s="6"/>
      <c r="P175" s="7"/>
      <c r="Q175" s="7"/>
      <c r="R175" s="7"/>
      <c r="S175" s="7"/>
      <c r="T175" s="89"/>
      <c r="U175" s="89"/>
      <c r="V175" s="89">
        <f t="shared" si="334"/>
        <v>0</v>
      </c>
      <c r="W175" s="137"/>
      <c r="X175" s="137"/>
      <c r="Y175" s="90">
        <f t="shared" si="317"/>
        <v>0</v>
      </c>
      <c r="Z175" s="91"/>
      <c r="AA175" s="92"/>
      <c r="AB175" s="92"/>
      <c r="AC175" s="92">
        <f t="shared" si="318"/>
        <v>0</v>
      </c>
      <c r="AD175" s="93"/>
      <c r="AE175" s="93"/>
      <c r="AF175" s="94">
        <f t="shared" si="319"/>
        <v>0</v>
      </c>
      <c r="AG175" s="473"/>
      <c r="AH175" s="99">
        <f>535+115</f>
        <v>650</v>
      </c>
      <c r="AI175" s="99">
        <f t="shared" si="320"/>
        <v>43.333333333333336</v>
      </c>
      <c r="AJ175" s="138">
        <v>535</v>
      </c>
      <c r="AK175" s="138">
        <f t="shared" si="321"/>
        <v>35.666666666666664</v>
      </c>
      <c r="AL175" s="106"/>
      <c r="AM175" s="105">
        <v>115</v>
      </c>
      <c r="AN175" s="105">
        <f t="shared" si="322"/>
        <v>7.666666666666667</v>
      </c>
      <c r="AO175" s="106"/>
      <c r="AP175" s="105"/>
      <c r="AQ175" s="105">
        <f t="shared" si="331"/>
        <v>0</v>
      </c>
      <c r="AR175" s="106"/>
      <c r="AS175" s="97">
        <f t="shared" si="275"/>
        <v>43.333333333333329</v>
      </c>
      <c r="AT175" s="6"/>
      <c r="AU175" s="105"/>
      <c r="AV175" s="455">
        <f t="shared" si="227"/>
        <v>0</v>
      </c>
      <c r="AW175" s="496"/>
      <c r="AX175" s="508"/>
      <c r="AY175" s="498"/>
      <c r="AZ175" s="100">
        <f t="shared" si="323"/>
        <v>0</v>
      </c>
      <c r="BA175" s="101"/>
      <c r="BB175" s="100"/>
      <c r="BC175" s="100">
        <f t="shared" si="324"/>
        <v>0</v>
      </c>
      <c r="BD175" s="101"/>
      <c r="BE175" s="105">
        <f>AK175+AZ175</f>
        <v>35.666666666666664</v>
      </c>
      <c r="BF175" s="106"/>
      <c r="BG175" s="100">
        <f t="shared" si="336"/>
        <v>7.666666666666667</v>
      </c>
      <c r="BH175" s="106"/>
      <c r="BI175" s="100">
        <f t="shared" si="337"/>
        <v>0</v>
      </c>
      <c r="BJ175" s="106"/>
      <c r="BK175" s="101">
        <f t="shared" si="276"/>
        <v>43.333333333333329</v>
      </c>
      <c r="BL175" s="106"/>
      <c r="BM175" s="104">
        <v>1750</v>
      </c>
      <c r="BN175" s="104">
        <f t="shared" si="326"/>
        <v>35</v>
      </c>
      <c r="BO175" s="105">
        <v>1750</v>
      </c>
      <c r="BP175" s="105">
        <f t="shared" si="229"/>
        <v>35</v>
      </c>
      <c r="BQ175" s="106"/>
      <c r="BR175" s="105">
        <v>350</v>
      </c>
      <c r="BS175" s="105">
        <f t="shared" si="257"/>
        <v>7</v>
      </c>
      <c r="BT175" s="106"/>
      <c r="BU175" s="53"/>
      <c r="BV175" s="53">
        <f t="shared" si="327"/>
        <v>0</v>
      </c>
      <c r="BW175" s="54"/>
      <c r="BX175" s="350">
        <f t="shared" si="277"/>
        <v>42</v>
      </c>
      <c r="BY175" s="211"/>
      <c r="BZ175" s="211">
        <f t="shared" si="303"/>
        <v>1.3333333333333286</v>
      </c>
      <c r="CA175" s="508"/>
      <c r="CB175" s="7"/>
      <c r="CC175" s="7"/>
      <c r="CD175" s="7"/>
      <c r="CE175" s="504"/>
      <c r="CF175" s="105"/>
      <c r="CG175" s="105">
        <f t="shared" si="311"/>
        <v>0</v>
      </c>
      <c r="CH175" s="105"/>
      <c r="CI175" s="105"/>
      <c r="CJ175" s="105">
        <f t="shared" si="312"/>
        <v>0</v>
      </c>
      <c r="CK175" s="523"/>
      <c r="CL175" s="102">
        <f t="shared" si="328"/>
        <v>0</v>
      </c>
      <c r="CM175" s="103"/>
      <c r="CN175" s="100"/>
      <c r="CO175" s="100">
        <f t="shared" si="230"/>
        <v>0</v>
      </c>
      <c r="CP175" s="515"/>
      <c r="CQ175" s="441"/>
      <c r="CR175" s="504"/>
      <c r="CS175" s="105"/>
      <c r="CT175" s="105">
        <f t="shared" si="289"/>
        <v>0</v>
      </c>
      <c r="CU175" s="105"/>
      <c r="CV175" s="105"/>
      <c r="CW175" s="105">
        <f t="shared" si="290"/>
        <v>0</v>
      </c>
      <c r="CX175" s="53"/>
      <c r="CY175" s="109">
        <f t="shared" si="231"/>
        <v>0</v>
      </c>
      <c r="CZ175" s="54"/>
      <c r="DA175" s="105"/>
      <c r="DB175" s="455">
        <f t="shared" si="278"/>
        <v>0</v>
      </c>
      <c r="DC175" s="495"/>
      <c r="DD175" s="27" t="s">
        <v>591</v>
      </c>
      <c r="DF175" s="1133"/>
      <c r="DG175" s="674">
        <f t="shared" si="307"/>
        <v>0</v>
      </c>
      <c r="DH175" s="1119">
        <f t="shared" si="308"/>
        <v>0</v>
      </c>
      <c r="DI175" s="1119"/>
      <c r="DJ175" s="101">
        <f t="shared" si="293"/>
        <v>43.333333333333329</v>
      </c>
      <c r="DK175" s="101"/>
      <c r="DL175" s="101">
        <f t="shared" si="292"/>
        <v>0</v>
      </c>
      <c r="DM175" s="101">
        <f t="shared" si="338"/>
        <v>0</v>
      </c>
      <c r="DN175" s="112">
        <f>DJ175</f>
        <v>43.333333333333329</v>
      </c>
      <c r="DO175" s="112"/>
      <c r="DP175" s="112"/>
      <c r="DQ175" s="112"/>
      <c r="DS175" s="140"/>
      <c r="DT175" s="140"/>
      <c r="DU175" s="140"/>
      <c r="DV175" s="140"/>
      <c r="DW175" s="140"/>
      <c r="DX175" s="140"/>
      <c r="DY175" s="140"/>
      <c r="DZ175" s="140"/>
    </row>
    <row r="176" spans="1:130" s="139" customFormat="1" ht="21.6" customHeight="1" x14ac:dyDescent="0.25">
      <c r="A176" s="4" t="s">
        <v>28</v>
      </c>
      <c r="B176" s="4">
        <v>10</v>
      </c>
      <c r="C176" s="182" t="s">
        <v>92</v>
      </c>
      <c r="D176" s="182" t="s">
        <v>429</v>
      </c>
      <c r="E176" s="2" t="s">
        <v>100</v>
      </c>
      <c r="F176" s="135">
        <v>97</v>
      </c>
      <c r="G176" s="135">
        <v>18</v>
      </c>
      <c r="H176" s="135">
        <f t="shared" si="314"/>
        <v>115</v>
      </c>
      <c r="I176" s="135">
        <v>62.5</v>
      </c>
      <c r="J176" s="135"/>
      <c r="K176" s="135">
        <f t="shared" si="332"/>
        <v>62.5</v>
      </c>
      <c r="L176" s="183"/>
      <c r="M176" s="5"/>
      <c r="N176" s="41"/>
      <c r="O176" s="6"/>
      <c r="P176" s="7"/>
      <c r="Q176" s="7"/>
      <c r="R176" s="7"/>
      <c r="S176" s="7"/>
      <c r="T176" s="89"/>
      <c r="U176" s="89"/>
      <c r="V176" s="89">
        <f>T176+U176</f>
        <v>0</v>
      </c>
      <c r="W176" s="137"/>
      <c r="X176" s="137"/>
      <c r="Y176" s="90">
        <f>W176+X176</f>
        <v>0</v>
      </c>
      <c r="Z176" s="91"/>
      <c r="AA176" s="92"/>
      <c r="AB176" s="92"/>
      <c r="AC176" s="92">
        <f>AA176+AB176</f>
        <v>0</v>
      </c>
      <c r="AD176" s="93"/>
      <c r="AE176" s="93"/>
      <c r="AF176" s="94">
        <f>AD176+AE176</f>
        <v>0</v>
      </c>
      <c r="AG176" s="473"/>
      <c r="AH176" s="99">
        <v>750</v>
      </c>
      <c r="AI176" s="99">
        <f t="shared" si="320"/>
        <v>50</v>
      </c>
      <c r="AJ176" s="138"/>
      <c r="AK176" s="138">
        <f t="shared" si="321"/>
        <v>0</v>
      </c>
      <c r="AL176" s="106"/>
      <c r="AM176" s="105">
        <v>750</v>
      </c>
      <c r="AN176" s="105">
        <f t="shared" si="322"/>
        <v>50</v>
      </c>
      <c r="AO176" s="106"/>
      <c r="AP176" s="105"/>
      <c r="AQ176" s="105">
        <f t="shared" si="331"/>
        <v>0</v>
      </c>
      <c r="AR176" s="106"/>
      <c r="AS176" s="97">
        <f t="shared" si="275"/>
        <v>50</v>
      </c>
      <c r="AT176" s="6"/>
      <c r="AU176" s="105"/>
      <c r="AV176" s="455">
        <f t="shared" si="227"/>
        <v>0</v>
      </c>
      <c r="AW176" s="496"/>
      <c r="AX176" s="508"/>
      <c r="AY176" s="498"/>
      <c r="AZ176" s="100">
        <f t="shared" si="323"/>
        <v>0</v>
      </c>
      <c r="BA176" s="101"/>
      <c r="BB176" s="100"/>
      <c r="BC176" s="100">
        <f t="shared" si="324"/>
        <v>0</v>
      </c>
      <c r="BD176" s="101"/>
      <c r="BE176" s="105">
        <f>AK176+AZ176</f>
        <v>0</v>
      </c>
      <c r="BF176" s="106"/>
      <c r="BG176" s="100">
        <f t="shared" si="336"/>
        <v>50</v>
      </c>
      <c r="BH176" s="106"/>
      <c r="BI176" s="100">
        <f t="shared" si="337"/>
        <v>0</v>
      </c>
      <c r="BJ176" s="106"/>
      <c r="BK176" s="101">
        <f t="shared" si="276"/>
        <v>50</v>
      </c>
      <c r="BL176" s="106"/>
      <c r="BM176" s="104"/>
      <c r="BN176" s="104">
        <f t="shared" si="326"/>
        <v>0</v>
      </c>
      <c r="BO176" s="105"/>
      <c r="BP176" s="105">
        <f t="shared" si="229"/>
        <v>0</v>
      </c>
      <c r="BQ176" s="106"/>
      <c r="BR176" s="105">
        <v>2500</v>
      </c>
      <c r="BS176" s="105">
        <f t="shared" si="257"/>
        <v>50</v>
      </c>
      <c r="BT176" s="106"/>
      <c r="BU176" s="53"/>
      <c r="BV176" s="53">
        <f t="shared" si="327"/>
        <v>0</v>
      </c>
      <c r="BW176" s="54"/>
      <c r="BX176" s="350">
        <f t="shared" si="277"/>
        <v>50</v>
      </c>
      <c r="BY176" s="211"/>
      <c r="BZ176" s="211">
        <f t="shared" si="303"/>
        <v>0</v>
      </c>
      <c r="CA176" s="508"/>
      <c r="CB176" s="7"/>
      <c r="CC176" s="7"/>
      <c r="CD176" s="7"/>
      <c r="CE176" s="504"/>
      <c r="CF176" s="105"/>
      <c r="CG176" s="105">
        <f t="shared" si="311"/>
        <v>0</v>
      </c>
      <c r="CH176" s="105"/>
      <c r="CI176" s="105"/>
      <c r="CJ176" s="105">
        <f t="shared" si="312"/>
        <v>0</v>
      </c>
      <c r="CK176" s="523"/>
      <c r="CL176" s="102">
        <f t="shared" si="328"/>
        <v>0</v>
      </c>
      <c r="CM176" s="103"/>
      <c r="CN176" s="100"/>
      <c r="CO176" s="100">
        <f t="shared" si="230"/>
        <v>0</v>
      </c>
      <c r="CP176" s="515"/>
      <c r="CQ176" s="441"/>
      <c r="CR176" s="504"/>
      <c r="CS176" s="105"/>
      <c r="CT176" s="105">
        <f t="shared" si="289"/>
        <v>0</v>
      </c>
      <c r="CU176" s="105"/>
      <c r="CV176" s="105"/>
      <c r="CW176" s="105">
        <f t="shared" si="290"/>
        <v>0</v>
      </c>
      <c r="CX176" s="53"/>
      <c r="CY176" s="109">
        <f t="shared" si="231"/>
        <v>0</v>
      </c>
      <c r="CZ176" s="54"/>
      <c r="DA176" s="105"/>
      <c r="DB176" s="455">
        <f t="shared" si="278"/>
        <v>0</v>
      </c>
      <c r="DC176" s="495"/>
      <c r="DD176" s="27" t="s">
        <v>591</v>
      </c>
      <c r="DF176" s="1133"/>
      <c r="DG176" s="674">
        <f t="shared" si="307"/>
        <v>0</v>
      </c>
      <c r="DH176" s="1119">
        <f t="shared" si="308"/>
        <v>0</v>
      </c>
      <c r="DI176" s="1119"/>
      <c r="DJ176" s="101">
        <f t="shared" si="293"/>
        <v>50</v>
      </c>
      <c r="DK176" s="101"/>
      <c r="DL176" s="101">
        <f t="shared" si="292"/>
        <v>0</v>
      </c>
      <c r="DM176" s="101">
        <f t="shared" si="338"/>
        <v>0</v>
      </c>
      <c r="DN176" s="112">
        <f>DJ176</f>
        <v>50</v>
      </c>
      <c r="DO176" s="112"/>
      <c r="DP176" s="112"/>
      <c r="DQ176" s="112"/>
      <c r="DS176" s="140"/>
      <c r="DT176" s="140"/>
      <c r="DU176" s="140"/>
      <c r="DV176" s="140"/>
      <c r="DW176" s="140"/>
      <c r="DX176" s="140"/>
      <c r="DY176" s="140"/>
      <c r="DZ176" s="140"/>
    </row>
    <row r="177" spans="1:130" s="151" customFormat="1" ht="21.6" customHeight="1" x14ac:dyDescent="0.25">
      <c r="A177" s="141"/>
      <c r="B177" s="141"/>
      <c r="C177" s="142"/>
      <c r="D177" s="143"/>
      <c r="E177" s="22"/>
      <c r="F177" s="144"/>
      <c r="G177" s="144"/>
      <c r="H177" s="144"/>
      <c r="I177" s="144"/>
      <c r="J177" s="144"/>
      <c r="K177" s="144"/>
      <c r="L177" s="145"/>
      <c r="M177" s="146"/>
      <c r="N177" s="147"/>
      <c r="O177" s="131"/>
      <c r="P177" s="148"/>
      <c r="Q177" s="148"/>
      <c r="R177" s="148"/>
      <c r="S177" s="148"/>
      <c r="T177" s="123"/>
      <c r="U177" s="123"/>
      <c r="V177" s="123"/>
      <c r="W177" s="149"/>
      <c r="X177" s="149"/>
      <c r="Y177" s="124"/>
      <c r="Z177" s="125"/>
      <c r="AA177" s="123"/>
      <c r="AB177" s="123"/>
      <c r="AC177" s="123"/>
      <c r="AD177" s="124"/>
      <c r="AE177" s="124"/>
      <c r="AF177" s="126"/>
      <c r="AG177" s="474"/>
      <c r="AH177" s="129"/>
      <c r="AI177" s="129"/>
      <c r="AJ177" s="138"/>
      <c r="AK177" s="138"/>
      <c r="AL177" s="106"/>
      <c r="AM177" s="105"/>
      <c r="AN177" s="105"/>
      <c r="AO177" s="106"/>
      <c r="AP177" s="105"/>
      <c r="AQ177" s="105">
        <f t="shared" si="331"/>
        <v>0</v>
      </c>
      <c r="AR177" s="106"/>
      <c r="AS177" s="97">
        <f t="shared" si="275"/>
        <v>0</v>
      </c>
      <c r="AT177" s="6"/>
      <c r="AU177" s="105"/>
      <c r="AV177" s="455">
        <f t="shared" si="227"/>
        <v>0</v>
      </c>
      <c r="AW177" s="496"/>
      <c r="AX177" s="508"/>
      <c r="AY177" s="498"/>
      <c r="AZ177" s="100"/>
      <c r="BA177" s="101"/>
      <c r="BB177" s="100"/>
      <c r="BC177" s="100"/>
      <c r="BD177" s="101"/>
      <c r="BE177" s="105"/>
      <c r="BF177" s="106"/>
      <c r="BG177" s="100">
        <f t="shared" si="336"/>
        <v>0</v>
      </c>
      <c r="BH177" s="106"/>
      <c r="BI177" s="100">
        <f t="shared" si="337"/>
        <v>0</v>
      </c>
      <c r="BJ177" s="106"/>
      <c r="BK177" s="101">
        <f t="shared" si="276"/>
        <v>0</v>
      </c>
      <c r="BL177" s="106"/>
      <c r="BM177" s="130"/>
      <c r="BN177" s="130"/>
      <c r="BO177" s="105"/>
      <c r="BP177" s="105">
        <f t="shared" si="229"/>
        <v>0</v>
      </c>
      <c r="BQ177" s="106"/>
      <c r="BR177" s="105"/>
      <c r="BS177" s="105"/>
      <c r="BT177" s="106"/>
      <c r="BU177" s="53"/>
      <c r="BV177" s="53"/>
      <c r="BW177" s="54"/>
      <c r="BX177" s="350">
        <f t="shared" si="277"/>
        <v>0</v>
      </c>
      <c r="BY177" s="194"/>
      <c r="BZ177" s="194">
        <f t="shared" si="303"/>
        <v>0</v>
      </c>
      <c r="CA177" s="536"/>
      <c r="CB177" s="148"/>
      <c r="CC177" s="148"/>
      <c r="CD177" s="148"/>
      <c r="CE177" s="504"/>
      <c r="CF177" s="105"/>
      <c r="CG177" s="105">
        <f t="shared" si="311"/>
        <v>0</v>
      </c>
      <c r="CH177" s="105"/>
      <c r="CI177" s="105"/>
      <c r="CJ177" s="105">
        <f t="shared" si="312"/>
        <v>0</v>
      </c>
      <c r="CK177" s="523"/>
      <c r="CL177" s="102"/>
      <c r="CM177" s="103"/>
      <c r="CN177" s="100"/>
      <c r="CO177" s="100">
        <f t="shared" si="230"/>
        <v>0</v>
      </c>
      <c r="CP177" s="515"/>
      <c r="CQ177" s="441"/>
      <c r="CR177" s="504"/>
      <c r="CS177" s="105"/>
      <c r="CT177" s="105">
        <f t="shared" si="289"/>
        <v>0</v>
      </c>
      <c r="CU177" s="105"/>
      <c r="CV177" s="105"/>
      <c r="CW177" s="105">
        <f t="shared" si="290"/>
        <v>0</v>
      </c>
      <c r="CX177" s="53"/>
      <c r="CY177" s="109">
        <f t="shared" si="231"/>
        <v>0</v>
      </c>
      <c r="CZ177" s="54"/>
      <c r="DA177" s="105"/>
      <c r="DB177" s="455">
        <f t="shared" si="278"/>
        <v>0</v>
      </c>
      <c r="DC177" s="495"/>
      <c r="DD177" s="38"/>
      <c r="DF177" s="1133"/>
      <c r="DG177" s="674">
        <f t="shared" si="307"/>
        <v>0</v>
      </c>
      <c r="DH177" s="1119">
        <f t="shared" si="308"/>
        <v>0</v>
      </c>
      <c r="DI177" s="1119"/>
      <c r="DJ177" s="101">
        <f t="shared" si="293"/>
        <v>0</v>
      </c>
      <c r="DK177" s="101"/>
      <c r="DL177" s="101">
        <f t="shared" si="292"/>
        <v>0</v>
      </c>
      <c r="DM177" s="101"/>
      <c r="DN177" s="112"/>
      <c r="DO177" s="112"/>
      <c r="DP177" s="112"/>
      <c r="DQ177" s="112"/>
      <c r="DS177" s="152"/>
      <c r="DT177" s="152"/>
      <c r="DU177" s="152"/>
      <c r="DV177" s="152"/>
      <c r="DW177" s="152"/>
      <c r="DX177" s="152"/>
      <c r="DY177" s="152"/>
      <c r="DZ177" s="152"/>
    </row>
    <row r="178" spans="1:130" ht="64.5" customHeight="1" x14ac:dyDescent="0.25">
      <c r="A178" s="4"/>
      <c r="B178" s="4"/>
      <c r="C178" s="166" t="s">
        <v>101</v>
      </c>
      <c r="D178" s="166" t="s">
        <v>431</v>
      </c>
      <c r="E178" s="2" t="s">
        <v>753</v>
      </c>
      <c r="F178" s="162"/>
      <c r="G178" s="162"/>
      <c r="H178" s="162"/>
      <c r="I178" s="162"/>
      <c r="J178" s="162"/>
      <c r="K178" s="162"/>
      <c r="L178" s="163"/>
      <c r="M178" s="414"/>
      <c r="N178" s="46"/>
      <c r="O178" s="164"/>
      <c r="P178" s="165"/>
      <c r="Q178" s="165"/>
      <c r="R178" s="165"/>
      <c r="S178" s="203"/>
      <c r="T178" s="89"/>
      <c r="U178" s="89"/>
      <c r="V178" s="89">
        <f>T178+U178</f>
        <v>0</v>
      </c>
      <c r="W178" s="137"/>
      <c r="X178" s="137"/>
      <c r="Y178" s="90">
        <f>W178+X178</f>
        <v>0</v>
      </c>
      <c r="Z178" s="169"/>
      <c r="AA178" s="92"/>
      <c r="AB178" s="92"/>
      <c r="AC178" s="92">
        <f>AA178+AB178</f>
        <v>0</v>
      </c>
      <c r="AD178" s="93"/>
      <c r="AE178" s="93"/>
      <c r="AF178" s="94">
        <f>AD178+AE178</f>
        <v>0</v>
      </c>
      <c r="AG178" s="475"/>
      <c r="AH178" s="99"/>
      <c r="AI178" s="99"/>
      <c r="AJ178" s="138"/>
      <c r="AK178" s="138">
        <f>AJ178/15</f>
        <v>0</v>
      </c>
      <c r="AL178" s="106">
        <f>SUM(AK178:AK183)</f>
        <v>0</v>
      </c>
      <c r="AM178" s="105"/>
      <c r="AN178" s="105">
        <f>AM178/15</f>
        <v>0</v>
      </c>
      <c r="AO178" s="106">
        <f>SUM(AN178:AN183)</f>
        <v>101</v>
      </c>
      <c r="AP178" s="105"/>
      <c r="AQ178" s="105">
        <f>AP178/15</f>
        <v>0</v>
      </c>
      <c r="AR178" s="106">
        <f>SUM(AQ178:AQ183)</f>
        <v>0</v>
      </c>
      <c r="AS178" s="97">
        <f>AN178+AK178+AQ178</f>
        <v>0</v>
      </c>
      <c r="AT178" s="6">
        <f>SUM(AS178:AS183)</f>
        <v>101</v>
      </c>
      <c r="AU178" s="105"/>
      <c r="AV178" s="455">
        <f>AU178/15</f>
        <v>0</v>
      </c>
      <c r="AW178" s="496">
        <f>SUM(AV178:AV183)</f>
        <v>0</v>
      </c>
      <c r="AX178" s="508"/>
      <c r="AY178" s="498"/>
      <c r="AZ178" s="100">
        <f>AY178/15</f>
        <v>0</v>
      </c>
      <c r="BA178" s="106">
        <f>SUM(AZ178:AZ183)</f>
        <v>0</v>
      </c>
      <c r="BB178" s="105"/>
      <c r="BC178" s="105">
        <f>BB178/15</f>
        <v>0</v>
      </c>
      <c r="BD178" s="106">
        <f>SUM(BC178:BC183)</f>
        <v>0</v>
      </c>
      <c r="BE178" s="105">
        <f>AK178+AZ178</f>
        <v>0</v>
      </c>
      <c r="BF178" s="106">
        <f>SUM(BE178:BE183)</f>
        <v>0</v>
      </c>
      <c r="BG178" s="100">
        <f t="shared" si="336"/>
        <v>0</v>
      </c>
      <c r="BH178" s="106">
        <f>SUM(BG178:BG183)</f>
        <v>101</v>
      </c>
      <c r="BI178" s="100">
        <f t="shared" si="337"/>
        <v>0</v>
      </c>
      <c r="BJ178" s="106">
        <f>SUM(BI178:BI183)</f>
        <v>0</v>
      </c>
      <c r="BK178" s="101">
        <f>BG178+BE178+BI178</f>
        <v>0</v>
      </c>
      <c r="BL178" s="106">
        <f>SUM(BK178:BK183)</f>
        <v>101</v>
      </c>
      <c r="BM178" s="104"/>
      <c r="BN178" s="104">
        <f>BM178/50</f>
        <v>0</v>
      </c>
      <c r="BO178" s="105"/>
      <c r="BP178" s="105">
        <f>BO178/50</f>
        <v>0</v>
      </c>
      <c r="BQ178" s="106">
        <f>SUM(BP178:BP183)</f>
        <v>0</v>
      </c>
      <c r="BR178" s="105"/>
      <c r="BS178" s="105">
        <f>BR178/50</f>
        <v>0</v>
      </c>
      <c r="BT178" s="106">
        <f>SUM(BS178:BS183)</f>
        <v>55.95</v>
      </c>
      <c r="BU178" s="53"/>
      <c r="BV178" s="53">
        <f>BU178/50</f>
        <v>0</v>
      </c>
      <c r="BW178" s="54">
        <f>SUM(BV178:BV183)</f>
        <v>46</v>
      </c>
      <c r="BX178" s="350">
        <f>BP178+BS178+BV178</f>
        <v>0</v>
      </c>
      <c r="BY178" s="211">
        <f>SUM(BX178:BX183)</f>
        <v>101.95</v>
      </c>
      <c r="BZ178" s="211">
        <f>BK178-BX178</f>
        <v>0</v>
      </c>
      <c r="CA178" s="508"/>
      <c r="CB178" s="165"/>
      <c r="CC178" s="165"/>
      <c r="CD178" s="203"/>
      <c r="CE178" s="504"/>
      <c r="CF178" s="105"/>
      <c r="CG178" s="105"/>
      <c r="CH178" s="105"/>
      <c r="CI178" s="105"/>
      <c r="CJ178" s="105"/>
      <c r="CK178" s="524"/>
      <c r="CL178" s="53">
        <f t="shared" ref="CL178:CL183" si="339">CK178/15</f>
        <v>0</v>
      </c>
      <c r="CM178" s="54">
        <f>SUM(CL178:CL183)</f>
        <v>0</v>
      </c>
      <c r="CN178" s="105">
        <v>150</v>
      </c>
      <c r="CO178" s="100">
        <f t="shared" ref="CO178:CO183" si="340">CN178/15</f>
        <v>10</v>
      </c>
      <c r="CP178" s="496">
        <f>SUM(CO178:CO183)</f>
        <v>10</v>
      </c>
      <c r="CQ178" s="439"/>
      <c r="CR178" s="504"/>
      <c r="CS178" s="105"/>
      <c r="CT178" s="105">
        <f>CR178+CS178</f>
        <v>0</v>
      </c>
      <c r="CU178" s="105"/>
      <c r="CV178" s="105"/>
      <c r="CW178" s="105">
        <f>CU178+CV178</f>
        <v>0</v>
      </c>
      <c r="CX178" s="53"/>
      <c r="CY178" s="109">
        <f>CX178/15</f>
        <v>0</v>
      </c>
      <c r="CZ178" s="54">
        <f>SUM(CY178:CY183)</f>
        <v>0</v>
      </c>
      <c r="DA178" s="105"/>
      <c r="DB178" s="455">
        <f>DA178/15</f>
        <v>0</v>
      </c>
      <c r="DC178" s="495">
        <f>SUM(DB178:DB183)</f>
        <v>0</v>
      </c>
      <c r="DD178" s="26"/>
      <c r="DF178" s="1133"/>
      <c r="DG178" s="674">
        <f t="shared" si="307"/>
        <v>0</v>
      </c>
      <c r="DH178" s="1119">
        <f t="shared" si="308"/>
        <v>10</v>
      </c>
      <c r="DI178" s="1119"/>
      <c r="DJ178" s="101">
        <f t="shared" si="293"/>
        <v>10</v>
      </c>
      <c r="DK178" s="101">
        <f>SUM(DJ178:DJ183)</f>
        <v>111</v>
      </c>
      <c r="DL178" s="101">
        <f t="shared" si="292"/>
        <v>0</v>
      </c>
      <c r="DM178" s="101"/>
      <c r="DN178" s="112"/>
      <c r="DO178" s="112"/>
      <c r="DP178" s="112"/>
      <c r="DQ178" s="112"/>
    </row>
    <row r="179" spans="1:130" ht="21.6" customHeight="1" x14ac:dyDescent="0.25">
      <c r="A179" s="4" t="s">
        <v>28</v>
      </c>
      <c r="B179" s="4">
        <v>1</v>
      </c>
      <c r="C179" s="166" t="s">
        <v>101</v>
      </c>
      <c r="D179" s="166" t="s">
        <v>437</v>
      </c>
      <c r="E179" s="1" t="s">
        <v>102</v>
      </c>
      <c r="F179" s="162">
        <v>47</v>
      </c>
      <c r="G179" s="162">
        <v>12</v>
      </c>
      <c r="H179" s="162">
        <f>F179+G179</f>
        <v>59</v>
      </c>
      <c r="I179" s="162">
        <v>49.027900000000002</v>
      </c>
      <c r="J179" s="162"/>
      <c r="K179" s="162">
        <f>I179+J179</f>
        <v>49.027900000000002</v>
      </c>
      <c r="L179" s="163"/>
      <c r="M179" s="414"/>
      <c r="N179" s="46"/>
      <c r="O179" s="164"/>
      <c r="P179" s="165"/>
      <c r="Q179" s="165"/>
      <c r="R179" s="165"/>
      <c r="S179" s="203"/>
      <c r="T179" s="89"/>
      <c r="U179" s="89"/>
      <c r="V179" s="89">
        <f>T179+U179</f>
        <v>0</v>
      </c>
      <c r="W179" s="137"/>
      <c r="X179" s="137"/>
      <c r="Y179" s="90">
        <f>W179+X179</f>
        <v>0</v>
      </c>
      <c r="Z179" s="169"/>
      <c r="AA179" s="92"/>
      <c r="AB179" s="92"/>
      <c r="AC179" s="92">
        <f>AA179+AB179</f>
        <v>0</v>
      </c>
      <c r="AD179" s="93"/>
      <c r="AE179" s="93"/>
      <c r="AF179" s="94">
        <f>AD179+AE179</f>
        <v>0</v>
      </c>
      <c r="AG179" s="475"/>
      <c r="AH179" s="99"/>
      <c r="AI179" s="99">
        <f>AH179/15</f>
        <v>0</v>
      </c>
      <c r="AJ179" s="138"/>
      <c r="AK179" s="138">
        <f>AJ179/15</f>
        <v>0</v>
      </c>
      <c r="AL179" s="106"/>
      <c r="AM179" s="105"/>
      <c r="AN179" s="105">
        <f>AM179/15</f>
        <v>0</v>
      </c>
      <c r="AO179" s="106"/>
      <c r="AP179" s="105"/>
      <c r="AQ179" s="105">
        <f>AP179/15</f>
        <v>0</v>
      </c>
      <c r="AR179" s="106"/>
      <c r="AS179" s="97">
        <f>AN179+AK179+AQ179</f>
        <v>0</v>
      </c>
      <c r="AT179" s="6"/>
      <c r="AU179" s="105"/>
      <c r="AV179" s="455">
        <f>AU179/15</f>
        <v>0</v>
      </c>
      <c r="AW179" s="496"/>
      <c r="AX179" s="508"/>
      <c r="AY179" s="498"/>
      <c r="AZ179" s="100">
        <f>AY179/15</f>
        <v>0</v>
      </c>
      <c r="BA179" s="106"/>
      <c r="BB179" s="105"/>
      <c r="BC179" s="105">
        <f>BB179/15</f>
        <v>0</v>
      </c>
      <c r="BD179" s="106"/>
      <c r="BE179" s="105">
        <f>AK179+AZ179</f>
        <v>0</v>
      </c>
      <c r="BF179" s="106"/>
      <c r="BG179" s="100">
        <f t="shared" si="336"/>
        <v>0</v>
      </c>
      <c r="BH179" s="106"/>
      <c r="BI179" s="100">
        <f t="shared" si="337"/>
        <v>0</v>
      </c>
      <c r="BJ179" s="106"/>
      <c r="BK179" s="101">
        <f>BG179+BE179+BI179</f>
        <v>0</v>
      </c>
      <c r="BL179" s="106"/>
      <c r="BM179" s="104"/>
      <c r="BN179" s="104">
        <f>BM179/50</f>
        <v>0</v>
      </c>
      <c r="BO179" s="105"/>
      <c r="BP179" s="105">
        <f>BO179/50</f>
        <v>0</v>
      </c>
      <c r="BQ179" s="106"/>
      <c r="BR179" s="105"/>
      <c r="BS179" s="105">
        <f>BR179/50</f>
        <v>0</v>
      </c>
      <c r="BT179" s="106"/>
      <c r="BU179" s="53"/>
      <c r="BV179" s="53">
        <f>BU179/50</f>
        <v>0</v>
      </c>
      <c r="BW179" s="54"/>
      <c r="BX179" s="350">
        <f>BP179+BS179+BV179</f>
        <v>0</v>
      </c>
      <c r="BY179" s="211"/>
      <c r="BZ179" s="211">
        <f>BK179-BX179</f>
        <v>0</v>
      </c>
      <c r="CA179" s="508"/>
      <c r="CB179" s="165"/>
      <c r="CC179" s="165"/>
      <c r="CD179" s="203"/>
      <c r="CE179" s="504"/>
      <c r="CF179" s="105"/>
      <c r="CG179" s="105">
        <f>CE179+CF179</f>
        <v>0</v>
      </c>
      <c r="CH179" s="105"/>
      <c r="CI179" s="105"/>
      <c r="CJ179" s="105">
        <f>CH179+CI179</f>
        <v>0</v>
      </c>
      <c r="CK179" s="524"/>
      <c r="CL179" s="53">
        <f t="shared" si="339"/>
        <v>0</v>
      </c>
      <c r="CM179" s="54"/>
      <c r="CN179" s="105"/>
      <c r="CO179" s="100">
        <f t="shared" si="340"/>
        <v>0</v>
      </c>
      <c r="CP179" s="496"/>
      <c r="CQ179" s="439"/>
      <c r="CR179" s="504"/>
      <c r="CS179" s="105"/>
      <c r="CT179" s="105">
        <f>CR179+CS179</f>
        <v>0</v>
      </c>
      <c r="CU179" s="105"/>
      <c r="CV179" s="105"/>
      <c r="CW179" s="105">
        <f>CU179+CV179</f>
        <v>0</v>
      </c>
      <c r="CX179" s="53"/>
      <c r="CY179" s="109">
        <f>CX179/15</f>
        <v>0</v>
      </c>
      <c r="CZ179" s="54"/>
      <c r="DA179" s="105"/>
      <c r="DB179" s="455">
        <f>DA179/15</f>
        <v>0</v>
      </c>
      <c r="DC179" s="495"/>
      <c r="DD179" s="26"/>
      <c r="DF179" s="1133"/>
      <c r="DG179" s="674">
        <f t="shared" si="307"/>
        <v>0</v>
      </c>
      <c r="DH179" s="1119">
        <f t="shared" si="308"/>
        <v>0</v>
      </c>
      <c r="DI179" s="1119"/>
      <c r="DJ179" s="101">
        <f t="shared" si="293"/>
        <v>0</v>
      </c>
      <c r="DK179" s="101"/>
      <c r="DL179" s="1124">
        <f t="shared" si="292"/>
        <v>0</v>
      </c>
      <c r="DM179" s="101"/>
      <c r="DN179" s="112"/>
      <c r="DO179" s="112">
        <f>DJ179</f>
        <v>0</v>
      </c>
      <c r="DP179" s="112"/>
      <c r="DQ179" s="112"/>
    </row>
    <row r="180" spans="1:130" ht="61.5" customHeight="1" x14ac:dyDescent="0.25">
      <c r="A180" s="4" t="s">
        <v>28</v>
      </c>
      <c r="B180" s="4">
        <v>2</v>
      </c>
      <c r="C180" s="166" t="s">
        <v>101</v>
      </c>
      <c r="D180" s="166" t="s">
        <v>431</v>
      </c>
      <c r="E180" s="1" t="s">
        <v>103</v>
      </c>
      <c r="F180" s="162">
        <v>31</v>
      </c>
      <c r="G180" s="162">
        <v>4</v>
      </c>
      <c r="H180" s="162">
        <f>F180+G180</f>
        <v>35</v>
      </c>
      <c r="I180" s="162">
        <v>17</v>
      </c>
      <c r="J180" s="162"/>
      <c r="K180" s="162">
        <f>I180+J180</f>
        <v>17</v>
      </c>
      <c r="L180" s="163"/>
      <c r="M180" s="589"/>
      <c r="N180" s="46"/>
      <c r="O180" s="164"/>
      <c r="P180" s="165"/>
      <c r="Q180" s="165"/>
      <c r="R180" s="165"/>
      <c r="S180" s="203"/>
      <c r="T180" s="89"/>
      <c r="U180" s="89"/>
      <c r="V180" s="89">
        <f>T180+U180</f>
        <v>0</v>
      </c>
      <c r="W180" s="137"/>
      <c r="X180" s="137"/>
      <c r="Y180" s="90">
        <f>W180+X180</f>
        <v>0</v>
      </c>
      <c r="Z180" s="169"/>
      <c r="AA180" s="92"/>
      <c r="AB180" s="92"/>
      <c r="AC180" s="92">
        <f>AA180+AB180</f>
        <v>0</v>
      </c>
      <c r="AD180" s="93"/>
      <c r="AE180" s="93"/>
      <c r="AF180" s="94">
        <f>AD180+AE180</f>
        <v>0</v>
      </c>
      <c r="AG180" s="475"/>
      <c r="AH180" s="99">
        <v>220</v>
      </c>
      <c r="AI180" s="99">
        <f>AH180/15</f>
        <v>14.666666666666666</v>
      </c>
      <c r="AJ180" s="138"/>
      <c r="AK180" s="138">
        <f>AJ180/15</f>
        <v>0</v>
      </c>
      <c r="AL180" s="106"/>
      <c r="AM180" s="105">
        <v>220</v>
      </c>
      <c r="AN180" s="105">
        <f>AM180/15</f>
        <v>14.666666666666666</v>
      </c>
      <c r="AO180" s="106"/>
      <c r="AP180" s="105"/>
      <c r="AQ180" s="105">
        <f>AP180/15</f>
        <v>0</v>
      </c>
      <c r="AR180" s="106"/>
      <c r="AS180" s="97">
        <f>AN180+AK180+AQ180</f>
        <v>14.666666666666666</v>
      </c>
      <c r="AT180" s="6"/>
      <c r="AU180" s="105"/>
      <c r="AV180" s="455">
        <f>AU180/15</f>
        <v>0</v>
      </c>
      <c r="AW180" s="496"/>
      <c r="AX180" s="508"/>
      <c r="AY180" s="498"/>
      <c r="AZ180" s="100">
        <f>AY180/15</f>
        <v>0</v>
      </c>
      <c r="BA180" s="106"/>
      <c r="BB180" s="105"/>
      <c r="BC180" s="105">
        <f>BB180/15</f>
        <v>0</v>
      </c>
      <c r="BD180" s="106"/>
      <c r="BE180" s="105">
        <f>AK180+AZ180</f>
        <v>0</v>
      </c>
      <c r="BF180" s="106"/>
      <c r="BG180" s="100">
        <f t="shared" si="336"/>
        <v>14.666666666666666</v>
      </c>
      <c r="BH180" s="106"/>
      <c r="BI180" s="100">
        <f t="shared" si="337"/>
        <v>0</v>
      </c>
      <c r="BJ180" s="106"/>
      <c r="BK180" s="101">
        <f>BG180+BE180+BI180</f>
        <v>14.666666666666666</v>
      </c>
      <c r="BL180" s="106"/>
      <c r="BM180" s="104"/>
      <c r="BN180" s="104">
        <f>BM180/50</f>
        <v>0</v>
      </c>
      <c r="BO180" s="105"/>
      <c r="BP180" s="105">
        <f>BO180/50</f>
        <v>0</v>
      </c>
      <c r="BQ180" s="106"/>
      <c r="BR180" s="105"/>
      <c r="BS180" s="105">
        <f>BR180/50</f>
        <v>0</v>
      </c>
      <c r="BT180" s="106"/>
      <c r="BU180" s="53">
        <v>700</v>
      </c>
      <c r="BV180" s="53">
        <f>BU180/50</f>
        <v>14</v>
      </c>
      <c r="BW180" s="54"/>
      <c r="BX180" s="350">
        <f>BP180+BS180+BV180</f>
        <v>14</v>
      </c>
      <c r="BY180" s="211"/>
      <c r="BZ180" s="211">
        <f>BK180-BX180</f>
        <v>0.66666666666666607</v>
      </c>
      <c r="CA180" s="508"/>
      <c r="CB180" s="165"/>
      <c r="CC180" s="165"/>
      <c r="CD180" s="203"/>
      <c r="CE180" s="504"/>
      <c r="CF180" s="105"/>
      <c r="CG180" s="105">
        <f>CE180+CF180</f>
        <v>0</v>
      </c>
      <c r="CH180" s="105"/>
      <c r="CI180" s="105"/>
      <c r="CJ180" s="105">
        <f>CH180+CI180</f>
        <v>0</v>
      </c>
      <c r="CK180" s="524"/>
      <c r="CL180" s="53">
        <f t="shared" si="339"/>
        <v>0</v>
      </c>
      <c r="CM180" s="54"/>
      <c r="CN180" s="105"/>
      <c r="CO180" s="100">
        <f t="shared" si="340"/>
        <v>0</v>
      </c>
      <c r="CP180" s="496"/>
      <c r="CQ180" s="439"/>
      <c r="CR180" s="504"/>
      <c r="CS180" s="105"/>
      <c r="CT180" s="105">
        <f>CR180+CS180</f>
        <v>0</v>
      </c>
      <c r="CU180" s="105"/>
      <c r="CV180" s="105"/>
      <c r="CW180" s="105">
        <f>CU180+CV180</f>
        <v>0</v>
      </c>
      <c r="CX180" s="53"/>
      <c r="CY180" s="109">
        <f>CX180/15</f>
        <v>0</v>
      </c>
      <c r="CZ180" s="54"/>
      <c r="DA180" s="105"/>
      <c r="DB180" s="455">
        <f>DA180/15</f>
        <v>0</v>
      </c>
      <c r="DC180" s="495"/>
      <c r="DD180" s="26" t="s">
        <v>592</v>
      </c>
      <c r="DF180" s="1133"/>
      <c r="DG180" s="674">
        <f t="shared" si="307"/>
        <v>0</v>
      </c>
      <c r="DH180" s="1119">
        <f t="shared" si="308"/>
        <v>0</v>
      </c>
      <c r="DI180" s="1119"/>
      <c r="DJ180" s="101">
        <f t="shared" si="293"/>
        <v>14.666666666666666</v>
      </c>
      <c r="DK180" s="101"/>
      <c r="DL180" s="101">
        <f t="shared" si="292"/>
        <v>0</v>
      </c>
      <c r="DM180" s="101"/>
      <c r="DN180" s="112"/>
      <c r="DO180" s="112"/>
      <c r="DP180" s="112"/>
      <c r="DQ180" s="112"/>
    </row>
    <row r="181" spans="1:130" ht="64.5" customHeight="1" x14ac:dyDescent="0.25">
      <c r="A181" s="4"/>
      <c r="B181" s="4"/>
      <c r="C181" s="166" t="s">
        <v>101</v>
      </c>
      <c r="D181" s="166"/>
      <c r="E181" s="1" t="s">
        <v>841</v>
      </c>
      <c r="F181" s="162"/>
      <c r="G181" s="162"/>
      <c r="H181" s="162"/>
      <c r="I181" s="162"/>
      <c r="J181" s="162"/>
      <c r="K181" s="162"/>
      <c r="L181" s="163"/>
      <c r="M181" s="589"/>
      <c r="N181" s="46"/>
      <c r="O181" s="164"/>
      <c r="P181" s="165"/>
      <c r="Q181" s="165"/>
      <c r="R181" s="165"/>
      <c r="S181" s="203"/>
      <c r="T181" s="89"/>
      <c r="U181" s="89"/>
      <c r="V181" s="89"/>
      <c r="W181" s="137"/>
      <c r="X181" s="137"/>
      <c r="Y181" s="90"/>
      <c r="Z181" s="169"/>
      <c r="AA181" s="92"/>
      <c r="AB181" s="92"/>
      <c r="AC181" s="92"/>
      <c r="AD181" s="93"/>
      <c r="AE181" s="93"/>
      <c r="AF181" s="94"/>
      <c r="AG181" s="475"/>
      <c r="AH181" s="99"/>
      <c r="AI181" s="99"/>
      <c r="AJ181" s="138"/>
      <c r="AK181" s="138"/>
      <c r="AL181" s="106"/>
      <c r="AM181" s="105"/>
      <c r="AN181" s="105"/>
      <c r="AO181" s="106"/>
      <c r="AP181" s="105"/>
      <c r="AQ181" s="105"/>
      <c r="AR181" s="106"/>
      <c r="AS181" s="97"/>
      <c r="AT181" s="6"/>
      <c r="AU181" s="105"/>
      <c r="AV181" s="455"/>
      <c r="AW181" s="496"/>
      <c r="AX181" s="508"/>
      <c r="AY181" s="498"/>
      <c r="AZ181" s="100"/>
      <c r="BA181" s="106"/>
      <c r="BB181" s="105"/>
      <c r="BC181" s="105"/>
      <c r="BD181" s="106"/>
      <c r="BE181" s="105"/>
      <c r="BF181" s="106"/>
      <c r="BG181" s="100"/>
      <c r="BH181" s="106"/>
      <c r="BI181" s="100"/>
      <c r="BJ181" s="106"/>
      <c r="BK181" s="101"/>
      <c r="BL181" s="106"/>
      <c r="BM181" s="104"/>
      <c r="BN181" s="104"/>
      <c r="BO181" s="105"/>
      <c r="BP181" s="105"/>
      <c r="BQ181" s="106"/>
      <c r="BR181" s="105"/>
      <c r="BS181" s="105"/>
      <c r="BT181" s="106"/>
      <c r="BU181" s="53"/>
      <c r="BV181" s="53"/>
      <c r="BW181" s="54"/>
      <c r="BX181" s="350"/>
      <c r="BY181" s="211"/>
      <c r="BZ181" s="211"/>
      <c r="CA181" s="508"/>
      <c r="CB181" s="165"/>
      <c r="CC181" s="165"/>
      <c r="CD181" s="203"/>
      <c r="CE181" s="504">
        <v>3</v>
      </c>
      <c r="CF181" s="105">
        <v>7</v>
      </c>
      <c r="CG181" s="105">
        <f>CE181+CF181</f>
        <v>10</v>
      </c>
      <c r="CH181" s="105">
        <v>150</v>
      </c>
      <c r="CI181" s="105"/>
      <c r="CJ181" s="105">
        <f>CH181+CI181</f>
        <v>150</v>
      </c>
      <c r="CK181" s="524"/>
      <c r="CL181" s="53">
        <f t="shared" si="339"/>
        <v>0</v>
      </c>
      <c r="CM181" s="54"/>
      <c r="CN181" s="105"/>
      <c r="CO181" s="100">
        <f t="shared" si="340"/>
        <v>0</v>
      </c>
      <c r="CP181" s="496"/>
      <c r="CQ181" s="439"/>
      <c r="CR181" s="504"/>
      <c r="CS181" s="105"/>
      <c r="CT181" s="105"/>
      <c r="CU181" s="105"/>
      <c r="CV181" s="105"/>
      <c r="CW181" s="105"/>
      <c r="CX181" s="53"/>
      <c r="CY181" s="109"/>
      <c r="CZ181" s="54"/>
      <c r="DA181" s="105"/>
      <c r="DB181" s="455"/>
      <c r="DC181" s="495"/>
      <c r="DD181" s="26"/>
      <c r="DF181" s="1133"/>
      <c r="DG181" s="674"/>
      <c r="DH181" s="1119"/>
      <c r="DI181" s="1119"/>
      <c r="DJ181" s="101"/>
      <c r="DK181" s="101"/>
      <c r="DL181" s="101"/>
      <c r="DM181" s="101"/>
      <c r="DN181" s="112"/>
      <c r="DO181" s="112"/>
      <c r="DP181" s="112"/>
      <c r="DQ181" s="112"/>
    </row>
    <row r="182" spans="1:130" ht="21.6" customHeight="1" x14ac:dyDescent="0.25">
      <c r="A182" s="4" t="s">
        <v>28</v>
      </c>
      <c r="B182" s="4">
        <v>4</v>
      </c>
      <c r="C182" s="166" t="s">
        <v>101</v>
      </c>
      <c r="D182" s="166" t="s">
        <v>437</v>
      </c>
      <c r="E182" s="1" t="s">
        <v>104</v>
      </c>
      <c r="F182" s="162">
        <v>78</v>
      </c>
      <c r="G182" s="162">
        <v>19</v>
      </c>
      <c r="H182" s="162">
        <f>F182+G182</f>
        <v>97</v>
      </c>
      <c r="I182" s="162">
        <v>34.875</v>
      </c>
      <c r="J182" s="162"/>
      <c r="K182" s="162">
        <f>I182+J182</f>
        <v>34.875</v>
      </c>
      <c r="L182" s="163"/>
      <c r="M182" s="414"/>
      <c r="N182" s="46"/>
      <c r="O182" s="164"/>
      <c r="P182" s="165"/>
      <c r="Q182" s="165"/>
      <c r="R182" s="165"/>
      <c r="S182" s="203"/>
      <c r="T182" s="89"/>
      <c r="U182" s="89"/>
      <c r="V182" s="89">
        <f>T182+U182</f>
        <v>0</v>
      </c>
      <c r="W182" s="137"/>
      <c r="X182" s="137"/>
      <c r="Y182" s="90">
        <f>W182+X182</f>
        <v>0</v>
      </c>
      <c r="Z182" s="169"/>
      <c r="AA182" s="92"/>
      <c r="AB182" s="92"/>
      <c r="AC182" s="92">
        <f>AA182+AB182</f>
        <v>0</v>
      </c>
      <c r="AD182" s="93"/>
      <c r="AE182" s="93"/>
      <c r="AF182" s="94">
        <f>AD182+AE182</f>
        <v>0</v>
      </c>
      <c r="AG182" s="475"/>
      <c r="AH182" s="99">
        <v>485</v>
      </c>
      <c r="AI182" s="99">
        <f>AH182/15</f>
        <v>32.333333333333336</v>
      </c>
      <c r="AJ182" s="138"/>
      <c r="AK182" s="138">
        <f>AJ182/15</f>
        <v>0</v>
      </c>
      <c r="AL182" s="106"/>
      <c r="AM182" s="105">
        <v>485</v>
      </c>
      <c r="AN182" s="105">
        <f>AM182/15</f>
        <v>32.333333333333336</v>
      </c>
      <c r="AO182" s="106"/>
      <c r="AP182" s="105"/>
      <c r="AQ182" s="105">
        <f>AP182/15</f>
        <v>0</v>
      </c>
      <c r="AR182" s="106"/>
      <c r="AS182" s="97">
        <f>AN182+AK182+AQ182</f>
        <v>32.333333333333336</v>
      </c>
      <c r="AT182" s="6"/>
      <c r="AU182" s="105"/>
      <c r="AV182" s="455">
        <f>AU182/15</f>
        <v>0</v>
      </c>
      <c r="AW182" s="496"/>
      <c r="AX182" s="508"/>
      <c r="AY182" s="498"/>
      <c r="AZ182" s="100">
        <f>AY182/15</f>
        <v>0</v>
      </c>
      <c r="BA182" s="106"/>
      <c r="BB182" s="105"/>
      <c r="BC182" s="105">
        <f>BB182/15</f>
        <v>0</v>
      </c>
      <c r="BD182" s="106"/>
      <c r="BE182" s="105">
        <f>AK182+AZ182</f>
        <v>0</v>
      </c>
      <c r="BF182" s="106"/>
      <c r="BG182" s="100">
        <f t="shared" ref="BG182:BG223" si="341">BC182+AQ182+AN182</f>
        <v>32.333333333333336</v>
      </c>
      <c r="BH182" s="106"/>
      <c r="BI182" s="100">
        <f t="shared" ref="BI182:BI223" si="342">AV182</f>
        <v>0</v>
      </c>
      <c r="BJ182" s="106"/>
      <c r="BK182" s="101">
        <f>BG182+BE182+BI182</f>
        <v>32.333333333333336</v>
      </c>
      <c r="BL182" s="106"/>
      <c r="BM182" s="104"/>
      <c r="BN182" s="104">
        <f>BM182/50</f>
        <v>0</v>
      </c>
      <c r="BO182" s="105"/>
      <c r="BP182" s="105">
        <f>BO182/50</f>
        <v>0</v>
      </c>
      <c r="BQ182" s="106"/>
      <c r="BR182" s="105"/>
      <c r="BS182" s="105">
        <f>BR182/50</f>
        <v>0</v>
      </c>
      <c r="BT182" s="106"/>
      <c r="BU182" s="53">
        <v>1600</v>
      </c>
      <c r="BV182" s="53">
        <f>BU182/50</f>
        <v>32</v>
      </c>
      <c r="BW182" s="54"/>
      <c r="BX182" s="350">
        <f>BP182+BS182+BV182</f>
        <v>32</v>
      </c>
      <c r="BY182" s="211"/>
      <c r="BZ182" s="211">
        <f>BK182-BX182</f>
        <v>0.3333333333333357</v>
      </c>
      <c r="CA182" s="508"/>
      <c r="CB182" s="165"/>
      <c r="CC182" s="165"/>
      <c r="CD182" s="203"/>
      <c r="CE182" s="504"/>
      <c r="CF182" s="105"/>
      <c r="CG182" s="105">
        <f>CE182+CF182</f>
        <v>0</v>
      </c>
      <c r="CH182" s="105"/>
      <c r="CI182" s="105"/>
      <c r="CJ182" s="105">
        <f>CH182+CI182</f>
        <v>0</v>
      </c>
      <c r="CK182" s="524"/>
      <c r="CL182" s="53">
        <f t="shared" si="339"/>
        <v>0</v>
      </c>
      <c r="CM182" s="54"/>
      <c r="CN182" s="105"/>
      <c r="CO182" s="100">
        <f t="shared" si="340"/>
        <v>0</v>
      </c>
      <c r="CP182" s="496"/>
      <c r="CQ182" s="439"/>
      <c r="CR182" s="504"/>
      <c r="CS182" s="105"/>
      <c r="CT182" s="105">
        <f>CR182+CS182</f>
        <v>0</v>
      </c>
      <c r="CU182" s="105"/>
      <c r="CV182" s="105"/>
      <c r="CW182" s="105">
        <f>CU182+CV182</f>
        <v>0</v>
      </c>
      <c r="CX182" s="53"/>
      <c r="CY182" s="109">
        <f>CX182/15</f>
        <v>0</v>
      </c>
      <c r="CZ182" s="54"/>
      <c r="DA182" s="105"/>
      <c r="DB182" s="455">
        <f>DA182/15</f>
        <v>0</v>
      </c>
      <c r="DC182" s="495"/>
      <c r="DD182" s="26" t="s">
        <v>592</v>
      </c>
      <c r="DF182" s="1133"/>
      <c r="DG182" s="674">
        <f t="shared" ref="DG182:DG223" si="343">AV182+CY182+DB182</f>
        <v>0</v>
      </c>
      <c r="DH182" s="1119">
        <f t="shared" ref="DH182:DH223" si="344">BC182+CL182+CO182</f>
        <v>0</v>
      </c>
      <c r="DI182" s="1119"/>
      <c r="DJ182" s="101">
        <f t="shared" ref="DJ182:DJ223" si="345">DC182+CO182+CL182+BC182+AZ182+AV182+AS182</f>
        <v>32.333333333333336</v>
      </c>
      <c r="DK182" s="101"/>
      <c r="DL182" s="101">
        <f t="shared" ref="DL182:DL224" si="346">CT182+CG182+AC182</f>
        <v>0</v>
      </c>
      <c r="DM182" s="101"/>
      <c r="DN182" s="112"/>
      <c r="DO182" s="112">
        <f>DJ182</f>
        <v>32.333333333333336</v>
      </c>
      <c r="DP182" s="112"/>
      <c r="DQ182" s="112"/>
    </row>
    <row r="183" spans="1:130" ht="21.6" customHeight="1" x14ac:dyDescent="0.25">
      <c r="A183" s="4" t="s">
        <v>28</v>
      </c>
      <c r="B183" s="4">
        <v>3</v>
      </c>
      <c r="C183" s="166" t="s">
        <v>101</v>
      </c>
      <c r="D183" s="166" t="s">
        <v>431</v>
      </c>
      <c r="E183" s="1" t="s">
        <v>599</v>
      </c>
      <c r="F183" s="162">
        <v>1620</v>
      </c>
      <c r="G183" s="162">
        <v>251</v>
      </c>
      <c r="H183" s="162">
        <f>F183+G183</f>
        <v>1871</v>
      </c>
      <c r="I183" s="162">
        <v>1645</v>
      </c>
      <c r="J183" s="162"/>
      <c r="K183" s="162">
        <f>I183+J183</f>
        <v>1645</v>
      </c>
      <c r="L183" s="163"/>
      <c r="M183" s="414"/>
      <c r="N183" s="46"/>
      <c r="O183" s="164"/>
      <c r="P183" s="165"/>
      <c r="Q183" s="165"/>
      <c r="R183" s="165"/>
      <c r="S183" s="203"/>
      <c r="T183" s="89"/>
      <c r="U183" s="89"/>
      <c r="V183" s="89">
        <f>T183+U183</f>
        <v>0</v>
      </c>
      <c r="W183" s="137"/>
      <c r="X183" s="137"/>
      <c r="Y183" s="90">
        <f>W183+X183</f>
        <v>0</v>
      </c>
      <c r="Z183" s="169"/>
      <c r="AA183" s="92"/>
      <c r="AB183" s="92"/>
      <c r="AC183" s="92">
        <f>AA183+AB183</f>
        <v>0</v>
      </c>
      <c r="AD183" s="93"/>
      <c r="AE183" s="93"/>
      <c r="AF183" s="94">
        <f>AD183+AE183</f>
        <v>0</v>
      </c>
      <c r="AG183" s="475"/>
      <c r="AH183" s="99">
        <v>795</v>
      </c>
      <c r="AI183" s="99">
        <f>AH183/15</f>
        <v>53</v>
      </c>
      <c r="AJ183" s="138"/>
      <c r="AK183" s="138">
        <f>AJ183/15</f>
        <v>0</v>
      </c>
      <c r="AL183" s="106"/>
      <c r="AM183" s="105">
        <f>795+15</f>
        <v>810</v>
      </c>
      <c r="AN183" s="105">
        <f>AM183/15</f>
        <v>54</v>
      </c>
      <c r="AO183" s="106"/>
      <c r="AP183" s="105"/>
      <c r="AQ183" s="105">
        <f>AP183/15</f>
        <v>0</v>
      </c>
      <c r="AR183" s="106"/>
      <c r="AS183" s="97">
        <f>AN183+AK183+AQ183</f>
        <v>54</v>
      </c>
      <c r="AT183" s="6"/>
      <c r="AU183" s="105"/>
      <c r="AV183" s="455">
        <f>AU183/15</f>
        <v>0</v>
      </c>
      <c r="AW183" s="496"/>
      <c r="AX183" s="508"/>
      <c r="AY183" s="498"/>
      <c r="AZ183" s="100">
        <f>AY183/15</f>
        <v>0</v>
      </c>
      <c r="BA183" s="106"/>
      <c r="BB183" s="105"/>
      <c r="BC183" s="105">
        <f>BB183/15</f>
        <v>0</v>
      </c>
      <c r="BD183" s="106"/>
      <c r="BE183" s="105">
        <f>AK183+AZ183</f>
        <v>0</v>
      </c>
      <c r="BF183" s="106"/>
      <c r="BG183" s="100">
        <f t="shared" si="341"/>
        <v>54</v>
      </c>
      <c r="BH183" s="106"/>
      <c r="BI183" s="100">
        <f t="shared" si="342"/>
        <v>0</v>
      </c>
      <c r="BJ183" s="106"/>
      <c r="BK183" s="101">
        <f>BG183+BE183+BI183</f>
        <v>54</v>
      </c>
      <c r="BL183" s="106"/>
      <c r="BM183" s="104"/>
      <c r="BN183" s="104">
        <f>BM183/50</f>
        <v>0</v>
      </c>
      <c r="BO183" s="105"/>
      <c r="BP183" s="105">
        <f>BO183/50</f>
        <v>0</v>
      </c>
      <c r="BQ183" s="106"/>
      <c r="BR183" s="105">
        <f>50+2747.5</f>
        <v>2797.5</v>
      </c>
      <c r="BS183" s="105">
        <f>BR183/50</f>
        <v>55.95</v>
      </c>
      <c r="BT183" s="106"/>
      <c r="BU183" s="53"/>
      <c r="BV183" s="53">
        <f>BU183/50</f>
        <v>0</v>
      </c>
      <c r="BW183" s="54"/>
      <c r="BX183" s="350">
        <f>BP183+BS183+BV183</f>
        <v>55.95</v>
      </c>
      <c r="BY183" s="211"/>
      <c r="BZ183" s="211">
        <f>BK183-BX183</f>
        <v>-1.9500000000000028</v>
      </c>
      <c r="CA183" s="508"/>
      <c r="CB183" s="165"/>
      <c r="CC183" s="165"/>
      <c r="CD183" s="203"/>
      <c r="CE183" s="504"/>
      <c r="CF183" s="105"/>
      <c r="CG183" s="105">
        <f>CE183+CF183</f>
        <v>0</v>
      </c>
      <c r="CH183" s="105"/>
      <c r="CI183" s="105"/>
      <c r="CJ183" s="105">
        <f>CH183+CI183</f>
        <v>0</v>
      </c>
      <c r="CK183" s="524"/>
      <c r="CL183" s="53">
        <f t="shared" si="339"/>
        <v>0</v>
      </c>
      <c r="CM183" s="54"/>
      <c r="CN183" s="105"/>
      <c r="CO183" s="100">
        <f t="shared" si="340"/>
        <v>0</v>
      </c>
      <c r="CP183" s="496"/>
      <c r="CQ183" s="439"/>
      <c r="CR183" s="504"/>
      <c r="CS183" s="105"/>
      <c r="CT183" s="105">
        <f>CR183+CS183</f>
        <v>0</v>
      </c>
      <c r="CU183" s="105"/>
      <c r="CV183" s="105"/>
      <c r="CW183" s="105">
        <f>CU183+CV183</f>
        <v>0</v>
      </c>
      <c r="CX183" s="53"/>
      <c r="CY183" s="109">
        <f>CX183/15</f>
        <v>0</v>
      </c>
      <c r="CZ183" s="54"/>
      <c r="DA183" s="105"/>
      <c r="DB183" s="455">
        <f>DA183/15</f>
        <v>0</v>
      </c>
      <c r="DC183" s="495"/>
      <c r="DD183" s="26" t="s">
        <v>592</v>
      </c>
      <c r="DF183" s="1133"/>
      <c r="DG183" s="674">
        <f t="shared" si="343"/>
        <v>0</v>
      </c>
      <c r="DH183" s="1119">
        <f t="shared" si="344"/>
        <v>0</v>
      </c>
      <c r="DI183" s="1119"/>
      <c r="DJ183" s="101">
        <f t="shared" si="345"/>
        <v>54</v>
      </c>
      <c r="DK183" s="101"/>
      <c r="DL183" s="101">
        <f t="shared" si="346"/>
        <v>0</v>
      </c>
      <c r="DM183" s="101"/>
      <c r="DN183" s="112"/>
      <c r="DO183" s="112"/>
      <c r="DP183" s="112"/>
      <c r="DQ183" s="112"/>
    </row>
    <row r="184" spans="1:130" s="151" customFormat="1" ht="21.6" customHeight="1" x14ac:dyDescent="0.25">
      <c r="A184" s="141"/>
      <c r="B184" s="141"/>
      <c r="C184" s="159"/>
      <c r="D184" s="143"/>
      <c r="E184" s="22"/>
      <c r="F184" s="144"/>
      <c r="G184" s="144"/>
      <c r="H184" s="144"/>
      <c r="I184" s="144"/>
      <c r="J184" s="144"/>
      <c r="K184" s="144"/>
      <c r="L184" s="145"/>
      <c r="M184" s="146"/>
      <c r="N184" s="147"/>
      <c r="O184" s="131"/>
      <c r="P184" s="148"/>
      <c r="Q184" s="148"/>
      <c r="R184" s="148"/>
      <c r="S184" s="148"/>
      <c r="T184" s="123"/>
      <c r="U184" s="123"/>
      <c r="V184" s="123"/>
      <c r="W184" s="149"/>
      <c r="X184" s="149"/>
      <c r="Y184" s="124"/>
      <c r="Z184" s="125"/>
      <c r="AA184" s="123"/>
      <c r="AB184" s="123"/>
      <c r="AC184" s="123"/>
      <c r="AD184" s="124"/>
      <c r="AE184" s="124"/>
      <c r="AF184" s="126"/>
      <c r="AG184" s="474"/>
      <c r="AH184" s="129"/>
      <c r="AI184" s="129"/>
      <c r="AJ184" s="138"/>
      <c r="AK184" s="138"/>
      <c r="AL184" s="106"/>
      <c r="AM184" s="105"/>
      <c r="AN184" s="105"/>
      <c r="AO184" s="106"/>
      <c r="AP184" s="105"/>
      <c r="AQ184" s="105">
        <f t="shared" si="331"/>
        <v>0</v>
      </c>
      <c r="AR184" s="106"/>
      <c r="AS184" s="97">
        <f t="shared" si="275"/>
        <v>0</v>
      </c>
      <c r="AT184" s="6"/>
      <c r="AU184" s="105"/>
      <c r="AV184" s="455">
        <f t="shared" si="227"/>
        <v>0</v>
      </c>
      <c r="AW184" s="496"/>
      <c r="AX184" s="508"/>
      <c r="AY184" s="498"/>
      <c r="AZ184" s="100"/>
      <c r="BA184" s="101"/>
      <c r="BB184" s="100"/>
      <c r="BC184" s="100"/>
      <c r="BD184" s="101"/>
      <c r="BE184" s="105"/>
      <c r="BF184" s="106"/>
      <c r="BG184" s="100">
        <f t="shared" si="341"/>
        <v>0</v>
      </c>
      <c r="BH184" s="106"/>
      <c r="BI184" s="100">
        <f t="shared" si="342"/>
        <v>0</v>
      </c>
      <c r="BJ184" s="106"/>
      <c r="BK184" s="101">
        <f t="shared" si="276"/>
        <v>0</v>
      </c>
      <c r="BL184" s="106"/>
      <c r="BM184" s="130"/>
      <c r="BN184" s="130"/>
      <c r="BO184" s="105"/>
      <c r="BP184" s="105">
        <f t="shared" si="229"/>
        <v>0</v>
      </c>
      <c r="BQ184" s="106"/>
      <c r="BR184" s="105"/>
      <c r="BS184" s="105"/>
      <c r="BT184" s="106"/>
      <c r="BU184" s="53"/>
      <c r="BV184" s="53"/>
      <c r="BW184" s="54"/>
      <c r="BX184" s="350">
        <f t="shared" si="277"/>
        <v>0</v>
      </c>
      <c r="BY184" s="194"/>
      <c r="BZ184" s="194">
        <f t="shared" si="303"/>
        <v>0</v>
      </c>
      <c r="CA184" s="536"/>
      <c r="CB184" s="148"/>
      <c r="CC184" s="148"/>
      <c r="CD184" s="148"/>
      <c r="CE184" s="504"/>
      <c r="CF184" s="105"/>
      <c r="CG184" s="105">
        <f t="shared" si="311"/>
        <v>0</v>
      </c>
      <c r="CH184" s="105"/>
      <c r="CI184" s="105"/>
      <c r="CJ184" s="105">
        <f t="shared" si="312"/>
        <v>0</v>
      </c>
      <c r="CK184" s="523"/>
      <c r="CL184" s="102"/>
      <c r="CM184" s="103"/>
      <c r="CN184" s="100"/>
      <c r="CO184" s="100">
        <f t="shared" si="230"/>
        <v>0</v>
      </c>
      <c r="CP184" s="515"/>
      <c r="CQ184" s="441"/>
      <c r="CR184" s="504"/>
      <c r="CS184" s="105"/>
      <c r="CT184" s="105">
        <f t="shared" si="289"/>
        <v>0</v>
      </c>
      <c r="CU184" s="105"/>
      <c r="CV184" s="105"/>
      <c r="CW184" s="105">
        <f t="shared" si="290"/>
        <v>0</v>
      </c>
      <c r="CX184" s="53"/>
      <c r="CY184" s="109">
        <f t="shared" si="231"/>
        <v>0</v>
      </c>
      <c r="CZ184" s="54"/>
      <c r="DA184" s="105"/>
      <c r="DB184" s="455">
        <f t="shared" si="278"/>
        <v>0</v>
      </c>
      <c r="DC184" s="495"/>
      <c r="DD184" s="38"/>
      <c r="DF184" s="1133"/>
      <c r="DG184" s="674">
        <f t="shared" si="343"/>
        <v>0</v>
      </c>
      <c r="DH184" s="1119">
        <f t="shared" si="344"/>
        <v>0</v>
      </c>
      <c r="DI184" s="1119"/>
      <c r="DJ184" s="101">
        <f t="shared" si="345"/>
        <v>0</v>
      </c>
      <c r="DK184" s="101"/>
      <c r="DL184" s="101">
        <f t="shared" si="346"/>
        <v>0</v>
      </c>
      <c r="DM184" s="101"/>
      <c r="DN184" s="112"/>
      <c r="DO184" s="112"/>
      <c r="DP184" s="112"/>
      <c r="DQ184" s="112"/>
      <c r="DS184" s="152"/>
      <c r="DT184" s="152"/>
      <c r="DU184" s="152"/>
      <c r="DV184" s="152"/>
      <c r="DW184" s="152"/>
      <c r="DX184" s="152"/>
      <c r="DY184" s="152"/>
      <c r="DZ184" s="152"/>
    </row>
    <row r="185" spans="1:130" ht="21.6" customHeight="1" x14ac:dyDescent="0.25">
      <c r="A185" s="4" t="s">
        <v>28</v>
      </c>
      <c r="B185" s="4">
        <v>1</v>
      </c>
      <c r="C185" s="166" t="s">
        <v>105</v>
      </c>
      <c r="D185" s="166" t="s">
        <v>429</v>
      </c>
      <c r="E185" s="1" t="s">
        <v>106</v>
      </c>
      <c r="F185" s="162">
        <v>44</v>
      </c>
      <c r="G185" s="162">
        <v>15</v>
      </c>
      <c r="H185" s="162">
        <f t="shared" ref="H185" si="347">F185+G185</f>
        <v>59</v>
      </c>
      <c r="I185" s="162">
        <v>60</v>
      </c>
      <c r="J185" s="162"/>
      <c r="K185" s="162">
        <f t="shared" ref="K185" si="348">I185+J185</f>
        <v>60</v>
      </c>
      <c r="L185" s="163"/>
      <c r="M185" s="414"/>
      <c r="N185" s="46"/>
      <c r="O185" s="164"/>
      <c r="P185" s="165"/>
      <c r="Q185" s="165"/>
      <c r="R185" s="165"/>
      <c r="S185" s="203"/>
      <c r="T185" s="89"/>
      <c r="U185" s="89"/>
      <c r="V185" s="89">
        <f t="shared" ref="V185:V223" si="349">T185+U185</f>
        <v>0</v>
      </c>
      <c r="W185" s="137"/>
      <c r="X185" s="137"/>
      <c r="Y185" s="90">
        <f t="shared" ref="Y185:Y223" si="350">W185+X185</f>
        <v>0</v>
      </c>
      <c r="Z185" s="169"/>
      <c r="AA185" s="92"/>
      <c r="AB185" s="92"/>
      <c r="AC185" s="92">
        <f t="shared" ref="AC185:AC223" si="351">AA185+AB185</f>
        <v>0</v>
      </c>
      <c r="AD185" s="93"/>
      <c r="AE185" s="93"/>
      <c r="AF185" s="94">
        <f t="shared" ref="AF185:AF223" si="352">AD185+AE185</f>
        <v>0</v>
      </c>
      <c r="AG185" s="475"/>
      <c r="AH185" s="99"/>
      <c r="AI185" s="99">
        <f t="shared" ref="AI185:AI223" si="353">AH185/15</f>
        <v>0</v>
      </c>
      <c r="AJ185" s="138"/>
      <c r="AK185" s="138">
        <f t="shared" ref="AK185:AK218" si="354">AJ185/15</f>
        <v>0</v>
      </c>
      <c r="AL185" s="106">
        <f>SUM(AK185:AK223)</f>
        <v>424.66666666666669</v>
      </c>
      <c r="AM185" s="105"/>
      <c r="AN185" s="105">
        <f t="shared" ref="AN185:AN219" si="355">AM185/15</f>
        <v>0</v>
      </c>
      <c r="AO185" s="106">
        <f>SUM(AN185:AN223)</f>
        <v>152.33333333333331</v>
      </c>
      <c r="AP185" s="105"/>
      <c r="AQ185" s="105">
        <f t="shared" si="331"/>
        <v>0</v>
      </c>
      <c r="AR185" s="106">
        <f>SUM(AQ185:AQ223)</f>
        <v>92.333333333333343</v>
      </c>
      <c r="AS185" s="97">
        <f t="shared" si="275"/>
        <v>0</v>
      </c>
      <c r="AT185" s="6">
        <f>SUM(AS185:AS223)</f>
        <v>669.33333333333326</v>
      </c>
      <c r="AU185" s="105"/>
      <c r="AV185" s="455">
        <f t="shared" si="227"/>
        <v>0</v>
      </c>
      <c r="AW185" s="496">
        <f>SUM(AV185:AV223)</f>
        <v>0</v>
      </c>
      <c r="AX185" s="508"/>
      <c r="AY185" s="498"/>
      <c r="AZ185" s="100">
        <f t="shared" ref="AZ185:AZ199" si="356">AY185/15</f>
        <v>0</v>
      </c>
      <c r="BA185" s="106">
        <f>SUM(AZ185:AZ223)</f>
        <v>262.66666666666674</v>
      </c>
      <c r="BB185" s="105"/>
      <c r="BC185" s="105">
        <f t="shared" ref="BC185:BC219" si="357">BB185/15</f>
        <v>0</v>
      </c>
      <c r="BD185" s="106">
        <f>SUM(BC185:BC223)</f>
        <v>13</v>
      </c>
      <c r="BE185" s="105">
        <f t="shared" ref="BE185:BE202" si="358">AK185+AZ185</f>
        <v>0</v>
      </c>
      <c r="BF185" s="106">
        <f>SUM(BE185:BE223)</f>
        <v>687.33333333333337</v>
      </c>
      <c r="BG185" s="100">
        <f t="shared" si="341"/>
        <v>0</v>
      </c>
      <c r="BH185" s="106">
        <f>SUM(BG185:BG223)</f>
        <v>257.66666666666663</v>
      </c>
      <c r="BI185" s="100">
        <f t="shared" si="342"/>
        <v>0</v>
      </c>
      <c r="BJ185" s="106">
        <f>SUM(BI185:BI223)</f>
        <v>0</v>
      </c>
      <c r="BK185" s="101">
        <f t="shared" si="276"/>
        <v>0</v>
      </c>
      <c r="BL185" s="106">
        <f>SUM(BK185:BK223)</f>
        <v>945</v>
      </c>
      <c r="BM185" s="104"/>
      <c r="BN185" s="104">
        <f t="shared" ref="BN185:BN223" si="359">BM185/50</f>
        <v>0</v>
      </c>
      <c r="BO185" s="105"/>
      <c r="BP185" s="105">
        <f t="shared" si="229"/>
        <v>0</v>
      </c>
      <c r="BQ185" s="106">
        <f>SUM(BP185:BP223)</f>
        <v>639</v>
      </c>
      <c r="BR185" s="105"/>
      <c r="BS185" s="105">
        <f t="shared" si="257"/>
        <v>0</v>
      </c>
      <c r="BT185" s="106">
        <f>SUM(BS185:BS223)</f>
        <v>209</v>
      </c>
      <c r="BU185" s="53"/>
      <c r="BV185" s="53">
        <f t="shared" ref="BV185:BV223" si="360">BU185/50</f>
        <v>0</v>
      </c>
      <c r="BW185" s="54">
        <f>SUM(BV185:BV223)</f>
        <v>92</v>
      </c>
      <c r="BX185" s="350">
        <f t="shared" si="277"/>
        <v>0</v>
      </c>
      <c r="BY185" s="211">
        <f>SUM(BX185:BX223)</f>
        <v>940</v>
      </c>
      <c r="BZ185" s="211">
        <f t="shared" si="303"/>
        <v>0</v>
      </c>
      <c r="CA185" s="508"/>
      <c r="CB185" s="165"/>
      <c r="CC185" s="165"/>
      <c r="CD185" s="203"/>
      <c r="CE185" s="504"/>
      <c r="CF185" s="105"/>
      <c r="CG185" s="105">
        <f t="shared" si="311"/>
        <v>0</v>
      </c>
      <c r="CH185" s="105"/>
      <c r="CI185" s="105"/>
      <c r="CJ185" s="105">
        <f t="shared" si="312"/>
        <v>0</v>
      </c>
      <c r="CK185" s="524"/>
      <c r="CL185" s="53">
        <f t="shared" ref="CL185" si="361">CK185/15</f>
        <v>0</v>
      </c>
      <c r="CM185" s="54">
        <f>SUM(CL185:CL223)</f>
        <v>0</v>
      </c>
      <c r="CN185" s="105"/>
      <c r="CO185" s="100">
        <f t="shared" si="230"/>
        <v>0</v>
      </c>
      <c r="CP185" s="496">
        <f>SUM(CO185:CO223)</f>
        <v>5</v>
      </c>
      <c r="CQ185" s="439"/>
      <c r="CR185" s="504"/>
      <c r="CS185" s="105"/>
      <c r="CT185" s="105">
        <f t="shared" si="289"/>
        <v>0</v>
      </c>
      <c r="CU185" s="105"/>
      <c r="CV185" s="105"/>
      <c r="CW185" s="105">
        <f t="shared" si="290"/>
        <v>0</v>
      </c>
      <c r="CX185" s="53"/>
      <c r="CY185" s="109">
        <f t="shared" si="231"/>
        <v>0</v>
      </c>
      <c r="CZ185" s="54">
        <f>SUM(CY185:CY223)</f>
        <v>0</v>
      </c>
      <c r="DA185" s="105"/>
      <c r="DB185" s="455">
        <f t="shared" si="278"/>
        <v>0</v>
      </c>
      <c r="DC185" s="495">
        <f>SUM(DB185:DB223)</f>
        <v>119</v>
      </c>
      <c r="DD185" s="26"/>
      <c r="DF185" s="1133"/>
      <c r="DG185" s="674">
        <f t="shared" si="343"/>
        <v>0</v>
      </c>
      <c r="DH185" s="1119">
        <f t="shared" si="344"/>
        <v>0</v>
      </c>
      <c r="DI185" s="1119"/>
      <c r="DJ185" s="101">
        <f t="shared" si="345"/>
        <v>119</v>
      </c>
      <c r="DK185" s="101">
        <f>SUM(DJ185:DJ223)</f>
        <v>1069</v>
      </c>
      <c r="DL185" s="1124">
        <f t="shared" si="346"/>
        <v>0</v>
      </c>
      <c r="DM185" s="1124">
        <f t="shared" ref="DM185:DM186" si="362">DL185</f>
        <v>0</v>
      </c>
      <c r="DN185" s="112">
        <f>DJ185</f>
        <v>119</v>
      </c>
      <c r="DO185" s="112"/>
      <c r="DP185" s="112"/>
      <c r="DQ185" s="112"/>
    </row>
    <row r="186" spans="1:130" ht="36" customHeight="1" x14ac:dyDescent="0.25">
      <c r="A186" s="4"/>
      <c r="B186" s="4"/>
      <c r="C186" s="166" t="s">
        <v>105</v>
      </c>
      <c r="D186" s="166" t="s">
        <v>429</v>
      </c>
      <c r="E186" s="3" t="s">
        <v>602</v>
      </c>
      <c r="F186" s="162"/>
      <c r="G186" s="162"/>
      <c r="H186" s="162"/>
      <c r="I186" s="162"/>
      <c r="J186" s="162"/>
      <c r="K186" s="162"/>
      <c r="L186" s="163"/>
      <c r="M186" s="414"/>
      <c r="N186" s="46"/>
      <c r="O186" s="164"/>
      <c r="P186" s="165"/>
      <c r="Q186" s="165"/>
      <c r="R186" s="165"/>
      <c r="S186" s="203"/>
      <c r="T186" s="89"/>
      <c r="U186" s="89"/>
      <c r="V186" s="89"/>
      <c r="W186" s="137"/>
      <c r="X186" s="137"/>
      <c r="Y186" s="90"/>
      <c r="Z186" s="169"/>
      <c r="AA186" s="92"/>
      <c r="AB186" s="92"/>
      <c r="AC186" s="92">
        <f t="shared" si="351"/>
        <v>0</v>
      </c>
      <c r="AD186" s="93"/>
      <c r="AE186" s="93"/>
      <c r="AF186" s="94">
        <f t="shared" si="352"/>
        <v>0</v>
      </c>
      <c r="AG186" s="475"/>
      <c r="AH186" s="99"/>
      <c r="AI186" s="99"/>
      <c r="AJ186" s="138"/>
      <c r="AK186" s="138">
        <f t="shared" si="354"/>
        <v>0</v>
      </c>
      <c r="AL186" s="106"/>
      <c r="AM186" s="105">
        <v>1685</v>
      </c>
      <c r="AN186" s="105">
        <f>AM186/15</f>
        <v>112.33333333333333</v>
      </c>
      <c r="AO186" s="106"/>
      <c r="AP186" s="105"/>
      <c r="AQ186" s="105">
        <f t="shared" si="331"/>
        <v>0</v>
      </c>
      <c r="AR186" s="106"/>
      <c r="AS186" s="97">
        <f t="shared" si="275"/>
        <v>112.33333333333333</v>
      </c>
      <c r="AT186" s="6"/>
      <c r="AU186" s="105"/>
      <c r="AV186" s="455">
        <f t="shared" si="227"/>
        <v>0</v>
      </c>
      <c r="AW186" s="496"/>
      <c r="AX186" s="508"/>
      <c r="AY186" s="498">
        <v>665</v>
      </c>
      <c r="AZ186" s="100">
        <f t="shared" si="356"/>
        <v>44.333333333333336</v>
      </c>
      <c r="BA186" s="106"/>
      <c r="BB186" s="105"/>
      <c r="BC186" s="105">
        <f>BB186/15</f>
        <v>0</v>
      </c>
      <c r="BD186" s="106"/>
      <c r="BE186" s="105">
        <f t="shared" si="358"/>
        <v>44.333333333333336</v>
      </c>
      <c r="BF186" s="106"/>
      <c r="BG186" s="100">
        <f t="shared" si="341"/>
        <v>112.33333333333333</v>
      </c>
      <c r="BH186" s="106"/>
      <c r="BI186" s="100">
        <f t="shared" si="342"/>
        <v>0</v>
      </c>
      <c r="BJ186" s="106"/>
      <c r="BK186" s="101">
        <f t="shared" si="276"/>
        <v>156.66666666666666</v>
      </c>
      <c r="BL186" s="106"/>
      <c r="BM186" s="104"/>
      <c r="BN186" s="104">
        <f t="shared" si="359"/>
        <v>0</v>
      </c>
      <c r="BO186" s="105"/>
      <c r="BP186" s="105">
        <f t="shared" si="229"/>
        <v>0</v>
      </c>
      <c r="BQ186" s="106"/>
      <c r="BR186" s="105">
        <f>2200+5600</f>
        <v>7800</v>
      </c>
      <c r="BS186" s="105">
        <f t="shared" si="257"/>
        <v>156</v>
      </c>
      <c r="BT186" s="106"/>
      <c r="BU186" s="53"/>
      <c r="BV186" s="53">
        <f t="shared" si="360"/>
        <v>0</v>
      </c>
      <c r="BW186" s="54"/>
      <c r="BX186" s="350">
        <f t="shared" si="277"/>
        <v>156</v>
      </c>
      <c r="BY186" s="211"/>
      <c r="BZ186" s="211">
        <f t="shared" ref="BZ186:BZ217" si="363">BK186-BX186</f>
        <v>0.66666666666665719</v>
      </c>
      <c r="CA186" s="508"/>
      <c r="CB186" s="165"/>
      <c r="CC186" s="165"/>
      <c r="CD186" s="203"/>
      <c r="CE186" s="504"/>
      <c r="CF186" s="105"/>
      <c r="CG186" s="105">
        <f t="shared" si="311"/>
        <v>0</v>
      </c>
      <c r="CH186" s="105"/>
      <c r="CI186" s="105"/>
      <c r="CJ186" s="105">
        <f t="shared" si="312"/>
        <v>0</v>
      </c>
      <c r="CK186" s="524"/>
      <c r="CL186" s="53">
        <f>CK186/15</f>
        <v>0</v>
      </c>
      <c r="CM186" s="54"/>
      <c r="CN186" s="105"/>
      <c r="CO186" s="100">
        <f t="shared" si="230"/>
        <v>0</v>
      </c>
      <c r="CP186" s="496"/>
      <c r="CQ186" s="439"/>
      <c r="CR186" s="504"/>
      <c r="CS186" s="105"/>
      <c r="CT186" s="105">
        <f t="shared" si="289"/>
        <v>0</v>
      </c>
      <c r="CU186" s="105"/>
      <c r="CV186" s="105"/>
      <c r="CW186" s="105">
        <f t="shared" si="290"/>
        <v>0</v>
      </c>
      <c r="CX186" s="53"/>
      <c r="CY186" s="109">
        <f t="shared" si="231"/>
        <v>0</v>
      </c>
      <c r="CZ186" s="54"/>
      <c r="DA186" s="105"/>
      <c r="DB186" s="455">
        <f t="shared" si="278"/>
        <v>0</v>
      </c>
      <c r="DC186" s="495"/>
      <c r="DD186" s="26"/>
      <c r="DF186" s="1133"/>
      <c r="DG186" s="674">
        <f t="shared" si="343"/>
        <v>0</v>
      </c>
      <c r="DH186" s="1119">
        <f t="shared" si="344"/>
        <v>0</v>
      </c>
      <c r="DI186" s="1119"/>
      <c r="DJ186" s="101">
        <f t="shared" si="345"/>
        <v>156.66666666666666</v>
      </c>
      <c r="DK186" s="101"/>
      <c r="DL186" s="101">
        <f t="shared" si="346"/>
        <v>0</v>
      </c>
      <c r="DM186" s="101">
        <f t="shared" si="362"/>
        <v>0</v>
      </c>
      <c r="DN186" s="112">
        <f>DJ186</f>
        <v>156.66666666666666</v>
      </c>
      <c r="DO186" s="112"/>
      <c r="DP186" s="112"/>
      <c r="DQ186" s="112"/>
    </row>
    <row r="187" spans="1:130" ht="21.6" customHeight="1" x14ac:dyDescent="0.25">
      <c r="A187" s="4"/>
      <c r="B187" s="4"/>
      <c r="C187" s="166" t="s">
        <v>105</v>
      </c>
      <c r="D187" s="166" t="s">
        <v>431</v>
      </c>
      <c r="E187" s="3" t="s">
        <v>177</v>
      </c>
      <c r="F187" s="162"/>
      <c r="G187" s="162"/>
      <c r="H187" s="162"/>
      <c r="I187" s="162"/>
      <c r="J187" s="162"/>
      <c r="K187" s="162"/>
      <c r="L187" s="163"/>
      <c r="M187" s="414"/>
      <c r="N187" s="46"/>
      <c r="O187" s="164"/>
      <c r="P187" s="165"/>
      <c r="Q187" s="165"/>
      <c r="R187" s="165"/>
      <c r="S187" s="203"/>
      <c r="T187" s="89"/>
      <c r="U187" s="89"/>
      <c r="V187" s="89"/>
      <c r="W187" s="137"/>
      <c r="X187" s="137"/>
      <c r="Y187" s="90"/>
      <c r="Z187" s="169"/>
      <c r="AA187" s="92"/>
      <c r="AB187" s="92"/>
      <c r="AC187" s="92">
        <f t="shared" si="351"/>
        <v>0</v>
      </c>
      <c r="AD187" s="93"/>
      <c r="AE187" s="93"/>
      <c r="AF187" s="94">
        <f t="shared" si="352"/>
        <v>0</v>
      </c>
      <c r="AG187" s="475"/>
      <c r="AH187" s="99"/>
      <c r="AI187" s="99"/>
      <c r="AJ187" s="138"/>
      <c r="AK187" s="138"/>
      <c r="AL187" s="106"/>
      <c r="AM187" s="105">
        <v>75</v>
      </c>
      <c r="AN187" s="105">
        <f>AM187/15</f>
        <v>5</v>
      </c>
      <c r="AO187" s="106"/>
      <c r="AP187" s="105"/>
      <c r="AQ187" s="105">
        <f t="shared" si="331"/>
        <v>0</v>
      </c>
      <c r="AR187" s="106"/>
      <c r="AS187" s="97">
        <f t="shared" si="275"/>
        <v>5</v>
      </c>
      <c r="AT187" s="6"/>
      <c r="AU187" s="105"/>
      <c r="AV187" s="455">
        <f t="shared" ref="AV187:AV223" si="364">AU187/15</f>
        <v>0</v>
      </c>
      <c r="AW187" s="496"/>
      <c r="AX187" s="508"/>
      <c r="AY187" s="498"/>
      <c r="AZ187" s="100"/>
      <c r="BA187" s="106"/>
      <c r="BB187" s="105">
        <v>150</v>
      </c>
      <c r="BC187" s="105">
        <f t="shared" si="357"/>
        <v>10</v>
      </c>
      <c r="BD187" s="106"/>
      <c r="BE187" s="105">
        <f t="shared" si="358"/>
        <v>0</v>
      </c>
      <c r="BF187" s="106"/>
      <c r="BG187" s="100">
        <f t="shared" si="341"/>
        <v>15</v>
      </c>
      <c r="BH187" s="106"/>
      <c r="BI187" s="100">
        <f t="shared" si="342"/>
        <v>0</v>
      </c>
      <c r="BJ187" s="106"/>
      <c r="BK187" s="101">
        <f t="shared" si="276"/>
        <v>15</v>
      </c>
      <c r="BL187" s="106"/>
      <c r="BM187" s="104"/>
      <c r="BN187" s="104"/>
      <c r="BO187" s="105"/>
      <c r="BP187" s="105">
        <f t="shared" si="229"/>
        <v>0</v>
      </c>
      <c r="BQ187" s="106"/>
      <c r="BR187" s="105">
        <f>500+250</f>
        <v>750</v>
      </c>
      <c r="BS187" s="105">
        <f t="shared" si="257"/>
        <v>15</v>
      </c>
      <c r="BT187" s="106"/>
      <c r="BU187" s="53"/>
      <c r="BV187" s="53"/>
      <c r="BW187" s="54"/>
      <c r="BX187" s="350">
        <f t="shared" si="277"/>
        <v>15</v>
      </c>
      <c r="BY187" s="211"/>
      <c r="BZ187" s="211">
        <f t="shared" si="363"/>
        <v>0</v>
      </c>
      <c r="CA187" s="508"/>
      <c r="CB187" s="165"/>
      <c r="CC187" s="165"/>
      <c r="CD187" s="203"/>
      <c r="CE187" s="504">
        <v>2</v>
      </c>
      <c r="CF187" s="105">
        <v>3</v>
      </c>
      <c r="CG187" s="105">
        <f t="shared" si="311"/>
        <v>5</v>
      </c>
      <c r="CH187" s="105">
        <v>5</v>
      </c>
      <c r="CI187" s="105"/>
      <c r="CJ187" s="105">
        <f t="shared" si="312"/>
        <v>5</v>
      </c>
      <c r="CK187" s="524"/>
      <c r="CL187" s="53">
        <f t="shared" ref="CL187:CL219" si="365">CK187/15</f>
        <v>0</v>
      </c>
      <c r="CM187" s="54"/>
      <c r="CN187" s="105"/>
      <c r="CO187" s="100">
        <f t="shared" si="230"/>
        <v>0</v>
      </c>
      <c r="CP187" s="496"/>
      <c r="CQ187" s="439"/>
      <c r="CR187" s="504">
        <v>2</v>
      </c>
      <c r="CS187" s="105">
        <v>3</v>
      </c>
      <c r="CT187" s="105">
        <f t="shared" si="289"/>
        <v>5</v>
      </c>
      <c r="CU187" s="105">
        <v>5</v>
      </c>
      <c r="CV187" s="105"/>
      <c r="CW187" s="105">
        <f t="shared" si="290"/>
        <v>5</v>
      </c>
      <c r="CX187" s="53"/>
      <c r="CY187" s="109">
        <f t="shared" si="231"/>
        <v>0</v>
      </c>
      <c r="CZ187" s="54"/>
      <c r="DA187" s="105"/>
      <c r="DB187" s="455">
        <f t="shared" si="278"/>
        <v>0</v>
      </c>
      <c r="DC187" s="495"/>
      <c r="DD187" s="26"/>
      <c r="DF187" s="1133"/>
      <c r="DG187" s="674">
        <f t="shared" si="343"/>
        <v>0</v>
      </c>
      <c r="DH187" s="1119">
        <f t="shared" si="344"/>
        <v>10</v>
      </c>
      <c r="DI187" s="1119"/>
      <c r="DJ187" s="101">
        <f t="shared" si="345"/>
        <v>15</v>
      </c>
      <c r="DK187" s="101"/>
      <c r="DL187" s="101">
        <f t="shared" si="346"/>
        <v>10</v>
      </c>
      <c r="DM187" s="101"/>
      <c r="DN187" s="112"/>
      <c r="DO187" s="112"/>
      <c r="DP187" s="112"/>
      <c r="DQ187" s="112"/>
    </row>
    <row r="188" spans="1:130" ht="21.6" customHeight="1" x14ac:dyDescent="0.25">
      <c r="A188" s="4"/>
      <c r="B188" s="4"/>
      <c r="C188" s="166" t="s">
        <v>105</v>
      </c>
      <c r="D188" s="166" t="s">
        <v>429</v>
      </c>
      <c r="E188" s="3" t="s">
        <v>547</v>
      </c>
      <c r="F188" s="162"/>
      <c r="G188" s="162"/>
      <c r="H188" s="162"/>
      <c r="I188" s="162"/>
      <c r="J188" s="162"/>
      <c r="K188" s="162"/>
      <c r="L188" s="163"/>
      <c r="M188" s="414"/>
      <c r="N188" s="46"/>
      <c r="O188" s="164"/>
      <c r="P188" s="165"/>
      <c r="Q188" s="165"/>
      <c r="R188" s="165"/>
      <c r="S188" s="203"/>
      <c r="T188" s="89"/>
      <c r="U188" s="89"/>
      <c r="V188" s="89"/>
      <c r="W188" s="137"/>
      <c r="X188" s="137"/>
      <c r="Y188" s="90"/>
      <c r="Z188" s="169"/>
      <c r="AA188" s="92"/>
      <c r="AB188" s="92"/>
      <c r="AC188" s="92">
        <f t="shared" si="351"/>
        <v>0</v>
      </c>
      <c r="AD188" s="93"/>
      <c r="AE188" s="93"/>
      <c r="AF188" s="94">
        <f t="shared" si="352"/>
        <v>0</v>
      </c>
      <c r="AG188" s="475"/>
      <c r="AH188" s="99"/>
      <c r="AI188" s="99"/>
      <c r="AJ188" s="138">
        <v>1365</v>
      </c>
      <c r="AK188" s="138">
        <f t="shared" si="354"/>
        <v>91</v>
      </c>
      <c r="AL188" s="106"/>
      <c r="AM188" s="105"/>
      <c r="AN188" s="105">
        <f t="shared" si="355"/>
        <v>0</v>
      </c>
      <c r="AO188" s="106"/>
      <c r="AP188" s="105"/>
      <c r="AQ188" s="105">
        <f t="shared" si="331"/>
        <v>0</v>
      </c>
      <c r="AR188" s="106"/>
      <c r="AS188" s="97">
        <f t="shared" si="275"/>
        <v>91</v>
      </c>
      <c r="AT188" s="6"/>
      <c r="AU188" s="105"/>
      <c r="AV188" s="455">
        <f t="shared" si="364"/>
        <v>0</v>
      </c>
      <c r="AW188" s="496"/>
      <c r="AX188" s="508"/>
      <c r="AY188" s="498">
        <v>240</v>
      </c>
      <c r="AZ188" s="100">
        <f t="shared" si="356"/>
        <v>16</v>
      </c>
      <c r="BA188" s="106"/>
      <c r="BB188" s="105"/>
      <c r="BC188" s="105">
        <f t="shared" si="357"/>
        <v>0</v>
      </c>
      <c r="BD188" s="106"/>
      <c r="BE188" s="105">
        <f t="shared" si="358"/>
        <v>107</v>
      </c>
      <c r="BF188" s="106"/>
      <c r="BG188" s="100">
        <f t="shared" si="341"/>
        <v>0</v>
      </c>
      <c r="BH188" s="106"/>
      <c r="BI188" s="100">
        <f t="shared" si="342"/>
        <v>0</v>
      </c>
      <c r="BJ188" s="106"/>
      <c r="BK188" s="101">
        <f t="shared" si="276"/>
        <v>107</v>
      </c>
      <c r="BL188" s="106"/>
      <c r="BM188" s="104"/>
      <c r="BN188" s="104">
        <f t="shared" si="359"/>
        <v>0</v>
      </c>
      <c r="BO188" s="105">
        <v>5350</v>
      </c>
      <c r="BP188" s="105">
        <f t="shared" ref="BP188:BP223" si="366">BO188/50</f>
        <v>107</v>
      </c>
      <c r="BQ188" s="106"/>
      <c r="BR188" s="105"/>
      <c r="BS188" s="105">
        <f t="shared" si="257"/>
        <v>0</v>
      </c>
      <c r="BT188" s="106"/>
      <c r="BU188" s="53"/>
      <c r="BV188" s="53">
        <f t="shared" si="360"/>
        <v>0</v>
      </c>
      <c r="BW188" s="54"/>
      <c r="BX188" s="350">
        <f t="shared" si="277"/>
        <v>107</v>
      </c>
      <c r="BY188" s="211"/>
      <c r="BZ188" s="211">
        <f t="shared" si="363"/>
        <v>0</v>
      </c>
      <c r="CA188" s="508"/>
      <c r="CB188" s="165"/>
      <c r="CC188" s="165"/>
      <c r="CD188" s="203"/>
      <c r="CE188" s="504"/>
      <c r="CF188" s="105"/>
      <c r="CG188" s="105">
        <f t="shared" si="311"/>
        <v>0</v>
      </c>
      <c r="CH188" s="105"/>
      <c r="CI188" s="105"/>
      <c r="CJ188" s="105">
        <f t="shared" si="312"/>
        <v>0</v>
      </c>
      <c r="CK188" s="524"/>
      <c r="CL188" s="53">
        <f t="shared" si="365"/>
        <v>0</v>
      </c>
      <c r="CM188" s="54"/>
      <c r="CN188" s="105"/>
      <c r="CO188" s="100">
        <f t="shared" ref="CO188:CO222" si="367">CN188/15</f>
        <v>0</v>
      </c>
      <c r="CP188" s="496"/>
      <c r="CQ188" s="439"/>
      <c r="CR188" s="504"/>
      <c r="CS188" s="105"/>
      <c r="CT188" s="105">
        <f t="shared" si="289"/>
        <v>0</v>
      </c>
      <c r="CU188" s="105"/>
      <c r="CV188" s="105"/>
      <c r="CW188" s="105">
        <f t="shared" si="290"/>
        <v>0</v>
      </c>
      <c r="CX188" s="53"/>
      <c r="CY188" s="109">
        <f t="shared" ref="CY188:CY223" si="368">CX188/15</f>
        <v>0</v>
      </c>
      <c r="CZ188" s="54"/>
      <c r="DA188" s="105"/>
      <c r="DB188" s="455">
        <f t="shared" si="278"/>
        <v>0</v>
      </c>
      <c r="DC188" s="495"/>
      <c r="DD188" s="26"/>
      <c r="DF188" s="1133"/>
      <c r="DG188" s="674">
        <f t="shared" si="343"/>
        <v>0</v>
      </c>
      <c r="DH188" s="1119">
        <f t="shared" si="344"/>
        <v>0</v>
      </c>
      <c r="DI188" s="1119"/>
      <c r="DJ188" s="101">
        <f t="shared" si="345"/>
        <v>107</v>
      </c>
      <c r="DK188" s="101"/>
      <c r="DL188" s="101">
        <f t="shared" si="346"/>
        <v>0</v>
      </c>
      <c r="DM188" s="101">
        <f t="shared" ref="DM188:DM189" si="369">DL188</f>
        <v>0</v>
      </c>
      <c r="DN188" s="112">
        <f>DJ188</f>
        <v>107</v>
      </c>
      <c r="DO188" s="112"/>
      <c r="DP188" s="112"/>
      <c r="DQ188" s="112"/>
    </row>
    <row r="189" spans="1:130" ht="21.6" customHeight="1" x14ac:dyDescent="0.25">
      <c r="A189" s="4"/>
      <c r="B189" s="4"/>
      <c r="C189" s="166" t="s">
        <v>105</v>
      </c>
      <c r="D189" s="166" t="s">
        <v>429</v>
      </c>
      <c r="E189" s="3" t="s">
        <v>763</v>
      </c>
      <c r="F189" s="162"/>
      <c r="G189" s="162"/>
      <c r="H189" s="162"/>
      <c r="I189" s="162"/>
      <c r="J189" s="162"/>
      <c r="K189" s="162"/>
      <c r="L189" s="163"/>
      <c r="M189" s="414"/>
      <c r="N189" s="46"/>
      <c r="O189" s="164"/>
      <c r="P189" s="165"/>
      <c r="Q189" s="165"/>
      <c r="R189" s="165"/>
      <c r="S189" s="203"/>
      <c r="T189" s="89"/>
      <c r="U189" s="89"/>
      <c r="V189" s="89"/>
      <c r="W189" s="137"/>
      <c r="X189" s="137"/>
      <c r="Y189" s="90"/>
      <c r="Z189" s="169"/>
      <c r="AA189" s="92"/>
      <c r="AB189" s="92"/>
      <c r="AC189" s="92">
        <f t="shared" si="351"/>
        <v>0</v>
      </c>
      <c r="AD189" s="93"/>
      <c r="AE189" s="93"/>
      <c r="AF189" s="94">
        <f t="shared" si="352"/>
        <v>0</v>
      </c>
      <c r="AG189" s="475"/>
      <c r="AH189" s="99"/>
      <c r="AI189" s="99"/>
      <c r="AJ189" s="138">
        <v>715</v>
      </c>
      <c r="AK189" s="138">
        <f t="shared" si="354"/>
        <v>47.666666666666664</v>
      </c>
      <c r="AL189" s="106"/>
      <c r="AM189" s="105"/>
      <c r="AN189" s="105">
        <f t="shared" si="355"/>
        <v>0</v>
      </c>
      <c r="AO189" s="106"/>
      <c r="AP189" s="105"/>
      <c r="AQ189" s="105">
        <f t="shared" si="331"/>
        <v>0</v>
      </c>
      <c r="AR189" s="106"/>
      <c r="AS189" s="97">
        <f t="shared" si="275"/>
        <v>47.666666666666664</v>
      </c>
      <c r="AT189" s="6"/>
      <c r="AU189" s="105"/>
      <c r="AV189" s="455">
        <f t="shared" si="364"/>
        <v>0</v>
      </c>
      <c r="AW189" s="496"/>
      <c r="AX189" s="508"/>
      <c r="AY189" s="498"/>
      <c r="AZ189" s="100">
        <f t="shared" si="356"/>
        <v>0</v>
      </c>
      <c r="BA189" s="106"/>
      <c r="BB189" s="105"/>
      <c r="BC189" s="105">
        <f t="shared" si="357"/>
        <v>0</v>
      </c>
      <c r="BD189" s="106"/>
      <c r="BE189" s="105">
        <f t="shared" si="358"/>
        <v>47.666666666666664</v>
      </c>
      <c r="BF189" s="106"/>
      <c r="BG189" s="100">
        <f t="shared" si="341"/>
        <v>0</v>
      </c>
      <c r="BH189" s="106"/>
      <c r="BI189" s="100">
        <f t="shared" si="342"/>
        <v>0</v>
      </c>
      <c r="BJ189" s="106"/>
      <c r="BK189" s="101">
        <f t="shared" si="276"/>
        <v>47.666666666666664</v>
      </c>
      <c r="BL189" s="106"/>
      <c r="BM189" s="104"/>
      <c r="BN189" s="104">
        <f t="shared" si="359"/>
        <v>0</v>
      </c>
      <c r="BO189" s="105">
        <v>2350</v>
      </c>
      <c r="BP189" s="105">
        <f t="shared" si="366"/>
        <v>47</v>
      </c>
      <c r="BQ189" s="106"/>
      <c r="BR189" s="105"/>
      <c r="BS189" s="105">
        <f t="shared" si="257"/>
        <v>0</v>
      </c>
      <c r="BT189" s="106"/>
      <c r="BU189" s="53"/>
      <c r="BV189" s="53">
        <f t="shared" si="360"/>
        <v>0</v>
      </c>
      <c r="BW189" s="54"/>
      <c r="BX189" s="350">
        <f t="shared" si="277"/>
        <v>47</v>
      </c>
      <c r="BY189" s="211"/>
      <c r="BZ189" s="211">
        <f t="shared" si="363"/>
        <v>0.6666666666666643</v>
      </c>
      <c r="CA189" s="508"/>
      <c r="CB189" s="165"/>
      <c r="CC189" s="165"/>
      <c r="CD189" s="203"/>
      <c r="CE189" s="504"/>
      <c r="CF189" s="105"/>
      <c r="CG189" s="105">
        <f t="shared" si="311"/>
        <v>0</v>
      </c>
      <c r="CH189" s="105"/>
      <c r="CI189" s="105"/>
      <c r="CJ189" s="105">
        <f t="shared" si="312"/>
        <v>0</v>
      </c>
      <c r="CK189" s="524"/>
      <c r="CL189" s="53">
        <f t="shared" si="365"/>
        <v>0</v>
      </c>
      <c r="CM189" s="54"/>
      <c r="CN189" s="105"/>
      <c r="CO189" s="100">
        <f t="shared" si="367"/>
        <v>0</v>
      </c>
      <c r="CP189" s="496"/>
      <c r="CQ189" s="439"/>
      <c r="CR189" s="504"/>
      <c r="CS189" s="105"/>
      <c r="CT189" s="105">
        <f t="shared" si="289"/>
        <v>0</v>
      </c>
      <c r="CU189" s="105"/>
      <c r="CV189" s="105"/>
      <c r="CW189" s="105">
        <f t="shared" si="290"/>
        <v>0</v>
      </c>
      <c r="CX189" s="53"/>
      <c r="CY189" s="109">
        <f t="shared" si="368"/>
        <v>0</v>
      </c>
      <c r="CZ189" s="54"/>
      <c r="DA189" s="105"/>
      <c r="DB189" s="455">
        <f t="shared" si="278"/>
        <v>0</v>
      </c>
      <c r="DC189" s="495"/>
      <c r="DD189" s="26"/>
      <c r="DF189" s="1133"/>
      <c r="DG189" s="674">
        <f t="shared" si="343"/>
        <v>0</v>
      </c>
      <c r="DH189" s="1119">
        <f t="shared" si="344"/>
        <v>0</v>
      </c>
      <c r="DI189" s="1119"/>
      <c r="DJ189" s="101">
        <f t="shared" si="345"/>
        <v>47.666666666666664</v>
      </c>
      <c r="DK189" s="101"/>
      <c r="DL189" s="101">
        <f t="shared" si="346"/>
        <v>0</v>
      </c>
      <c r="DM189" s="101">
        <f t="shared" si="369"/>
        <v>0</v>
      </c>
      <c r="DN189" s="112">
        <f>DJ189</f>
        <v>47.666666666666664</v>
      </c>
      <c r="DO189" s="112"/>
      <c r="DP189" s="112"/>
      <c r="DQ189" s="112"/>
    </row>
    <row r="190" spans="1:130" ht="48.75" customHeight="1" x14ac:dyDescent="0.25">
      <c r="A190" s="4" t="s">
        <v>28</v>
      </c>
      <c r="B190" s="4">
        <v>4</v>
      </c>
      <c r="C190" s="174" t="s">
        <v>105</v>
      </c>
      <c r="D190" s="174"/>
      <c r="E190" s="1" t="s">
        <v>107</v>
      </c>
      <c r="F190" s="162">
        <v>41</v>
      </c>
      <c r="G190" s="162">
        <v>8</v>
      </c>
      <c r="H190" s="162">
        <f t="shared" ref="H190:H199" si="370">F190+G190</f>
        <v>49</v>
      </c>
      <c r="I190" s="162">
        <v>14.5</v>
      </c>
      <c r="J190" s="162">
        <v>100.75</v>
      </c>
      <c r="K190" s="162">
        <f t="shared" ref="K190:K199" si="371">I190+J190</f>
        <v>115.25</v>
      </c>
      <c r="L190" s="163"/>
      <c r="M190" s="414"/>
      <c r="N190" s="46"/>
      <c r="O190" s="164"/>
      <c r="P190" s="165"/>
      <c r="Q190" s="165"/>
      <c r="R190" s="165"/>
      <c r="S190" s="203"/>
      <c r="T190" s="89"/>
      <c r="U190" s="89"/>
      <c r="V190" s="89">
        <f t="shared" ref="V190:V202" si="372">T190+U190</f>
        <v>0</v>
      </c>
      <c r="W190" s="137"/>
      <c r="X190" s="137"/>
      <c r="Y190" s="90">
        <f t="shared" ref="Y190:Y204" si="373">W190+X190</f>
        <v>0</v>
      </c>
      <c r="Z190" s="169"/>
      <c r="AA190" s="92"/>
      <c r="AB190" s="92"/>
      <c r="AC190" s="92">
        <f t="shared" si="351"/>
        <v>0</v>
      </c>
      <c r="AD190" s="93"/>
      <c r="AE190" s="93"/>
      <c r="AF190" s="94">
        <f t="shared" si="352"/>
        <v>0</v>
      </c>
      <c r="AG190" s="475"/>
      <c r="AH190" s="99"/>
      <c r="AI190" s="99">
        <f>AH190/15</f>
        <v>0</v>
      </c>
      <c r="AJ190" s="138"/>
      <c r="AK190" s="138">
        <f t="shared" si="354"/>
        <v>0</v>
      </c>
      <c r="AL190" s="106"/>
      <c r="AM190" s="105"/>
      <c r="AN190" s="105">
        <f t="shared" si="355"/>
        <v>0</v>
      </c>
      <c r="AO190" s="106"/>
      <c r="AP190" s="105"/>
      <c r="AQ190" s="105">
        <f t="shared" si="331"/>
        <v>0</v>
      </c>
      <c r="AR190" s="106"/>
      <c r="AS190" s="97">
        <f t="shared" si="275"/>
        <v>0</v>
      </c>
      <c r="AT190" s="6"/>
      <c r="AU190" s="105"/>
      <c r="AV190" s="455">
        <f t="shared" si="364"/>
        <v>0</v>
      </c>
      <c r="AW190" s="496"/>
      <c r="AX190" s="508"/>
      <c r="AY190" s="498"/>
      <c r="AZ190" s="100">
        <f t="shared" si="356"/>
        <v>0</v>
      </c>
      <c r="BA190" s="106"/>
      <c r="BB190" s="105"/>
      <c r="BC190" s="105">
        <f t="shared" si="357"/>
        <v>0</v>
      </c>
      <c r="BD190" s="106"/>
      <c r="BE190" s="105">
        <f t="shared" si="358"/>
        <v>0</v>
      </c>
      <c r="BF190" s="106"/>
      <c r="BG190" s="100">
        <f t="shared" si="341"/>
        <v>0</v>
      </c>
      <c r="BH190" s="106"/>
      <c r="BI190" s="100">
        <f t="shared" si="342"/>
        <v>0</v>
      </c>
      <c r="BJ190" s="106"/>
      <c r="BK190" s="101">
        <f t="shared" si="276"/>
        <v>0</v>
      </c>
      <c r="BL190" s="106"/>
      <c r="BM190" s="104"/>
      <c r="BN190" s="104">
        <f t="shared" si="359"/>
        <v>0</v>
      </c>
      <c r="BO190" s="105"/>
      <c r="BP190" s="105">
        <f t="shared" si="366"/>
        <v>0</v>
      </c>
      <c r="BQ190" s="106"/>
      <c r="BR190" s="105"/>
      <c r="BS190" s="105">
        <f t="shared" si="257"/>
        <v>0</v>
      </c>
      <c r="BT190" s="106"/>
      <c r="BU190" s="53"/>
      <c r="BV190" s="53">
        <f t="shared" si="360"/>
        <v>0</v>
      </c>
      <c r="BW190" s="54"/>
      <c r="BX190" s="350">
        <f t="shared" si="277"/>
        <v>0</v>
      </c>
      <c r="BY190" s="211"/>
      <c r="BZ190" s="211">
        <f t="shared" si="363"/>
        <v>0</v>
      </c>
      <c r="CA190" s="508"/>
      <c r="CB190" s="165"/>
      <c r="CC190" s="165"/>
      <c r="CD190" s="203"/>
      <c r="CE190" s="504"/>
      <c r="CF190" s="105"/>
      <c r="CG190" s="105">
        <f t="shared" si="311"/>
        <v>0</v>
      </c>
      <c r="CH190" s="105"/>
      <c r="CI190" s="105"/>
      <c r="CJ190" s="105">
        <f t="shared" si="312"/>
        <v>0</v>
      </c>
      <c r="CK190" s="524"/>
      <c r="CL190" s="53">
        <f t="shared" si="365"/>
        <v>0</v>
      </c>
      <c r="CM190" s="54"/>
      <c r="CN190" s="105"/>
      <c r="CO190" s="100">
        <f t="shared" si="367"/>
        <v>0</v>
      </c>
      <c r="CP190" s="496"/>
      <c r="CQ190" s="439"/>
      <c r="CR190" s="504"/>
      <c r="CS190" s="105"/>
      <c r="CT190" s="105">
        <f t="shared" si="289"/>
        <v>0</v>
      </c>
      <c r="CU190" s="105"/>
      <c r="CV190" s="105"/>
      <c r="CW190" s="105">
        <f t="shared" si="290"/>
        <v>0</v>
      </c>
      <c r="CX190" s="53"/>
      <c r="CY190" s="109">
        <f t="shared" si="368"/>
        <v>0</v>
      </c>
      <c r="CZ190" s="54"/>
      <c r="DA190" s="105"/>
      <c r="DB190" s="455">
        <f t="shared" si="278"/>
        <v>0</v>
      </c>
      <c r="DC190" s="495"/>
      <c r="DD190" s="26"/>
      <c r="DF190" s="1133"/>
      <c r="DG190" s="674">
        <f t="shared" si="343"/>
        <v>0</v>
      </c>
      <c r="DH190" s="1119">
        <f t="shared" si="344"/>
        <v>0</v>
      </c>
      <c r="DI190" s="1119"/>
      <c r="DJ190" s="101">
        <f t="shared" si="345"/>
        <v>0</v>
      </c>
      <c r="DK190" s="101"/>
      <c r="DL190" s="101">
        <f t="shared" si="346"/>
        <v>0</v>
      </c>
      <c r="DM190" s="101"/>
      <c r="DN190" s="112"/>
      <c r="DO190" s="112"/>
      <c r="DP190" s="112"/>
      <c r="DQ190" s="112"/>
    </row>
    <row r="191" spans="1:130" ht="38.25" customHeight="1" x14ac:dyDescent="0.25">
      <c r="A191" s="4" t="s">
        <v>28</v>
      </c>
      <c r="B191" s="4">
        <v>5</v>
      </c>
      <c r="C191" s="166" t="s">
        <v>105</v>
      </c>
      <c r="D191" s="166"/>
      <c r="E191" s="12" t="s">
        <v>108</v>
      </c>
      <c r="F191" s="162">
        <v>36</v>
      </c>
      <c r="G191" s="162">
        <v>14</v>
      </c>
      <c r="H191" s="162">
        <f t="shared" si="370"/>
        <v>50</v>
      </c>
      <c r="I191" s="162">
        <v>33.4</v>
      </c>
      <c r="J191" s="162">
        <v>7.5</v>
      </c>
      <c r="K191" s="162">
        <f t="shared" si="371"/>
        <v>40.9</v>
      </c>
      <c r="L191" s="163"/>
      <c r="M191" s="414"/>
      <c r="N191" s="46"/>
      <c r="O191" s="164"/>
      <c r="P191" s="165"/>
      <c r="Q191" s="165"/>
      <c r="R191" s="165"/>
      <c r="S191" s="203"/>
      <c r="T191" s="89"/>
      <c r="U191" s="89"/>
      <c r="V191" s="89">
        <f t="shared" si="372"/>
        <v>0</v>
      </c>
      <c r="W191" s="137"/>
      <c r="X191" s="137"/>
      <c r="Y191" s="90">
        <f t="shared" si="373"/>
        <v>0</v>
      </c>
      <c r="Z191" s="169"/>
      <c r="AA191" s="92"/>
      <c r="AB191" s="92"/>
      <c r="AC191" s="92">
        <f t="shared" si="351"/>
        <v>0</v>
      </c>
      <c r="AD191" s="93"/>
      <c r="AE191" s="93"/>
      <c r="AF191" s="94">
        <f t="shared" si="352"/>
        <v>0</v>
      </c>
      <c r="AG191" s="475"/>
      <c r="AH191" s="99"/>
      <c r="AI191" s="99">
        <f>AH191/15</f>
        <v>0</v>
      </c>
      <c r="AJ191" s="138"/>
      <c r="AK191" s="138">
        <f t="shared" si="354"/>
        <v>0</v>
      </c>
      <c r="AL191" s="106"/>
      <c r="AM191" s="105"/>
      <c r="AN191" s="105">
        <f t="shared" si="355"/>
        <v>0</v>
      </c>
      <c r="AO191" s="106"/>
      <c r="AP191" s="105"/>
      <c r="AQ191" s="105">
        <f t="shared" si="331"/>
        <v>0</v>
      </c>
      <c r="AR191" s="106"/>
      <c r="AS191" s="97">
        <f t="shared" si="275"/>
        <v>0</v>
      </c>
      <c r="AT191" s="6"/>
      <c r="AU191" s="105"/>
      <c r="AV191" s="455">
        <f t="shared" si="364"/>
        <v>0</v>
      </c>
      <c r="AW191" s="496"/>
      <c r="AX191" s="508"/>
      <c r="AY191" s="498"/>
      <c r="AZ191" s="100">
        <f t="shared" si="356"/>
        <v>0</v>
      </c>
      <c r="BA191" s="106"/>
      <c r="BB191" s="105"/>
      <c r="BC191" s="105">
        <f t="shared" si="357"/>
        <v>0</v>
      </c>
      <c r="BD191" s="106"/>
      <c r="BE191" s="105">
        <f t="shared" si="358"/>
        <v>0</v>
      </c>
      <c r="BF191" s="106"/>
      <c r="BG191" s="100">
        <f t="shared" si="341"/>
        <v>0</v>
      </c>
      <c r="BH191" s="106"/>
      <c r="BI191" s="100">
        <f t="shared" si="342"/>
        <v>0</v>
      </c>
      <c r="BJ191" s="106"/>
      <c r="BK191" s="101">
        <f t="shared" si="276"/>
        <v>0</v>
      </c>
      <c r="BL191" s="106"/>
      <c r="BM191" s="104"/>
      <c r="BN191" s="104">
        <f t="shared" si="359"/>
        <v>0</v>
      </c>
      <c r="BO191" s="105"/>
      <c r="BP191" s="105">
        <f t="shared" si="366"/>
        <v>0</v>
      </c>
      <c r="BQ191" s="106"/>
      <c r="BR191" s="105"/>
      <c r="BS191" s="105">
        <f t="shared" si="257"/>
        <v>0</v>
      </c>
      <c r="BT191" s="106"/>
      <c r="BU191" s="53"/>
      <c r="BV191" s="53">
        <f t="shared" si="360"/>
        <v>0</v>
      </c>
      <c r="BW191" s="54"/>
      <c r="BX191" s="350">
        <f t="shared" si="277"/>
        <v>0</v>
      </c>
      <c r="BY191" s="211"/>
      <c r="BZ191" s="211">
        <f t="shared" si="363"/>
        <v>0</v>
      </c>
      <c r="CA191" s="508"/>
      <c r="CB191" s="165"/>
      <c r="CC191" s="165"/>
      <c r="CD191" s="203"/>
      <c r="CE191" s="504"/>
      <c r="CF191" s="105"/>
      <c r="CG191" s="105">
        <f t="shared" si="311"/>
        <v>0</v>
      </c>
      <c r="CH191" s="105"/>
      <c r="CI191" s="105"/>
      <c r="CJ191" s="105">
        <f t="shared" si="312"/>
        <v>0</v>
      </c>
      <c r="CK191" s="524"/>
      <c r="CL191" s="53">
        <f t="shared" si="365"/>
        <v>0</v>
      </c>
      <c r="CM191" s="54"/>
      <c r="CN191" s="105"/>
      <c r="CO191" s="100">
        <f t="shared" si="367"/>
        <v>0</v>
      </c>
      <c r="CP191" s="496"/>
      <c r="CQ191" s="439"/>
      <c r="CR191" s="504"/>
      <c r="CS191" s="105"/>
      <c r="CT191" s="105">
        <f t="shared" si="289"/>
        <v>0</v>
      </c>
      <c r="CU191" s="105"/>
      <c r="CV191" s="105"/>
      <c r="CW191" s="105">
        <f t="shared" si="290"/>
        <v>0</v>
      </c>
      <c r="CX191" s="53"/>
      <c r="CY191" s="109">
        <f t="shared" si="368"/>
        <v>0</v>
      </c>
      <c r="CZ191" s="54"/>
      <c r="DA191" s="105"/>
      <c r="DB191" s="455">
        <f t="shared" si="278"/>
        <v>0</v>
      </c>
      <c r="DC191" s="495"/>
      <c r="DD191" s="26"/>
      <c r="DF191" s="1133"/>
      <c r="DG191" s="674">
        <f t="shared" si="343"/>
        <v>0</v>
      </c>
      <c r="DH191" s="1119">
        <f t="shared" si="344"/>
        <v>0</v>
      </c>
      <c r="DI191" s="1119"/>
      <c r="DJ191" s="101">
        <f t="shared" si="345"/>
        <v>0</v>
      </c>
      <c r="DK191" s="101"/>
      <c r="DL191" s="101">
        <f t="shared" si="346"/>
        <v>0</v>
      </c>
      <c r="DM191" s="101"/>
      <c r="DN191" s="112"/>
      <c r="DO191" s="112"/>
      <c r="DP191" s="112"/>
      <c r="DQ191" s="112"/>
    </row>
    <row r="192" spans="1:130" s="139" customFormat="1" ht="21.6" customHeight="1" x14ac:dyDescent="0.25">
      <c r="A192" s="4" t="s">
        <v>28</v>
      </c>
      <c r="B192" s="4">
        <v>6</v>
      </c>
      <c r="C192" s="153" t="s">
        <v>105</v>
      </c>
      <c r="D192" s="153" t="s">
        <v>431</v>
      </c>
      <c r="E192" s="13" t="s">
        <v>109</v>
      </c>
      <c r="F192" s="135">
        <v>58</v>
      </c>
      <c r="G192" s="135">
        <v>34</v>
      </c>
      <c r="H192" s="135">
        <f t="shared" si="370"/>
        <v>92</v>
      </c>
      <c r="I192" s="135">
        <v>90.1</v>
      </c>
      <c r="J192" s="135">
        <v>5.25</v>
      </c>
      <c r="K192" s="135">
        <f t="shared" si="371"/>
        <v>95.35</v>
      </c>
      <c r="L192" s="136"/>
      <c r="M192" s="5"/>
      <c r="N192" s="41"/>
      <c r="O192" s="6"/>
      <c r="P192" s="7"/>
      <c r="Q192" s="7"/>
      <c r="R192" s="7"/>
      <c r="S192" s="158"/>
      <c r="T192" s="89"/>
      <c r="U192" s="89"/>
      <c r="V192" s="89">
        <f t="shared" si="372"/>
        <v>0</v>
      </c>
      <c r="W192" s="137"/>
      <c r="X192" s="137"/>
      <c r="Y192" s="90">
        <f t="shared" si="373"/>
        <v>0</v>
      </c>
      <c r="Z192" s="91"/>
      <c r="AA192" s="92"/>
      <c r="AB192" s="92"/>
      <c r="AC192" s="92">
        <f t="shared" si="351"/>
        <v>0</v>
      </c>
      <c r="AD192" s="93"/>
      <c r="AE192" s="93"/>
      <c r="AF192" s="94">
        <f t="shared" si="352"/>
        <v>0</v>
      </c>
      <c r="AG192" s="473"/>
      <c r="AH192" s="99">
        <f>AI192*15</f>
        <v>255</v>
      </c>
      <c r="AI192" s="99">
        <v>17</v>
      </c>
      <c r="AJ192" s="138">
        <v>255</v>
      </c>
      <c r="AK192" s="138">
        <f t="shared" si="354"/>
        <v>17</v>
      </c>
      <c r="AL192" s="106"/>
      <c r="AM192" s="105"/>
      <c r="AN192" s="105">
        <f t="shared" si="355"/>
        <v>0</v>
      </c>
      <c r="AO192" s="106"/>
      <c r="AP192" s="105"/>
      <c r="AQ192" s="105">
        <f t="shared" si="331"/>
        <v>0</v>
      </c>
      <c r="AR192" s="106"/>
      <c r="AS192" s="97">
        <f t="shared" si="275"/>
        <v>17</v>
      </c>
      <c r="AT192" s="6"/>
      <c r="AU192" s="105"/>
      <c r="AV192" s="455">
        <f t="shared" si="364"/>
        <v>0</v>
      </c>
      <c r="AW192" s="496"/>
      <c r="AX192" s="508"/>
      <c r="AY192" s="498">
        <v>125</v>
      </c>
      <c r="AZ192" s="100">
        <f t="shared" si="356"/>
        <v>8.3333333333333339</v>
      </c>
      <c r="BA192" s="106"/>
      <c r="BB192" s="105"/>
      <c r="BC192" s="105">
        <f t="shared" si="357"/>
        <v>0</v>
      </c>
      <c r="BD192" s="106"/>
      <c r="BE192" s="105">
        <f t="shared" si="358"/>
        <v>25.333333333333336</v>
      </c>
      <c r="BF192" s="106"/>
      <c r="BG192" s="100">
        <f t="shared" si="341"/>
        <v>0</v>
      </c>
      <c r="BH192" s="106"/>
      <c r="BI192" s="100">
        <f t="shared" si="342"/>
        <v>0</v>
      </c>
      <c r="BJ192" s="106"/>
      <c r="BK192" s="101">
        <f t="shared" si="276"/>
        <v>25.333333333333336</v>
      </c>
      <c r="BL192" s="106"/>
      <c r="BM192" s="104">
        <v>1275</v>
      </c>
      <c r="BN192" s="104">
        <f t="shared" si="359"/>
        <v>25.5</v>
      </c>
      <c r="BO192" s="105">
        <v>1250</v>
      </c>
      <c r="BP192" s="105">
        <f t="shared" si="366"/>
        <v>25</v>
      </c>
      <c r="BQ192" s="106"/>
      <c r="BR192" s="105"/>
      <c r="BS192" s="105">
        <f t="shared" si="257"/>
        <v>0</v>
      </c>
      <c r="BT192" s="106"/>
      <c r="BU192" s="53"/>
      <c r="BV192" s="53">
        <f t="shared" si="360"/>
        <v>0</v>
      </c>
      <c r="BW192" s="54"/>
      <c r="BX192" s="350">
        <f t="shared" si="277"/>
        <v>25</v>
      </c>
      <c r="BY192" s="211"/>
      <c r="BZ192" s="211">
        <f t="shared" si="363"/>
        <v>0.3333333333333357</v>
      </c>
      <c r="CA192" s="508"/>
      <c r="CB192" s="7"/>
      <c r="CC192" s="7"/>
      <c r="CD192" s="158"/>
      <c r="CE192" s="504"/>
      <c r="CF192" s="105"/>
      <c r="CG192" s="105">
        <f t="shared" si="311"/>
        <v>0</v>
      </c>
      <c r="CH192" s="105"/>
      <c r="CI192" s="105"/>
      <c r="CJ192" s="105">
        <f t="shared" si="312"/>
        <v>0</v>
      </c>
      <c r="CK192" s="524"/>
      <c r="CL192" s="53">
        <f t="shared" si="365"/>
        <v>0</v>
      </c>
      <c r="CM192" s="54"/>
      <c r="CN192" s="105"/>
      <c r="CO192" s="100">
        <f t="shared" si="367"/>
        <v>0</v>
      </c>
      <c r="CP192" s="496"/>
      <c r="CQ192" s="439"/>
      <c r="CR192" s="504"/>
      <c r="CS192" s="105"/>
      <c r="CT192" s="105">
        <f t="shared" si="289"/>
        <v>0</v>
      </c>
      <c r="CU192" s="105"/>
      <c r="CV192" s="105"/>
      <c r="CW192" s="105">
        <f t="shared" si="290"/>
        <v>0</v>
      </c>
      <c r="CX192" s="53"/>
      <c r="CY192" s="109">
        <f t="shared" si="368"/>
        <v>0</v>
      </c>
      <c r="CZ192" s="54"/>
      <c r="DA192" s="105"/>
      <c r="DB192" s="455">
        <f t="shared" si="278"/>
        <v>0</v>
      </c>
      <c r="DC192" s="495"/>
      <c r="DD192" s="27"/>
      <c r="DF192" s="1133"/>
      <c r="DG192" s="674">
        <f t="shared" si="343"/>
        <v>0</v>
      </c>
      <c r="DH192" s="1119">
        <f t="shared" si="344"/>
        <v>0</v>
      </c>
      <c r="DI192" s="1119"/>
      <c r="DJ192" s="101">
        <f t="shared" si="345"/>
        <v>25.333333333333336</v>
      </c>
      <c r="DK192" s="101"/>
      <c r="DL192" s="101">
        <f t="shared" si="346"/>
        <v>0</v>
      </c>
      <c r="DM192" s="101"/>
      <c r="DN192" s="112"/>
      <c r="DO192" s="112"/>
      <c r="DP192" s="112"/>
      <c r="DQ192" s="112"/>
      <c r="DS192" s="140"/>
      <c r="DT192" s="140"/>
      <c r="DU192" s="140"/>
      <c r="DV192" s="140"/>
      <c r="DW192" s="140"/>
      <c r="DX192" s="140"/>
      <c r="DY192" s="140"/>
      <c r="DZ192" s="140"/>
    </row>
    <row r="193" spans="1:130" ht="21.6" customHeight="1" x14ac:dyDescent="0.25">
      <c r="A193" s="4" t="s">
        <v>28</v>
      </c>
      <c r="B193" s="4">
        <v>7</v>
      </c>
      <c r="C193" s="166" t="s">
        <v>105</v>
      </c>
      <c r="D193" s="166"/>
      <c r="E193" s="1" t="s">
        <v>110</v>
      </c>
      <c r="F193" s="162">
        <v>7</v>
      </c>
      <c r="G193" s="162">
        <v>5</v>
      </c>
      <c r="H193" s="162">
        <f t="shared" si="370"/>
        <v>12</v>
      </c>
      <c r="I193" s="162">
        <v>20.5</v>
      </c>
      <c r="J193" s="162">
        <v>0.5</v>
      </c>
      <c r="K193" s="162">
        <f t="shared" si="371"/>
        <v>21</v>
      </c>
      <c r="L193" s="163"/>
      <c r="M193" s="414"/>
      <c r="N193" s="46"/>
      <c r="O193" s="164"/>
      <c r="P193" s="165"/>
      <c r="Q193" s="165"/>
      <c r="R193" s="165"/>
      <c r="S193" s="203"/>
      <c r="T193" s="89"/>
      <c r="U193" s="89"/>
      <c r="V193" s="89">
        <f t="shared" si="372"/>
        <v>0</v>
      </c>
      <c r="W193" s="137"/>
      <c r="X193" s="137"/>
      <c r="Y193" s="90">
        <f t="shared" si="373"/>
        <v>0</v>
      </c>
      <c r="Z193" s="169"/>
      <c r="AA193" s="92"/>
      <c r="AB193" s="92"/>
      <c r="AC193" s="92">
        <f t="shared" si="351"/>
        <v>0</v>
      </c>
      <c r="AD193" s="93"/>
      <c r="AE193" s="93"/>
      <c r="AF193" s="94">
        <f t="shared" si="352"/>
        <v>0</v>
      </c>
      <c r="AG193" s="475"/>
      <c r="AH193" s="99"/>
      <c r="AI193" s="99">
        <f t="shared" ref="AI193:AI202" si="374">AH193/15</f>
        <v>0</v>
      </c>
      <c r="AJ193" s="138"/>
      <c r="AK193" s="138">
        <f t="shared" si="354"/>
        <v>0</v>
      </c>
      <c r="AL193" s="106"/>
      <c r="AM193" s="105"/>
      <c r="AN193" s="105">
        <f t="shared" si="355"/>
        <v>0</v>
      </c>
      <c r="AO193" s="106"/>
      <c r="AP193" s="105"/>
      <c r="AQ193" s="105">
        <f t="shared" si="331"/>
        <v>0</v>
      </c>
      <c r="AR193" s="106"/>
      <c r="AS193" s="97">
        <f t="shared" si="275"/>
        <v>0</v>
      </c>
      <c r="AT193" s="6"/>
      <c r="AU193" s="105"/>
      <c r="AV193" s="455">
        <f t="shared" si="364"/>
        <v>0</v>
      </c>
      <c r="AW193" s="496"/>
      <c r="AX193" s="508"/>
      <c r="AY193" s="498"/>
      <c r="AZ193" s="100">
        <f t="shared" si="356"/>
        <v>0</v>
      </c>
      <c r="BA193" s="106"/>
      <c r="BB193" s="105"/>
      <c r="BC193" s="105">
        <f t="shared" si="357"/>
        <v>0</v>
      </c>
      <c r="BD193" s="106"/>
      <c r="BE193" s="105">
        <f t="shared" si="358"/>
        <v>0</v>
      </c>
      <c r="BF193" s="106"/>
      <c r="BG193" s="100">
        <f t="shared" si="341"/>
        <v>0</v>
      </c>
      <c r="BH193" s="106"/>
      <c r="BI193" s="100">
        <f t="shared" si="342"/>
        <v>0</v>
      </c>
      <c r="BJ193" s="106"/>
      <c r="BK193" s="101">
        <f t="shared" si="276"/>
        <v>0</v>
      </c>
      <c r="BL193" s="106"/>
      <c r="BM193" s="104"/>
      <c r="BN193" s="104">
        <f t="shared" si="359"/>
        <v>0</v>
      </c>
      <c r="BO193" s="105"/>
      <c r="BP193" s="105">
        <f t="shared" si="366"/>
        <v>0</v>
      </c>
      <c r="BQ193" s="106"/>
      <c r="BR193" s="105"/>
      <c r="BS193" s="105">
        <f t="shared" si="257"/>
        <v>0</v>
      </c>
      <c r="BT193" s="106"/>
      <c r="BU193" s="53"/>
      <c r="BV193" s="53">
        <f t="shared" si="360"/>
        <v>0</v>
      </c>
      <c r="BW193" s="54"/>
      <c r="BX193" s="350">
        <f t="shared" si="277"/>
        <v>0</v>
      </c>
      <c r="BY193" s="211"/>
      <c r="BZ193" s="211">
        <f t="shared" si="363"/>
        <v>0</v>
      </c>
      <c r="CA193" s="508"/>
      <c r="CB193" s="165"/>
      <c r="CC193" s="165"/>
      <c r="CD193" s="203"/>
      <c r="CE193" s="504"/>
      <c r="CF193" s="105"/>
      <c r="CG193" s="105">
        <f t="shared" si="311"/>
        <v>0</v>
      </c>
      <c r="CH193" s="105"/>
      <c r="CI193" s="105"/>
      <c r="CJ193" s="105">
        <f t="shared" si="312"/>
        <v>0</v>
      </c>
      <c r="CK193" s="524"/>
      <c r="CL193" s="53">
        <f t="shared" si="365"/>
        <v>0</v>
      </c>
      <c r="CM193" s="54"/>
      <c r="CN193" s="105"/>
      <c r="CO193" s="100">
        <f t="shared" si="367"/>
        <v>0</v>
      </c>
      <c r="CP193" s="496"/>
      <c r="CQ193" s="439"/>
      <c r="CR193" s="504"/>
      <c r="CS193" s="105"/>
      <c r="CT193" s="105">
        <f t="shared" si="289"/>
        <v>0</v>
      </c>
      <c r="CU193" s="105"/>
      <c r="CV193" s="105"/>
      <c r="CW193" s="105">
        <f t="shared" si="290"/>
        <v>0</v>
      </c>
      <c r="CX193" s="53"/>
      <c r="CY193" s="109">
        <f t="shared" si="368"/>
        <v>0</v>
      </c>
      <c r="CZ193" s="54"/>
      <c r="DA193" s="105"/>
      <c r="DB193" s="455">
        <f t="shared" si="278"/>
        <v>0</v>
      </c>
      <c r="DC193" s="495"/>
      <c r="DD193" s="26"/>
      <c r="DF193" s="1133"/>
      <c r="DG193" s="674">
        <f t="shared" si="343"/>
        <v>0</v>
      </c>
      <c r="DH193" s="1119">
        <f t="shared" si="344"/>
        <v>0</v>
      </c>
      <c r="DI193" s="1119"/>
      <c r="DJ193" s="101">
        <f t="shared" si="345"/>
        <v>0</v>
      </c>
      <c r="DK193" s="101"/>
      <c r="DL193" s="101">
        <f t="shared" si="346"/>
        <v>0</v>
      </c>
      <c r="DM193" s="101"/>
      <c r="DN193" s="112"/>
      <c r="DO193" s="112"/>
      <c r="DP193" s="112"/>
      <c r="DQ193" s="112"/>
    </row>
    <row r="194" spans="1:130" ht="21.6" customHeight="1" x14ac:dyDescent="0.25">
      <c r="A194" s="4" t="s">
        <v>28</v>
      </c>
      <c r="B194" s="4">
        <v>8</v>
      </c>
      <c r="C194" s="166" t="s">
        <v>105</v>
      </c>
      <c r="D194" s="166" t="s">
        <v>431</v>
      </c>
      <c r="E194" s="1" t="s">
        <v>111</v>
      </c>
      <c r="F194" s="162">
        <v>27</v>
      </c>
      <c r="G194" s="162">
        <v>21</v>
      </c>
      <c r="H194" s="162">
        <f t="shared" si="370"/>
        <v>48</v>
      </c>
      <c r="I194" s="162">
        <v>24.9</v>
      </c>
      <c r="J194" s="162">
        <v>7.6</v>
      </c>
      <c r="K194" s="162">
        <f t="shared" si="371"/>
        <v>32.5</v>
      </c>
      <c r="L194" s="163"/>
      <c r="M194" s="414"/>
      <c r="N194" s="46"/>
      <c r="O194" s="164"/>
      <c r="P194" s="165"/>
      <c r="Q194" s="165"/>
      <c r="R194" s="165"/>
      <c r="S194" s="203"/>
      <c r="T194" s="89"/>
      <c r="U194" s="89"/>
      <c r="V194" s="89">
        <f t="shared" si="372"/>
        <v>0</v>
      </c>
      <c r="W194" s="137"/>
      <c r="X194" s="137"/>
      <c r="Y194" s="90">
        <f t="shared" si="373"/>
        <v>0</v>
      </c>
      <c r="Z194" s="169"/>
      <c r="AA194" s="92"/>
      <c r="AB194" s="92"/>
      <c r="AC194" s="92">
        <f t="shared" si="351"/>
        <v>0</v>
      </c>
      <c r="AD194" s="93"/>
      <c r="AE194" s="93"/>
      <c r="AF194" s="94">
        <f t="shared" si="352"/>
        <v>0</v>
      </c>
      <c r="AG194" s="475"/>
      <c r="AH194" s="99"/>
      <c r="AI194" s="99">
        <f t="shared" si="374"/>
        <v>0</v>
      </c>
      <c r="AJ194" s="138"/>
      <c r="AK194" s="138">
        <f t="shared" si="354"/>
        <v>0</v>
      </c>
      <c r="AL194" s="106"/>
      <c r="AM194" s="105">
        <v>300</v>
      </c>
      <c r="AN194" s="105">
        <f t="shared" si="355"/>
        <v>20</v>
      </c>
      <c r="AO194" s="106"/>
      <c r="AP194" s="105"/>
      <c r="AQ194" s="105">
        <f t="shared" si="331"/>
        <v>0</v>
      </c>
      <c r="AR194" s="106"/>
      <c r="AS194" s="97">
        <f t="shared" si="275"/>
        <v>20</v>
      </c>
      <c r="AT194" s="6"/>
      <c r="AU194" s="105"/>
      <c r="AV194" s="455">
        <f t="shared" si="364"/>
        <v>0</v>
      </c>
      <c r="AW194" s="496"/>
      <c r="AX194" s="508"/>
      <c r="AY194" s="498"/>
      <c r="AZ194" s="100">
        <f t="shared" si="356"/>
        <v>0</v>
      </c>
      <c r="BA194" s="106"/>
      <c r="BB194" s="105"/>
      <c r="BC194" s="105">
        <f t="shared" si="357"/>
        <v>0</v>
      </c>
      <c r="BD194" s="106"/>
      <c r="BE194" s="105">
        <f t="shared" si="358"/>
        <v>0</v>
      </c>
      <c r="BF194" s="106"/>
      <c r="BG194" s="100">
        <f t="shared" si="341"/>
        <v>20</v>
      </c>
      <c r="BH194" s="106"/>
      <c r="BI194" s="100">
        <f t="shared" si="342"/>
        <v>0</v>
      </c>
      <c r="BJ194" s="106"/>
      <c r="BK194" s="101">
        <f t="shared" si="276"/>
        <v>20</v>
      </c>
      <c r="BL194" s="106"/>
      <c r="BM194" s="104"/>
      <c r="BN194" s="104">
        <f t="shared" si="359"/>
        <v>0</v>
      </c>
      <c r="BO194" s="105"/>
      <c r="BP194" s="105">
        <f t="shared" si="366"/>
        <v>0</v>
      </c>
      <c r="BQ194" s="106"/>
      <c r="BR194" s="105">
        <v>1000</v>
      </c>
      <c r="BS194" s="105">
        <f t="shared" si="257"/>
        <v>20</v>
      </c>
      <c r="BT194" s="106"/>
      <c r="BU194" s="53"/>
      <c r="BV194" s="53">
        <f t="shared" si="360"/>
        <v>0</v>
      </c>
      <c r="BW194" s="54"/>
      <c r="BX194" s="350">
        <f t="shared" si="277"/>
        <v>20</v>
      </c>
      <c r="BY194" s="211"/>
      <c r="BZ194" s="211">
        <f t="shared" si="363"/>
        <v>0</v>
      </c>
      <c r="CA194" s="508"/>
      <c r="CB194" s="165"/>
      <c r="CC194" s="165"/>
      <c r="CD194" s="203"/>
      <c r="CE194" s="504">
        <v>18</v>
      </c>
      <c r="CF194" s="105">
        <v>6</v>
      </c>
      <c r="CG194" s="105">
        <f t="shared" si="311"/>
        <v>24</v>
      </c>
      <c r="CH194" s="105">
        <v>20</v>
      </c>
      <c r="CI194" s="105"/>
      <c r="CJ194" s="105">
        <f t="shared" si="312"/>
        <v>20</v>
      </c>
      <c r="CK194" s="524"/>
      <c r="CL194" s="53">
        <f t="shared" si="365"/>
        <v>0</v>
      </c>
      <c r="CM194" s="54"/>
      <c r="CN194" s="105"/>
      <c r="CO194" s="100">
        <f t="shared" si="367"/>
        <v>0</v>
      </c>
      <c r="CP194" s="496"/>
      <c r="CQ194" s="439"/>
      <c r="CR194" s="504">
        <v>18</v>
      </c>
      <c r="CS194" s="105">
        <v>6</v>
      </c>
      <c r="CT194" s="105">
        <f t="shared" si="289"/>
        <v>24</v>
      </c>
      <c r="CU194" s="105">
        <v>20</v>
      </c>
      <c r="CV194" s="105"/>
      <c r="CW194" s="105">
        <f t="shared" si="290"/>
        <v>20</v>
      </c>
      <c r="CX194" s="53"/>
      <c r="CY194" s="109">
        <f t="shared" si="368"/>
        <v>0</v>
      </c>
      <c r="CZ194" s="54"/>
      <c r="DA194" s="105"/>
      <c r="DB194" s="455">
        <f t="shared" si="278"/>
        <v>0</v>
      </c>
      <c r="DC194" s="495"/>
      <c r="DD194" s="26"/>
      <c r="DF194" s="1133"/>
      <c r="DG194" s="674">
        <f t="shared" si="343"/>
        <v>0</v>
      </c>
      <c r="DH194" s="1119">
        <f t="shared" si="344"/>
        <v>0</v>
      </c>
      <c r="DI194" s="1119"/>
      <c r="DJ194" s="101">
        <f t="shared" si="345"/>
        <v>20</v>
      </c>
      <c r="DK194" s="101"/>
      <c r="DL194" s="101">
        <f t="shared" si="346"/>
        <v>48</v>
      </c>
      <c r="DM194" s="101"/>
      <c r="DN194" s="112"/>
      <c r="DO194" s="112"/>
      <c r="DP194" s="112"/>
      <c r="DQ194" s="112"/>
    </row>
    <row r="195" spans="1:130" ht="27" customHeight="1" x14ac:dyDescent="0.25">
      <c r="A195" s="4" t="s">
        <v>28</v>
      </c>
      <c r="B195" s="4">
        <v>9</v>
      </c>
      <c r="C195" s="166" t="s">
        <v>105</v>
      </c>
      <c r="D195" s="166"/>
      <c r="E195" s="1" t="s">
        <v>112</v>
      </c>
      <c r="F195" s="162">
        <v>9</v>
      </c>
      <c r="G195" s="162">
        <v>15</v>
      </c>
      <c r="H195" s="162">
        <f t="shared" si="370"/>
        <v>24</v>
      </c>
      <c r="I195" s="162">
        <v>3.75</v>
      </c>
      <c r="J195" s="162">
        <v>14.85</v>
      </c>
      <c r="K195" s="162">
        <f t="shared" si="371"/>
        <v>18.600000000000001</v>
      </c>
      <c r="L195" s="163"/>
      <c r="M195" s="414"/>
      <c r="N195" s="46"/>
      <c r="O195" s="164"/>
      <c r="P195" s="165"/>
      <c r="Q195" s="165"/>
      <c r="R195" s="165"/>
      <c r="S195" s="203"/>
      <c r="T195" s="89"/>
      <c r="U195" s="89"/>
      <c r="V195" s="89">
        <f t="shared" si="372"/>
        <v>0</v>
      </c>
      <c r="W195" s="137"/>
      <c r="X195" s="137"/>
      <c r="Y195" s="90">
        <f t="shared" si="373"/>
        <v>0</v>
      </c>
      <c r="Z195" s="169"/>
      <c r="AA195" s="92"/>
      <c r="AB195" s="92"/>
      <c r="AC195" s="92">
        <f t="shared" si="351"/>
        <v>0</v>
      </c>
      <c r="AD195" s="93"/>
      <c r="AE195" s="93"/>
      <c r="AF195" s="94">
        <f t="shared" si="352"/>
        <v>0</v>
      </c>
      <c r="AG195" s="475"/>
      <c r="AH195" s="99"/>
      <c r="AI195" s="99">
        <f t="shared" si="374"/>
        <v>0</v>
      </c>
      <c r="AJ195" s="138"/>
      <c r="AK195" s="138">
        <f t="shared" si="354"/>
        <v>0</v>
      </c>
      <c r="AL195" s="106"/>
      <c r="AM195" s="105"/>
      <c r="AN195" s="105">
        <f t="shared" si="355"/>
        <v>0</v>
      </c>
      <c r="AO195" s="106"/>
      <c r="AP195" s="105"/>
      <c r="AQ195" s="105">
        <f t="shared" si="331"/>
        <v>0</v>
      </c>
      <c r="AR195" s="106"/>
      <c r="AS195" s="97">
        <f t="shared" si="275"/>
        <v>0</v>
      </c>
      <c r="AT195" s="6"/>
      <c r="AU195" s="105"/>
      <c r="AV195" s="455">
        <f t="shared" si="364"/>
        <v>0</v>
      </c>
      <c r="AW195" s="496"/>
      <c r="AX195" s="508"/>
      <c r="AY195" s="498"/>
      <c r="AZ195" s="100">
        <f t="shared" si="356"/>
        <v>0</v>
      </c>
      <c r="BA195" s="106"/>
      <c r="BB195" s="105"/>
      <c r="BC195" s="105">
        <f t="shared" si="357"/>
        <v>0</v>
      </c>
      <c r="BD195" s="106"/>
      <c r="BE195" s="105">
        <f t="shared" si="358"/>
        <v>0</v>
      </c>
      <c r="BF195" s="106"/>
      <c r="BG195" s="100">
        <f t="shared" si="341"/>
        <v>0</v>
      </c>
      <c r="BH195" s="106"/>
      <c r="BI195" s="100">
        <f t="shared" si="342"/>
        <v>0</v>
      </c>
      <c r="BJ195" s="106"/>
      <c r="BK195" s="101">
        <f t="shared" si="276"/>
        <v>0</v>
      </c>
      <c r="BL195" s="106"/>
      <c r="BM195" s="104"/>
      <c r="BN195" s="104">
        <f t="shared" si="359"/>
        <v>0</v>
      </c>
      <c r="BO195" s="105"/>
      <c r="BP195" s="105">
        <f t="shared" si="366"/>
        <v>0</v>
      </c>
      <c r="BQ195" s="106"/>
      <c r="BR195" s="105"/>
      <c r="BS195" s="105">
        <f t="shared" si="257"/>
        <v>0</v>
      </c>
      <c r="BT195" s="106"/>
      <c r="BU195" s="53"/>
      <c r="BV195" s="53">
        <f t="shared" si="360"/>
        <v>0</v>
      </c>
      <c r="BW195" s="54"/>
      <c r="BX195" s="350">
        <f t="shared" si="277"/>
        <v>0</v>
      </c>
      <c r="BY195" s="211"/>
      <c r="BZ195" s="211">
        <f t="shared" si="363"/>
        <v>0</v>
      </c>
      <c r="CA195" s="508"/>
      <c r="CB195" s="165"/>
      <c r="CC195" s="165"/>
      <c r="CD195" s="203"/>
      <c r="CE195" s="504"/>
      <c r="CF195" s="105"/>
      <c r="CG195" s="105">
        <f t="shared" si="311"/>
        <v>0</v>
      </c>
      <c r="CH195" s="105"/>
      <c r="CI195" s="105"/>
      <c r="CJ195" s="105">
        <f t="shared" si="312"/>
        <v>0</v>
      </c>
      <c r="CK195" s="524"/>
      <c r="CL195" s="53">
        <f t="shared" si="365"/>
        <v>0</v>
      </c>
      <c r="CM195" s="54"/>
      <c r="CN195" s="105"/>
      <c r="CO195" s="100">
        <f t="shared" si="367"/>
        <v>0</v>
      </c>
      <c r="CP195" s="496"/>
      <c r="CQ195" s="439"/>
      <c r="CR195" s="504"/>
      <c r="CS195" s="105"/>
      <c r="CT195" s="105">
        <f t="shared" si="289"/>
        <v>0</v>
      </c>
      <c r="CU195" s="105"/>
      <c r="CV195" s="105"/>
      <c r="CW195" s="105">
        <f t="shared" si="290"/>
        <v>0</v>
      </c>
      <c r="CX195" s="53"/>
      <c r="CY195" s="109">
        <f t="shared" si="368"/>
        <v>0</v>
      </c>
      <c r="CZ195" s="54"/>
      <c r="DA195" s="105"/>
      <c r="DB195" s="455">
        <f t="shared" si="278"/>
        <v>0</v>
      </c>
      <c r="DC195" s="495"/>
      <c r="DD195" s="26"/>
      <c r="DF195" s="1133"/>
      <c r="DG195" s="674">
        <f t="shared" si="343"/>
        <v>0</v>
      </c>
      <c r="DH195" s="1119">
        <f t="shared" si="344"/>
        <v>0</v>
      </c>
      <c r="DI195" s="1119"/>
      <c r="DJ195" s="101">
        <f t="shared" si="345"/>
        <v>0</v>
      </c>
      <c r="DK195" s="101"/>
      <c r="DL195" s="101">
        <f t="shared" si="346"/>
        <v>0</v>
      </c>
      <c r="DM195" s="101"/>
      <c r="DN195" s="112"/>
      <c r="DO195" s="112"/>
      <c r="DP195" s="112"/>
      <c r="DQ195" s="112"/>
    </row>
    <row r="196" spans="1:130" s="139" customFormat="1" ht="21.6" customHeight="1" x14ac:dyDescent="0.25">
      <c r="A196" s="4" t="s">
        <v>28</v>
      </c>
      <c r="B196" s="4">
        <v>10</v>
      </c>
      <c r="C196" s="175" t="s">
        <v>105</v>
      </c>
      <c r="D196" s="175"/>
      <c r="E196" s="14" t="s">
        <v>113</v>
      </c>
      <c r="F196" s="135">
        <v>19</v>
      </c>
      <c r="G196" s="135">
        <v>21</v>
      </c>
      <c r="H196" s="135">
        <f t="shared" si="370"/>
        <v>40</v>
      </c>
      <c r="I196" s="135">
        <v>39.700000000000003</v>
      </c>
      <c r="J196" s="135">
        <v>0.5</v>
      </c>
      <c r="K196" s="135">
        <f t="shared" si="371"/>
        <v>40.200000000000003</v>
      </c>
      <c r="L196" s="136"/>
      <c r="M196" s="5"/>
      <c r="N196" s="41"/>
      <c r="O196" s="6"/>
      <c r="P196" s="7"/>
      <c r="Q196" s="7"/>
      <c r="R196" s="7"/>
      <c r="S196" s="158"/>
      <c r="T196" s="89"/>
      <c r="U196" s="89"/>
      <c r="V196" s="89">
        <f t="shared" si="372"/>
        <v>0</v>
      </c>
      <c r="W196" s="137"/>
      <c r="X196" s="137"/>
      <c r="Y196" s="90">
        <f t="shared" si="373"/>
        <v>0</v>
      </c>
      <c r="Z196" s="91"/>
      <c r="AA196" s="92"/>
      <c r="AB196" s="92"/>
      <c r="AC196" s="92">
        <f t="shared" si="351"/>
        <v>0</v>
      </c>
      <c r="AD196" s="93"/>
      <c r="AE196" s="93"/>
      <c r="AF196" s="94">
        <f t="shared" si="352"/>
        <v>0</v>
      </c>
      <c r="AG196" s="473"/>
      <c r="AH196" s="99">
        <v>30</v>
      </c>
      <c r="AI196" s="99">
        <f t="shared" si="374"/>
        <v>2</v>
      </c>
      <c r="AJ196" s="138"/>
      <c r="AK196" s="138">
        <f t="shared" si="354"/>
        <v>0</v>
      </c>
      <c r="AL196" s="106"/>
      <c r="AM196" s="105"/>
      <c r="AN196" s="105">
        <f t="shared" si="355"/>
        <v>0</v>
      </c>
      <c r="AO196" s="106"/>
      <c r="AP196" s="105"/>
      <c r="AQ196" s="105">
        <f t="shared" si="331"/>
        <v>0</v>
      </c>
      <c r="AR196" s="106"/>
      <c r="AS196" s="97">
        <f t="shared" si="275"/>
        <v>0</v>
      </c>
      <c r="AT196" s="6"/>
      <c r="AU196" s="105"/>
      <c r="AV196" s="455">
        <f t="shared" si="364"/>
        <v>0</v>
      </c>
      <c r="AW196" s="496"/>
      <c r="AX196" s="508"/>
      <c r="AY196" s="498"/>
      <c r="AZ196" s="100">
        <f t="shared" si="356"/>
        <v>0</v>
      </c>
      <c r="BA196" s="106"/>
      <c r="BB196" s="105"/>
      <c r="BC196" s="105">
        <f t="shared" si="357"/>
        <v>0</v>
      </c>
      <c r="BD196" s="106"/>
      <c r="BE196" s="105">
        <f t="shared" si="358"/>
        <v>0</v>
      </c>
      <c r="BF196" s="106"/>
      <c r="BG196" s="100">
        <f t="shared" si="341"/>
        <v>0</v>
      </c>
      <c r="BH196" s="106"/>
      <c r="BI196" s="100">
        <f t="shared" si="342"/>
        <v>0</v>
      </c>
      <c r="BJ196" s="106"/>
      <c r="BK196" s="101">
        <f t="shared" si="276"/>
        <v>0</v>
      </c>
      <c r="BL196" s="106"/>
      <c r="BM196" s="104">
        <v>1000</v>
      </c>
      <c r="BN196" s="104">
        <f t="shared" si="359"/>
        <v>20</v>
      </c>
      <c r="BO196" s="105"/>
      <c r="BP196" s="105">
        <f t="shared" si="366"/>
        <v>0</v>
      </c>
      <c r="BQ196" s="106"/>
      <c r="BR196" s="105"/>
      <c r="BS196" s="105">
        <f t="shared" si="257"/>
        <v>0</v>
      </c>
      <c r="BT196" s="106"/>
      <c r="BU196" s="53"/>
      <c r="BV196" s="53">
        <f t="shared" si="360"/>
        <v>0</v>
      </c>
      <c r="BW196" s="54"/>
      <c r="BX196" s="350">
        <f t="shared" si="277"/>
        <v>0</v>
      </c>
      <c r="BY196" s="211"/>
      <c r="BZ196" s="211">
        <f t="shared" si="363"/>
        <v>0</v>
      </c>
      <c r="CA196" s="508"/>
      <c r="CB196" s="7"/>
      <c r="CC196" s="7"/>
      <c r="CD196" s="158"/>
      <c r="CE196" s="504"/>
      <c r="CF196" s="105"/>
      <c r="CG196" s="105">
        <f t="shared" si="311"/>
        <v>0</v>
      </c>
      <c r="CH196" s="105"/>
      <c r="CI196" s="105"/>
      <c r="CJ196" s="105">
        <f t="shared" si="312"/>
        <v>0</v>
      </c>
      <c r="CK196" s="524"/>
      <c r="CL196" s="53">
        <f t="shared" si="365"/>
        <v>0</v>
      </c>
      <c r="CM196" s="54"/>
      <c r="CN196" s="105"/>
      <c r="CO196" s="100">
        <f t="shared" si="367"/>
        <v>0</v>
      </c>
      <c r="CP196" s="496"/>
      <c r="CQ196" s="439"/>
      <c r="CR196" s="504"/>
      <c r="CS196" s="105"/>
      <c r="CT196" s="105">
        <f t="shared" si="289"/>
        <v>0</v>
      </c>
      <c r="CU196" s="105"/>
      <c r="CV196" s="105"/>
      <c r="CW196" s="105">
        <f t="shared" si="290"/>
        <v>0</v>
      </c>
      <c r="CX196" s="53"/>
      <c r="CY196" s="109">
        <f t="shared" si="368"/>
        <v>0</v>
      </c>
      <c r="CZ196" s="54"/>
      <c r="DA196" s="105"/>
      <c r="DB196" s="455">
        <f t="shared" si="278"/>
        <v>0</v>
      </c>
      <c r="DC196" s="495"/>
      <c r="DD196" s="27" t="s">
        <v>393</v>
      </c>
      <c r="DF196" s="1133"/>
      <c r="DG196" s="674">
        <f t="shared" si="343"/>
        <v>0</v>
      </c>
      <c r="DH196" s="1119">
        <f t="shared" si="344"/>
        <v>0</v>
      </c>
      <c r="DI196" s="1119"/>
      <c r="DJ196" s="101">
        <f t="shared" si="345"/>
        <v>0</v>
      </c>
      <c r="DK196" s="101"/>
      <c r="DL196" s="101">
        <f t="shared" si="346"/>
        <v>0</v>
      </c>
      <c r="DM196" s="101"/>
      <c r="DN196" s="112"/>
      <c r="DO196" s="112"/>
      <c r="DP196" s="112"/>
      <c r="DQ196" s="112"/>
      <c r="DS196" s="140"/>
      <c r="DT196" s="140"/>
      <c r="DU196" s="140"/>
      <c r="DV196" s="140"/>
      <c r="DW196" s="140"/>
      <c r="DX196" s="140"/>
      <c r="DY196" s="140"/>
      <c r="DZ196" s="140"/>
    </row>
    <row r="197" spans="1:130" ht="21.6" customHeight="1" x14ac:dyDescent="0.25">
      <c r="A197" s="4" t="s">
        <v>28</v>
      </c>
      <c r="B197" s="4">
        <v>11</v>
      </c>
      <c r="C197" s="166" t="s">
        <v>105</v>
      </c>
      <c r="D197" s="166"/>
      <c r="E197" s="1" t="s">
        <v>114</v>
      </c>
      <c r="F197" s="162">
        <v>101</v>
      </c>
      <c r="G197" s="162">
        <v>16</v>
      </c>
      <c r="H197" s="162">
        <f t="shared" si="370"/>
        <v>117</v>
      </c>
      <c r="I197" s="162">
        <v>52.86</v>
      </c>
      <c r="J197" s="162"/>
      <c r="K197" s="162">
        <f t="shared" si="371"/>
        <v>52.86</v>
      </c>
      <c r="L197" s="163"/>
      <c r="M197" s="414"/>
      <c r="N197" s="46"/>
      <c r="O197" s="164"/>
      <c r="P197" s="165"/>
      <c r="Q197" s="165"/>
      <c r="R197" s="165"/>
      <c r="S197" s="203"/>
      <c r="T197" s="89"/>
      <c r="U197" s="89"/>
      <c r="V197" s="89">
        <f t="shared" si="372"/>
        <v>0</v>
      </c>
      <c r="W197" s="137"/>
      <c r="X197" s="137"/>
      <c r="Y197" s="90">
        <f t="shared" si="373"/>
        <v>0</v>
      </c>
      <c r="Z197" s="169"/>
      <c r="AA197" s="92"/>
      <c r="AB197" s="92"/>
      <c r="AC197" s="92">
        <f t="shared" si="351"/>
        <v>0</v>
      </c>
      <c r="AD197" s="93"/>
      <c r="AE197" s="93"/>
      <c r="AF197" s="94">
        <f t="shared" si="352"/>
        <v>0</v>
      </c>
      <c r="AG197" s="475"/>
      <c r="AH197" s="99"/>
      <c r="AI197" s="99">
        <f t="shared" si="374"/>
        <v>0</v>
      </c>
      <c r="AJ197" s="138"/>
      <c r="AK197" s="138">
        <f t="shared" si="354"/>
        <v>0</v>
      </c>
      <c r="AL197" s="106"/>
      <c r="AM197" s="105"/>
      <c r="AN197" s="105">
        <f t="shared" si="355"/>
        <v>0</v>
      </c>
      <c r="AO197" s="106"/>
      <c r="AP197" s="105"/>
      <c r="AQ197" s="105">
        <f t="shared" si="331"/>
        <v>0</v>
      </c>
      <c r="AR197" s="106"/>
      <c r="AS197" s="97">
        <f t="shared" si="275"/>
        <v>0</v>
      </c>
      <c r="AT197" s="6"/>
      <c r="AU197" s="105"/>
      <c r="AV197" s="455">
        <f t="shared" si="364"/>
        <v>0</v>
      </c>
      <c r="AW197" s="496"/>
      <c r="AX197" s="508"/>
      <c r="AY197" s="498"/>
      <c r="AZ197" s="100">
        <f t="shared" si="356"/>
        <v>0</v>
      </c>
      <c r="BA197" s="106"/>
      <c r="BB197" s="105"/>
      <c r="BC197" s="105">
        <f t="shared" si="357"/>
        <v>0</v>
      </c>
      <c r="BD197" s="106"/>
      <c r="BE197" s="105">
        <f t="shared" si="358"/>
        <v>0</v>
      </c>
      <c r="BF197" s="106"/>
      <c r="BG197" s="100">
        <f t="shared" si="341"/>
        <v>0</v>
      </c>
      <c r="BH197" s="106"/>
      <c r="BI197" s="100">
        <f t="shared" si="342"/>
        <v>0</v>
      </c>
      <c r="BJ197" s="106"/>
      <c r="BK197" s="101">
        <f t="shared" si="276"/>
        <v>0</v>
      </c>
      <c r="BL197" s="106"/>
      <c r="BM197" s="104"/>
      <c r="BN197" s="104">
        <f t="shared" si="359"/>
        <v>0</v>
      </c>
      <c r="BO197" s="105"/>
      <c r="BP197" s="105">
        <f t="shared" si="366"/>
        <v>0</v>
      </c>
      <c r="BQ197" s="106"/>
      <c r="BR197" s="105"/>
      <c r="BS197" s="105">
        <f t="shared" si="257"/>
        <v>0</v>
      </c>
      <c r="BT197" s="106"/>
      <c r="BU197" s="53"/>
      <c r="BV197" s="53">
        <f t="shared" si="360"/>
        <v>0</v>
      </c>
      <c r="BW197" s="54"/>
      <c r="BX197" s="350">
        <f t="shared" si="277"/>
        <v>0</v>
      </c>
      <c r="BY197" s="211"/>
      <c r="BZ197" s="211">
        <f t="shared" si="363"/>
        <v>0</v>
      </c>
      <c r="CA197" s="508"/>
      <c r="CB197" s="165"/>
      <c r="CC197" s="165"/>
      <c r="CD197" s="203"/>
      <c r="CE197" s="504"/>
      <c r="CF197" s="105"/>
      <c r="CG197" s="105">
        <f t="shared" si="311"/>
        <v>0</v>
      </c>
      <c r="CH197" s="105"/>
      <c r="CI197" s="105"/>
      <c r="CJ197" s="105">
        <f t="shared" si="312"/>
        <v>0</v>
      </c>
      <c r="CK197" s="524"/>
      <c r="CL197" s="53">
        <f t="shared" si="365"/>
        <v>0</v>
      </c>
      <c r="CM197" s="54"/>
      <c r="CN197" s="105"/>
      <c r="CO197" s="100">
        <f t="shared" si="367"/>
        <v>0</v>
      </c>
      <c r="CP197" s="496"/>
      <c r="CQ197" s="439"/>
      <c r="CR197" s="504"/>
      <c r="CS197" s="105"/>
      <c r="CT197" s="105">
        <f t="shared" si="289"/>
        <v>0</v>
      </c>
      <c r="CU197" s="105"/>
      <c r="CV197" s="105"/>
      <c r="CW197" s="105">
        <f t="shared" si="290"/>
        <v>0</v>
      </c>
      <c r="CX197" s="53"/>
      <c r="CY197" s="109">
        <f t="shared" si="368"/>
        <v>0</v>
      </c>
      <c r="CZ197" s="54"/>
      <c r="DA197" s="105"/>
      <c r="DB197" s="455">
        <f t="shared" si="278"/>
        <v>0</v>
      </c>
      <c r="DC197" s="495"/>
      <c r="DD197" s="26"/>
      <c r="DF197" s="1133"/>
      <c r="DG197" s="674">
        <f t="shared" si="343"/>
        <v>0</v>
      </c>
      <c r="DH197" s="1119">
        <f t="shared" si="344"/>
        <v>0</v>
      </c>
      <c r="DI197" s="1119"/>
      <c r="DJ197" s="101">
        <f t="shared" si="345"/>
        <v>0</v>
      </c>
      <c r="DK197" s="101"/>
      <c r="DL197" s="101">
        <f t="shared" si="346"/>
        <v>0</v>
      </c>
      <c r="DM197" s="101"/>
      <c r="DN197" s="112"/>
      <c r="DO197" s="112"/>
      <c r="DP197" s="112"/>
      <c r="DQ197" s="112"/>
    </row>
    <row r="198" spans="1:130" s="139" customFormat="1" ht="21.6" customHeight="1" x14ac:dyDescent="0.25">
      <c r="A198" s="4" t="s">
        <v>28</v>
      </c>
      <c r="B198" s="4">
        <v>12</v>
      </c>
      <c r="C198" s="134" t="s">
        <v>105</v>
      </c>
      <c r="D198" s="134" t="s">
        <v>431</v>
      </c>
      <c r="E198" s="14" t="s">
        <v>115</v>
      </c>
      <c r="F198" s="135">
        <v>31</v>
      </c>
      <c r="G198" s="135">
        <v>39</v>
      </c>
      <c r="H198" s="135">
        <f t="shared" si="370"/>
        <v>70</v>
      </c>
      <c r="I198" s="135">
        <v>21.5</v>
      </c>
      <c r="J198" s="135">
        <v>104.8</v>
      </c>
      <c r="K198" s="135">
        <f t="shared" si="371"/>
        <v>126.3</v>
      </c>
      <c r="L198" s="136"/>
      <c r="M198" s="5"/>
      <c r="N198" s="41"/>
      <c r="O198" s="6"/>
      <c r="P198" s="7"/>
      <c r="Q198" s="7"/>
      <c r="R198" s="7"/>
      <c r="S198" s="158"/>
      <c r="T198" s="89"/>
      <c r="U198" s="89"/>
      <c r="V198" s="89">
        <f t="shared" si="372"/>
        <v>0</v>
      </c>
      <c r="W198" s="137"/>
      <c r="X198" s="137"/>
      <c r="Y198" s="90">
        <f t="shared" si="373"/>
        <v>0</v>
      </c>
      <c r="Z198" s="91"/>
      <c r="AA198" s="92"/>
      <c r="AB198" s="92"/>
      <c r="AC198" s="92">
        <f t="shared" si="351"/>
        <v>0</v>
      </c>
      <c r="AD198" s="93"/>
      <c r="AE198" s="93"/>
      <c r="AF198" s="94">
        <f t="shared" si="352"/>
        <v>0</v>
      </c>
      <c r="AG198" s="473"/>
      <c r="AH198" s="99">
        <v>150</v>
      </c>
      <c r="AI198" s="99">
        <f t="shared" si="374"/>
        <v>10</v>
      </c>
      <c r="AJ198" s="138">
        <v>150</v>
      </c>
      <c r="AK198" s="138">
        <f t="shared" si="354"/>
        <v>10</v>
      </c>
      <c r="AL198" s="106"/>
      <c r="AM198" s="105"/>
      <c r="AN198" s="105">
        <f t="shared" si="355"/>
        <v>0</v>
      </c>
      <c r="AO198" s="106"/>
      <c r="AP198" s="105"/>
      <c r="AQ198" s="105">
        <f t="shared" si="331"/>
        <v>0</v>
      </c>
      <c r="AR198" s="106"/>
      <c r="AS198" s="97">
        <f t="shared" si="275"/>
        <v>10</v>
      </c>
      <c r="AT198" s="6"/>
      <c r="AU198" s="105"/>
      <c r="AV198" s="455">
        <f t="shared" si="364"/>
        <v>0</v>
      </c>
      <c r="AW198" s="496"/>
      <c r="AX198" s="508"/>
      <c r="AY198" s="498">
        <v>165</v>
      </c>
      <c r="AZ198" s="100">
        <f t="shared" si="356"/>
        <v>11</v>
      </c>
      <c r="BA198" s="106"/>
      <c r="BB198" s="105"/>
      <c r="BC198" s="105">
        <f t="shared" si="357"/>
        <v>0</v>
      </c>
      <c r="BD198" s="106"/>
      <c r="BE198" s="105">
        <f t="shared" si="358"/>
        <v>21</v>
      </c>
      <c r="BF198" s="106"/>
      <c r="BG198" s="100">
        <f t="shared" si="341"/>
        <v>0</v>
      </c>
      <c r="BH198" s="106"/>
      <c r="BI198" s="100">
        <f t="shared" si="342"/>
        <v>0</v>
      </c>
      <c r="BJ198" s="106"/>
      <c r="BK198" s="101">
        <f t="shared" si="276"/>
        <v>21</v>
      </c>
      <c r="BL198" s="106"/>
      <c r="BM198" s="104">
        <v>6000</v>
      </c>
      <c r="BN198" s="104">
        <f t="shared" si="359"/>
        <v>120</v>
      </c>
      <c r="BO198" s="105">
        <v>1050</v>
      </c>
      <c r="BP198" s="105">
        <f t="shared" si="366"/>
        <v>21</v>
      </c>
      <c r="BQ198" s="106"/>
      <c r="BR198" s="105"/>
      <c r="BS198" s="105">
        <f t="shared" si="257"/>
        <v>0</v>
      </c>
      <c r="BT198" s="106"/>
      <c r="BU198" s="53"/>
      <c r="BV198" s="53">
        <f t="shared" si="360"/>
        <v>0</v>
      </c>
      <c r="BW198" s="54"/>
      <c r="BX198" s="350">
        <f t="shared" si="277"/>
        <v>21</v>
      </c>
      <c r="BY198" s="211"/>
      <c r="BZ198" s="211">
        <f t="shared" si="363"/>
        <v>0</v>
      </c>
      <c r="CA198" s="508"/>
      <c r="CB198" s="7"/>
      <c r="CC198" s="7"/>
      <c r="CD198" s="158"/>
      <c r="CE198" s="504"/>
      <c r="CF198" s="105"/>
      <c r="CG198" s="105">
        <f t="shared" si="311"/>
        <v>0</v>
      </c>
      <c r="CH198" s="105"/>
      <c r="CI198" s="105"/>
      <c r="CJ198" s="105">
        <f t="shared" si="312"/>
        <v>0</v>
      </c>
      <c r="CK198" s="524"/>
      <c r="CL198" s="53">
        <f t="shared" si="365"/>
        <v>0</v>
      </c>
      <c r="CM198" s="54"/>
      <c r="CN198" s="105"/>
      <c r="CO198" s="100">
        <f t="shared" si="367"/>
        <v>0</v>
      </c>
      <c r="CP198" s="496"/>
      <c r="CQ198" s="439"/>
      <c r="CR198" s="504"/>
      <c r="CS198" s="105"/>
      <c r="CT198" s="105">
        <f t="shared" si="289"/>
        <v>0</v>
      </c>
      <c r="CU198" s="105"/>
      <c r="CV198" s="105"/>
      <c r="CW198" s="105">
        <f t="shared" si="290"/>
        <v>0</v>
      </c>
      <c r="CX198" s="53"/>
      <c r="CY198" s="109">
        <f t="shared" si="368"/>
        <v>0</v>
      </c>
      <c r="CZ198" s="54"/>
      <c r="DA198" s="105"/>
      <c r="DB198" s="455">
        <f t="shared" si="278"/>
        <v>0</v>
      </c>
      <c r="DC198" s="495"/>
      <c r="DD198" s="27" t="s">
        <v>393</v>
      </c>
      <c r="DF198" s="1133"/>
      <c r="DG198" s="674">
        <f t="shared" si="343"/>
        <v>0</v>
      </c>
      <c r="DH198" s="1119">
        <f t="shared" si="344"/>
        <v>0</v>
      </c>
      <c r="DI198" s="1119"/>
      <c r="DJ198" s="101">
        <f t="shared" si="345"/>
        <v>21</v>
      </c>
      <c r="DK198" s="101"/>
      <c r="DL198" s="101">
        <f t="shared" si="346"/>
        <v>0</v>
      </c>
      <c r="DM198" s="101"/>
      <c r="DN198" s="112"/>
      <c r="DO198" s="112"/>
      <c r="DP198" s="112"/>
      <c r="DQ198" s="112"/>
      <c r="DS198" s="140"/>
      <c r="DT198" s="140"/>
      <c r="DU198" s="140"/>
      <c r="DV198" s="140"/>
      <c r="DW198" s="140"/>
      <c r="DX198" s="140"/>
      <c r="DY198" s="140"/>
      <c r="DZ198" s="140"/>
    </row>
    <row r="199" spans="1:130" ht="21.6" customHeight="1" x14ac:dyDescent="0.25">
      <c r="A199" s="4" t="s">
        <v>28</v>
      </c>
      <c r="B199" s="4">
        <v>13</v>
      </c>
      <c r="C199" s="166" t="s">
        <v>105</v>
      </c>
      <c r="D199" s="166"/>
      <c r="E199" s="1" t="s">
        <v>116</v>
      </c>
      <c r="F199" s="162">
        <v>56</v>
      </c>
      <c r="G199" s="162">
        <v>13</v>
      </c>
      <c r="H199" s="162">
        <f t="shared" si="370"/>
        <v>69</v>
      </c>
      <c r="I199" s="162">
        <v>61.83</v>
      </c>
      <c r="J199" s="162"/>
      <c r="K199" s="162">
        <f t="shared" si="371"/>
        <v>61.83</v>
      </c>
      <c r="L199" s="163"/>
      <c r="M199" s="414"/>
      <c r="N199" s="46"/>
      <c r="O199" s="164"/>
      <c r="P199" s="165"/>
      <c r="Q199" s="165"/>
      <c r="R199" s="165"/>
      <c r="S199" s="203"/>
      <c r="T199" s="89"/>
      <c r="U199" s="89"/>
      <c r="V199" s="89">
        <f t="shared" si="372"/>
        <v>0</v>
      </c>
      <c r="W199" s="137"/>
      <c r="X199" s="137"/>
      <c r="Y199" s="90">
        <f t="shared" si="373"/>
        <v>0</v>
      </c>
      <c r="Z199" s="169"/>
      <c r="AA199" s="92"/>
      <c r="AB199" s="92"/>
      <c r="AC199" s="92">
        <f t="shared" si="351"/>
        <v>0</v>
      </c>
      <c r="AD199" s="93"/>
      <c r="AE199" s="93"/>
      <c r="AF199" s="94">
        <f t="shared" si="352"/>
        <v>0</v>
      </c>
      <c r="AG199" s="475"/>
      <c r="AH199" s="99"/>
      <c r="AI199" s="99">
        <f t="shared" si="374"/>
        <v>0</v>
      </c>
      <c r="AJ199" s="138"/>
      <c r="AK199" s="138">
        <f t="shared" si="354"/>
        <v>0</v>
      </c>
      <c r="AL199" s="106"/>
      <c r="AM199" s="105"/>
      <c r="AN199" s="105">
        <f t="shared" si="355"/>
        <v>0</v>
      </c>
      <c r="AO199" s="106"/>
      <c r="AP199" s="105"/>
      <c r="AQ199" s="105">
        <f t="shared" si="331"/>
        <v>0</v>
      </c>
      <c r="AR199" s="106"/>
      <c r="AS199" s="97">
        <f t="shared" si="275"/>
        <v>0</v>
      </c>
      <c r="AT199" s="6"/>
      <c r="AU199" s="105"/>
      <c r="AV199" s="455">
        <f t="shared" si="364"/>
        <v>0</v>
      </c>
      <c r="AW199" s="496"/>
      <c r="AX199" s="508"/>
      <c r="AY199" s="498"/>
      <c r="AZ199" s="100">
        <f t="shared" si="356"/>
        <v>0</v>
      </c>
      <c r="BA199" s="106"/>
      <c r="BB199" s="105"/>
      <c r="BC199" s="105">
        <f t="shared" si="357"/>
        <v>0</v>
      </c>
      <c r="BD199" s="106"/>
      <c r="BE199" s="105">
        <f t="shared" si="358"/>
        <v>0</v>
      </c>
      <c r="BF199" s="106"/>
      <c r="BG199" s="100">
        <f t="shared" si="341"/>
        <v>0</v>
      </c>
      <c r="BH199" s="106"/>
      <c r="BI199" s="100">
        <f t="shared" si="342"/>
        <v>0</v>
      </c>
      <c r="BJ199" s="106"/>
      <c r="BK199" s="101">
        <f t="shared" si="276"/>
        <v>0</v>
      </c>
      <c r="BL199" s="106"/>
      <c r="BM199" s="104"/>
      <c r="BN199" s="104">
        <f t="shared" si="359"/>
        <v>0</v>
      </c>
      <c r="BO199" s="105"/>
      <c r="BP199" s="105">
        <f t="shared" si="366"/>
        <v>0</v>
      </c>
      <c r="BQ199" s="106"/>
      <c r="BR199" s="105"/>
      <c r="BS199" s="105">
        <f t="shared" si="257"/>
        <v>0</v>
      </c>
      <c r="BT199" s="106"/>
      <c r="BU199" s="53"/>
      <c r="BV199" s="53">
        <f t="shared" si="360"/>
        <v>0</v>
      </c>
      <c r="BW199" s="54"/>
      <c r="BX199" s="350">
        <f t="shared" si="277"/>
        <v>0</v>
      </c>
      <c r="BY199" s="211"/>
      <c r="BZ199" s="211">
        <f t="shared" si="363"/>
        <v>0</v>
      </c>
      <c r="CA199" s="508"/>
      <c r="CB199" s="165"/>
      <c r="CC199" s="165"/>
      <c r="CD199" s="203"/>
      <c r="CE199" s="504"/>
      <c r="CF199" s="105"/>
      <c r="CG199" s="105">
        <f t="shared" si="311"/>
        <v>0</v>
      </c>
      <c r="CH199" s="105"/>
      <c r="CI199" s="105"/>
      <c r="CJ199" s="105">
        <f t="shared" si="312"/>
        <v>0</v>
      </c>
      <c r="CK199" s="524"/>
      <c r="CL199" s="53">
        <f t="shared" si="365"/>
        <v>0</v>
      </c>
      <c r="CM199" s="54"/>
      <c r="CN199" s="105"/>
      <c r="CO199" s="100">
        <f t="shared" si="367"/>
        <v>0</v>
      </c>
      <c r="CP199" s="496"/>
      <c r="CQ199" s="439"/>
      <c r="CR199" s="504"/>
      <c r="CS199" s="105"/>
      <c r="CT199" s="105">
        <f t="shared" si="289"/>
        <v>0</v>
      </c>
      <c r="CU199" s="105"/>
      <c r="CV199" s="105"/>
      <c r="CW199" s="105">
        <f t="shared" si="290"/>
        <v>0</v>
      </c>
      <c r="CX199" s="53"/>
      <c r="CY199" s="109">
        <f t="shared" si="368"/>
        <v>0</v>
      </c>
      <c r="CZ199" s="54"/>
      <c r="DA199" s="105"/>
      <c r="DB199" s="455">
        <f t="shared" si="278"/>
        <v>0</v>
      </c>
      <c r="DC199" s="495"/>
      <c r="DD199" s="26"/>
      <c r="DF199" s="1133"/>
      <c r="DG199" s="674">
        <f t="shared" si="343"/>
        <v>0</v>
      </c>
      <c r="DH199" s="1119">
        <f t="shared" si="344"/>
        <v>0</v>
      </c>
      <c r="DI199" s="1119"/>
      <c r="DJ199" s="101">
        <f t="shared" si="345"/>
        <v>0</v>
      </c>
      <c r="DK199" s="101"/>
      <c r="DL199" s="101">
        <f t="shared" si="346"/>
        <v>0</v>
      </c>
      <c r="DM199" s="101"/>
      <c r="DN199" s="112"/>
      <c r="DO199" s="112"/>
      <c r="DP199" s="112"/>
      <c r="DQ199" s="112"/>
    </row>
    <row r="200" spans="1:130" s="139" customFormat="1" ht="45.75" customHeight="1" x14ac:dyDescent="0.25">
      <c r="A200" s="4"/>
      <c r="B200" s="4"/>
      <c r="C200" s="153" t="s">
        <v>105</v>
      </c>
      <c r="D200" s="153" t="s">
        <v>431</v>
      </c>
      <c r="E200" s="3" t="s">
        <v>420</v>
      </c>
      <c r="F200" s="135"/>
      <c r="G200" s="135"/>
      <c r="H200" s="135"/>
      <c r="I200" s="135"/>
      <c r="J200" s="135"/>
      <c r="K200" s="135"/>
      <c r="L200" s="136"/>
      <c r="M200" s="5"/>
      <c r="N200" s="41"/>
      <c r="O200" s="6"/>
      <c r="P200" s="7"/>
      <c r="Q200" s="7"/>
      <c r="R200" s="7"/>
      <c r="S200" s="158"/>
      <c r="T200" s="89"/>
      <c r="U200" s="89"/>
      <c r="V200" s="89">
        <f t="shared" si="372"/>
        <v>0</v>
      </c>
      <c r="W200" s="137"/>
      <c r="X200" s="137"/>
      <c r="Y200" s="90">
        <f t="shared" si="373"/>
        <v>0</v>
      </c>
      <c r="Z200" s="91"/>
      <c r="AA200" s="92"/>
      <c r="AB200" s="92"/>
      <c r="AC200" s="92">
        <f t="shared" si="351"/>
        <v>0</v>
      </c>
      <c r="AD200" s="93"/>
      <c r="AE200" s="93"/>
      <c r="AF200" s="94">
        <f t="shared" si="352"/>
        <v>0</v>
      </c>
      <c r="AG200" s="473"/>
      <c r="AH200" s="99">
        <v>285</v>
      </c>
      <c r="AI200" s="99">
        <f t="shared" si="374"/>
        <v>19</v>
      </c>
      <c r="AJ200" s="138">
        <v>285</v>
      </c>
      <c r="AK200" s="138">
        <f t="shared" si="354"/>
        <v>19</v>
      </c>
      <c r="AL200" s="106"/>
      <c r="AM200" s="105"/>
      <c r="AN200" s="105">
        <f t="shared" si="355"/>
        <v>0</v>
      </c>
      <c r="AO200" s="106"/>
      <c r="AP200" s="105"/>
      <c r="AQ200" s="105">
        <f t="shared" si="331"/>
        <v>0</v>
      </c>
      <c r="AR200" s="106"/>
      <c r="AS200" s="97">
        <f t="shared" si="275"/>
        <v>19</v>
      </c>
      <c r="AT200" s="6"/>
      <c r="AU200" s="105"/>
      <c r="AV200" s="455">
        <f t="shared" si="364"/>
        <v>0</v>
      </c>
      <c r="AW200" s="496"/>
      <c r="AX200" s="508"/>
      <c r="AY200" s="498"/>
      <c r="AZ200" s="100"/>
      <c r="BA200" s="106"/>
      <c r="BB200" s="105"/>
      <c r="BC200" s="105">
        <f t="shared" si="357"/>
        <v>0</v>
      </c>
      <c r="BD200" s="106"/>
      <c r="BE200" s="105">
        <f t="shared" si="358"/>
        <v>19</v>
      </c>
      <c r="BF200" s="106"/>
      <c r="BG200" s="100">
        <f t="shared" si="341"/>
        <v>0</v>
      </c>
      <c r="BH200" s="106"/>
      <c r="BI200" s="100">
        <f t="shared" si="342"/>
        <v>0</v>
      </c>
      <c r="BJ200" s="106"/>
      <c r="BK200" s="101">
        <f t="shared" si="276"/>
        <v>19</v>
      </c>
      <c r="BL200" s="106"/>
      <c r="BM200" s="104">
        <v>950</v>
      </c>
      <c r="BN200" s="104">
        <f t="shared" si="359"/>
        <v>19</v>
      </c>
      <c r="BO200" s="105">
        <v>950</v>
      </c>
      <c r="BP200" s="105">
        <f t="shared" si="366"/>
        <v>19</v>
      </c>
      <c r="BQ200" s="106"/>
      <c r="BR200" s="105"/>
      <c r="BS200" s="105">
        <f t="shared" si="257"/>
        <v>0</v>
      </c>
      <c r="BT200" s="106"/>
      <c r="BU200" s="53"/>
      <c r="BV200" s="53">
        <f t="shared" si="360"/>
        <v>0</v>
      </c>
      <c r="BW200" s="54"/>
      <c r="BX200" s="350">
        <f t="shared" si="277"/>
        <v>19</v>
      </c>
      <c r="BY200" s="211"/>
      <c r="BZ200" s="211">
        <f t="shared" si="363"/>
        <v>0</v>
      </c>
      <c r="CA200" s="508"/>
      <c r="CB200" s="7"/>
      <c r="CC200" s="7"/>
      <c r="CD200" s="158"/>
      <c r="CE200" s="504"/>
      <c r="CF200" s="105"/>
      <c r="CG200" s="105">
        <f t="shared" si="311"/>
        <v>0</v>
      </c>
      <c r="CH200" s="105"/>
      <c r="CI200" s="105"/>
      <c r="CJ200" s="105">
        <f t="shared" si="312"/>
        <v>0</v>
      </c>
      <c r="CK200" s="524"/>
      <c r="CL200" s="53">
        <f t="shared" si="365"/>
        <v>0</v>
      </c>
      <c r="CM200" s="54"/>
      <c r="CN200" s="105"/>
      <c r="CO200" s="100">
        <f t="shared" si="367"/>
        <v>0</v>
      </c>
      <c r="CP200" s="496"/>
      <c r="CQ200" s="439"/>
      <c r="CR200" s="504"/>
      <c r="CS200" s="105"/>
      <c r="CT200" s="105">
        <f t="shared" si="289"/>
        <v>0</v>
      </c>
      <c r="CU200" s="105"/>
      <c r="CV200" s="105"/>
      <c r="CW200" s="105">
        <f t="shared" si="290"/>
        <v>0</v>
      </c>
      <c r="CX200" s="53"/>
      <c r="CY200" s="109">
        <f t="shared" si="368"/>
        <v>0</v>
      </c>
      <c r="CZ200" s="54"/>
      <c r="DA200" s="105"/>
      <c r="DB200" s="455">
        <f t="shared" si="278"/>
        <v>0</v>
      </c>
      <c r="DC200" s="495"/>
      <c r="DD200" s="27" t="s">
        <v>409</v>
      </c>
      <c r="DF200" s="1133"/>
      <c r="DG200" s="674">
        <f t="shared" si="343"/>
        <v>0</v>
      </c>
      <c r="DH200" s="1119">
        <f t="shared" si="344"/>
        <v>0</v>
      </c>
      <c r="DI200" s="1119"/>
      <c r="DJ200" s="101">
        <f t="shared" si="345"/>
        <v>19</v>
      </c>
      <c r="DK200" s="101"/>
      <c r="DL200" s="101">
        <f t="shared" si="346"/>
        <v>0</v>
      </c>
      <c r="DM200" s="101"/>
      <c r="DN200" s="112"/>
      <c r="DO200" s="112"/>
      <c r="DP200" s="112"/>
      <c r="DQ200" s="112"/>
      <c r="DS200" s="140"/>
      <c r="DT200" s="140"/>
      <c r="DU200" s="140"/>
      <c r="DV200" s="140"/>
      <c r="DW200" s="140"/>
      <c r="DX200" s="140"/>
      <c r="DY200" s="140"/>
      <c r="DZ200" s="140"/>
    </row>
    <row r="201" spans="1:130" ht="21.6" customHeight="1" x14ac:dyDescent="0.25">
      <c r="A201" s="4" t="s">
        <v>28</v>
      </c>
      <c r="B201" s="4">
        <v>14</v>
      </c>
      <c r="C201" s="166" t="s">
        <v>105</v>
      </c>
      <c r="D201" s="166"/>
      <c r="E201" s="1" t="s">
        <v>117</v>
      </c>
      <c r="F201" s="162">
        <v>32</v>
      </c>
      <c r="G201" s="162">
        <v>17</v>
      </c>
      <c r="H201" s="162">
        <f>F201+G201</f>
        <v>49</v>
      </c>
      <c r="I201" s="162">
        <v>59.51</v>
      </c>
      <c r="J201" s="162">
        <v>0.5</v>
      </c>
      <c r="K201" s="162">
        <f>I201+J201</f>
        <v>60.01</v>
      </c>
      <c r="L201" s="163"/>
      <c r="M201" s="414"/>
      <c r="N201" s="46"/>
      <c r="O201" s="164"/>
      <c r="P201" s="165"/>
      <c r="Q201" s="165"/>
      <c r="R201" s="165"/>
      <c r="S201" s="203"/>
      <c r="T201" s="89"/>
      <c r="U201" s="89"/>
      <c r="V201" s="89">
        <f t="shared" si="372"/>
        <v>0</v>
      </c>
      <c r="W201" s="137"/>
      <c r="X201" s="137"/>
      <c r="Y201" s="90">
        <f t="shared" si="373"/>
        <v>0</v>
      </c>
      <c r="Z201" s="169"/>
      <c r="AA201" s="92"/>
      <c r="AB201" s="92"/>
      <c r="AC201" s="92">
        <f t="shared" si="351"/>
        <v>0</v>
      </c>
      <c r="AD201" s="93"/>
      <c r="AE201" s="93"/>
      <c r="AF201" s="94">
        <f t="shared" si="352"/>
        <v>0</v>
      </c>
      <c r="AG201" s="475"/>
      <c r="AH201" s="99"/>
      <c r="AI201" s="99">
        <f t="shared" si="374"/>
        <v>0</v>
      </c>
      <c r="AJ201" s="138"/>
      <c r="AK201" s="138">
        <f t="shared" si="354"/>
        <v>0</v>
      </c>
      <c r="AL201" s="106"/>
      <c r="AM201" s="105"/>
      <c r="AN201" s="105">
        <f t="shared" si="355"/>
        <v>0</v>
      </c>
      <c r="AO201" s="106"/>
      <c r="AP201" s="105"/>
      <c r="AQ201" s="105">
        <f t="shared" ref="AQ201:AQ223" si="375">AP201/15</f>
        <v>0</v>
      </c>
      <c r="AR201" s="106"/>
      <c r="AS201" s="97">
        <f t="shared" si="275"/>
        <v>0</v>
      </c>
      <c r="AT201" s="6"/>
      <c r="AU201" s="105"/>
      <c r="AV201" s="455">
        <f t="shared" si="364"/>
        <v>0</v>
      </c>
      <c r="AW201" s="496"/>
      <c r="AX201" s="508"/>
      <c r="AY201" s="498"/>
      <c r="AZ201" s="100">
        <f t="shared" ref="AZ201:AZ223" si="376">AY201/15</f>
        <v>0</v>
      </c>
      <c r="BA201" s="106"/>
      <c r="BB201" s="105"/>
      <c r="BC201" s="105">
        <f t="shared" si="357"/>
        <v>0</v>
      </c>
      <c r="BD201" s="106"/>
      <c r="BE201" s="105">
        <f t="shared" si="358"/>
        <v>0</v>
      </c>
      <c r="BF201" s="106"/>
      <c r="BG201" s="100">
        <f t="shared" si="341"/>
        <v>0</v>
      </c>
      <c r="BH201" s="106"/>
      <c r="BI201" s="100">
        <f t="shared" si="342"/>
        <v>0</v>
      </c>
      <c r="BJ201" s="106"/>
      <c r="BK201" s="101">
        <f t="shared" si="276"/>
        <v>0</v>
      </c>
      <c r="BL201" s="106"/>
      <c r="BM201" s="104"/>
      <c r="BN201" s="104">
        <f t="shared" si="359"/>
        <v>0</v>
      </c>
      <c r="BO201" s="105"/>
      <c r="BP201" s="105">
        <f t="shared" si="366"/>
        <v>0</v>
      </c>
      <c r="BQ201" s="106"/>
      <c r="BR201" s="105"/>
      <c r="BS201" s="105">
        <f t="shared" si="257"/>
        <v>0</v>
      </c>
      <c r="BT201" s="106"/>
      <c r="BU201" s="53"/>
      <c r="BV201" s="53">
        <f t="shared" si="360"/>
        <v>0</v>
      </c>
      <c r="BW201" s="54"/>
      <c r="BX201" s="350">
        <f t="shared" si="277"/>
        <v>0</v>
      </c>
      <c r="BY201" s="211"/>
      <c r="BZ201" s="211">
        <f t="shared" si="363"/>
        <v>0</v>
      </c>
      <c r="CA201" s="508"/>
      <c r="CB201" s="165"/>
      <c r="CC201" s="165"/>
      <c r="CD201" s="203"/>
      <c r="CE201" s="504"/>
      <c r="CF201" s="105"/>
      <c r="CG201" s="105">
        <f t="shared" si="311"/>
        <v>0</v>
      </c>
      <c r="CH201" s="105"/>
      <c r="CI201" s="105"/>
      <c r="CJ201" s="105">
        <f t="shared" si="312"/>
        <v>0</v>
      </c>
      <c r="CK201" s="524"/>
      <c r="CL201" s="53">
        <f t="shared" si="365"/>
        <v>0</v>
      </c>
      <c r="CM201" s="54"/>
      <c r="CN201" s="105"/>
      <c r="CO201" s="100">
        <f t="shared" si="367"/>
        <v>0</v>
      </c>
      <c r="CP201" s="496"/>
      <c r="CQ201" s="439"/>
      <c r="CR201" s="504"/>
      <c r="CS201" s="105"/>
      <c r="CT201" s="105">
        <f t="shared" si="289"/>
        <v>0</v>
      </c>
      <c r="CU201" s="105"/>
      <c r="CV201" s="105"/>
      <c r="CW201" s="105">
        <f t="shared" si="290"/>
        <v>0</v>
      </c>
      <c r="CX201" s="53"/>
      <c r="CY201" s="109">
        <f t="shared" si="368"/>
        <v>0</v>
      </c>
      <c r="CZ201" s="54"/>
      <c r="DA201" s="105"/>
      <c r="DB201" s="455">
        <f t="shared" si="278"/>
        <v>0</v>
      </c>
      <c r="DC201" s="495"/>
      <c r="DD201" s="26"/>
      <c r="DF201" s="1133"/>
      <c r="DG201" s="674">
        <f t="shared" si="343"/>
        <v>0</v>
      </c>
      <c r="DH201" s="1119">
        <f t="shared" si="344"/>
        <v>0</v>
      </c>
      <c r="DI201" s="1119"/>
      <c r="DJ201" s="101">
        <f t="shared" si="345"/>
        <v>0</v>
      </c>
      <c r="DK201" s="101"/>
      <c r="DL201" s="101">
        <f t="shared" si="346"/>
        <v>0</v>
      </c>
      <c r="DM201" s="101"/>
      <c r="DN201" s="112"/>
      <c r="DO201" s="112"/>
      <c r="DP201" s="112"/>
      <c r="DQ201" s="112"/>
    </row>
    <row r="202" spans="1:130" s="222" customFormat="1" ht="42.75" customHeight="1" x14ac:dyDescent="0.25">
      <c r="A202" s="207" t="s">
        <v>28</v>
      </c>
      <c r="B202" s="207">
        <v>15</v>
      </c>
      <c r="C202" s="182" t="s">
        <v>105</v>
      </c>
      <c r="D202" s="182" t="s">
        <v>431</v>
      </c>
      <c r="E202" s="17" t="s">
        <v>118</v>
      </c>
      <c r="F202" s="208">
        <v>19</v>
      </c>
      <c r="G202" s="208">
        <v>36</v>
      </c>
      <c r="H202" s="208">
        <f>F202+G202</f>
        <v>55</v>
      </c>
      <c r="I202" s="208">
        <v>52.8</v>
      </c>
      <c r="J202" s="208">
        <v>7.25</v>
      </c>
      <c r="K202" s="208">
        <f>I202+J202</f>
        <v>60.05</v>
      </c>
      <c r="L202" s="209"/>
      <c r="M202" s="210"/>
      <c r="N202" s="177"/>
      <c r="O202" s="211"/>
      <c r="P202" s="212"/>
      <c r="Q202" s="212"/>
      <c r="R202" s="212"/>
      <c r="S202" s="233"/>
      <c r="T202" s="213"/>
      <c r="U202" s="213"/>
      <c r="V202" s="213">
        <f t="shared" si="372"/>
        <v>0</v>
      </c>
      <c r="W202" s="214"/>
      <c r="X202" s="214"/>
      <c r="Y202" s="215">
        <f t="shared" si="373"/>
        <v>0</v>
      </c>
      <c r="Z202" s="216"/>
      <c r="AA202" s="217"/>
      <c r="AB202" s="217"/>
      <c r="AC202" s="217">
        <f t="shared" si="351"/>
        <v>0</v>
      </c>
      <c r="AD202" s="218"/>
      <c r="AE202" s="218"/>
      <c r="AF202" s="261">
        <f t="shared" si="352"/>
        <v>0</v>
      </c>
      <c r="AG202" s="477"/>
      <c r="AH202" s="219">
        <v>225</v>
      </c>
      <c r="AI202" s="219">
        <f t="shared" si="374"/>
        <v>15</v>
      </c>
      <c r="AJ202" s="221">
        <v>225</v>
      </c>
      <c r="AK202" s="221">
        <f t="shared" si="354"/>
        <v>15</v>
      </c>
      <c r="AL202" s="264"/>
      <c r="AM202" s="221"/>
      <c r="AN202" s="221">
        <f t="shared" si="355"/>
        <v>0</v>
      </c>
      <c r="AO202" s="264"/>
      <c r="AP202" s="221"/>
      <c r="AQ202" s="221">
        <f t="shared" si="375"/>
        <v>0</v>
      </c>
      <c r="AR202" s="264"/>
      <c r="AS202" s="97">
        <f t="shared" si="275"/>
        <v>15</v>
      </c>
      <c r="AT202" s="211"/>
      <c r="AU202" s="221"/>
      <c r="AV202" s="455">
        <f t="shared" si="364"/>
        <v>0</v>
      </c>
      <c r="AW202" s="490"/>
      <c r="AX202" s="511"/>
      <c r="AY202" s="500">
        <v>225</v>
      </c>
      <c r="AZ202" s="263">
        <f t="shared" si="376"/>
        <v>15</v>
      </c>
      <c r="BA202" s="264"/>
      <c r="BB202" s="221"/>
      <c r="BC202" s="221">
        <f t="shared" si="357"/>
        <v>0</v>
      </c>
      <c r="BD202" s="264"/>
      <c r="BE202" s="105">
        <f t="shared" si="358"/>
        <v>30</v>
      </c>
      <c r="BF202" s="264"/>
      <c r="BG202" s="100">
        <f t="shared" si="341"/>
        <v>0</v>
      </c>
      <c r="BH202" s="264"/>
      <c r="BI202" s="100">
        <f t="shared" si="342"/>
        <v>0</v>
      </c>
      <c r="BJ202" s="264"/>
      <c r="BK202" s="101">
        <f t="shared" si="276"/>
        <v>30</v>
      </c>
      <c r="BL202" s="264"/>
      <c r="BM202" s="219">
        <v>1500</v>
      </c>
      <c r="BN202" s="219">
        <f t="shared" si="359"/>
        <v>30</v>
      </c>
      <c r="BO202" s="221">
        <v>1450</v>
      </c>
      <c r="BP202" s="105">
        <f t="shared" si="366"/>
        <v>29</v>
      </c>
      <c r="BQ202" s="264"/>
      <c r="BR202" s="221"/>
      <c r="BS202" s="221">
        <f t="shared" si="257"/>
        <v>0</v>
      </c>
      <c r="BT202" s="264"/>
      <c r="BU202" s="256"/>
      <c r="BV202" s="256">
        <f t="shared" si="360"/>
        <v>0</v>
      </c>
      <c r="BW202" s="265"/>
      <c r="BX202" s="350">
        <f t="shared" si="277"/>
        <v>29</v>
      </c>
      <c r="BY202" s="211"/>
      <c r="BZ202" s="211">
        <f t="shared" si="363"/>
        <v>1</v>
      </c>
      <c r="CA202" s="511"/>
      <c r="CB202" s="212"/>
      <c r="CC202" s="212"/>
      <c r="CD202" s="233"/>
      <c r="CE202" s="500"/>
      <c r="CF202" s="221"/>
      <c r="CG202" s="221">
        <f t="shared" si="311"/>
        <v>0</v>
      </c>
      <c r="CH202" s="221"/>
      <c r="CI202" s="221"/>
      <c r="CJ202" s="221">
        <f t="shared" si="312"/>
        <v>0</v>
      </c>
      <c r="CK202" s="528"/>
      <c r="CL202" s="256">
        <f t="shared" si="365"/>
        <v>0</v>
      </c>
      <c r="CM202" s="265"/>
      <c r="CN202" s="221"/>
      <c r="CO202" s="100">
        <f t="shared" si="367"/>
        <v>0</v>
      </c>
      <c r="CP202" s="490"/>
      <c r="CQ202" s="542"/>
      <c r="CR202" s="500"/>
      <c r="CS202" s="221"/>
      <c r="CT202" s="221">
        <f t="shared" si="289"/>
        <v>0</v>
      </c>
      <c r="CU202" s="221"/>
      <c r="CV202" s="221"/>
      <c r="CW202" s="221">
        <f t="shared" si="290"/>
        <v>0</v>
      </c>
      <c r="CX202" s="256"/>
      <c r="CY202" s="109">
        <f t="shared" si="368"/>
        <v>0</v>
      </c>
      <c r="CZ202" s="265"/>
      <c r="DA202" s="221"/>
      <c r="DB202" s="455">
        <f t="shared" si="278"/>
        <v>0</v>
      </c>
      <c r="DC202" s="495"/>
      <c r="DD202" s="28"/>
      <c r="DF202" s="1133"/>
      <c r="DG202" s="674">
        <f t="shared" si="343"/>
        <v>0</v>
      </c>
      <c r="DH202" s="1119">
        <f t="shared" si="344"/>
        <v>0</v>
      </c>
      <c r="DI202" s="1119"/>
      <c r="DJ202" s="101">
        <f t="shared" si="345"/>
        <v>30</v>
      </c>
      <c r="DK202" s="101"/>
      <c r="DL202" s="101">
        <f t="shared" si="346"/>
        <v>0</v>
      </c>
      <c r="DM202" s="101"/>
      <c r="DN202" s="112"/>
      <c r="DO202" s="112"/>
      <c r="DP202" s="112"/>
      <c r="DQ202" s="112"/>
      <c r="DS202" s="223"/>
      <c r="DT202" s="223"/>
      <c r="DU202" s="223"/>
      <c r="DV202" s="223"/>
      <c r="DW202" s="223"/>
      <c r="DX202" s="223"/>
      <c r="DY202" s="223"/>
      <c r="DZ202" s="223"/>
    </row>
    <row r="203" spans="1:130" s="222" customFormat="1" ht="21.6" customHeight="1" x14ac:dyDescent="0.25">
      <c r="A203" s="207"/>
      <c r="B203" s="207"/>
      <c r="C203" s="182" t="s">
        <v>105</v>
      </c>
      <c r="D203" s="182" t="s">
        <v>429</v>
      </c>
      <c r="E203" s="16" t="s">
        <v>621</v>
      </c>
      <c r="F203" s="208"/>
      <c r="G203" s="208"/>
      <c r="H203" s="208"/>
      <c r="I203" s="208"/>
      <c r="J203" s="208"/>
      <c r="K203" s="208"/>
      <c r="L203" s="209"/>
      <c r="M203" s="210"/>
      <c r="N203" s="177"/>
      <c r="O203" s="211"/>
      <c r="P203" s="212"/>
      <c r="Q203" s="212"/>
      <c r="R203" s="212"/>
      <c r="S203" s="233"/>
      <c r="T203" s="213"/>
      <c r="U203" s="213"/>
      <c r="V203" s="213"/>
      <c r="W203" s="214"/>
      <c r="X203" s="214"/>
      <c r="Y203" s="215"/>
      <c r="Z203" s="216"/>
      <c r="AA203" s="217"/>
      <c r="AB203" s="217"/>
      <c r="AC203" s="217"/>
      <c r="AD203" s="218"/>
      <c r="AE203" s="218"/>
      <c r="AF203" s="261"/>
      <c r="AG203" s="477"/>
      <c r="AH203" s="219"/>
      <c r="AI203" s="219"/>
      <c r="AJ203" s="221"/>
      <c r="AK203" s="221"/>
      <c r="AL203" s="264"/>
      <c r="AM203" s="221"/>
      <c r="AN203" s="221">
        <f t="shared" si="355"/>
        <v>0</v>
      </c>
      <c r="AO203" s="264"/>
      <c r="AP203" s="221">
        <v>905</v>
      </c>
      <c r="AQ203" s="221">
        <f t="shared" si="375"/>
        <v>60.333333333333336</v>
      </c>
      <c r="AR203" s="264"/>
      <c r="AS203" s="97">
        <f t="shared" si="275"/>
        <v>60.333333333333336</v>
      </c>
      <c r="AT203" s="211"/>
      <c r="AU203" s="221"/>
      <c r="AV203" s="455">
        <f t="shared" si="364"/>
        <v>0</v>
      </c>
      <c r="AW203" s="490"/>
      <c r="AX203" s="511"/>
      <c r="AY203" s="500"/>
      <c r="AZ203" s="263"/>
      <c r="BA203" s="264"/>
      <c r="BB203" s="221">
        <v>45</v>
      </c>
      <c r="BC203" s="221">
        <f t="shared" si="357"/>
        <v>3</v>
      </c>
      <c r="BD203" s="264"/>
      <c r="BE203" s="105"/>
      <c r="BF203" s="264"/>
      <c r="BG203" s="100">
        <f t="shared" si="341"/>
        <v>63.333333333333336</v>
      </c>
      <c r="BH203" s="264"/>
      <c r="BI203" s="100">
        <f t="shared" si="342"/>
        <v>0</v>
      </c>
      <c r="BJ203" s="264"/>
      <c r="BK203" s="101">
        <f t="shared" si="276"/>
        <v>63.333333333333336</v>
      </c>
      <c r="BL203" s="264"/>
      <c r="BM203" s="219"/>
      <c r="BN203" s="219"/>
      <c r="BO203" s="221"/>
      <c r="BP203" s="105">
        <f t="shared" si="366"/>
        <v>0</v>
      </c>
      <c r="BQ203" s="264"/>
      <c r="BR203" s="221">
        <v>150</v>
      </c>
      <c r="BS203" s="221">
        <f t="shared" si="257"/>
        <v>3</v>
      </c>
      <c r="BT203" s="264"/>
      <c r="BU203" s="256">
        <v>3000</v>
      </c>
      <c r="BV203" s="256">
        <f t="shared" si="360"/>
        <v>60</v>
      </c>
      <c r="BW203" s="265"/>
      <c r="BX203" s="350">
        <f t="shared" si="277"/>
        <v>63</v>
      </c>
      <c r="BY203" s="211"/>
      <c r="BZ203" s="211">
        <f t="shared" si="363"/>
        <v>0.3333333333333357</v>
      </c>
      <c r="CA203" s="511"/>
      <c r="CB203" s="212"/>
      <c r="CC203" s="212"/>
      <c r="CD203" s="233"/>
      <c r="CE203" s="500"/>
      <c r="CF203" s="221"/>
      <c r="CG203" s="221"/>
      <c r="CH203" s="221"/>
      <c r="CI203" s="221"/>
      <c r="CJ203" s="221"/>
      <c r="CK203" s="528"/>
      <c r="CL203" s="256">
        <f t="shared" si="365"/>
        <v>0</v>
      </c>
      <c r="CM203" s="265"/>
      <c r="CN203" s="221"/>
      <c r="CO203" s="100">
        <f t="shared" si="367"/>
        <v>0</v>
      </c>
      <c r="CP203" s="490"/>
      <c r="CQ203" s="542"/>
      <c r="CR203" s="500"/>
      <c r="CS203" s="221"/>
      <c r="CT203" s="221"/>
      <c r="CU203" s="221"/>
      <c r="CV203" s="221"/>
      <c r="CW203" s="221"/>
      <c r="CX203" s="256"/>
      <c r="CY203" s="109">
        <f t="shared" si="368"/>
        <v>0</v>
      </c>
      <c r="CZ203" s="265"/>
      <c r="DA203" s="221"/>
      <c r="DB203" s="455">
        <f t="shared" si="278"/>
        <v>0</v>
      </c>
      <c r="DC203" s="495"/>
      <c r="DD203" s="28"/>
      <c r="DF203" s="1133"/>
      <c r="DG203" s="674">
        <f t="shared" si="343"/>
        <v>0</v>
      </c>
      <c r="DH203" s="1119">
        <f t="shared" si="344"/>
        <v>3</v>
      </c>
      <c r="DI203" s="1119"/>
      <c r="DJ203" s="101">
        <f t="shared" si="345"/>
        <v>63.333333333333336</v>
      </c>
      <c r="DK203" s="101"/>
      <c r="DL203" s="1124">
        <f t="shared" si="346"/>
        <v>0</v>
      </c>
      <c r="DM203" s="1124">
        <f>DL203</f>
        <v>0</v>
      </c>
      <c r="DN203" s="112">
        <f>DJ203</f>
        <v>63.333333333333336</v>
      </c>
      <c r="DO203" s="112"/>
      <c r="DP203" s="112"/>
      <c r="DQ203" s="112"/>
      <c r="DS203" s="223"/>
      <c r="DT203" s="223"/>
      <c r="DU203" s="223"/>
      <c r="DV203" s="223"/>
      <c r="DW203" s="223"/>
      <c r="DX203" s="223"/>
      <c r="DY203" s="223"/>
      <c r="DZ203" s="223"/>
    </row>
    <row r="204" spans="1:130" s="139" customFormat="1" ht="27.75" customHeight="1" x14ac:dyDescent="0.25">
      <c r="A204" s="4"/>
      <c r="B204" s="4"/>
      <c r="C204" s="153" t="s">
        <v>105</v>
      </c>
      <c r="D204" s="153" t="s">
        <v>431</v>
      </c>
      <c r="E204" s="3" t="s">
        <v>301</v>
      </c>
      <c r="F204" s="135"/>
      <c r="G204" s="135"/>
      <c r="H204" s="135"/>
      <c r="I204" s="135"/>
      <c r="J204" s="135"/>
      <c r="K204" s="135"/>
      <c r="L204" s="136"/>
      <c r="M204" s="5"/>
      <c r="N204" s="41"/>
      <c r="O204" s="6"/>
      <c r="P204" s="7"/>
      <c r="Q204" s="7"/>
      <c r="R204" s="7"/>
      <c r="S204" s="158"/>
      <c r="T204" s="89"/>
      <c r="U204" s="89"/>
      <c r="V204" s="89"/>
      <c r="W204" s="137"/>
      <c r="X204" s="137"/>
      <c r="Y204" s="90">
        <f t="shared" si="373"/>
        <v>0</v>
      </c>
      <c r="Z204" s="91"/>
      <c r="AA204" s="92"/>
      <c r="AB204" s="92"/>
      <c r="AC204" s="92">
        <f t="shared" si="351"/>
        <v>0</v>
      </c>
      <c r="AD204" s="93"/>
      <c r="AE204" s="93"/>
      <c r="AF204" s="94">
        <f t="shared" si="352"/>
        <v>0</v>
      </c>
      <c r="AG204" s="473"/>
      <c r="AH204" s="99">
        <f>AI204*15</f>
        <v>75</v>
      </c>
      <c r="AI204" s="99">
        <v>5</v>
      </c>
      <c r="AJ204" s="138">
        <v>75</v>
      </c>
      <c r="AK204" s="138">
        <f t="shared" si="354"/>
        <v>5</v>
      </c>
      <c r="AL204" s="106"/>
      <c r="AM204" s="105"/>
      <c r="AN204" s="105">
        <f t="shared" si="355"/>
        <v>0</v>
      </c>
      <c r="AO204" s="106"/>
      <c r="AP204" s="105"/>
      <c r="AQ204" s="105">
        <f t="shared" si="375"/>
        <v>0</v>
      </c>
      <c r="AR204" s="106"/>
      <c r="AS204" s="97">
        <f t="shared" si="275"/>
        <v>5</v>
      </c>
      <c r="AT204" s="6"/>
      <c r="AU204" s="105"/>
      <c r="AV204" s="455">
        <f t="shared" si="364"/>
        <v>0</v>
      </c>
      <c r="AW204" s="496"/>
      <c r="AX204" s="508"/>
      <c r="AY204" s="498">
        <v>75</v>
      </c>
      <c r="AZ204" s="100">
        <f t="shared" si="376"/>
        <v>5</v>
      </c>
      <c r="BA204" s="106"/>
      <c r="BB204" s="105"/>
      <c r="BC204" s="105">
        <f t="shared" si="357"/>
        <v>0</v>
      </c>
      <c r="BD204" s="106"/>
      <c r="BE204" s="105">
        <f t="shared" ref="BE204:BE223" si="377">AK204+AZ204</f>
        <v>10</v>
      </c>
      <c r="BF204" s="106"/>
      <c r="BG204" s="100">
        <f t="shared" si="341"/>
        <v>0</v>
      </c>
      <c r="BH204" s="106"/>
      <c r="BI204" s="100">
        <f t="shared" si="342"/>
        <v>0</v>
      </c>
      <c r="BJ204" s="106"/>
      <c r="BK204" s="101">
        <f t="shared" si="276"/>
        <v>10</v>
      </c>
      <c r="BL204" s="106"/>
      <c r="BM204" s="104">
        <v>500</v>
      </c>
      <c r="BN204" s="104">
        <f t="shared" si="359"/>
        <v>10</v>
      </c>
      <c r="BO204" s="105">
        <v>500</v>
      </c>
      <c r="BP204" s="105">
        <f t="shared" si="366"/>
        <v>10</v>
      </c>
      <c r="BQ204" s="106"/>
      <c r="BR204" s="105"/>
      <c r="BS204" s="105">
        <f t="shared" ref="BS204:BS271" si="378">BR204/50</f>
        <v>0</v>
      </c>
      <c r="BT204" s="106"/>
      <c r="BU204" s="53"/>
      <c r="BV204" s="53">
        <f t="shared" si="360"/>
        <v>0</v>
      </c>
      <c r="BW204" s="54"/>
      <c r="BX204" s="350">
        <f t="shared" si="277"/>
        <v>10</v>
      </c>
      <c r="BY204" s="211"/>
      <c r="BZ204" s="211">
        <f t="shared" si="363"/>
        <v>0</v>
      </c>
      <c r="CA204" s="508"/>
      <c r="CB204" s="7"/>
      <c r="CC204" s="7"/>
      <c r="CD204" s="158"/>
      <c r="CE204" s="504"/>
      <c r="CF204" s="105"/>
      <c r="CG204" s="105">
        <f t="shared" ref="CG204:CG245" si="379">CE204+CF204</f>
        <v>0</v>
      </c>
      <c r="CH204" s="105"/>
      <c r="CI204" s="105"/>
      <c r="CJ204" s="105">
        <f t="shared" ref="CJ204:CJ245" si="380">CH204+CI204</f>
        <v>0</v>
      </c>
      <c r="CK204" s="524"/>
      <c r="CL204" s="53">
        <f t="shared" si="365"/>
        <v>0</v>
      </c>
      <c r="CM204" s="54"/>
      <c r="CN204" s="105"/>
      <c r="CO204" s="100">
        <f t="shared" si="367"/>
        <v>0</v>
      </c>
      <c r="CP204" s="496"/>
      <c r="CQ204" s="439"/>
      <c r="CR204" s="504"/>
      <c r="CS204" s="105"/>
      <c r="CT204" s="105">
        <f t="shared" si="289"/>
        <v>0</v>
      </c>
      <c r="CU204" s="105"/>
      <c r="CV204" s="105"/>
      <c r="CW204" s="105">
        <f t="shared" si="290"/>
        <v>0</v>
      </c>
      <c r="CX204" s="53"/>
      <c r="CY204" s="109">
        <f t="shared" si="368"/>
        <v>0</v>
      </c>
      <c r="CZ204" s="54"/>
      <c r="DA204" s="105"/>
      <c r="DB204" s="455">
        <f t="shared" si="278"/>
        <v>0</v>
      </c>
      <c r="DC204" s="495"/>
      <c r="DD204" s="27"/>
      <c r="DF204" s="1133"/>
      <c r="DG204" s="674">
        <f t="shared" si="343"/>
        <v>0</v>
      </c>
      <c r="DH204" s="1119">
        <f t="shared" si="344"/>
        <v>0</v>
      </c>
      <c r="DI204" s="1119"/>
      <c r="DJ204" s="101">
        <f t="shared" si="345"/>
        <v>10</v>
      </c>
      <c r="DK204" s="101"/>
      <c r="DL204" s="101">
        <f t="shared" si="346"/>
        <v>0</v>
      </c>
      <c r="DM204" s="101"/>
      <c r="DN204" s="112"/>
      <c r="DO204" s="112"/>
      <c r="DP204" s="112"/>
      <c r="DQ204" s="112"/>
      <c r="DS204" s="140"/>
      <c r="DT204" s="140"/>
      <c r="DU204" s="140"/>
      <c r="DV204" s="140"/>
      <c r="DW204" s="140"/>
      <c r="DX204" s="140"/>
      <c r="DY204" s="140"/>
      <c r="DZ204" s="140"/>
    </row>
    <row r="205" spans="1:130" ht="21.6" customHeight="1" x14ac:dyDescent="0.25">
      <c r="A205" s="4"/>
      <c r="B205" s="4"/>
      <c r="C205" s="166" t="s">
        <v>105</v>
      </c>
      <c r="D205" s="166" t="s">
        <v>429</v>
      </c>
      <c r="E205" s="1" t="s">
        <v>549</v>
      </c>
      <c r="F205" s="162"/>
      <c r="G205" s="162"/>
      <c r="H205" s="162"/>
      <c r="I205" s="162"/>
      <c r="J205" s="162"/>
      <c r="K205" s="162"/>
      <c r="L205" s="163"/>
      <c r="M205" s="414"/>
      <c r="N205" s="46"/>
      <c r="O205" s="164"/>
      <c r="P205" s="165"/>
      <c r="Q205" s="165"/>
      <c r="R205" s="165"/>
      <c r="S205" s="203"/>
      <c r="T205" s="89"/>
      <c r="U205" s="89"/>
      <c r="V205" s="89"/>
      <c r="W205" s="137"/>
      <c r="X205" s="137"/>
      <c r="Y205" s="90"/>
      <c r="Z205" s="169"/>
      <c r="AA205" s="92"/>
      <c r="AB205" s="92"/>
      <c r="AC205" s="92">
        <f t="shared" si="351"/>
        <v>0</v>
      </c>
      <c r="AD205" s="93"/>
      <c r="AE205" s="93"/>
      <c r="AF205" s="94">
        <f t="shared" si="352"/>
        <v>0</v>
      </c>
      <c r="AG205" s="475"/>
      <c r="AH205" s="99"/>
      <c r="AI205" s="99"/>
      <c r="AJ205" s="138">
        <v>570</v>
      </c>
      <c r="AK205" s="138">
        <f t="shared" si="354"/>
        <v>38</v>
      </c>
      <c r="AL205" s="106"/>
      <c r="AM205" s="105"/>
      <c r="AN205" s="105">
        <f t="shared" si="355"/>
        <v>0</v>
      </c>
      <c r="AO205" s="106"/>
      <c r="AP205" s="105">
        <v>480</v>
      </c>
      <c r="AQ205" s="105">
        <f t="shared" si="375"/>
        <v>32</v>
      </c>
      <c r="AR205" s="106"/>
      <c r="AS205" s="97">
        <f t="shared" si="275"/>
        <v>70</v>
      </c>
      <c r="AT205" s="6"/>
      <c r="AU205" s="105"/>
      <c r="AV205" s="455">
        <f t="shared" si="364"/>
        <v>0</v>
      </c>
      <c r="AW205" s="496"/>
      <c r="AX205" s="508"/>
      <c r="AY205" s="498">
        <v>480</v>
      </c>
      <c r="AZ205" s="100">
        <f t="shared" si="376"/>
        <v>32</v>
      </c>
      <c r="BA205" s="106"/>
      <c r="BB205" s="105"/>
      <c r="BC205" s="105">
        <f t="shared" si="357"/>
        <v>0</v>
      </c>
      <c r="BD205" s="106"/>
      <c r="BE205" s="105">
        <f t="shared" si="377"/>
        <v>70</v>
      </c>
      <c r="BF205" s="106"/>
      <c r="BG205" s="100">
        <f t="shared" si="341"/>
        <v>32</v>
      </c>
      <c r="BH205" s="106"/>
      <c r="BI205" s="100">
        <f t="shared" si="342"/>
        <v>0</v>
      </c>
      <c r="BJ205" s="106"/>
      <c r="BK205" s="101">
        <f t="shared" si="276"/>
        <v>102</v>
      </c>
      <c r="BL205" s="106"/>
      <c r="BM205" s="104"/>
      <c r="BN205" s="104"/>
      <c r="BO205" s="105">
        <v>3500</v>
      </c>
      <c r="BP205" s="105">
        <f t="shared" si="366"/>
        <v>70</v>
      </c>
      <c r="BQ205" s="106"/>
      <c r="BR205" s="105"/>
      <c r="BS205" s="105">
        <f t="shared" si="378"/>
        <v>0</v>
      </c>
      <c r="BT205" s="106"/>
      <c r="BU205" s="53">
        <v>1600</v>
      </c>
      <c r="BV205" s="53">
        <f t="shared" si="360"/>
        <v>32</v>
      </c>
      <c r="BW205" s="54"/>
      <c r="BX205" s="350">
        <f t="shared" si="277"/>
        <v>102</v>
      </c>
      <c r="BY205" s="211"/>
      <c r="BZ205" s="211">
        <f t="shared" si="363"/>
        <v>0</v>
      </c>
      <c r="CA205" s="508"/>
      <c r="CB205" s="165"/>
      <c r="CC205" s="165"/>
      <c r="CD205" s="203"/>
      <c r="CE205" s="504">
        <v>18</v>
      </c>
      <c r="CF205" s="105">
        <v>6</v>
      </c>
      <c r="CG205" s="105">
        <f t="shared" si="379"/>
        <v>24</v>
      </c>
      <c r="CH205" s="105">
        <v>34</v>
      </c>
      <c r="CI205" s="105"/>
      <c r="CJ205" s="105">
        <f t="shared" si="380"/>
        <v>34</v>
      </c>
      <c r="CK205" s="524"/>
      <c r="CL205" s="53">
        <f t="shared" si="365"/>
        <v>0</v>
      </c>
      <c r="CM205" s="54"/>
      <c r="CN205" s="105"/>
      <c r="CO205" s="100">
        <f t="shared" si="367"/>
        <v>0</v>
      </c>
      <c r="CP205" s="496"/>
      <c r="CQ205" s="439"/>
      <c r="CR205" s="504">
        <v>18</v>
      </c>
      <c r="CS205" s="105">
        <v>6</v>
      </c>
      <c r="CT205" s="105">
        <f t="shared" si="289"/>
        <v>24</v>
      </c>
      <c r="CU205" s="105">
        <v>34</v>
      </c>
      <c r="CV205" s="105"/>
      <c r="CW205" s="105">
        <f t="shared" si="290"/>
        <v>34</v>
      </c>
      <c r="CX205" s="53"/>
      <c r="CY205" s="109">
        <f t="shared" si="368"/>
        <v>0</v>
      </c>
      <c r="CZ205" s="54"/>
      <c r="DA205" s="105"/>
      <c r="DB205" s="455">
        <f t="shared" si="278"/>
        <v>0</v>
      </c>
      <c r="DC205" s="495"/>
      <c r="DD205" s="25"/>
      <c r="DF205" s="1133"/>
      <c r="DG205" s="674">
        <f t="shared" si="343"/>
        <v>0</v>
      </c>
      <c r="DH205" s="1119">
        <f t="shared" si="344"/>
        <v>0</v>
      </c>
      <c r="DI205" s="1119"/>
      <c r="DJ205" s="101">
        <f t="shared" si="345"/>
        <v>102</v>
      </c>
      <c r="DK205" s="101"/>
      <c r="DL205" s="101">
        <f t="shared" si="346"/>
        <v>48</v>
      </c>
      <c r="DM205" s="101">
        <f t="shared" ref="DM205:DM208" si="381">DL205</f>
        <v>48</v>
      </c>
      <c r="DN205" s="112">
        <f>DJ205</f>
        <v>102</v>
      </c>
      <c r="DO205" s="112"/>
      <c r="DP205" s="112"/>
      <c r="DQ205" s="112"/>
    </row>
    <row r="206" spans="1:130" ht="21.6" customHeight="1" x14ac:dyDescent="0.25">
      <c r="A206" s="4"/>
      <c r="B206" s="4"/>
      <c r="C206" s="134" t="s">
        <v>105</v>
      </c>
      <c r="D206" s="134" t="s">
        <v>429</v>
      </c>
      <c r="E206" s="16" t="s">
        <v>418</v>
      </c>
      <c r="F206" s="135"/>
      <c r="G206" s="135"/>
      <c r="H206" s="135"/>
      <c r="I206" s="135"/>
      <c r="J206" s="135"/>
      <c r="K206" s="135"/>
      <c r="L206" s="136"/>
      <c r="M206" s="5"/>
      <c r="N206" s="41"/>
      <c r="O206" s="6"/>
      <c r="P206" s="7"/>
      <c r="Q206" s="7"/>
      <c r="R206" s="7"/>
      <c r="S206" s="158"/>
      <c r="T206" s="89"/>
      <c r="U206" s="89"/>
      <c r="V206" s="89">
        <f>T206+U206</f>
        <v>0</v>
      </c>
      <c r="W206" s="137"/>
      <c r="X206" s="137"/>
      <c r="Y206" s="90">
        <f>W206+X206</f>
        <v>0</v>
      </c>
      <c r="Z206" s="91"/>
      <c r="AA206" s="92"/>
      <c r="AB206" s="92"/>
      <c r="AC206" s="92">
        <f t="shared" si="351"/>
        <v>0</v>
      </c>
      <c r="AD206" s="93"/>
      <c r="AE206" s="93"/>
      <c r="AF206" s="94">
        <f t="shared" si="352"/>
        <v>0</v>
      </c>
      <c r="AG206" s="473"/>
      <c r="AH206" s="99">
        <v>199.5</v>
      </c>
      <c r="AI206" s="99">
        <f>AH206/15</f>
        <v>13.3</v>
      </c>
      <c r="AJ206" s="138">
        <v>195</v>
      </c>
      <c r="AK206" s="138">
        <f t="shared" si="354"/>
        <v>13</v>
      </c>
      <c r="AL206" s="106"/>
      <c r="AM206" s="105"/>
      <c r="AN206" s="105">
        <f t="shared" si="355"/>
        <v>0</v>
      </c>
      <c r="AO206" s="106"/>
      <c r="AP206" s="105"/>
      <c r="AQ206" s="105">
        <f t="shared" si="375"/>
        <v>0</v>
      </c>
      <c r="AR206" s="106"/>
      <c r="AS206" s="97">
        <f t="shared" si="275"/>
        <v>13</v>
      </c>
      <c r="AT206" s="6"/>
      <c r="AU206" s="105"/>
      <c r="AV206" s="455">
        <f t="shared" si="364"/>
        <v>0</v>
      </c>
      <c r="AW206" s="496"/>
      <c r="AX206" s="508"/>
      <c r="AY206" s="498">
        <v>215</v>
      </c>
      <c r="AZ206" s="100">
        <f t="shared" si="376"/>
        <v>14.333333333333334</v>
      </c>
      <c r="BA206" s="106"/>
      <c r="BB206" s="105"/>
      <c r="BC206" s="105">
        <f t="shared" si="357"/>
        <v>0</v>
      </c>
      <c r="BD206" s="106"/>
      <c r="BE206" s="105">
        <f t="shared" si="377"/>
        <v>27.333333333333336</v>
      </c>
      <c r="BF206" s="106"/>
      <c r="BG206" s="100">
        <f t="shared" si="341"/>
        <v>0</v>
      </c>
      <c r="BH206" s="106"/>
      <c r="BI206" s="100">
        <f t="shared" si="342"/>
        <v>0</v>
      </c>
      <c r="BJ206" s="106"/>
      <c r="BK206" s="101">
        <f t="shared" si="276"/>
        <v>27.333333333333336</v>
      </c>
      <c r="BL206" s="106"/>
      <c r="BM206" s="104">
        <v>1650</v>
      </c>
      <c r="BN206" s="104">
        <f>BM206/50</f>
        <v>33</v>
      </c>
      <c r="BO206" s="105">
        <v>1350</v>
      </c>
      <c r="BP206" s="105">
        <f t="shared" si="366"/>
        <v>27</v>
      </c>
      <c r="BQ206" s="106"/>
      <c r="BR206" s="105"/>
      <c r="BS206" s="105">
        <f t="shared" si="378"/>
        <v>0</v>
      </c>
      <c r="BT206" s="106"/>
      <c r="BU206" s="53"/>
      <c r="BV206" s="53">
        <f t="shared" si="360"/>
        <v>0</v>
      </c>
      <c r="BW206" s="54"/>
      <c r="BX206" s="350">
        <f t="shared" si="277"/>
        <v>27</v>
      </c>
      <c r="BY206" s="211"/>
      <c r="BZ206" s="211">
        <f t="shared" si="363"/>
        <v>0.3333333333333357</v>
      </c>
      <c r="CA206" s="508"/>
      <c r="CB206" s="7"/>
      <c r="CC206" s="7"/>
      <c r="CD206" s="158"/>
      <c r="CE206" s="504"/>
      <c r="CF206" s="105"/>
      <c r="CG206" s="105">
        <f t="shared" si="379"/>
        <v>0</v>
      </c>
      <c r="CH206" s="105"/>
      <c r="CI206" s="105"/>
      <c r="CJ206" s="105">
        <f t="shared" si="380"/>
        <v>0</v>
      </c>
      <c r="CK206" s="524"/>
      <c r="CL206" s="53">
        <f t="shared" si="365"/>
        <v>0</v>
      </c>
      <c r="CM206" s="54"/>
      <c r="CN206" s="105"/>
      <c r="CO206" s="100">
        <f t="shared" si="367"/>
        <v>0</v>
      </c>
      <c r="CP206" s="496"/>
      <c r="CQ206" s="439"/>
      <c r="CR206" s="504"/>
      <c r="CS206" s="105"/>
      <c r="CT206" s="105">
        <f t="shared" si="289"/>
        <v>0</v>
      </c>
      <c r="CU206" s="105"/>
      <c r="CV206" s="105"/>
      <c r="CW206" s="105">
        <f t="shared" si="290"/>
        <v>0</v>
      </c>
      <c r="CX206" s="53"/>
      <c r="CY206" s="109">
        <f t="shared" si="368"/>
        <v>0</v>
      </c>
      <c r="CZ206" s="54"/>
      <c r="DA206" s="105"/>
      <c r="DB206" s="455">
        <f t="shared" si="278"/>
        <v>0</v>
      </c>
      <c r="DC206" s="495"/>
      <c r="DD206" s="24" t="s">
        <v>393</v>
      </c>
      <c r="DE206" s="139"/>
      <c r="DF206" s="1133"/>
      <c r="DG206" s="674">
        <f t="shared" si="343"/>
        <v>0</v>
      </c>
      <c r="DH206" s="1119">
        <f t="shared" si="344"/>
        <v>0</v>
      </c>
      <c r="DI206" s="1119"/>
      <c r="DJ206" s="101">
        <f t="shared" si="345"/>
        <v>27.333333333333336</v>
      </c>
      <c r="DK206" s="101"/>
      <c r="DL206" s="101">
        <f t="shared" si="346"/>
        <v>0</v>
      </c>
      <c r="DM206" s="101">
        <f t="shared" si="381"/>
        <v>0</v>
      </c>
      <c r="DN206" s="112">
        <f>DJ206</f>
        <v>27.333333333333336</v>
      </c>
      <c r="DO206" s="112"/>
      <c r="DP206" s="112"/>
      <c r="DQ206" s="112"/>
      <c r="DR206" s="139"/>
      <c r="DS206" s="140"/>
      <c r="DT206" s="140"/>
      <c r="DU206" s="140"/>
    </row>
    <row r="207" spans="1:130" s="139" customFormat="1" ht="21.6" customHeight="1" x14ac:dyDescent="0.25">
      <c r="A207" s="4" t="s">
        <v>28</v>
      </c>
      <c r="B207" s="4">
        <v>16</v>
      </c>
      <c r="C207" s="166" t="s">
        <v>105</v>
      </c>
      <c r="D207" s="166"/>
      <c r="E207" s="1" t="s">
        <v>119</v>
      </c>
      <c r="F207" s="162">
        <v>111</v>
      </c>
      <c r="G207" s="162">
        <v>32</v>
      </c>
      <c r="H207" s="162">
        <f>F207+G207</f>
        <v>143</v>
      </c>
      <c r="I207" s="162">
        <v>78.86</v>
      </c>
      <c r="J207" s="162"/>
      <c r="K207" s="162">
        <f>I207+J207</f>
        <v>78.86</v>
      </c>
      <c r="L207" s="163"/>
      <c r="M207" s="414"/>
      <c r="N207" s="46"/>
      <c r="O207" s="164"/>
      <c r="P207" s="165"/>
      <c r="Q207" s="165"/>
      <c r="R207" s="165"/>
      <c r="S207" s="203"/>
      <c r="T207" s="89"/>
      <c r="U207" s="89"/>
      <c r="V207" s="89">
        <f>T207+U207</f>
        <v>0</v>
      </c>
      <c r="W207" s="137"/>
      <c r="X207" s="137"/>
      <c r="Y207" s="90">
        <f>W207+X207</f>
        <v>0</v>
      </c>
      <c r="Z207" s="169"/>
      <c r="AA207" s="92"/>
      <c r="AB207" s="92"/>
      <c r="AC207" s="92">
        <f t="shared" si="351"/>
        <v>0</v>
      </c>
      <c r="AD207" s="93"/>
      <c r="AE207" s="93"/>
      <c r="AF207" s="94">
        <f t="shared" si="352"/>
        <v>0</v>
      </c>
      <c r="AG207" s="475"/>
      <c r="AH207" s="99"/>
      <c r="AI207" s="99">
        <f>AH207/15</f>
        <v>0</v>
      </c>
      <c r="AJ207" s="138"/>
      <c r="AK207" s="138">
        <f t="shared" si="354"/>
        <v>0</v>
      </c>
      <c r="AL207" s="106"/>
      <c r="AM207" s="105"/>
      <c r="AN207" s="105">
        <f t="shared" si="355"/>
        <v>0</v>
      </c>
      <c r="AO207" s="106"/>
      <c r="AP207" s="105"/>
      <c r="AQ207" s="105">
        <f t="shared" si="375"/>
        <v>0</v>
      </c>
      <c r="AR207" s="106"/>
      <c r="AS207" s="97">
        <f t="shared" si="275"/>
        <v>0</v>
      </c>
      <c r="AT207" s="6"/>
      <c r="AU207" s="105"/>
      <c r="AV207" s="455">
        <f t="shared" si="364"/>
        <v>0</v>
      </c>
      <c r="AW207" s="496"/>
      <c r="AX207" s="508"/>
      <c r="AY207" s="498"/>
      <c r="AZ207" s="100">
        <f t="shared" si="376"/>
        <v>0</v>
      </c>
      <c r="BA207" s="106"/>
      <c r="BB207" s="105"/>
      <c r="BC207" s="105">
        <f t="shared" si="357"/>
        <v>0</v>
      </c>
      <c r="BD207" s="106"/>
      <c r="BE207" s="105">
        <f t="shared" si="377"/>
        <v>0</v>
      </c>
      <c r="BF207" s="106"/>
      <c r="BG207" s="100">
        <f t="shared" si="341"/>
        <v>0</v>
      </c>
      <c r="BH207" s="106"/>
      <c r="BI207" s="100">
        <f t="shared" si="342"/>
        <v>0</v>
      </c>
      <c r="BJ207" s="106"/>
      <c r="BK207" s="101">
        <f t="shared" si="276"/>
        <v>0</v>
      </c>
      <c r="BL207" s="106"/>
      <c r="BM207" s="104"/>
      <c r="BN207" s="104">
        <f>BM207/50</f>
        <v>0</v>
      </c>
      <c r="BO207" s="105"/>
      <c r="BP207" s="105">
        <f t="shared" si="366"/>
        <v>0</v>
      </c>
      <c r="BQ207" s="106"/>
      <c r="BR207" s="105"/>
      <c r="BS207" s="105">
        <f t="shared" si="378"/>
        <v>0</v>
      </c>
      <c r="BT207" s="106"/>
      <c r="BU207" s="53"/>
      <c r="BV207" s="53">
        <f t="shared" si="360"/>
        <v>0</v>
      </c>
      <c r="BW207" s="54"/>
      <c r="BX207" s="350">
        <f t="shared" si="277"/>
        <v>0</v>
      </c>
      <c r="BY207" s="211"/>
      <c r="BZ207" s="211">
        <f t="shared" si="363"/>
        <v>0</v>
      </c>
      <c r="CA207" s="508"/>
      <c r="CB207" s="165"/>
      <c r="CC207" s="165"/>
      <c r="CD207" s="203"/>
      <c r="CE207" s="504"/>
      <c r="CF207" s="105"/>
      <c r="CG207" s="105">
        <f t="shared" si="379"/>
        <v>0</v>
      </c>
      <c r="CH207" s="105"/>
      <c r="CI207" s="105"/>
      <c r="CJ207" s="105">
        <f t="shared" si="380"/>
        <v>0</v>
      </c>
      <c r="CK207" s="524"/>
      <c r="CL207" s="53">
        <f t="shared" si="365"/>
        <v>0</v>
      </c>
      <c r="CM207" s="54"/>
      <c r="CN207" s="105"/>
      <c r="CO207" s="100">
        <f t="shared" si="367"/>
        <v>0</v>
      </c>
      <c r="CP207" s="496"/>
      <c r="CQ207" s="439"/>
      <c r="CR207" s="504"/>
      <c r="CS207" s="105"/>
      <c r="CT207" s="105">
        <f t="shared" si="289"/>
        <v>0</v>
      </c>
      <c r="CU207" s="105"/>
      <c r="CV207" s="105"/>
      <c r="CW207" s="105">
        <f t="shared" si="290"/>
        <v>0</v>
      </c>
      <c r="CX207" s="53"/>
      <c r="CY207" s="109">
        <f t="shared" si="368"/>
        <v>0</v>
      </c>
      <c r="CZ207" s="54"/>
      <c r="DA207" s="105"/>
      <c r="DB207" s="455">
        <f t="shared" si="278"/>
        <v>0</v>
      </c>
      <c r="DC207" s="495"/>
      <c r="DD207" s="25"/>
      <c r="DE207" s="44"/>
      <c r="DF207" s="1133"/>
      <c r="DG207" s="674">
        <f t="shared" si="343"/>
        <v>0</v>
      </c>
      <c r="DH207" s="1119">
        <f t="shared" si="344"/>
        <v>0</v>
      </c>
      <c r="DI207" s="1119"/>
      <c r="DJ207" s="101">
        <f t="shared" si="345"/>
        <v>0</v>
      </c>
      <c r="DK207" s="101"/>
      <c r="DL207" s="101">
        <f t="shared" si="346"/>
        <v>0</v>
      </c>
      <c r="DM207" s="101"/>
      <c r="DN207" s="112"/>
      <c r="DO207" s="112"/>
      <c r="DP207" s="112"/>
      <c r="DQ207" s="112"/>
      <c r="DR207" s="44"/>
      <c r="DS207" s="45"/>
      <c r="DT207" s="45"/>
      <c r="DU207" s="45"/>
      <c r="DV207" s="140"/>
      <c r="DW207" s="140"/>
      <c r="DX207" s="140"/>
      <c r="DY207" s="140"/>
      <c r="DZ207" s="140"/>
    </row>
    <row r="208" spans="1:130" s="139" customFormat="1" ht="21.6" customHeight="1" x14ac:dyDescent="0.25">
      <c r="A208" s="4"/>
      <c r="B208" s="4"/>
      <c r="C208" s="182" t="s">
        <v>105</v>
      </c>
      <c r="D208" s="182" t="s">
        <v>429</v>
      </c>
      <c r="E208" s="16" t="s">
        <v>550</v>
      </c>
      <c r="F208" s="135"/>
      <c r="G208" s="135"/>
      <c r="H208" s="135"/>
      <c r="I208" s="135"/>
      <c r="J208" s="135"/>
      <c r="K208" s="135"/>
      <c r="L208" s="136"/>
      <c r="M208" s="5"/>
      <c r="N208" s="41"/>
      <c r="O208" s="6"/>
      <c r="P208" s="7"/>
      <c r="Q208" s="7"/>
      <c r="R208" s="7"/>
      <c r="S208" s="158"/>
      <c r="T208" s="89"/>
      <c r="U208" s="89"/>
      <c r="V208" s="89"/>
      <c r="W208" s="137"/>
      <c r="X208" s="137"/>
      <c r="Y208" s="90"/>
      <c r="Z208" s="91"/>
      <c r="AA208" s="92"/>
      <c r="AB208" s="92"/>
      <c r="AC208" s="92">
        <f t="shared" si="351"/>
        <v>0</v>
      </c>
      <c r="AD208" s="93"/>
      <c r="AE208" s="93"/>
      <c r="AF208" s="94">
        <f t="shared" si="352"/>
        <v>0</v>
      </c>
      <c r="AG208" s="473"/>
      <c r="AH208" s="99"/>
      <c r="AI208" s="99"/>
      <c r="AJ208" s="138">
        <v>470</v>
      </c>
      <c r="AK208" s="138">
        <f t="shared" si="354"/>
        <v>31.333333333333332</v>
      </c>
      <c r="AL208" s="106"/>
      <c r="AM208" s="105"/>
      <c r="AN208" s="105">
        <f t="shared" si="355"/>
        <v>0</v>
      </c>
      <c r="AO208" s="106"/>
      <c r="AP208" s="105"/>
      <c r="AQ208" s="105">
        <f t="shared" si="375"/>
        <v>0</v>
      </c>
      <c r="AR208" s="106"/>
      <c r="AS208" s="97">
        <f t="shared" si="275"/>
        <v>31.333333333333332</v>
      </c>
      <c r="AT208" s="6"/>
      <c r="AU208" s="105"/>
      <c r="AV208" s="455">
        <f t="shared" si="364"/>
        <v>0</v>
      </c>
      <c r="AW208" s="496"/>
      <c r="AX208" s="508"/>
      <c r="AY208" s="498">
        <v>125</v>
      </c>
      <c r="AZ208" s="100">
        <f t="shared" si="376"/>
        <v>8.3333333333333339</v>
      </c>
      <c r="BA208" s="106"/>
      <c r="BB208" s="105"/>
      <c r="BC208" s="105">
        <f t="shared" si="357"/>
        <v>0</v>
      </c>
      <c r="BD208" s="106"/>
      <c r="BE208" s="105">
        <f t="shared" si="377"/>
        <v>39.666666666666664</v>
      </c>
      <c r="BF208" s="106"/>
      <c r="BG208" s="100">
        <f t="shared" si="341"/>
        <v>0</v>
      </c>
      <c r="BH208" s="106"/>
      <c r="BI208" s="100">
        <f t="shared" si="342"/>
        <v>0</v>
      </c>
      <c r="BJ208" s="106"/>
      <c r="BK208" s="101">
        <f t="shared" si="276"/>
        <v>39.666666666666664</v>
      </c>
      <c r="BL208" s="106"/>
      <c r="BM208" s="104"/>
      <c r="BN208" s="104"/>
      <c r="BO208" s="105">
        <v>1950</v>
      </c>
      <c r="BP208" s="105">
        <f t="shared" si="366"/>
        <v>39</v>
      </c>
      <c r="BQ208" s="106"/>
      <c r="BR208" s="105"/>
      <c r="BS208" s="105">
        <f t="shared" si="378"/>
        <v>0</v>
      </c>
      <c r="BT208" s="106"/>
      <c r="BU208" s="53"/>
      <c r="BV208" s="53">
        <f t="shared" si="360"/>
        <v>0</v>
      </c>
      <c r="BW208" s="54"/>
      <c r="BX208" s="350">
        <f t="shared" si="277"/>
        <v>39</v>
      </c>
      <c r="BY208" s="211"/>
      <c r="BZ208" s="211">
        <f t="shared" si="363"/>
        <v>0.6666666666666643</v>
      </c>
      <c r="CA208" s="508"/>
      <c r="CB208" s="7"/>
      <c r="CC208" s="7"/>
      <c r="CD208" s="158"/>
      <c r="CE208" s="504"/>
      <c r="CF208" s="105"/>
      <c r="CG208" s="105">
        <f t="shared" si="379"/>
        <v>0</v>
      </c>
      <c r="CH208" s="105"/>
      <c r="CI208" s="105"/>
      <c r="CJ208" s="105">
        <f t="shared" si="380"/>
        <v>0</v>
      </c>
      <c r="CK208" s="524"/>
      <c r="CL208" s="53">
        <f t="shared" si="365"/>
        <v>0</v>
      </c>
      <c r="CM208" s="54"/>
      <c r="CN208" s="105"/>
      <c r="CO208" s="100">
        <f t="shared" si="367"/>
        <v>0</v>
      </c>
      <c r="CP208" s="496"/>
      <c r="CQ208" s="439"/>
      <c r="CR208" s="504"/>
      <c r="CS208" s="105"/>
      <c r="CT208" s="105">
        <f t="shared" si="289"/>
        <v>0</v>
      </c>
      <c r="CU208" s="105"/>
      <c r="CV208" s="105"/>
      <c r="CW208" s="105">
        <f t="shared" si="290"/>
        <v>0</v>
      </c>
      <c r="CX208" s="53"/>
      <c r="CY208" s="109">
        <f t="shared" si="368"/>
        <v>0</v>
      </c>
      <c r="CZ208" s="54"/>
      <c r="DA208" s="105"/>
      <c r="DB208" s="455">
        <f t="shared" si="278"/>
        <v>0</v>
      </c>
      <c r="DC208" s="495"/>
      <c r="DD208" s="24"/>
      <c r="DF208" s="1133"/>
      <c r="DG208" s="674">
        <f t="shared" si="343"/>
        <v>0</v>
      </c>
      <c r="DH208" s="1119">
        <f t="shared" si="344"/>
        <v>0</v>
      </c>
      <c r="DI208" s="1119"/>
      <c r="DJ208" s="101">
        <f t="shared" si="345"/>
        <v>39.666666666666664</v>
      </c>
      <c r="DK208" s="101"/>
      <c r="DL208" s="101">
        <f t="shared" si="346"/>
        <v>0</v>
      </c>
      <c r="DM208" s="101">
        <f t="shared" si="381"/>
        <v>0</v>
      </c>
      <c r="DN208" s="112">
        <f>DJ208</f>
        <v>39.666666666666664</v>
      </c>
      <c r="DO208" s="112"/>
      <c r="DP208" s="112"/>
      <c r="DQ208" s="112"/>
      <c r="DS208" s="140"/>
      <c r="DT208" s="140"/>
      <c r="DU208" s="140"/>
      <c r="DV208" s="140"/>
      <c r="DW208" s="140"/>
      <c r="DX208" s="140"/>
      <c r="DY208" s="140"/>
      <c r="DZ208" s="140"/>
    </row>
    <row r="209" spans="1:130" s="139" customFormat="1" ht="21.6" customHeight="1" x14ac:dyDescent="0.25">
      <c r="A209" s="4" t="s">
        <v>28</v>
      </c>
      <c r="B209" s="4">
        <v>17</v>
      </c>
      <c r="C209" s="153" t="s">
        <v>105</v>
      </c>
      <c r="D209" s="153" t="s">
        <v>431</v>
      </c>
      <c r="E209" s="14" t="s">
        <v>120</v>
      </c>
      <c r="F209" s="135">
        <v>46</v>
      </c>
      <c r="G209" s="135">
        <v>34</v>
      </c>
      <c r="H209" s="135">
        <f>F209+G209</f>
        <v>80</v>
      </c>
      <c r="I209" s="135">
        <v>73.7</v>
      </c>
      <c r="J209" s="135">
        <v>46.1</v>
      </c>
      <c r="K209" s="135">
        <f>I209+J209</f>
        <v>119.80000000000001</v>
      </c>
      <c r="L209" s="136"/>
      <c r="M209" s="5"/>
      <c r="N209" s="41"/>
      <c r="O209" s="6"/>
      <c r="P209" s="7"/>
      <c r="Q209" s="7"/>
      <c r="R209" s="7"/>
      <c r="S209" s="158"/>
      <c r="T209" s="89"/>
      <c r="U209" s="89"/>
      <c r="V209" s="89">
        <f t="shared" ref="V209:V216" si="382">T209+U209</f>
        <v>0</v>
      </c>
      <c r="W209" s="137"/>
      <c r="X209" s="137"/>
      <c r="Y209" s="90">
        <f t="shared" ref="Y209:Y216" si="383">W209+X209</f>
        <v>0</v>
      </c>
      <c r="Z209" s="91"/>
      <c r="AA209" s="92"/>
      <c r="AB209" s="92"/>
      <c r="AC209" s="92">
        <f t="shared" si="351"/>
        <v>0</v>
      </c>
      <c r="AD209" s="93"/>
      <c r="AE209" s="93"/>
      <c r="AF209" s="94">
        <f t="shared" si="352"/>
        <v>0</v>
      </c>
      <c r="AG209" s="473"/>
      <c r="AH209" s="99">
        <v>315</v>
      </c>
      <c r="AI209" s="99">
        <f>AH209/15</f>
        <v>21</v>
      </c>
      <c r="AJ209" s="138">
        <v>315</v>
      </c>
      <c r="AK209" s="138">
        <f t="shared" si="354"/>
        <v>21</v>
      </c>
      <c r="AL209" s="106"/>
      <c r="AM209" s="105"/>
      <c r="AN209" s="105">
        <f t="shared" si="355"/>
        <v>0</v>
      </c>
      <c r="AO209" s="106"/>
      <c r="AP209" s="105"/>
      <c r="AQ209" s="105">
        <f t="shared" si="375"/>
        <v>0</v>
      </c>
      <c r="AR209" s="106"/>
      <c r="AS209" s="97">
        <f t="shared" si="275"/>
        <v>21</v>
      </c>
      <c r="AT209" s="6"/>
      <c r="AU209" s="105"/>
      <c r="AV209" s="455">
        <f t="shared" si="364"/>
        <v>0</v>
      </c>
      <c r="AW209" s="496"/>
      <c r="AX209" s="508"/>
      <c r="AY209" s="498"/>
      <c r="AZ209" s="100">
        <f t="shared" si="376"/>
        <v>0</v>
      </c>
      <c r="BA209" s="106"/>
      <c r="BB209" s="105"/>
      <c r="BC209" s="105">
        <f t="shared" si="357"/>
        <v>0</v>
      </c>
      <c r="BD209" s="106"/>
      <c r="BE209" s="105">
        <f t="shared" si="377"/>
        <v>21</v>
      </c>
      <c r="BF209" s="106"/>
      <c r="BG209" s="100">
        <f t="shared" si="341"/>
        <v>0</v>
      </c>
      <c r="BH209" s="106"/>
      <c r="BI209" s="100">
        <f t="shared" si="342"/>
        <v>0</v>
      </c>
      <c r="BJ209" s="106"/>
      <c r="BK209" s="101">
        <f t="shared" si="276"/>
        <v>21</v>
      </c>
      <c r="BL209" s="106"/>
      <c r="BM209" s="104">
        <v>1050</v>
      </c>
      <c r="BN209" s="104">
        <f t="shared" ref="BN209:BN216" si="384">BM209/50</f>
        <v>21</v>
      </c>
      <c r="BO209" s="105">
        <v>1050</v>
      </c>
      <c r="BP209" s="105">
        <f t="shared" si="366"/>
        <v>21</v>
      </c>
      <c r="BQ209" s="106"/>
      <c r="BR209" s="105"/>
      <c r="BS209" s="105">
        <f t="shared" si="378"/>
        <v>0</v>
      </c>
      <c r="BT209" s="106"/>
      <c r="BU209" s="53"/>
      <c r="BV209" s="53">
        <f t="shared" si="360"/>
        <v>0</v>
      </c>
      <c r="BW209" s="54"/>
      <c r="BX209" s="350">
        <f t="shared" si="277"/>
        <v>21</v>
      </c>
      <c r="BY209" s="211"/>
      <c r="BZ209" s="211">
        <f t="shared" si="363"/>
        <v>0</v>
      </c>
      <c r="CA209" s="508"/>
      <c r="CB209" s="7"/>
      <c r="CC209" s="7"/>
      <c r="CD209" s="158"/>
      <c r="CE209" s="504"/>
      <c r="CF209" s="105"/>
      <c r="CG209" s="105">
        <f t="shared" si="379"/>
        <v>0</v>
      </c>
      <c r="CH209" s="105"/>
      <c r="CI209" s="105"/>
      <c r="CJ209" s="105">
        <f t="shared" si="380"/>
        <v>0</v>
      </c>
      <c r="CK209" s="524"/>
      <c r="CL209" s="53">
        <f t="shared" si="365"/>
        <v>0</v>
      </c>
      <c r="CM209" s="54"/>
      <c r="CN209" s="105"/>
      <c r="CO209" s="100">
        <f t="shared" si="367"/>
        <v>0</v>
      </c>
      <c r="CP209" s="496"/>
      <c r="CQ209" s="439"/>
      <c r="CR209" s="504"/>
      <c r="CS209" s="105"/>
      <c r="CT209" s="105">
        <f t="shared" si="289"/>
        <v>0</v>
      </c>
      <c r="CU209" s="105"/>
      <c r="CV209" s="105"/>
      <c r="CW209" s="105">
        <f t="shared" si="290"/>
        <v>0</v>
      </c>
      <c r="CX209" s="53"/>
      <c r="CY209" s="109">
        <f t="shared" si="368"/>
        <v>0</v>
      </c>
      <c r="CZ209" s="54"/>
      <c r="DA209" s="105"/>
      <c r="DB209" s="455">
        <f t="shared" si="278"/>
        <v>0</v>
      </c>
      <c r="DC209" s="495"/>
      <c r="DD209" s="24"/>
      <c r="DF209" s="1133"/>
      <c r="DG209" s="674">
        <f t="shared" si="343"/>
        <v>0</v>
      </c>
      <c r="DH209" s="1119">
        <f t="shared" si="344"/>
        <v>0</v>
      </c>
      <c r="DI209" s="1119"/>
      <c r="DJ209" s="101">
        <f t="shared" si="345"/>
        <v>21</v>
      </c>
      <c r="DK209" s="101"/>
      <c r="DL209" s="101">
        <f t="shared" si="346"/>
        <v>0</v>
      </c>
      <c r="DM209" s="101"/>
      <c r="DN209" s="112"/>
      <c r="DO209" s="112"/>
      <c r="DP209" s="112"/>
      <c r="DQ209" s="112"/>
      <c r="DS209" s="140"/>
      <c r="DT209" s="140"/>
      <c r="DU209" s="140"/>
      <c r="DV209" s="140"/>
      <c r="DW209" s="140"/>
      <c r="DX209" s="140"/>
      <c r="DY209" s="140"/>
      <c r="DZ209" s="140"/>
    </row>
    <row r="210" spans="1:130" s="139" customFormat="1" ht="21.6" customHeight="1" x14ac:dyDescent="0.25">
      <c r="A210" s="4" t="s">
        <v>28</v>
      </c>
      <c r="B210" s="4">
        <v>18</v>
      </c>
      <c r="C210" s="134" t="s">
        <v>105</v>
      </c>
      <c r="D210" s="134"/>
      <c r="E210" s="14" t="s">
        <v>121</v>
      </c>
      <c r="F210" s="135">
        <v>52</v>
      </c>
      <c r="G210" s="135">
        <v>19</v>
      </c>
      <c r="H210" s="135">
        <f>F210+G210</f>
        <v>71</v>
      </c>
      <c r="I210" s="135"/>
      <c r="J210" s="135">
        <v>125.3</v>
      </c>
      <c r="K210" s="135">
        <f>I210+J210</f>
        <v>125.3</v>
      </c>
      <c r="L210" s="136"/>
      <c r="M210" s="5"/>
      <c r="N210" s="41"/>
      <c r="O210" s="6"/>
      <c r="P210" s="7"/>
      <c r="Q210" s="7"/>
      <c r="R210" s="7"/>
      <c r="S210" s="158"/>
      <c r="T210" s="89"/>
      <c r="U210" s="89"/>
      <c r="V210" s="89">
        <f t="shared" si="382"/>
        <v>0</v>
      </c>
      <c r="W210" s="137"/>
      <c r="X210" s="137"/>
      <c r="Y210" s="90">
        <f t="shared" si="383"/>
        <v>0</v>
      </c>
      <c r="Z210" s="91"/>
      <c r="AA210" s="92"/>
      <c r="AB210" s="92"/>
      <c r="AC210" s="92">
        <f t="shared" si="351"/>
        <v>0</v>
      </c>
      <c r="AD210" s="93"/>
      <c r="AE210" s="93"/>
      <c r="AF210" s="94">
        <f t="shared" si="352"/>
        <v>0</v>
      </c>
      <c r="AG210" s="473"/>
      <c r="AH210" s="99"/>
      <c r="AI210" s="99">
        <f>AH210/15</f>
        <v>0</v>
      </c>
      <c r="AJ210" s="138"/>
      <c r="AK210" s="138">
        <f t="shared" si="354"/>
        <v>0</v>
      </c>
      <c r="AL210" s="106"/>
      <c r="AM210" s="105"/>
      <c r="AN210" s="105">
        <f t="shared" si="355"/>
        <v>0</v>
      </c>
      <c r="AO210" s="106"/>
      <c r="AP210" s="105"/>
      <c r="AQ210" s="105">
        <f t="shared" si="375"/>
        <v>0</v>
      </c>
      <c r="AR210" s="106"/>
      <c r="AS210" s="97">
        <f t="shared" si="275"/>
        <v>0</v>
      </c>
      <c r="AT210" s="6"/>
      <c r="AU210" s="105"/>
      <c r="AV210" s="455">
        <f t="shared" si="364"/>
        <v>0</v>
      </c>
      <c r="AW210" s="496"/>
      <c r="AX210" s="508"/>
      <c r="AY210" s="498"/>
      <c r="AZ210" s="100">
        <f t="shared" si="376"/>
        <v>0</v>
      </c>
      <c r="BA210" s="106"/>
      <c r="BB210" s="105"/>
      <c r="BC210" s="105">
        <f t="shared" si="357"/>
        <v>0</v>
      </c>
      <c r="BD210" s="106"/>
      <c r="BE210" s="105">
        <f t="shared" si="377"/>
        <v>0</v>
      </c>
      <c r="BF210" s="106"/>
      <c r="BG210" s="100">
        <f t="shared" si="341"/>
        <v>0</v>
      </c>
      <c r="BH210" s="106"/>
      <c r="BI210" s="100">
        <f t="shared" si="342"/>
        <v>0</v>
      </c>
      <c r="BJ210" s="106"/>
      <c r="BK210" s="101">
        <f t="shared" si="276"/>
        <v>0</v>
      </c>
      <c r="BL210" s="106"/>
      <c r="BM210" s="104"/>
      <c r="BN210" s="104">
        <f t="shared" si="384"/>
        <v>0</v>
      </c>
      <c r="BO210" s="105"/>
      <c r="BP210" s="105">
        <f t="shared" si="366"/>
        <v>0</v>
      </c>
      <c r="BQ210" s="106"/>
      <c r="BR210" s="105"/>
      <c r="BS210" s="105">
        <f t="shared" si="378"/>
        <v>0</v>
      </c>
      <c r="BT210" s="106"/>
      <c r="BU210" s="53"/>
      <c r="BV210" s="53">
        <f t="shared" si="360"/>
        <v>0</v>
      </c>
      <c r="BW210" s="54"/>
      <c r="BX210" s="350">
        <f t="shared" si="277"/>
        <v>0</v>
      </c>
      <c r="BY210" s="211"/>
      <c r="BZ210" s="211">
        <f t="shared" si="363"/>
        <v>0</v>
      </c>
      <c r="CA210" s="508"/>
      <c r="CB210" s="7"/>
      <c r="CC210" s="7"/>
      <c r="CD210" s="158"/>
      <c r="CE210" s="504"/>
      <c r="CF210" s="105"/>
      <c r="CG210" s="105">
        <f t="shared" si="379"/>
        <v>0</v>
      </c>
      <c r="CH210" s="105"/>
      <c r="CI210" s="105"/>
      <c r="CJ210" s="105">
        <f t="shared" si="380"/>
        <v>0</v>
      </c>
      <c r="CK210" s="524"/>
      <c r="CL210" s="53">
        <f t="shared" si="365"/>
        <v>0</v>
      </c>
      <c r="CM210" s="54"/>
      <c r="CN210" s="105"/>
      <c r="CO210" s="100">
        <f t="shared" si="367"/>
        <v>0</v>
      </c>
      <c r="CP210" s="496"/>
      <c r="CQ210" s="439"/>
      <c r="CR210" s="504"/>
      <c r="CS210" s="105"/>
      <c r="CT210" s="105">
        <f t="shared" si="289"/>
        <v>0</v>
      </c>
      <c r="CU210" s="105"/>
      <c r="CV210" s="105"/>
      <c r="CW210" s="105">
        <f t="shared" si="290"/>
        <v>0</v>
      </c>
      <c r="CX210" s="53"/>
      <c r="CY210" s="109">
        <f t="shared" si="368"/>
        <v>0</v>
      </c>
      <c r="CZ210" s="54"/>
      <c r="DA210" s="105"/>
      <c r="DB210" s="455">
        <f t="shared" si="278"/>
        <v>0</v>
      </c>
      <c r="DC210" s="495"/>
      <c r="DD210" s="24" t="s">
        <v>395</v>
      </c>
      <c r="DF210" s="1133"/>
      <c r="DG210" s="674">
        <f t="shared" si="343"/>
        <v>0</v>
      </c>
      <c r="DH210" s="1119">
        <f t="shared" si="344"/>
        <v>0</v>
      </c>
      <c r="DI210" s="1119"/>
      <c r="DJ210" s="101">
        <f t="shared" si="345"/>
        <v>0</v>
      </c>
      <c r="DK210" s="101"/>
      <c r="DL210" s="101">
        <f t="shared" si="346"/>
        <v>0</v>
      </c>
      <c r="DM210" s="101"/>
      <c r="DN210" s="112"/>
      <c r="DO210" s="112"/>
      <c r="DP210" s="112"/>
      <c r="DQ210" s="112"/>
      <c r="DS210" s="140"/>
      <c r="DT210" s="140"/>
      <c r="DU210" s="140"/>
      <c r="DV210" s="140"/>
      <c r="DW210" s="140"/>
      <c r="DX210" s="140"/>
      <c r="DY210" s="140"/>
      <c r="DZ210" s="140"/>
    </row>
    <row r="211" spans="1:130" s="139" customFormat="1" ht="21.6" customHeight="1" x14ac:dyDescent="0.25">
      <c r="A211" s="4"/>
      <c r="B211" s="4"/>
      <c r="C211" s="134" t="s">
        <v>105</v>
      </c>
      <c r="D211" s="134" t="s">
        <v>431</v>
      </c>
      <c r="E211" s="15" t="s">
        <v>302</v>
      </c>
      <c r="F211" s="135"/>
      <c r="G211" s="135"/>
      <c r="H211" s="135"/>
      <c r="I211" s="135"/>
      <c r="J211" s="135"/>
      <c r="K211" s="135"/>
      <c r="L211" s="136"/>
      <c r="M211" s="5"/>
      <c r="N211" s="41"/>
      <c r="O211" s="6"/>
      <c r="P211" s="7"/>
      <c r="Q211" s="7"/>
      <c r="R211" s="7"/>
      <c r="S211" s="158"/>
      <c r="T211" s="89"/>
      <c r="U211" s="89"/>
      <c r="V211" s="89">
        <f t="shared" si="382"/>
        <v>0</v>
      </c>
      <c r="W211" s="137"/>
      <c r="X211" s="137"/>
      <c r="Y211" s="90">
        <f t="shared" si="383"/>
        <v>0</v>
      </c>
      <c r="Z211" s="91"/>
      <c r="AA211" s="92"/>
      <c r="AB211" s="92"/>
      <c r="AC211" s="92">
        <f t="shared" si="351"/>
        <v>0</v>
      </c>
      <c r="AD211" s="93"/>
      <c r="AE211" s="93"/>
      <c r="AF211" s="94">
        <f t="shared" si="352"/>
        <v>0</v>
      </c>
      <c r="AG211" s="473"/>
      <c r="AH211" s="99">
        <f>AI211*15</f>
        <v>266.25</v>
      </c>
      <c r="AI211" s="99">
        <v>17.75</v>
      </c>
      <c r="AJ211" s="138">
        <v>265</v>
      </c>
      <c r="AK211" s="138">
        <f t="shared" si="354"/>
        <v>17.666666666666668</v>
      </c>
      <c r="AL211" s="106"/>
      <c r="AM211" s="105"/>
      <c r="AN211" s="105">
        <f t="shared" si="355"/>
        <v>0</v>
      </c>
      <c r="AO211" s="106"/>
      <c r="AP211" s="105"/>
      <c r="AQ211" s="105">
        <f t="shared" si="375"/>
        <v>0</v>
      </c>
      <c r="AR211" s="106"/>
      <c r="AS211" s="97">
        <f t="shared" ref="AS211:AS275" si="385">AN211+AK211+AQ211</f>
        <v>17.666666666666668</v>
      </c>
      <c r="AT211" s="6"/>
      <c r="AU211" s="105"/>
      <c r="AV211" s="455">
        <f t="shared" si="364"/>
        <v>0</v>
      </c>
      <c r="AW211" s="496"/>
      <c r="AX211" s="508"/>
      <c r="AY211" s="498"/>
      <c r="AZ211" s="100">
        <f t="shared" si="376"/>
        <v>0</v>
      </c>
      <c r="BA211" s="106"/>
      <c r="BB211" s="105"/>
      <c r="BC211" s="105">
        <f t="shared" si="357"/>
        <v>0</v>
      </c>
      <c r="BD211" s="106"/>
      <c r="BE211" s="105">
        <f t="shared" si="377"/>
        <v>17.666666666666668</v>
      </c>
      <c r="BF211" s="106"/>
      <c r="BG211" s="100">
        <f t="shared" si="341"/>
        <v>0</v>
      </c>
      <c r="BH211" s="106"/>
      <c r="BI211" s="100">
        <f t="shared" si="342"/>
        <v>0</v>
      </c>
      <c r="BJ211" s="106"/>
      <c r="BK211" s="101">
        <f t="shared" ref="BK211:BK275" si="386">BG211+BE211+BI211</f>
        <v>17.666666666666668</v>
      </c>
      <c r="BL211" s="106"/>
      <c r="BM211" s="104">
        <v>887.5</v>
      </c>
      <c r="BN211" s="104">
        <f t="shared" si="384"/>
        <v>17.75</v>
      </c>
      <c r="BO211" s="105">
        <v>850</v>
      </c>
      <c r="BP211" s="105">
        <f t="shared" si="366"/>
        <v>17</v>
      </c>
      <c r="BQ211" s="106"/>
      <c r="BR211" s="105"/>
      <c r="BS211" s="105">
        <f t="shared" si="378"/>
        <v>0</v>
      </c>
      <c r="BT211" s="106"/>
      <c r="BU211" s="53"/>
      <c r="BV211" s="53">
        <f t="shared" si="360"/>
        <v>0</v>
      </c>
      <c r="BW211" s="54"/>
      <c r="BX211" s="350">
        <f t="shared" ref="BX211:BX275" si="387">BP211+BS211+BV211</f>
        <v>17</v>
      </c>
      <c r="BY211" s="211"/>
      <c r="BZ211" s="211">
        <f t="shared" si="363"/>
        <v>0.66666666666666785</v>
      </c>
      <c r="CA211" s="508"/>
      <c r="CB211" s="7"/>
      <c r="CC211" s="7"/>
      <c r="CD211" s="158"/>
      <c r="CE211" s="504"/>
      <c r="CF211" s="105"/>
      <c r="CG211" s="105">
        <f t="shared" si="379"/>
        <v>0</v>
      </c>
      <c r="CH211" s="105"/>
      <c r="CI211" s="105"/>
      <c r="CJ211" s="105">
        <f t="shared" si="380"/>
        <v>0</v>
      </c>
      <c r="CK211" s="524"/>
      <c r="CL211" s="53">
        <f t="shared" si="365"/>
        <v>0</v>
      </c>
      <c r="CM211" s="54"/>
      <c r="CN211" s="105">
        <v>75</v>
      </c>
      <c r="CO211" s="100">
        <f t="shared" si="367"/>
        <v>5</v>
      </c>
      <c r="CP211" s="496"/>
      <c r="CQ211" s="439"/>
      <c r="CR211" s="504"/>
      <c r="CS211" s="105"/>
      <c r="CT211" s="105">
        <f t="shared" si="289"/>
        <v>0</v>
      </c>
      <c r="CU211" s="105"/>
      <c r="CV211" s="105"/>
      <c r="CW211" s="105">
        <f t="shared" si="290"/>
        <v>0</v>
      </c>
      <c r="CX211" s="53"/>
      <c r="CY211" s="109">
        <f t="shared" si="368"/>
        <v>0</v>
      </c>
      <c r="CZ211" s="54"/>
      <c r="DA211" s="105"/>
      <c r="DB211" s="455">
        <f t="shared" ref="DB211:DB277" si="388">DA211/15</f>
        <v>0</v>
      </c>
      <c r="DC211" s="495"/>
      <c r="DD211" s="24" t="s">
        <v>375</v>
      </c>
      <c r="DF211" s="1133"/>
      <c r="DG211" s="674">
        <f t="shared" si="343"/>
        <v>0</v>
      </c>
      <c r="DH211" s="1119">
        <f t="shared" si="344"/>
        <v>5</v>
      </c>
      <c r="DI211" s="1119"/>
      <c r="DJ211" s="101">
        <f t="shared" si="345"/>
        <v>22.666666666666668</v>
      </c>
      <c r="DK211" s="101"/>
      <c r="DL211" s="101">
        <f t="shared" si="346"/>
        <v>0</v>
      </c>
      <c r="DM211" s="101"/>
      <c r="DN211" s="112"/>
      <c r="DO211" s="112"/>
      <c r="DP211" s="112"/>
      <c r="DQ211" s="112"/>
      <c r="DS211" s="140"/>
      <c r="DT211" s="140"/>
      <c r="DU211" s="140"/>
      <c r="DV211" s="140"/>
      <c r="DW211" s="140"/>
      <c r="DX211" s="140"/>
      <c r="DY211" s="140"/>
      <c r="DZ211" s="140"/>
    </row>
    <row r="212" spans="1:130" s="139" customFormat="1" ht="21.6" customHeight="1" x14ac:dyDescent="0.25">
      <c r="A212" s="4" t="s">
        <v>28</v>
      </c>
      <c r="B212" s="4">
        <v>19</v>
      </c>
      <c r="C212" s="134" t="s">
        <v>105</v>
      </c>
      <c r="D212" s="134" t="s">
        <v>431</v>
      </c>
      <c r="E212" s="13" t="s">
        <v>122</v>
      </c>
      <c r="F212" s="135">
        <v>23</v>
      </c>
      <c r="G212" s="135">
        <v>22</v>
      </c>
      <c r="H212" s="135">
        <f>F212+G212</f>
        <v>45</v>
      </c>
      <c r="I212" s="135">
        <v>19.399999999999999</v>
      </c>
      <c r="J212" s="135">
        <v>1.25</v>
      </c>
      <c r="K212" s="135">
        <f>I212+J212</f>
        <v>20.65</v>
      </c>
      <c r="L212" s="136"/>
      <c r="M212" s="5"/>
      <c r="N212" s="41"/>
      <c r="O212" s="6"/>
      <c r="P212" s="7"/>
      <c r="Q212" s="7"/>
      <c r="R212" s="7"/>
      <c r="S212" s="158"/>
      <c r="T212" s="89"/>
      <c r="U212" s="89"/>
      <c r="V212" s="89">
        <f t="shared" si="382"/>
        <v>0</v>
      </c>
      <c r="W212" s="137"/>
      <c r="X212" s="137"/>
      <c r="Y212" s="90">
        <f t="shared" si="383"/>
        <v>0</v>
      </c>
      <c r="Z212" s="91"/>
      <c r="AA212" s="92"/>
      <c r="AB212" s="92"/>
      <c r="AC212" s="92">
        <f t="shared" si="351"/>
        <v>0</v>
      </c>
      <c r="AD212" s="93"/>
      <c r="AE212" s="93"/>
      <c r="AF212" s="94">
        <f t="shared" si="352"/>
        <v>0</v>
      </c>
      <c r="AG212" s="473"/>
      <c r="AH212" s="99">
        <f>AI212*15</f>
        <v>165</v>
      </c>
      <c r="AI212" s="99">
        <v>11</v>
      </c>
      <c r="AJ212" s="138">
        <v>165</v>
      </c>
      <c r="AK212" s="138">
        <f t="shared" si="354"/>
        <v>11</v>
      </c>
      <c r="AL212" s="106"/>
      <c r="AM212" s="105"/>
      <c r="AN212" s="105">
        <f t="shared" si="355"/>
        <v>0</v>
      </c>
      <c r="AO212" s="106"/>
      <c r="AP212" s="105"/>
      <c r="AQ212" s="105">
        <f t="shared" si="375"/>
        <v>0</v>
      </c>
      <c r="AR212" s="106"/>
      <c r="AS212" s="97">
        <f t="shared" si="385"/>
        <v>11</v>
      </c>
      <c r="AT212" s="6"/>
      <c r="AU212" s="105"/>
      <c r="AV212" s="455">
        <f t="shared" si="364"/>
        <v>0</v>
      </c>
      <c r="AW212" s="496"/>
      <c r="AX212" s="508"/>
      <c r="AY212" s="498">
        <v>155</v>
      </c>
      <c r="AZ212" s="100">
        <f t="shared" si="376"/>
        <v>10.333333333333334</v>
      </c>
      <c r="BA212" s="106"/>
      <c r="BB212" s="105"/>
      <c r="BC212" s="105">
        <f t="shared" si="357"/>
        <v>0</v>
      </c>
      <c r="BD212" s="106"/>
      <c r="BE212" s="105">
        <f t="shared" si="377"/>
        <v>21.333333333333336</v>
      </c>
      <c r="BF212" s="106"/>
      <c r="BG212" s="100">
        <f t="shared" si="341"/>
        <v>0</v>
      </c>
      <c r="BH212" s="106"/>
      <c r="BI212" s="100">
        <f t="shared" si="342"/>
        <v>0</v>
      </c>
      <c r="BJ212" s="106"/>
      <c r="BK212" s="101">
        <f t="shared" si="386"/>
        <v>21.333333333333336</v>
      </c>
      <c r="BL212" s="106"/>
      <c r="BM212" s="104">
        <v>1070</v>
      </c>
      <c r="BN212" s="104">
        <f t="shared" si="384"/>
        <v>21.4</v>
      </c>
      <c r="BO212" s="105">
        <v>1050</v>
      </c>
      <c r="BP212" s="105">
        <f t="shared" si="366"/>
        <v>21</v>
      </c>
      <c r="BQ212" s="106"/>
      <c r="BR212" s="105"/>
      <c r="BS212" s="105">
        <f t="shared" si="378"/>
        <v>0</v>
      </c>
      <c r="BT212" s="106"/>
      <c r="BU212" s="53"/>
      <c r="BV212" s="53">
        <f t="shared" si="360"/>
        <v>0</v>
      </c>
      <c r="BW212" s="54"/>
      <c r="BX212" s="350">
        <f t="shared" si="387"/>
        <v>21</v>
      </c>
      <c r="BY212" s="211"/>
      <c r="BZ212" s="211">
        <f t="shared" si="363"/>
        <v>0.3333333333333357</v>
      </c>
      <c r="CA212" s="508"/>
      <c r="CB212" s="7"/>
      <c r="CC212" s="7"/>
      <c r="CD212" s="158"/>
      <c r="CE212" s="504"/>
      <c r="CF212" s="105"/>
      <c r="CG212" s="105">
        <f t="shared" si="379"/>
        <v>0</v>
      </c>
      <c r="CH212" s="105"/>
      <c r="CI212" s="105"/>
      <c r="CJ212" s="105">
        <f t="shared" si="380"/>
        <v>0</v>
      </c>
      <c r="CK212" s="524"/>
      <c r="CL212" s="53">
        <f t="shared" si="365"/>
        <v>0</v>
      </c>
      <c r="CM212" s="54"/>
      <c r="CN212" s="105"/>
      <c r="CO212" s="100">
        <f t="shared" si="367"/>
        <v>0</v>
      </c>
      <c r="CP212" s="496"/>
      <c r="CQ212" s="439"/>
      <c r="CR212" s="504"/>
      <c r="CS212" s="105"/>
      <c r="CT212" s="105">
        <f t="shared" si="289"/>
        <v>0</v>
      </c>
      <c r="CU212" s="105"/>
      <c r="CV212" s="105"/>
      <c r="CW212" s="105">
        <f t="shared" si="290"/>
        <v>0</v>
      </c>
      <c r="CX212" s="53"/>
      <c r="CY212" s="109">
        <f t="shared" si="368"/>
        <v>0</v>
      </c>
      <c r="CZ212" s="54"/>
      <c r="DA212" s="105"/>
      <c r="DB212" s="455">
        <f t="shared" si="388"/>
        <v>0</v>
      </c>
      <c r="DC212" s="495"/>
      <c r="DD212" s="24" t="s">
        <v>376</v>
      </c>
      <c r="DF212" s="1133"/>
      <c r="DG212" s="674">
        <f t="shared" si="343"/>
        <v>0</v>
      </c>
      <c r="DH212" s="1119">
        <f t="shared" si="344"/>
        <v>0</v>
      </c>
      <c r="DI212" s="1119"/>
      <c r="DJ212" s="101">
        <f t="shared" si="345"/>
        <v>21.333333333333336</v>
      </c>
      <c r="DK212" s="101"/>
      <c r="DL212" s="101">
        <f t="shared" si="346"/>
        <v>0</v>
      </c>
      <c r="DM212" s="101"/>
      <c r="DN212" s="112"/>
      <c r="DO212" s="112"/>
      <c r="DP212" s="112"/>
      <c r="DQ212" s="112"/>
      <c r="DS212" s="140"/>
      <c r="DT212" s="140"/>
      <c r="DU212" s="140"/>
      <c r="DV212" s="140"/>
      <c r="DW212" s="140"/>
      <c r="DX212" s="140"/>
      <c r="DY212" s="140"/>
      <c r="DZ212" s="140"/>
    </row>
    <row r="213" spans="1:130" ht="21.6" customHeight="1" x14ac:dyDescent="0.25">
      <c r="A213" s="4" t="s">
        <v>28</v>
      </c>
      <c r="B213" s="4">
        <v>20</v>
      </c>
      <c r="C213" s="166" t="s">
        <v>105</v>
      </c>
      <c r="D213" s="166"/>
      <c r="E213" s="1" t="s">
        <v>123</v>
      </c>
      <c r="F213" s="162">
        <v>123</v>
      </c>
      <c r="G213" s="162">
        <v>22</v>
      </c>
      <c r="H213" s="162">
        <f>F213+G213</f>
        <v>145</v>
      </c>
      <c r="I213" s="162"/>
      <c r="J213" s="162">
        <v>179.75</v>
      </c>
      <c r="K213" s="162">
        <f>I213+J213</f>
        <v>179.75</v>
      </c>
      <c r="L213" s="163"/>
      <c r="M213" s="414"/>
      <c r="N213" s="46"/>
      <c r="O213" s="164"/>
      <c r="P213" s="165"/>
      <c r="Q213" s="165"/>
      <c r="R213" s="165"/>
      <c r="S213" s="203"/>
      <c r="T213" s="89"/>
      <c r="U213" s="89"/>
      <c r="V213" s="89">
        <f t="shared" si="382"/>
        <v>0</v>
      </c>
      <c r="W213" s="137"/>
      <c r="X213" s="137"/>
      <c r="Y213" s="90">
        <f t="shared" si="383"/>
        <v>0</v>
      </c>
      <c r="Z213" s="169"/>
      <c r="AA213" s="92"/>
      <c r="AB213" s="92"/>
      <c r="AC213" s="92">
        <f t="shared" si="351"/>
        <v>0</v>
      </c>
      <c r="AD213" s="93"/>
      <c r="AE213" s="93"/>
      <c r="AF213" s="94">
        <f t="shared" si="352"/>
        <v>0</v>
      </c>
      <c r="AG213" s="475"/>
      <c r="AH213" s="99"/>
      <c r="AI213" s="99">
        <f>AH213/15</f>
        <v>0</v>
      </c>
      <c r="AJ213" s="138"/>
      <c r="AK213" s="138">
        <f t="shared" si="354"/>
        <v>0</v>
      </c>
      <c r="AL213" s="106"/>
      <c r="AM213" s="105"/>
      <c r="AN213" s="105">
        <f t="shared" si="355"/>
        <v>0</v>
      </c>
      <c r="AO213" s="106"/>
      <c r="AP213" s="105"/>
      <c r="AQ213" s="105">
        <f t="shared" si="375"/>
        <v>0</v>
      </c>
      <c r="AR213" s="106"/>
      <c r="AS213" s="97">
        <f t="shared" si="385"/>
        <v>0</v>
      </c>
      <c r="AT213" s="6"/>
      <c r="AU213" s="105"/>
      <c r="AV213" s="455">
        <f t="shared" si="364"/>
        <v>0</v>
      </c>
      <c r="AW213" s="496"/>
      <c r="AX213" s="508"/>
      <c r="AY213" s="498"/>
      <c r="AZ213" s="100">
        <f t="shared" si="376"/>
        <v>0</v>
      </c>
      <c r="BA213" s="106"/>
      <c r="BB213" s="105"/>
      <c r="BC213" s="105">
        <f t="shared" si="357"/>
        <v>0</v>
      </c>
      <c r="BD213" s="106"/>
      <c r="BE213" s="105">
        <f t="shared" si="377"/>
        <v>0</v>
      </c>
      <c r="BF213" s="106"/>
      <c r="BG213" s="100">
        <f t="shared" si="341"/>
        <v>0</v>
      </c>
      <c r="BH213" s="106"/>
      <c r="BI213" s="100">
        <f t="shared" si="342"/>
        <v>0</v>
      </c>
      <c r="BJ213" s="106"/>
      <c r="BK213" s="101">
        <f t="shared" si="386"/>
        <v>0</v>
      </c>
      <c r="BL213" s="106"/>
      <c r="BM213" s="104"/>
      <c r="BN213" s="104">
        <f t="shared" si="384"/>
        <v>0</v>
      </c>
      <c r="BO213" s="105"/>
      <c r="BP213" s="105">
        <f t="shared" si="366"/>
        <v>0</v>
      </c>
      <c r="BQ213" s="106"/>
      <c r="BR213" s="105"/>
      <c r="BS213" s="105">
        <f t="shared" si="378"/>
        <v>0</v>
      </c>
      <c r="BT213" s="106"/>
      <c r="BU213" s="53"/>
      <c r="BV213" s="53">
        <f t="shared" si="360"/>
        <v>0</v>
      </c>
      <c r="BW213" s="54"/>
      <c r="BX213" s="350">
        <f t="shared" si="387"/>
        <v>0</v>
      </c>
      <c r="BY213" s="211"/>
      <c r="BZ213" s="211">
        <f t="shared" si="363"/>
        <v>0</v>
      </c>
      <c r="CA213" s="508"/>
      <c r="CB213" s="165"/>
      <c r="CC213" s="165"/>
      <c r="CD213" s="203"/>
      <c r="CE213" s="504"/>
      <c r="CF213" s="105"/>
      <c r="CG213" s="105">
        <f t="shared" si="379"/>
        <v>0</v>
      </c>
      <c r="CH213" s="105"/>
      <c r="CI213" s="105"/>
      <c r="CJ213" s="105">
        <f t="shared" si="380"/>
        <v>0</v>
      </c>
      <c r="CK213" s="524"/>
      <c r="CL213" s="53">
        <f t="shared" si="365"/>
        <v>0</v>
      </c>
      <c r="CM213" s="54"/>
      <c r="CN213" s="105"/>
      <c r="CO213" s="100">
        <f t="shared" si="367"/>
        <v>0</v>
      </c>
      <c r="CP213" s="496"/>
      <c r="CQ213" s="439"/>
      <c r="CR213" s="504"/>
      <c r="CS213" s="105"/>
      <c r="CT213" s="105">
        <f t="shared" si="289"/>
        <v>0</v>
      </c>
      <c r="CU213" s="105"/>
      <c r="CV213" s="105"/>
      <c r="CW213" s="105">
        <f t="shared" si="290"/>
        <v>0</v>
      </c>
      <c r="CX213" s="53"/>
      <c r="CY213" s="109">
        <f t="shared" si="368"/>
        <v>0</v>
      </c>
      <c r="CZ213" s="54"/>
      <c r="DA213" s="105"/>
      <c r="DB213" s="455">
        <f t="shared" si="388"/>
        <v>0</v>
      </c>
      <c r="DC213" s="495"/>
      <c r="DD213" s="25"/>
      <c r="DF213" s="1133"/>
      <c r="DG213" s="674">
        <f t="shared" si="343"/>
        <v>0</v>
      </c>
      <c r="DH213" s="1119">
        <f t="shared" si="344"/>
        <v>0</v>
      </c>
      <c r="DI213" s="1119"/>
      <c r="DJ213" s="101">
        <f t="shared" si="345"/>
        <v>0</v>
      </c>
      <c r="DK213" s="101"/>
      <c r="DL213" s="101">
        <f t="shared" si="346"/>
        <v>0</v>
      </c>
      <c r="DM213" s="101"/>
      <c r="DN213" s="112"/>
      <c r="DO213" s="112"/>
      <c r="DP213" s="112"/>
      <c r="DQ213" s="112"/>
    </row>
    <row r="214" spans="1:130" s="139" customFormat="1" ht="21.6" customHeight="1" x14ac:dyDescent="0.25">
      <c r="A214" s="4" t="s">
        <v>28</v>
      </c>
      <c r="B214" s="4">
        <v>21</v>
      </c>
      <c r="C214" s="153" t="s">
        <v>105</v>
      </c>
      <c r="D214" s="153" t="s">
        <v>431</v>
      </c>
      <c r="E214" s="13" t="s">
        <v>124</v>
      </c>
      <c r="F214" s="135">
        <v>15</v>
      </c>
      <c r="G214" s="135">
        <v>8</v>
      </c>
      <c r="H214" s="135">
        <f>F214+G214</f>
        <v>23</v>
      </c>
      <c r="I214" s="135">
        <v>1.5</v>
      </c>
      <c r="J214" s="135">
        <v>26.25</v>
      </c>
      <c r="K214" s="135">
        <f>I214+J214</f>
        <v>27.75</v>
      </c>
      <c r="L214" s="136"/>
      <c r="M214" s="5"/>
      <c r="N214" s="41"/>
      <c r="O214" s="6"/>
      <c r="P214" s="7"/>
      <c r="Q214" s="7"/>
      <c r="R214" s="7"/>
      <c r="S214" s="158"/>
      <c r="T214" s="89"/>
      <c r="U214" s="89"/>
      <c r="V214" s="89">
        <f t="shared" si="382"/>
        <v>0</v>
      </c>
      <c r="W214" s="137"/>
      <c r="X214" s="137"/>
      <c r="Y214" s="90">
        <f t="shared" si="383"/>
        <v>0</v>
      </c>
      <c r="Z214" s="91"/>
      <c r="AA214" s="92"/>
      <c r="AB214" s="92"/>
      <c r="AC214" s="92">
        <f t="shared" si="351"/>
        <v>0</v>
      </c>
      <c r="AD214" s="93"/>
      <c r="AE214" s="93"/>
      <c r="AF214" s="94">
        <f t="shared" si="352"/>
        <v>0</v>
      </c>
      <c r="AG214" s="473"/>
      <c r="AH214" s="99"/>
      <c r="AI214" s="99">
        <f>AH214/15</f>
        <v>0</v>
      </c>
      <c r="AJ214" s="138"/>
      <c r="AK214" s="138">
        <f t="shared" si="354"/>
        <v>0</v>
      </c>
      <c r="AL214" s="106"/>
      <c r="AM214" s="105"/>
      <c r="AN214" s="105">
        <f t="shared" si="355"/>
        <v>0</v>
      </c>
      <c r="AO214" s="106"/>
      <c r="AP214" s="105"/>
      <c r="AQ214" s="105">
        <f t="shared" si="375"/>
        <v>0</v>
      </c>
      <c r="AR214" s="106"/>
      <c r="AS214" s="97">
        <f t="shared" si="385"/>
        <v>0</v>
      </c>
      <c r="AT214" s="6"/>
      <c r="AU214" s="105"/>
      <c r="AV214" s="455">
        <f t="shared" si="364"/>
        <v>0</v>
      </c>
      <c r="AW214" s="496"/>
      <c r="AX214" s="508"/>
      <c r="AY214" s="498">
        <v>150</v>
      </c>
      <c r="AZ214" s="100">
        <f t="shared" si="376"/>
        <v>10</v>
      </c>
      <c r="BA214" s="106"/>
      <c r="BB214" s="105"/>
      <c r="BC214" s="105">
        <f t="shared" si="357"/>
        <v>0</v>
      </c>
      <c r="BD214" s="106"/>
      <c r="BE214" s="105">
        <f t="shared" si="377"/>
        <v>10</v>
      </c>
      <c r="BF214" s="106"/>
      <c r="BG214" s="100">
        <f t="shared" si="341"/>
        <v>0</v>
      </c>
      <c r="BH214" s="106"/>
      <c r="BI214" s="100">
        <f t="shared" si="342"/>
        <v>0</v>
      </c>
      <c r="BJ214" s="106"/>
      <c r="BK214" s="101">
        <f t="shared" si="386"/>
        <v>10</v>
      </c>
      <c r="BL214" s="106"/>
      <c r="BM214" s="104">
        <v>500</v>
      </c>
      <c r="BN214" s="104">
        <f t="shared" si="384"/>
        <v>10</v>
      </c>
      <c r="BO214" s="105">
        <v>500</v>
      </c>
      <c r="BP214" s="105">
        <f t="shared" si="366"/>
        <v>10</v>
      </c>
      <c r="BQ214" s="106"/>
      <c r="BR214" s="105"/>
      <c r="BS214" s="105">
        <f t="shared" si="378"/>
        <v>0</v>
      </c>
      <c r="BT214" s="106"/>
      <c r="BU214" s="53"/>
      <c r="BV214" s="53">
        <f t="shared" si="360"/>
        <v>0</v>
      </c>
      <c r="BW214" s="54"/>
      <c r="BX214" s="350">
        <f t="shared" si="387"/>
        <v>10</v>
      </c>
      <c r="BY214" s="211"/>
      <c r="BZ214" s="211">
        <f t="shared" si="363"/>
        <v>0</v>
      </c>
      <c r="CA214" s="508"/>
      <c r="CB214" s="7"/>
      <c r="CC214" s="7"/>
      <c r="CD214" s="158"/>
      <c r="CE214" s="504"/>
      <c r="CF214" s="105"/>
      <c r="CG214" s="105">
        <f t="shared" si="379"/>
        <v>0</v>
      </c>
      <c r="CH214" s="105"/>
      <c r="CI214" s="105"/>
      <c r="CJ214" s="105">
        <f t="shared" si="380"/>
        <v>0</v>
      </c>
      <c r="CK214" s="524"/>
      <c r="CL214" s="53">
        <f t="shared" si="365"/>
        <v>0</v>
      </c>
      <c r="CM214" s="54"/>
      <c r="CN214" s="105"/>
      <c r="CO214" s="100">
        <f t="shared" si="367"/>
        <v>0</v>
      </c>
      <c r="CP214" s="496"/>
      <c r="CQ214" s="439"/>
      <c r="CR214" s="504"/>
      <c r="CS214" s="105"/>
      <c r="CT214" s="105">
        <f t="shared" si="289"/>
        <v>0</v>
      </c>
      <c r="CU214" s="105"/>
      <c r="CV214" s="105"/>
      <c r="CW214" s="105">
        <f t="shared" si="290"/>
        <v>0</v>
      </c>
      <c r="CX214" s="53"/>
      <c r="CY214" s="109">
        <f t="shared" si="368"/>
        <v>0</v>
      </c>
      <c r="CZ214" s="54"/>
      <c r="DA214" s="105"/>
      <c r="DB214" s="455">
        <f t="shared" si="388"/>
        <v>0</v>
      </c>
      <c r="DC214" s="495"/>
      <c r="DD214" s="24"/>
      <c r="DF214" s="1133"/>
      <c r="DG214" s="674">
        <f t="shared" si="343"/>
        <v>0</v>
      </c>
      <c r="DH214" s="1119">
        <f t="shared" si="344"/>
        <v>0</v>
      </c>
      <c r="DI214" s="1119"/>
      <c r="DJ214" s="101">
        <f t="shared" si="345"/>
        <v>10</v>
      </c>
      <c r="DK214" s="101"/>
      <c r="DL214" s="101">
        <f t="shared" si="346"/>
        <v>0</v>
      </c>
      <c r="DM214" s="101"/>
      <c r="DN214" s="112"/>
      <c r="DO214" s="112"/>
      <c r="DP214" s="112"/>
      <c r="DQ214" s="112"/>
      <c r="DS214" s="140"/>
      <c r="DT214" s="140"/>
      <c r="DU214" s="140"/>
      <c r="DV214" s="140"/>
      <c r="DW214" s="140"/>
      <c r="DX214" s="140"/>
      <c r="DY214" s="140"/>
      <c r="DZ214" s="140"/>
    </row>
    <row r="215" spans="1:130" ht="21.6" customHeight="1" x14ac:dyDescent="0.25">
      <c r="A215" s="4" t="s">
        <v>28</v>
      </c>
      <c r="B215" s="4">
        <v>22</v>
      </c>
      <c r="C215" s="166" t="s">
        <v>105</v>
      </c>
      <c r="D215" s="166"/>
      <c r="E215" s="1" t="s">
        <v>125</v>
      </c>
      <c r="F215" s="162">
        <v>4</v>
      </c>
      <c r="G215" s="162">
        <v>6</v>
      </c>
      <c r="H215" s="162">
        <f>F215+G215</f>
        <v>10</v>
      </c>
      <c r="I215" s="162">
        <v>0.25</v>
      </c>
      <c r="J215" s="162">
        <v>10.130000000000001</v>
      </c>
      <c r="K215" s="162">
        <f>I215+J215</f>
        <v>10.38</v>
      </c>
      <c r="L215" s="163"/>
      <c r="M215" s="414"/>
      <c r="N215" s="46"/>
      <c r="O215" s="164"/>
      <c r="P215" s="165"/>
      <c r="Q215" s="165"/>
      <c r="R215" s="165"/>
      <c r="S215" s="203"/>
      <c r="T215" s="89"/>
      <c r="U215" s="89"/>
      <c r="V215" s="89">
        <f t="shared" si="382"/>
        <v>0</v>
      </c>
      <c r="W215" s="137"/>
      <c r="X215" s="137"/>
      <c r="Y215" s="90">
        <f t="shared" si="383"/>
        <v>0</v>
      </c>
      <c r="Z215" s="169"/>
      <c r="AA215" s="92"/>
      <c r="AB215" s="92"/>
      <c r="AC215" s="92">
        <f t="shared" si="351"/>
        <v>0</v>
      </c>
      <c r="AD215" s="93"/>
      <c r="AE215" s="93"/>
      <c r="AF215" s="94">
        <f t="shared" si="352"/>
        <v>0</v>
      </c>
      <c r="AG215" s="475"/>
      <c r="AH215" s="99"/>
      <c r="AI215" s="99">
        <f>AH215/15</f>
        <v>0</v>
      </c>
      <c r="AJ215" s="138"/>
      <c r="AK215" s="138">
        <f t="shared" si="354"/>
        <v>0</v>
      </c>
      <c r="AL215" s="106"/>
      <c r="AM215" s="105"/>
      <c r="AN215" s="105">
        <f t="shared" si="355"/>
        <v>0</v>
      </c>
      <c r="AO215" s="106"/>
      <c r="AP215" s="105"/>
      <c r="AQ215" s="105">
        <f t="shared" si="375"/>
        <v>0</v>
      </c>
      <c r="AR215" s="106"/>
      <c r="AS215" s="97">
        <f t="shared" si="385"/>
        <v>0</v>
      </c>
      <c r="AT215" s="6"/>
      <c r="AU215" s="105"/>
      <c r="AV215" s="455">
        <f t="shared" si="364"/>
        <v>0</v>
      </c>
      <c r="AW215" s="496"/>
      <c r="AX215" s="508"/>
      <c r="AY215" s="498"/>
      <c r="AZ215" s="100">
        <f t="shared" si="376"/>
        <v>0</v>
      </c>
      <c r="BA215" s="106"/>
      <c r="BB215" s="105"/>
      <c r="BC215" s="105">
        <f t="shared" si="357"/>
        <v>0</v>
      </c>
      <c r="BD215" s="106"/>
      <c r="BE215" s="105">
        <f t="shared" si="377"/>
        <v>0</v>
      </c>
      <c r="BF215" s="106"/>
      <c r="BG215" s="100">
        <f t="shared" si="341"/>
        <v>0</v>
      </c>
      <c r="BH215" s="106"/>
      <c r="BI215" s="100">
        <f t="shared" si="342"/>
        <v>0</v>
      </c>
      <c r="BJ215" s="106"/>
      <c r="BK215" s="101">
        <f t="shared" si="386"/>
        <v>0</v>
      </c>
      <c r="BL215" s="106"/>
      <c r="BM215" s="104"/>
      <c r="BN215" s="104">
        <f t="shared" si="384"/>
        <v>0</v>
      </c>
      <c r="BO215" s="105"/>
      <c r="BP215" s="105">
        <f t="shared" si="366"/>
        <v>0</v>
      </c>
      <c r="BQ215" s="106"/>
      <c r="BR215" s="105"/>
      <c r="BS215" s="105">
        <f t="shared" si="378"/>
        <v>0</v>
      </c>
      <c r="BT215" s="106"/>
      <c r="BU215" s="53"/>
      <c r="BV215" s="53">
        <f t="shared" si="360"/>
        <v>0</v>
      </c>
      <c r="BW215" s="54"/>
      <c r="BX215" s="350">
        <f t="shared" si="387"/>
        <v>0</v>
      </c>
      <c r="BY215" s="211"/>
      <c r="BZ215" s="211">
        <f t="shared" si="363"/>
        <v>0</v>
      </c>
      <c r="CA215" s="508"/>
      <c r="CB215" s="165"/>
      <c r="CC215" s="165"/>
      <c r="CD215" s="203"/>
      <c r="CE215" s="504"/>
      <c r="CF215" s="105"/>
      <c r="CG215" s="105">
        <f t="shared" si="379"/>
        <v>0</v>
      </c>
      <c r="CH215" s="105"/>
      <c r="CI215" s="105"/>
      <c r="CJ215" s="105">
        <f t="shared" si="380"/>
        <v>0</v>
      </c>
      <c r="CK215" s="524"/>
      <c r="CL215" s="53">
        <f t="shared" si="365"/>
        <v>0</v>
      </c>
      <c r="CM215" s="54"/>
      <c r="CN215" s="105"/>
      <c r="CO215" s="100">
        <f t="shared" si="367"/>
        <v>0</v>
      </c>
      <c r="CP215" s="496"/>
      <c r="CQ215" s="439"/>
      <c r="CR215" s="504"/>
      <c r="CS215" s="105"/>
      <c r="CT215" s="105">
        <f t="shared" si="289"/>
        <v>0</v>
      </c>
      <c r="CU215" s="105"/>
      <c r="CV215" s="105"/>
      <c r="CW215" s="105">
        <f t="shared" si="290"/>
        <v>0</v>
      </c>
      <c r="CX215" s="53"/>
      <c r="CY215" s="109">
        <f t="shared" si="368"/>
        <v>0</v>
      </c>
      <c r="CZ215" s="54"/>
      <c r="DA215" s="105"/>
      <c r="DB215" s="455">
        <f t="shared" si="388"/>
        <v>0</v>
      </c>
      <c r="DC215" s="495"/>
      <c r="DD215" s="25"/>
      <c r="DF215" s="1133"/>
      <c r="DG215" s="674">
        <f t="shared" si="343"/>
        <v>0</v>
      </c>
      <c r="DH215" s="1119">
        <f t="shared" si="344"/>
        <v>0</v>
      </c>
      <c r="DI215" s="1119"/>
      <c r="DJ215" s="101">
        <f t="shared" si="345"/>
        <v>0</v>
      </c>
      <c r="DK215" s="101"/>
      <c r="DL215" s="101">
        <f t="shared" si="346"/>
        <v>0</v>
      </c>
      <c r="DM215" s="101"/>
      <c r="DN215" s="112"/>
      <c r="DO215" s="112"/>
      <c r="DP215" s="112"/>
      <c r="DQ215" s="112"/>
    </row>
    <row r="216" spans="1:130" ht="21.6" customHeight="1" x14ac:dyDescent="0.25">
      <c r="A216" s="4" t="s">
        <v>28</v>
      </c>
      <c r="B216" s="4">
        <v>23</v>
      </c>
      <c r="C216" s="166" t="s">
        <v>105</v>
      </c>
      <c r="D216" s="166"/>
      <c r="E216" s="12" t="s">
        <v>126</v>
      </c>
      <c r="F216" s="162">
        <v>4</v>
      </c>
      <c r="G216" s="162">
        <v>22</v>
      </c>
      <c r="H216" s="162">
        <f>F216+G216</f>
        <v>26</v>
      </c>
      <c r="I216" s="162"/>
      <c r="J216" s="162">
        <v>30.25</v>
      </c>
      <c r="K216" s="162">
        <f>I216+J216</f>
        <v>30.25</v>
      </c>
      <c r="L216" s="163"/>
      <c r="M216" s="414"/>
      <c r="N216" s="46"/>
      <c r="O216" s="164"/>
      <c r="P216" s="165"/>
      <c r="Q216" s="165"/>
      <c r="R216" s="165"/>
      <c r="S216" s="203"/>
      <c r="T216" s="89"/>
      <c r="U216" s="89"/>
      <c r="V216" s="89">
        <f t="shared" si="382"/>
        <v>0</v>
      </c>
      <c r="W216" s="137"/>
      <c r="X216" s="137"/>
      <c r="Y216" s="90">
        <f t="shared" si="383"/>
        <v>0</v>
      </c>
      <c r="Z216" s="169"/>
      <c r="AA216" s="92"/>
      <c r="AB216" s="92"/>
      <c r="AC216" s="92">
        <f t="shared" si="351"/>
        <v>0</v>
      </c>
      <c r="AD216" s="93"/>
      <c r="AE216" s="93"/>
      <c r="AF216" s="94">
        <f t="shared" si="352"/>
        <v>0</v>
      </c>
      <c r="AG216" s="475"/>
      <c r="AH216" s="99"/>
      <c r="AI216" s="99">
        <f>AH216/15</f>
        <v>0</v>
      </c>
      <c r="AJ216" s="138"/>
      <c r="AK216" s="138">
        <f t="shared" si="354"/>
        <v>0</v>
      </c>
      <c r="AL216" s="106"/>
      <c r="AM216" s="105"/>
      <c r="AN216" s="105">
        <f t="shared" si="355"/>
        <v>0</v>
      </c>
      <c r="AO216" s="106"/>
      <c r="AP216" s="105"/>
      <c r="AQ216" s="105">
        <f t="shared" si="375"/>
        <v>0</v>
      </c>
      <c r="AR216" s="106"/>
      <c r="AS216" s="97">
        <f t="shared" si="385"/>
        <v>0</v>
      </c>
      <c r="AT216" s="6"/>
      <c r="AU216" s="105"/>
      <c r="AV216" s="455">
        <f t="shared" si="364"/>
        <v>0</v>
      </c>
      <c r="AW216" s="496"/>
      <c r="AX216" s="508"/>
      <c r="AY216" s="498"/>
      <c r="AZ216" s="100">
        <f t="shared" si="376"/>
        <v>0</v>
      </c>
      <c r="BA216" s="106"/>
      <c r="BB216" s="105"/>
      <c r="BC216" s="105">
        <f t="shared" si="357"/>
        <v>0</v>
      </c>
      <c r="BD216" s="106"/>
      <c r="BE216" s="105">
        <f t="shared" si="377"/>
        <v>0</v>
      </c>
      <c r="BF216" s="106"/>
      <c r="BG216" s="100">
        <f t="shared" si="341"/>
        <v>0</v>
      </c>
      <c r="BH216" s="106"/>
      <c r="BI216" s="100">
        <f t="shared" si="342"/>
        <v>0</v>
      </c>
      <c r="BJ216" s="106"/>
      <c r="BK216" s="101">
        <f t="shared" si="386"/>
        <v>0</v>
      </c>
      <c r="BL216" s="106"/>
      <c r="BM216" s="104"/>
      <c r="BN216" s="104">
        <f t="shared" si="384"/>
        <v>0</v>
      </c>
      <c r="BO216" s="105"/>
      <c r="BP216" s="105">
        <f t="shared" si="366"/>
        <v>0</v>
      </c>
      <c r="BQ216" s="106"/>
      <c r="BR216" s="105"/>
      <c r="BS216" s="105">
        <f t="shared" si="378"/>
        <v>0</v>
      </c>
      <c r="BT216" s="106"/>
      <c r="BU216" s="53"/>
      <c r="BV216" s="53">
        <f t="shared" si="360"/>
        <v>0</v>
      </c>
      <c r="BW216" s="54"/>
      <c r="BX216" s="350">
        <f t="shared" si="387"/>
        <v>0</v>
      </c>
      <c r="BY216" s="211"/>
      <c r="BZ216" s="211">
        <f t="shared" si="363"/>
        <v>0</v>
      </c>
      <c r="CA216" s="508"/>
      <c r="CB216" s="165"/>
      <c r="CC216" s="165"/>
      <c r="CD216" s="203"/>
      <c r="CE216" s="504"/>
      <c r="CF216" s="105"/>
      <c r="CG216" s="105">
        <f t="shared" si="379"/>
        <v>0</v>
      </c>
      <c r="CH216" s="105"/>
      <c r="CI216" s="105"/>
      <c r="CJ216" s="105">
        <f t="shared" si="380"/>
        <v>0</v>
      </c>
      <c r="CK216" s="524"/>
      <c r="CL216" s="53">
        <f t="shared" si="365"/>
        <v>0</v>
      </c>
      <c r="CM216" s="54"/>
      <c r="CN216" s="105"/>
      <c r="CO216" s="100">
        <f t="shared" si="367"/>
        <v>0</v>
      </c>
      <c r="CP216" s="496"/>
      <c r="CQ216" s="439"/>
      <c r="CR216" s="504"/>
      <c r="CS216" s="105"/>
      <c r="CT216" s="105">
        <f t="shared" si="289"/>
        <v>0</v>
      </c>
      <c r="CU216" s="105"/>
      <c r="CV216" s="105"/>
      <c r="CW216" s="105">
        <f t="shared" si="290"/>
        <v>0</v>
      </c>
      <c r="CX216" s="53"/>
      <c r="CY216" s="109">
        <f t="shared" si="368"/>
        <v>0</v>
      </c>
      <c r="CZ216" s="54"/>
      <c r="DA216" s="105"/>
      <c r="DB216" s="455">
        <f t="shared" si="388"/>
        <v>0</v>
      </c>
      <c r="DC216" s="495"/>
      <c r="DD216" s="25"/>
      <c r="DF216" s="1133"/>
      <c r="DG216" s="674">
        <f t="shared" si="343"/>
        <v>0</v>
      </c>
      <c r="DH216" s="1119">
        <f t="shared" si="344"/>
        <v>0</v>
      </c>
      <c r="DI216" s="1119"/>
      <c r="DJ216" s="101">
        <f t="shared" si="345"/>
        <v>0</v>
      </c>
      <c r="DK216" s="101"/>
      <c r="DL216" s="101">
        <f t="shared" si="346"/>
        <v>0</v>
      </c>
      <c r="DM216" s="101"/>
      <c r="DN216" s="112"/>
      <c r="DO216" s="112"/>
      <c r="DP216" s="112"/>
      <c r="DQ216" s="112"/>
    </row>
    <row r="217" spans="1:130" ht="21.6" customHeight="1" x14ac:dyDescent="0.25">
      <c r="A217" s="4"/>
      <c r="B217" s="4"/>
      <c r="C217" s="166" t="s">
        <v>105</v>
      </c>
      <c r="D217" s="166" t="s">
        <v>429</v>
      </c>
      <c r="E217" s="15" t="s">
        <v>551</v>
      </c>
      <c r="F217" s="162"/>
      <c r="G217" s="162"/>
      <c r="H217" s="162"/>
      <c r="I217" s="162"/>
      <c r="J217" s="162"/>
      <c r="K217" s="162"/>
      <c r="L217" s="163"/>
      <c r="M217" s="414"/>
      <c r="N217" s="46"/>
      <c r="O217" s="164"/>
      <c r="P217" s="165"/>
      <c r="Q217" s="165"/>
      <c r="R217" s="165"/>
      <c r="S217" s="203"/>
      <c r="T217" s="89"/>
      <c r="U217" s="89"/>
      <c r="V217" s="89"/>
      <c r="W217" s="137"/>
      <c r="X217" s="137"/>
      <c r="Y217" s="90"/>
      <c r="Z217" s="169"/>
      <c r="AA217" s="92"/>
      <c r="AB217" s="92"/>
      <c r="AC217" s="92">
        <f t="shared" si="351"/>
        <v>0</v>
      </c>
      <c r="AD217" s="93"/>
      <c r="AE217" s="93"/>
      <c r="AF217" s="94">
        <f t="shared" si="352"/>
        <v>0</v>
      </c>
      <c r="AG217" s="475"/>
      <c r="AH217" s="99"/>
      <c r="AI217" s="99"/>
      <c r="AJ217" s="138">
        <v>1170</v>
      </c>
      <c r="AK217" s="138">
        <f t="shared" si="354"/>
        <v>78</v>
      </c>
      <c r="AL217" s="106"/>
      <c r="AM217" s="105"/>
      <c r="AN217" s="105">
        <f t="shared" si="355"/>
        <v>0</v>
      </c>
      <c r="AO217" s="106"/>
      <c r="AP217" s="105"/>
      <c r="AQ217" s="105">
        <f t="shared" si="375"/>
        <v>0</v>
      </c>
      <c r="AR217" s="106"/>
      <c r="AS217" s="97">
        <f t="shared" si="385"/>
        <v>78</v>
      </c>
      <c r="AT217" s="6"/>
      <c r="AU217" s="105"/>
      <c r="AV217" s="455">
        <f t="shared" si="364"/>
        <v>0</v>
      </c>
      <c r="AW217" s="496"/>
      <c r="AX217" s="508"/>
      <c r="AY217" s="498">
        <v>540</v>
      </c>
      <c r="AZ217" s="100">
        <f t="shared" si="376"/>
        <v>36</v>
      </c>
      <c r="BA217" s="106"/>
      <c r="BB217" s="105"/>
      <c r="BC217" s="105">
        <f t="shared" si="357"/>
        <v>0</v>
      </c>
      <c r="BD217" s="106"/>
      <c r="BE217" s="105">
        <f t="shared" si="377"/>
        <v>114</v>
      </c>
      <c r="BF217" s="106"/>
      <c r="BG217" s="100">
        <f t="shared" si="341"/>
        <v>0</v>
      </c>
      <c r="BH217" s="106"/>
      <c r="BI217" s="100">
        <f t="shared" si="342"/>
        <v>0</v>
      </c>
      <c r="BJ217" s="106"/>
      <c r="BK217" s="101">
        <f t="shared" si="386"/>
        <v>114</v>
      </c>
      <c r="BL217" s="106"/>
      <c r="BM217" s="104"/>
      <c r="BN217" s="104"/>
      <c r="BO217" s="105">
        <v>5700</v>
      </c>
      <c r="BP217" s="105">
        <f t="shared" si="366"/>
        <v>114</v>
      </c>
      <c r="BQ217" s="106"/>
      <c r="BR217" s="105"/>
      <c r="BS217" s="105">
        <f t="shared" si="378"/>
        <v>0</v>
      </c>
      <c r="BT217" s="106"/>
      <c r="BU217" s="53"/>
      <c r="BV217" s="53">
        <f t="shared" si="360"/>
        <v>0</v>
      </c>
      <c r="BW217" s="54"/>
      <c r="BX217" s="350">
        <f t="shared" si="387"/>
        <v>114</v>
      </c>
      <c r="BY217" s="211"/>
      <c r="BZ217" s="211">
        <f t="shared" si="363"/>
        <v>0</v>
      </c>
      <c r="CA217" s="508"/>
      <c r="CB217" s="165"/>
      <c r="CC217" s="165"/>
      <c r="CD217" s="203"/>
      <c r="CE217" s="504"/>
      <c r="CF217" s="105"/>
      <c r="CG217" s="105">
        <f t="shared" si="379"/>
        <v>0</v>
      </c>
      <c r="CH217" s="105"/>
      <c r="CI217" s="105"/>
      <c r="CJ217" s="105">
        <f t="shared" si="380"/>
        <v>0</v>
      </c>
      <c r="CK217" s="524"/>
      <c r="CL217" s="53">
        <f t="shared" si="365"/>
        <v>0</v>
      </c>
      <c r="CM217" s="54"/>
      <c r="CN217" s="105"/>
      <c r="CO217" s="100">
        <f t="shared" si="367"/>
        <v>0</v>
      </c>
      <c r="CP217" s="496"/>
      <c r="CQ217" s="439"/>
      <c r="CR217" s="504"/>
      <c r="CS217" s="105"/>
      <c r="CT217" s="105">
        <f t="shared" ref="CT217:CT284" si="389">CR217+CS217</f>
        <v>0</v>
      </c>
      <c r="CU217" s="105"/>
      <c r="CV217" s="105"/>
      <c r="CW217" s="105">
        <f t="shared" ref="CW217:CW284" si="390">CU217+CV217</f>
        <v>0</v>
      </c>
      <c r="CX217" s="53"/>
      <c r="CY217" s="109">
        <f t="shared" si="368"/>
        <v>0</v>
      </c>
      <c r="CZ217" s="54"/>
      <c r="DA217" s="105"/>
      <c r="DB217" s="455">
        <f t="shared" si="388"/>
        <v>0</v>
      </c>
      <c r="DC217" s="495"/>
      <c r="DD217" s="25"/>
      <c r="DF217" s="1133"/>
      <c r="DG217" s="674">
        <f t="shared" si="343"/>
        <v>0</v>
      </c>
      <c r="DH217" s="1119">
        <f t="shared" si="344"/>
        <v>0</v>
      </c>
      <c r="DI217" s="1119"/>
      <c r="DJ217" s="101">
        <f t="shared" si="345"/>
        <v>114</v>
      </c>
      <c r="DK217" s="101"/>
      <c r="DL217" s="101">
        <f t="shared" si="346"/>
        <v>0</v>
      </c>
      <c r="DM217" s="101">
        <f t="shared" ref="DM217" si="391">DL217</f>
        <v>0</v>
      </c>
      <c r="DN217" s="112">
        <f>DJ217</f>
        <v>114</v>
      </c>
      <c r="DO217" s="112"/>
      <c r="DP217" s="112"/>
      <c r="DQ217" s="112"/>
    </row>
    <row r="218" spans="1:130" ht="21.6" customHeight="1" x14ac:dyDescent="0.25">
      <c r="A218" s="4" t="s">
        <v>28</v>
      </c>
      <c r="B218" s="4">
        <v>24</v>
      </c>
      <c r="C218" s="166" t="s">
        <v>105</v>
      </c>
      <c r="D218" s="166"/>
      <c r="E218" s="13" t="s">
        <v>127</v>
      </c>
      <c r="F218" s="162">
        <v>34</v>
      </c>
      <c r="G218" s="162">
        <v>9</v>
      </c>
      <c r="H218" s="162">
        <f>F218+G218</f>
        <v>43</v>
      </c>
      <c r="I218" s="162">
        <v>35.4</v>
      </c>
      <c r="J218" s="162">
        <v>7.5</v>
      </c>
      <c r="K218" s="162">
        <f>I218+J218</f>
        <v>42.9</v>
      </c>
      <c r="L218" s="163"/>
      <c r="M218" s="414"/>
      <c r="N218" s="46"/>
      <c r="O218" s="164"/>
      <c r="P218" s="165"/>
      <c r="Q218" s="165"/>
      <c r="R218" s="165"/>
      <c r="S218" s="203"/>
      <c r="T218" s="89"/>
      <c r="U218" s="89"/>
      <c r="V218" s="89">
        <f>T218+U218</f>
        <v>0</v>
      </c>
      <c r="W218" s="137"/>
      <c r="X218" s="137"/>
      <c r="Y218" s="90">
        <f>W218+X218</f>
        <v>0</v>
      </c>
      <c r="Z218" s="169"/>
      <c r="AA218" s="92"/>
      <c r="AB218" s="92"/>
      <c r="AC218" s="92">
        <f t="shared" si="351"/>
        <v>0</v>
      </c>
      <c r="AD218" s="93"/>
      <c r="AE218" s="93"/>
      <c r="AF218" s="94">
        <f t="shared" si="352"/>
        <v>0</v>
      </c>
      <c r="AG218" s="475"/>
      <c r="AH218" s="99">
        <v>200</v>
      </c>
      <c r="AI218" s="99">
        <f>AH218/15</f>
        <v>13.333333333333334</v>
      </c>
      <c r="AJ218" s="138"/>
      <c r="AK218" s="138">
        <f t="shared" si="354"/>
        <v>0</v>
      </c>
      <c r="AL218" s="106"/>
      <c r="AM218" s="105"/>
      <c r="AN218" s="105">
        <f t="shared" si="355"/>
        <v>0</v>
      </c>
      <c r="AO218" s="106"/>
      <c r="AP218" s="105"/>
      <c r="AQ218" s="105">
        <f t="shared" si="375"/>
        <v>0</v>
      </c>
      <c r="AR218" s="106"/>
      <c r="AS218" s="97">
        <f t="shared" si="385"/>
        <v>0</v>
      </c>
      <c r="AT218" s="6"/>
      <c r="AU218" s="105"/>
      <c r="AV218" s="455">
        <f t="shared" si="364"/>
        <v>0</v>
      </c>
      <c r="AW218" s="496"/>
      <c r="AX218" s="508"/>
      <c r="AY218" s="498"/>
      <c r="AZ218" s="100">
        <f t="shared" si="376"/>
        <v>0</v>
      </c>
      <c r="BA218" s="106"/>
      <c r="BB218" s="105"/>
      <c r="BC218" s="105">
        <f t="shared" si="357"/>
        <v>0</v>
      </c>
      <c r="BD218" s="106"/>
      <c r="BE218" s="105">
        <f t="shared" si="377"/>
        <v>0</v>
      </c>
      <c r="BF218" s="106"/>
      <c r="BG218" s="100">
        <f t="shared" si="341"/>
        <v>0</v>
      </c>
      <c r="BH218" s="106"/>
      <c r="BI218" s="100">
        <f t="shared" si="342"/>
        <v>0</v>
      </c>
      <c r="BJ218" s="106"/>
      <c r="BK218" s="101">
        <f t="shared" si="386"/>
        <v>0</v>
      </c>
      <c r="BL218" s="106"/>
      <c r="BM218" s="104">
        <v>1650</v>
      </c>
      <c r="BN218" s="104">
        <f>BM218/50</f>
        <v>33</v>
      </c>
      <c r="BO218" s="105"/>
      <c r="BP218" s="105">
        <f t="shared" si="366"/>
        <v>0</v>
      </c>
      <c r="BQ218" s="106"/>
      <c r="BR218" s="105"/>
      <c r="BS218" s="105">
        <f t="shared" si="378"/>
        <v>0</v>
      </c>
      <c r="BT218" s="106"/>
      <c r="BU218" s="53"/>
      <c r="BV218" s="53">
        <f t="shared" si="360"/>
        <v>0</v>
      </c>
      <c r="BW218" s="54"/>
      <c r="BX218" s="350">
        <f t="shared" si="387"/>
        <v>0</v>
      </c>
      <c r="BY218" s="211"/>
      <c r="BZ218" s="211">
        <f t="shared" ref="BZ218:BZ223" si="392">BK218-BX218</f>
        <v>0</v>
      </c>
      <c r="CA218" s="508"/>
      <c r="CB218" s="165"/>
      <c r="CC218" s="165"/>
      <c r="CD218" s="203"/>
      <c r="CE218" s="504"/>
      <c r="CF218" s="105"/>
      <c r="CG218" s="105">
        <f t="shared" si="379"/>
        <v>0</v>
      </c>
      <c r="CH218" s="105"/>
      <c r="CI218" s="105"/>
      <c r="CJ218" s="105">
        <f t="shared" si="380"/>
        <v>0</v>
      </c>
      <c r="CK218" s="524"/>
      <c r="CL218" s="53">
        <f t="shared" si="365"/>
        <v>0</v>
      </c>
      <c r="CM218" s="54"/>
      <c r="CN218" s="105"/>
      <c r="CO218" s="100">
        <f t="shared" si="367"/>
        <v>0</v>
      </c>
      <c r="CP218" s="496"/>
      <c r="CQ218" s="439"/>
      <c r="CR218" s="504"/>
      <c r="CS218" s="105"/>
      <c r="CT218" s="105">
        <f t="shared" si="389"/>
        <v>0</v>
      </c>
      <c r="CU218" s="105"/>
      <c r="CV218" s="105"/>
      <c r="CW218" s="105">
        <f t="shared" si="390"/>
        <v>0</v>
      </c>
      <c r="CX218" s="53"/>
      <c r="CY218" s="109">
        <f t="shared" si="368"/>
        <v>0</v>
      </c>
      <c r="CZ218" s="54"/>
      <c r="DA218" s="105"/>
      <c r="DB218" s="455">
        <f t="shared" si="388"/>
        <v>0</v>
      </c>
      <c r="DC218" s="495"/>
      <c r="DD218" s="25"/>
      <c r="DF218" s="1133"/>
      <c r="DG218" s="674">
        <f t="shared" si="343"/>
        <v>0</v>
      </c>
      <c r="DH218" s="1119">
        <f t="shared" si="344"/>
        <v>0</v>
      </c>
      <c r="DI218" s="1119"/>
      <c r="DJ218" s="101">
        <f t="shared" si="345"/>
        <v>0</v>
      </c>
      <c r="DK218" s="101"/>
      <c r="DL218" s="101">
        <f t="shared" si="346"/>
        <v>0</v>
      </c>
      <c r="DM218" s="101"/>
      <c r="DN218" s="112"/>
      <c r="DO218" s="112"/>
      <c r="DP218" s="112"/>
      <c r="DQ218" s="112"/>
    </row>
    <row r="219" spans="1:130" s="139" customFormat="1" ht="21.6" customHeight="1" x14ac:dyDescent="0.25">
      <c r="A219" s="4"/>
      <c r="B219" s="4"/>
      <c r="C219" s="166" t="s">
        <v>105</v>
      </c>
      <c r="D219" s="166" t="s">
        <v>429</v>
      </c>
      <c r="E219" s="3" t="s">
        <v>365</v>
      </c>
      <c r="F219" s="162"/>
      <c r="G219" s="162"/>
      <c r="H219" s="162"/>
      <c r="I219" s="162"/>
      <c r="J219" s="162"/>
      <c r="K219" s="162"/>
      <c r="L219" s="163"/>
      <c r="M219" s="414"/>
      <c r="N219" s="46"/>
      <c r="O219" s="164"/>
      <c r="P219" s="165"/>
      <c r="Q219" s="165"/>
      <c r="R219" s="165"/>
      <c r="S219" s="203"/>
      <c r="T219" s="89"/>
      <c r="U219" s="89"/>
      <c r="V219" s="89"/>
      <c r="W219" s="137"/>
      <c r="X219" s="137"/>
      <c r="Y219" s="90"/>
      <c r="Z219" s="169"/>
      <c r="AA219" s="92"/>
      <c r="AB219" s="92"/>
      <c r="AC219" s="92">
        <f t="shared" si="351"/>
        <v>0</v>
      </c>
      <c r="AD219" s="93"/>
      <c r="AE219" s="93"/>
      <c r="AF219" s="94">
        <f t="shared" si="352"/>
        <v>0</v>
      </c>
      <c r="AG219" s="475"/>
      <c r="AH219" s="99"/>
      <c r="AI219" s="99"/>
      <c r="AJ219" s="138"/>
      <c r="AK219" s="138"/>
      <c r="AL219" s="106"/>
      <c r="AM219" s="105"/>
      <c r="AN219" s="105">
        <f t="shared" si="355"/>
        <v>0</v>
      </c>
      <c r="AO219" s="106"/>
      <c r="AP219" s="105"/>
      <c r="AQ219" s="105">
        <f t="shared" si="375"/>
        <v>0</v>
      </c>
      <c r="AR219" s="106"/>
      <c r="AS219" s="97">
        <f t="shared" si="385"/>
        <v>0</v>
      </c>
      <c r="AT219" s="6"/>
      <c r="AU219" s="105"/>
      <c r="AV219" s="455">
        <f t="shared" si="364"/>
        <v>0</v>
      </c>
      <c r="AW219" s="496"/>
      <c r="AX219" s="508"/>
      <c r="AY219" s="498">
        <v>600</v>
      </c>
      <c r="AZ219" s="100">
        <f t="shared" si="376"/>
        <v>40</v>
      </c>
      <c r="BA219" s="106"/>
      <c r="BB219" s="105"/>
      <c r="BC219" s="105">
        <f t="shared" si="357"/>
        <v>0</v>
      </c>
      <c r="BD219" s="106"/>
      <c r="BE219" s="105">
        <f t="shared" si="377"/>
        <v>40</v>
      </c>
      <c r="BF219" s="106"/>
      <c r="BG219" s="100">
        <f t="shared" si="341"/>
        <v>0</v>
      </c>
      <c r="BH219" s="106"/>
      <c r="BI219" s="100">
        <f t="shared" si="342"/>
        <v>0</v>
      </c>
      <c r="BJ219" s="106"/>
      <c r="BK219" s="101">
        <f t="shared" si="386"/>
        <v>40</v>
      </c>
      <c r="BL219" s="106"/>
      <c r="BM219" s="104"/>
      <c r="BN219" s="104"/>
      <c r="BO219" s="105">
        <v>2000</v>
      </c>
      <c r="BP219" s="105">
        <f t="shared" si="366"/>
        <v>40</v>
      </c>
      <c r="BQ219" s="106"/>
      <c r="BR219" s="105"/>
      <c r="BS219" s="105">
        <f t="shared" si="378"/>
        <v>0</v>
      </c>
      <c r="BT219" s="106"/>
      <c r="BU219" s="53"/>
      <c r="BV219" s="53">
        <f t="shared" si="360"/>
        <v>0</v>
      </c>
      <c r="BW219" s="54"/>
      <c r="BX219" s="350">
        <f t="shared" si="387"/>
        <v>40</v>
      </c>
      <c r="BY219" s="211"/>
      <c r="BZ219" s="211">
        <f t="shared" si="392"/>
        <v>0</v>
      </c>
      <c r="CA219" s="508"/>
      <c r="CB219" s="165"/>
      <c r="CC219" s="165" t="s">
        <v>265</v>
      </c>
      <c r="CD219" s="203" t="s">
        <v>428</v>
      </c>
      <c r="CE219" s="504"/>
      <c r="CF219" s="105"/>
      <c r="CG219" s="105">
        <f t="shared" si="379"/>
        <v>0</v>
      </c>
      <c r="CH219" s="105"/>
      <c r="CI219" s="105"/>
      <c r="CJ219" s="105">
        <f t="shared" si="380"/>
        <v>0</v>
      </c>
      <c r="CK219" s="524"/>
      <c r="CL219" s="53">
        <f t="shared" si="365"/>
        <v>0</v>
      </c>
      <c r="CM219" s="54"/>
      <c r="CN219" s="105"/>
      <c r="CO219" s="100">
        <f t="shared" si="367"/>
        <v>0</v>
      </c>
      <c r="CP219" s="496"/>
      <c r="CQ219" s="439"/>
      <c r="CR219" s="504"/>
      <c r="CS219" s="105"/>
      <c r="CT219" s="105">
        <f t="shared" si="389"/>
        <v>0</v>
      </c>
      <c r="CU219" s="105"/>
      <c r="CV219" s="105"/>
      <c r="CW219" s="105">
        <f t="shared" si="390"/>
        <v>0</v>
      </c>
      <c r="CX219" s="53"/>
      <c r="CY219" s="109">
        <f t="shared" si="368"/>
        <v>0</v>
      </c>
      <c r="CZ219" s="54"/>
      <c r="DA219" s="105">
        <v>1785</v>
      </c>
      <c r="DB219" s="455">
        <f t="shared" si="388"/>
        <v>119</v>
      </c>
      <c r="DC219" s="495"/>
      <c r="DD219" s="25"/>
      <c r="DE219" s="44"/>
      <c r="DF219" s="1133"/>
      <c r="DG219" s="674">
        <f t="shared" si="343"/>
        <v>119</v>
      </c>
      <c r="DH219" s="1119">
        <f t="shared" si="344"/>
        <v>0</v>
      </c>
      <c r="DI219" s="1119"/>
      <c r="DJ219" s="101">
        <f t="shared" si="345"/>
        <v>40</v>
      </c>
      <c r="DK219" s="101"/>
      <c r="DL219" s="101">
        <f t="shared" si="346"/>
        <v>0</v>
      </c>
      <c r="DM219" s="101">
        <f t="shared" ref="DM219" si="393">DL219</f>
        <v>0</v>
      </c>
      <c r="DN219" s="112">
        <f>DJ219</f>
        <v>40</v>
      </c>
      <c r="DO219" s="112"/>
      <c r="DP219" s="112"/>
      <c r="DQ219" s="112"/>
      <c r="DR219" s="44"/>
      <c r="DS219" s="45"/>
      <c r="DT219" s="45"/>
      <c r="DU219" s="45"/>
      <c r="DV219" s="140"/>
      <c r="DW219" s="140"/>
      <c r="DX219" s="140"/>
      <c r="DY219" s="140"/>
      <c r="DZ219" s="140"/>
    </row>
    <row r="220" spans="1:130" ht="21.6" customHeight="1" x14ac:dyDescent="0.25">
      <c r="A220" s="4" t="s">
        <v>28</v>
      </c>
      <c r="B220" s="4">
        <v>25</v>
      </c>
      <c r="C220" s="182" t="s">
        <v>105</v>
      </c>
      <c r="D220" s="182" t="s">
        <v>431</v>
      </c>
      <c r="E220" s="14" t="s">
        <v>128</v>
      </c>
      <c r="F220" s="135">
        <v>14</v>
      </c>
      <c r="G220" s="135">
        <v>43</v>
      </c>
      <c r="H220" s="135">
        <f>F220+G220</f>
        <v>57</v>
      </c>
      <c r="I220" s="135">
        <v>40.35</v>
      </c>
      <c r="J220" s="135">
        <v>0.8</v>
      </c>
      <c r="K220" s="135">
        <f>I220+J220</f>
        <v>41.15</v>
      </c>
      <c r="L220" s="136"/>
      <c r="M220" s="5"/>
      <c r="N220" s="41"/>
      <c r="O220" s="6"/>
      <c r="P220" s="7"/>
      <c r="Q220" s="7"/>
      <c r="R220" s="7"/>
      <c r="S220" s="158"/>
      <c r="T220" s="89"/>
      <c r="U220" s="89"/>
      <c r="V220" s="89">
        <f>T220+U220</f>
        <v>0</v>
      </c>
      <c r="W220" s="137"/>
      <c r="X220" s="137"/>
      <c r="Y220" s="90">
        <f>W220+X220</f>
        <v>0</v>
      </c>
      <c r="Z220" s="91"/>
      <c r="AA220" s="92"/>
      <c r="AB220" s="92"/>
      <c r="AC220" s="92">
        <f t="shared" si="351"/>
        <v>0</v>
      </c>
      <c r="AD220" s="93"/>
      <c r="AE220" s="93"/>
      <c r="AF220" s="94">
        <f t="shared" si="352"/>
        <v>0</v>
      </c>
      <c r="AG220" s="473"/>
      <c r="AH220" s="99">
        <v>225</v>
      </c>
      <c r="AI220" s="99">
        <f>AH220/15</f>
        <v>15</v>
      </c>
      <c r="AJ220" s="138"/>
      <c r="AK220" s="138">
        <f>AJ220/15</f>
        <v>0</v>
      </c>
      <c r="AL220" s="106"/>
      <c r="AM220" s="105">
        <v>225</v>
      </c>
      <c r="AN220" s="105">
        <f>AM220/15</f>
        <v>15</v>
      </c>
      <c r="AO220" s="106"/>
      <c r="AP220" s="395"/>
      <c r="AQ220" s="105">
        <f t="shared" si="375"/>
        <v>0</v>
      </c>
      <c r="AR220" s="106"/>
      <c r="AS220" s="97">
        <f t="shared" si="385"/>
        <v>15</v>
      </c>
      <c r="AT220" s="6"/>
      <c r="AU220" s="105"/>
      <c r="AV220" s="455">
        <f t="shared" si="364"/>
        <v>0</v>
      </c>
      <c r="AW220" s="496"/>
      <c r="AX220" s="508"/>
      <c r="AY220" s="498"/>
      <c r="AZ220" s="100">
        <f t="shared" si="376"/>
        <v>0</v>
      </c>
      <c r="BA220" s="106"/>
      <c r="BB220" s="105"/>
      <c r="BC220" s="105">
        <f>BB220/15</f>
        <v>0</v>
      </c>
      <c r="BD220" s="106"/>
      <c r="BE220" s="105">
        <f t="shared" si="377"/>
        <v>0</v>
      </c>
      <c r="BF220" s="106"/>
      <c r="BG220" s="100">
        <f t="shared" si="341"/>
        <v>15</v>
      </c>
      <c r="BH220" s="106"/>
      <c r="BI220" s="100">
        <f t="shared" si="342"/>
        <v>0</v>
      </c>
      <c r="BJ220" s="106"/>
      <c r="BK220" s="101">
        <f t="shared" si="386"/>
        <v>15</v>
      </c>
      <c r="BL220" s="106"/>
      <c r="BM220" s="104">
        <v>750</v>
      </c>
      <c r="BN220" s="104">
        <f>BM220/50</f>
        <v>15</v>
      </c>
      <c r="BO220" s="105"/>
      <c r="BP220" s="105">
        <f t="shared" si="366"/>
        <v>0</v>
      </c>
      <c r="BQ220" s="106"/>
      <c r="BR220" s="105">
        <v>750</v>
      </c>
      <c r="BS220" s="105">
        <f t="shared" si="378"/>
        <v>15</v>
      </c>
      <c r="BT220" s="106"/>
      <c r="BU220" s="53"/>
      <c r="BV220" s="53">
        <f t="shared" si="360"/>
        <v>0</v>
      </c>
      <c r="BW220" s="54"/>
      <c r="BX220" s="350">
        <f t="shared" si="387"/>
        <v>15</v>
      </c>
      <c r="BY220" s="211"/>
      <c r="BZ220" s="211">
        <f t="shared" si="392"/>
        <v>0</v>
      </c>
      <c r="CA220" s="508"/>
      <c r="CB220" s="7"/>
      <c r="CC220" s="7"/>
      <c r="CD220" s="158"/>
      <c r="CE220" s="504"/>
      <c r="CF220" s="105"/>
      <c r="CG220" s="105">
        <f t="shared" si="379"/>
        <v>0</v>
      </c>
      <c r="CH220" s="105"/>
      <c r="CI220" s="105"/>
      <c r="CJ220" s="105">
        <f t="shared" si="380"/>
        <v>0</v>
      </c>
      <c r="CK220" s="524"/>
      <c r="CL220" s="53">
        <f>CK220/15</f>
        <v>0</v>
      </c>
      <c r="CM220" s="54"/>
      <c r="CN220" s="105"/>
      <c r="CO220" s="100">
        <f t="shared" si="367"/>
        <v>0</v>
      </c>
      <c r="CP220" s="496"/>
      <c r="CQ220" s="439"/>
      <c r="CR220" s="504"/>
      <c r="CS220" s="105"/>
      <c r="CT220" s="105">
        <f t="shared" si="389"/>
        <v>0</v>
      </c>
      <c r="CU220" s="105"/>
      <c r="CV220" s="105"/>
      <c r="CW220" s="105">
        <f t="shared" si="390"/>
        <v>0</v>
      </c>
      <c r="CX220" s="53"/>
      <c r="CY220" s="109">
        <f t="shared" si="368"/>
        <v>0</v>
      </c>
      <c r="CZ220" s="54"/>
      <c r="DA220" s="105"/>
      <c r="DB220" s="455">
        <f t="shared" si="388"/>
        <v>0</v>
      </c>
      <c r="DC220" s="495"/>
      <c r="DD220" s="24"/>
      <c r="DE220" s="139"/>
      <c r="DF220" s="1133"/>
      <c r="DG220" s="674">
        <f t="shared" si="343"/>
        <v>0</v>
      </c>
      <c r="DH220" s="1119">
        <f t="shared" si="344"/>
        <v>0</v>
      </c>
      <c r="DI220" s="1119"/>
      <c r="DJ220" s="101">
        <f t="shared" si="345"/>
        <v>15</v>
      </c>
      <c r="DK220" s="101"/>
      <c r="DL220" s="493">
        <f t="shared" si="346"/>
        <v>0</v>
      </c>
      <c r="DM220" s="101"/>
      <c r="DN220" s="112"/>
      <c r="DO220" s="112"/>
      <c r="DP220" s="112"/>
      <c r="DQ220" s="112"/>
      <c r="DR220" s="139"/>
      <c r="DS220" s="140"/>
      <c r="DT220" s="140"/>
      <c r="DU220" s="140"/>
    </row>
    <row r="221" spans="1:130" ht="21.6" customHeight="1" x14ac:dyDescent="0.25">
      <c r="A221" s="4" t="s">
        <v>28</v>
      </c>
      <c r="B221" s="4">
        <v>26</v>
      </c>
      <c r="C221" s="166" t="s">
        <v>105</v>
      </c>
      <c r="D221" s="166"/>
      <c r="E221" s="1" t="s">
        <v>129</v>
      </c>
      <c r="F221" s="162">
        <v>5</v>
      </c>
      <c r="G221" s="162">
        <v>28</v>
      </c>
      <c r="H221" s="162">
        <f>F221+G221</f>
        <v>33</v>
      </c>
      <c r="I221" s="162">
        <v>36</v>
      </c>
      <c r="J221" s="162">
        <v>17.5</v>
      </c>
      <c r="K221" s="162">
        <f>I221+J221</f>
        <v>53.5</v>
      </c>
      <c r="L221" s="163"/>
      <c r="M221" s="414"/>
      <c r="N221" s="46"/>
      <c r="O221" s="164"/>
      <c r="P221" s="165"/>
      <c r="Q221" s="165"/>
      <c r="R221" s="165"/>
      <c r="S221" s="203"/>
      <c r="T221" s="89"/>
      <c r="U221" s="89"/>
      <c r="V221" s="89">
        <f>T221+U221</f>
        <v>0</v>
      </c>
      <c r="W221" s="137"/>
      <c r="X221" s="137"/>
      <c r="Y221" s="90">
        <f>W221+X221</f>
        <v>0</v>
      </c>
      <c r="Z221" s="169"/>
      <c r="AA221" s="92"/>
      <c r="AB221" s="92"/>
      <c r="AC221" s="92">
        <f t="shared" si="351"/>
        <v>0</v>
      </c>
      <c r="AD221" s="93"/>
      <c r="AE221" s="93"/>
      <c r="AF221" s="94">
        <f t="shared" si="352"/>
        <v>0</v>
      </c>
      <c r="AG221" s="475"/>
      <c r="AH221" s="99"/>
      <c r="AI221" s="99">
        <f>AH221/15</f>
        <v>0</v>
      </c>
      <c r="AJ221" s="138"/>
      <c r="AK221" s="138">
        <f>AJ221/15</f>
        <v>0</v>
      </c>
      <c r="AL221" s="106"/>
      <c r="AM221" s="105"/>
      <c r="AN221" s="105">
        <f>AM221/15</f>
        <v>0</v>
      </c>
      <c r="AO221" s="106"/>
      <c r="AP221" s="105"/>
      <c r="AQ221" s="105">
        <f t="shared" si="375"/>
        <v>0</v>
      </c>
      <c r="AR221" s="106"/>
      <c r="AS221" s="97">
        <f t="shared" si="385"/>
        <v>0</v>
      </c>
      <c r="AT221" s="6"/>
      <c r="AU221" s="105"/>
      <c r="AV221" s="455">
        <f t="shared" si="364"/>
        <v>0</v>
      </c>
      <c r="AW221" s="496"/>
      <c r="AX221" s="508"/>
      <c r="AY221" s="498"/>
      <c r="AZ221" s="100">
        <f t="shared" si="376"/>
        <v>0</v>
      </c>
      <c r="BA221" s="106"/>
      <c r="BB221" s="105"/>
      <c r="BC221" s="105">
        <f>BB221/15</f>
        <v>0</v>
      </c>
      <c r="BD221" s="106"/>
      <c r="BE221" s="105">
        <f t="shared" si="377"/>
        <v>0</v>
      </c>
      <c r="BF221" s="106"/>
      <c r="BG221" s="100">
        <f t="shared" si="341"/>
        <v>0</v>
      </c>
      <c r="BH221" s="106"/>
      <c r="BI221" s="100">
        <f t="shared" si="342"/>
        <v>0</v>
      </c>
      <c r="BJ221" s="106"/>
      <c r="BK221" s="101">
        <f t="shared" si="386"/>
        <v>0</v>
      </c>
      <c r="BL221" s="106"/>
      <c r="BM221" s="104"/>
      <c r="BN221" s="104">
        <f>BM221/50</f>
        <v>0</v>
      </c>
      <c r="BO221" s="105"/>
      <c r="BP221" s="105">
        <f t="shared" si="366"/>
        <v>0</v>
      </c>
      <c r="BQ221" s="106"/>
      <c r="BR221" s="105"/>
      <c r="BS221" s="105">
        <f t="shared" si="378"/>
        <v>0</v>
      </c>
      <c r="BT221" s="106"/>
      <c r="BU221" s="53"/>
      <c r="BV221" s="53">
        <f t="shared" si="360"/>
        <v>0</v>
      </c>
      <c r="BW221" s="54"/>
      <c r="BX221" s="350">
        <f t="shared" si="387"/>
        <v>0</v>
      </c>
      <c r="BY221" s="211"/>
      <c r="BZ221" s="211">
        <f t="shared" si="392"/>
        <v>0</v>
      </c>
      <c r="CA221" s="508"/>
      <c r="CB221" s="165"/>
      <c r="CC221" s="165"/>
      <c r="CD221" s="203"/>
      <c r="CE221" s="504"/>
      <c r="CF221" s="105"/>
      <c r="CG221" s="105">
        <f t="shared" si="379"/>
        <v>0</v>
      </c>
      <c r="CH221" s="105"/>
      <c r="CI221" s="105"/>
      <c r="CJ221" s="105">
        <f t="shared" si="380"/>
        <v>0</v>
      </c>
      <c r="CK221" s="524"/>
      <c r="CL221" s="53">
        <f>CK221/15</f>
        <v>0</v>
      </c>
      <c r="CM221" s="54"/>
      <c r="CN221" s="105"/>
      <c r="CO221" s="100">
        <f t="shared" si="367"/>
        <v>0</v>
      </c>
      <c r="CP221" s="496"/>
      <c r="CQ221" s="439"/>
      <c r="CR221" s="504"/>
      <c r="CS221" s="105"/>
      <c r="CT221" s="105">
        <f t="shared" si="389"/>
        <v>0</v>
      </c>
      <c r="CU221" s="105"/>
      <c r="CV221" s="105"/>
      <c r="CW221" s="105">
        <f t="shared" si="390"/>
        <v>0</v>
      </c>
      <c r="CX221" s="53"/>
      <c r="CY221" s="109">
        <f t="shared" si="368"/>
        <v>0</v>
      </c>
      <c r="CZ221" s="54"/>
      <c r="DA221" s="105"/>
      <c r="DB221" s="455">
        <f t="shared" si="388"/>
        <v>0</v>
      </c>
      <c r="DC221" s="495"/>
      <c r="DD221" s="25"/>
      <c r="DF221" s="1133"/>
      <c r="DG221" s="674">
        <f t="shared" si="343"/>
        <v>0</v>
      </c>
      <c r="DH221" s="1119">
        <f t="shared" si="344"/>
        <v>0</v>
      </c>
      <c r="DI221" s="1119"/>
      <c r="DJ221" s="101">
        <f t="shared" si="345"/>
        <v>0</v>
      </c>
      <c r="DK221" s="101"/>
      <c r="DL221" s="101">
        <f t="shared" si="346"/>
        <v>0</v>
      </c>
      <c r="DM221" s="101"/>
      <c r="DN221" s="112"/>
      <c r="DO221" s="112"/>
      <c r="DP221" s="112"/>
      <c r="DQ221" s="112"/>
    </row>
    <row r="222" spans="1:130" s="139" customFormat="1" ht="21.6" customHeight="1" x14ac:dyDescent="0.25">
      <c r="A222" s="4"/>
      <c r="B222" s="4"/>
      <c r="C222" s="134" t="s">
        <v>105</v>
      </c>
      <c r="D222" s="134" t="s">
        <v>431</v>
      </c>
      <c r="E222" s="3" t="s">
        <v>300</v>
      </c>
      <c r="F222" s="135"/>
      <c r="G222" s="135"/>
      <c r="H222" s="135"/>
      <c r="I222" s="135"/>
      <c r="J222" s="135"/>
      <c r="K222" s="135"/>
      <c r="L222" s="136"/>
      <c r="M222" s="5"/>
      <c r="N222" s="41"/>
      <c r="O222" s="6"/>
      <c r="P222" s="7"/>
      <c r="Q222" s="7"/>
      <c r="R222" s="7"/>
      <c r="S222" s="158"/>
      <c r="T222" s="89"/>
      <c r="U222" s="89"/>
      <c r="V222" s="89">
        <f>T222+U222</f>
        <v>0</v>
      </c>
      <c r="W222" s="137"/>
      <c r="X222" s="137"/>
      <c r="Y222" s="90">
        <f>W222+X222</f>
        <v>0</v>
      </c>
      <c r="Z222" s="91"/>
      <c r="AA222" s="92"/>
      <c r="AB222" s="92"/>
      <c r="AC222" s="92">
        <f t="shared" si="351"/>
        <v>0</v>
      </c>
      <c r="AD222" s="93"/>
      <c r="AE222" s="93"/>
      <c r="AF222" s="94">
        <f t="shared" si="352"/>
        <v>0</v>
      </c>
      <c r="AG222" s="473"/>
      <c r="AH222" s="99">
        <v>150</v>
      </c>
      <c r="AI222" s="99">
        <f>AH222/15</f>
        <v>10</v>
      </c>
      <c r="AJ222" s="138">
        <v>150</v>
      </c>
      <c r="AK222" s="138">
        <f>AJ222/15</f>
        <v>10</v>
      </c>
      <c r="AL222" s="106"/>
      <c r="AM222" s="105"/>
      <c r="AN222" s="105">
        <f>AM222/15</f>
        <v>0</v>
      </c>
      <c r="AO222" s="106"/>
      <c r="AP222" s="105"/>
      <c r="AQ222" s="105">
        <f t="shared" si="375"/>
        <v>0</v>
      </c>
      <c r="AR222" s="106"/>
      <c r="AS222" s="97">
        <f t="shared" si="385"/>
        <v>10</v>
      </c>
      <c r="AT222" s="6"/>
      <c r="AU222" s="105"/>
      <c r="AV222" s="455">
        <f t="shared" si="364"/>
        <v>0</v>
      </c>
      <c r="AW222" s="496"/>
      <c r="AX222" s="508"/>
      <c r="AY222" s="498"/>
      <c r="AZ222" s="100">
        <f t="shared" si="376"/>
        <v>0</v>
      </c>
      <c r="BA222" s="106"/>
      <c r="BB222" s="105"/>
      <c r="BC222" s="105">
        <f>BB222/15</f>
        <v>0</v>
      </c>
      <c r="BD222" s="106"/>
      <c r="BE222" s="105">
        <f t="shared" si="377"/>
        <v>10</v>
      </c>
      <c r="BF222" s="106"/>
      <c r="BG222" s="100">
        <f t="shared" si="341"/>
        <v>0</v>
      </c>
      <c r="BH222" s="106"/>
      <c r="BI222" s="100">
        <f t="shared" si="342"/>
        <v>0</v>
      </c>
      <c r="BJ222" s="106"/>
      <c r="BK222" s="101">
        <f t="shared" si="386"/>
        <v>10</v>
      </c>
      <c r="BL222" s="106"/>
      <c r="BM222" s="104">
        <v>500</v>
      </c>
      <c r="BN222" s="104">
        <f>BM222/50</f>
        <v>10</v>
      </c>
      <c r="BO222" s="105">
        <v>500</v>
      </c>
      <c r="BP222" s="105">
        <f t="shared" si="366"/>
        <v>10</v>
      </c>
      <c r="BQ222" s="106"/>
      <c r="BR222" s="105"/>
      <c r="BS222" s="105">
        <f t="shared" si="378"/>
        <v>0</v>
      </c>
      <c r="BT222" s="106"/>
      <c r="BU222" s="53"/>
      <c r="BV222" s="53">
        <f t="shared" si="360"/>
        <v>0</v>
      </c>
      <c r="BW222" s="54"/>
      <c r="BX222" s="350">
        <f t="shared" si="387"/>
        <v>10</v>
      </c>
      <c r="BY222" s="211"/>
      <c r="BZ222" s="211">
        <f t="shared" si="392"/>
        <v>0</v>
      </c>
      <c r="CA222" s="508"/>
      <c r="CB222" s="7"/>
      <c r="CC222" s="7"/>
      <c r="CD222" s="158"/>
      <c r="CE222" s="504"/>
      <c r="CF222" s="105"/>
      <c r="CG222" s="105">
        <f t="shared" si="379"/>
        <v>0</v>
      </c>
      <c r="CH222" s="105"/>
      <c r="CI222" s="105"/>
      <c r="CJ222" s="105">
        <f t="shared" si="380"/>
        <v>0</v>
      </c>
      <c r="CK222" s="524"/>
      <c r="CL222" s="53">
        <f>CK222/15</f>
        <v>0</v>
      </c>
      <c r="CM222" s="54"/>
      <c r="CN222" s="105"/>
      <c r="CO222" s="100">
        <f t="shared" si="367"/>
        <v>0</v>
      </c>
      <c r="CP222" s="496"/>
      <c r="CQ222" s="439"/>
      <c r="CR222" s="504"/>
      <c r="CS222" s="105"/>
      <c r="CT222" s="105">
        <f t="shared" si="389"/>
        <v>0</v>
      </c>
      <c r="CU222" s="105"/>
      <c r="CV222" s="105"/>
      <c r="CW222" s="105">
        <f t="shared" si="390"/>
        <v>0</v>
      </c>
      <c r="CX222" s="53"/>
      <c r="CY222" s="109">
        <f t="shared" si="368"/>
        <v>0</v>
      </c>
      <c r="CZ222" s="54"/>
      <c r="DA222" s="105"/>
      <c r="DB222" s="455">
        <f t="shared" si="388"/>
        <v>0</v>
      </c>
      <c r="DC222" s="495"/>
      <c r="DD222" s="24" t="s">
        <v>375</v>
      </c>
      <c r="DF222" s="1133"/>
      <c r="DG222" s="674">
        <f t="shared" si="343"/>
        <v>0</v>
      </c>
      <c r="DH222" s="1119">
        <f t="shared" si="344"/>
        <v>0</v>
      </c>
      <c r="DI222" s="1119"/>
      <c r="DJ222" s="101">
        <f t="shared" si="345"/>
        <v>10</v>
      </c>
      <c r="DK222" s="101"/>
      <c r="DL222" s="101">
        <f t="shared" si="346"/>
        <v>0</v>
      </c>
      <c r="DM222" s="101"/>
      <c r="DN222" s="112"/>
      <c r="DO222" s="112"/>
      <c r="DP222" s="112"/>
      <c r="DQ222" s="112"/>
      <c r="DS222" s="140"/>
      <c r="DT222" s="140"/>
      <c r="DU222" s="140"/>
      <c r="DV222" s="140"/>
      <c r="DW222" s="140"/>
      <c r="DX222" s="140"/>
      <c r="DY222" s="140"/>
      <c r="DZ222" s="140"/>
    </row>
    <row r="223" spans="1:130" s="139" customFormat="1" ht="21.6" customHeight="1" x14ac:dyDescent="0.25">
      <c r="A223" s="4"/>
      <c r="B223" s="4"/>
      <c r="C223" s="134" t="s">
        <v>105</v>
      </c>
      <c r="D223" s="134" t="s">
        <v>431</v>
      </c>
      <c r="E223" s="3" t="s">
        <v>299</v>
      </c>
      <c r="F223" s="135"/>
      <c r="G223" s="135"/>
      <c r="H223" s="135"/>
      <c r="I223" s="135"/>
      <c r="J223" s="135"/>
      <c r="K223" s="135"/>
      <c r="L223" s="136"/>
      <c r="M223" s="5"/>
      <c r="N223" s="41"/>
      <c r="O223" s="6"/>
      <c r="P223" s="7"/>
      <c r="Q223" s="7"/>
      <c r="R223" s="7"/>
      <c r="S223" s="158"/>
      <c r="T223" s="89"/>
      <c r="U223" s="89"/>
      <c r="V223" s="89">
        <f t="shared" si="349"/>
        <v>0</v>
      </c>
      <c r="W223" s="137"/>
      <c r="X223" s="137"/>
      <c r="Y223" s="90">
        <f t="shared" si="350"/>
        <v>0</v>
      </c>
      <c r="Z223" s="91"/>
      <c r="AA223" s="92"/>
      <c r="AB223" s="92"/>
      <c r="AC223" s="92">
        <f t="shared" si="351"/>
        <v>0</v>
      </c>
      <c r="AD223" s="93"/>
      <c r="AE223" s="93"/>
      <c r="AF223" s="94">
        <f t="shared" si="352"/>
        <v>0</v>
      </c>
      <c r="AG223" s="473"/>
      <c r="AH223" s="99"/>
      <c r="AI223" s="99">
        <f t="shared" si="353"/>
        <v>0</v>
      </c>
      <c r="AJ223" s="138"/>
      <c r="AK223" s="138">
        <f>AJ223/15</f>
        <v>0</v>
      </c>
      <c r="AL223" s="106"/>
      <c r="AM223" s="105"/>
      <c r="AN223" s="105">
        <f>AM223/15</f>
        <v>0</v>
      </c>
      <c r="AO223" s="106"/>
      <c r="AP223" s="105"/>
      <c r="AQ223" s="105">
        <f t="shared" si="375"/>
        <v>0</v>
      </c>
      <c r="AR223" s="106"/>
      <c r="AS223" s="97">
        <f t="shared" si="385"/>
        <v>0</v>
      </c>
      <c r="AT223" s="6"/>
      <c r="AU223" s="105"/>
      <c r="AV223" s="455">
        <f t="shared" si="364"/>
        <v>0</v>
      </c>
      <c r="AW223" s="496"/>
      <c r="AX223" s="508"/>
      <c r="AY223" s="498">
        <v>180</v>
      </c>
      <c r="AZ223" s="100">
        <f t="shared" si="376"/>
        <v>12</v>
      </c>
      <c r="BA223" s="106"/>
      <c r="BB223" s="105"/>
      <c r="BC223" s="105">
        <f>BB223/15</f>
        <v>0</v>
      </c>
      <c r="BD223" s="106"/>
      <c r="BE223" s="105">
        <f t="shared" si="377"/>
        <v>12</v>
      </c>
      <c r="BF223" s="106"/>
      <c r="BG223" s="100">
        <f t="shared" si="341"/>
        <v>0</v>
      </c>
      <c r="BH223" s="106"/>
      <c r="BI223" s="100">
        <f t="shared" si="342"/>
        <v>0</v>
      </c>
      <c r="BJ223" s="106"/>
      <c r="BK223" s="101">
        <f t="shared" si="386"/>
        <v>12</v>
      </c>
      <c r="BL223" s="106"/>
      <c r="BM223" s="104">
        <v>550</v>
      </c>
      <c r="BN223" s="104">
        <f t="shared" si="359"/>
        <v>11</v>
      </c>
      <c r="BO223" s="105">
        <v>600</v>
      </c>
      <c r="BP223" s="105">
        <f t="shared" si="366"/>
        <v>12</v>
      </c>
      <c r="BQ223" s="106"/>
      <c r="BR223" s="105"/>
      <c r="BS223" s="105">
        <f t="shared" si="378"/>
        <v>0</v>
      </c>
      <c r="BT223" s="106"/>
      <c r="BU223" s="53"/>
      <c r="BV223" s="53">
        <f t="shared" si="360"/>
        <v>0</v>
      </c>
      <c r="BW223" s="54"/>
      <c r="BX223" s="350">
        <f t="shared" si="387"/>
        <v>12</v>
      </c>
      <c r="BY223" s="211"/>
      <c r="BZ223" s="211">
        <f t="shared" si="392"/>
        <v>0</v>
      </c>
      <c r="CA223" s="508"/>
      <c r="CB223" s="7"/>
      <c r="CC223" s="7"/>
      <c r="CD223" s="158"/>
      <c r="CE223" s="504"/>
      <c r="CF223" s="105"/>
      <c r="CG223" s="105">
        <f t="shared" si="379"/>
        <v>0</v>
      </c>
      <c r="CH223" s="105"/>
      <c r="CI223" s="105"/>
      <c r="CJ223" s="105">
        <f t="shared" si="380"/>
        <v>0</v>
      </c>
      <c r="CK223" s="524"/>
      <c r="CL223" s="53">
        <f>CK223/15</f>
        <v>0</v>
      </c>
      <c r="CM223" s="54"/>
      <c r="CN223" s="105"/>
      <c r="CO223" s="100">
        <f>CN223/15</f>
        <v>0</v>
      </c>
      <c r="CP223" s="496"/>
      <c r="CQ223" s="439"/>
      <c r="CR223" s="504"/>
      <c r="CS223" s="105"/>
      <c r="CT223" s="105">
        <f t="shared" si="389"/>
        <v>0</v>
      </c>
      <c r="CU223" s="105"/>
      <c r="CV223" s="105"/>
      <c r="CW223" s="105">
        <f t="shared" si="390"/>
        <v>0</v>
      </c>
      <c r="CX223" s="53"/>
      <c r="CY223" s="109">
        <f t="shared" si="368"/>
        <v>0</v>
      </c>
      <c r="CZ223" s="54"/>
      <c r="DA223" s="105"/>
      <c r="DB223" s="455">
        <f t="shared" si="388"/>
        <v>0</v>
      </c>
      <c r="DC223" s="495"/>
      <c r="DD223" s="24" t="s">
        <v>419</v>
      </c>
      <c r="DF223" s="1133"/>
      <c r="DG223" s="674">
        <f t="shared" si="343"/>
        <v>0</v>
      </c>
      <c r="DH223" s="1119">
        <f t="shared" si="344"/>
        <v>0</v>
      </c>
      <c r="DI223" s="1119"/>
      <c r="DJ223" s="101">
        <f t="shared" si="345"/>
        <v>12</v>
      </c>
      <c r="DK223" s="101"/>
      <c r="DL223" s="101">
        <f t="shared" si="346"/>
        <v>0</v>
      </c>
      <c r="DM223" s="101"/>
      <c r="DN223" s="112"/>
      <c r="DO223" s="112"/>
      <c r="DP223" s="112"/>
      <c r="DQ223" s="112"/>
      <c r="DS223" s="140"/>
      <c r="DT223" s="140"/>
      <c r="DU223" s="140"/>
      <c r="DV223" s="140"/>
      <c r="DW223" s="140"/>
      <c r="DX223" s="140"/>
      <c r="DY223" s="140"/>
      <c r="DZ223" s="140"/>
    </row>
    <row r="224" spans="1:130" s="151" customFormat="1" ht="21.6" customHeight="1" x14ac:dyDescent="0.25">
      <c r="A224" s="141"/>
      <c r="B224" s="141"/>
      <c r="C224" s="159"/>
      <c r="D224" s="143"/>
      <c r="E224" s="22"/>
      <c r="F224" s="144"/>
      <c r="G224" s="144"/>
      <c r="H224" s="144"/>
      <c r="I224" s="144"/>
      <c r="J224" s="144"/>
      <c r="K224" s="144"/>
      <c r="L224" s="145"/>
      <c r="M224" s="161"/>
      <c r="N224" s="267"/>
      <c r="O224" s="131"/>
      <c r="P224" s="148"/>
      <c r="Q224" s="148"/>
      <c r="R224" s="148"/>
      <c r="S224" s="148"/>
      <c r="T224" s="268"/>
      <c r="U224" s="268"/>
      <c r="V224" s="268"/>
      <c r="W224" s="145"/>
      <c r="X224" s="145"/>
      <c r="Y224" s="125"/>
      <c r="Z224" s="125"/>
      <c r="AA224" s="268"/>
      <c r="AB224" s="268"/>
      <c r="AC224" s="268"/>
      <c r="AD224" s="125"/>
      <c r="AE224" s="125"/>
      <c r="AF224" s="125"/>
      <c r="AG224" s="269"/>
      <c r="AH224" s="129"/>
      <c r="AI224" s="129"/>
      <c r="AJ224" s="138"/>
      <c r="AK224" s="138"/>
      <c r="AL224" s="106"/>
      <c r="AM224" s="105"/>
      <c r="AN224" s="105"/>
      <c r="AO224" s="106"/>
      <c r="AP224" s="105"/>
      <c r="AQ224" s="105"/>
      <c r="AR224" s="106"/>
      <c r="AS224" s="97"/>
      <c r="AT224" s="6"/>
      <c r="AU224" s="105"/>
      <c r="AV224" s="105"/>
      <c r="AW224" s="496"/>
      <c r="AX224" s="508"/>
      <c r="AY224" s="498"/>
      <c r="AZ224" s="100"/>
      <c r="BA224" s="101"/>
      <c r="BB224" s="100"/>
      <c r="BC224" s="100"/>
      <c r="BD224" s="101"/>
      <c r="BE224" s="105"/>
      <c r="BF224" s="106"/>
      <c r="BG224" s="100"/>
      <c r="BH224" s="106"/>
      <c r="BI224" s="100"/>
      <c r="BJ224" s="106"/>
      <c r="BK224" s="101"/>
      <c r="BL224" s="106"/>
      <c r="BM224" s="130"/>
      <c r="BN224" s="130"/>
      <c r="BO224" s="105"/>
      <c r="BP224" s="105"/>
      <c r="BQ224" s="106"/>
      <c r="BR224" s="105"/>
      <c r="BS224" s="105"/>
      <c r="BT224" s="106"/>
      <c r="BU224" s="53"/>
      <c r="BV224" s="53"/>
      <c r="BW224" s="54"/>
      <c r="BX224" s="350"/>
      <c r="BY224" s="194"/>
      <c r="BZ224" s="194"/>
      <c r="CA224" s="536"/>
      <c r="CB224" s="148"/>
      <c r="CC224" s="148"/>
      <c r="CD224" s="148"/>
      <c r="CE224" s="504"/>
      <c r="CF224" s="105"/>
      <c r="CG224" s="105"/>
      <c r="CH224" s="105"/>
      <c r="CI224" s="105"/>
      <c r="CJ224" s="105"/>
      <c r="CK224" s="523"/>
      <c r="CL224" s="102"/>
      <c r="CM224" s="103"/>
      <c r="CN224" s="100"/>
      <c r="CO224" s="100"/>
      <c r="CP224" s="515"/>
      <c r="CQ224" s="441"/>
      <c r="CR224" s="504"/>
      <c r="CS224" s="105"/>
      <c r="CT224" s="105"/>
      <c r="CU224" s="105"/>
      <c r="CV224" s="105"/>
      <c r="CW224" s="105"/>
      <c r="CX224" s="53"/>
      <c r="CY224" s="53"/>
      <c r="CZ224" s="54"/>
      <c r="DA224" s="105"/>
      <c r="DB224" s="455"/>
      <c r="DC224" s="495"/>
      <c r="DD224" s="38"/>
      <c r="DF224" s="1133"/>
      <c r="DG224" s="674"/>
      <c r="DH224" s="1119"/>
      <c r="DI224" s="1119"/>
      <c r="DJ224" s="101"/>
      <c r="DK224" s="101"/>
      <c r="DL224" s="101">
        <f t="shared" si="346"/>
        <v>0</v>
      </c>
      <c r="DM224" s="101"/>
      <c r="DN224" s="112"/>
      <c r="DO224" s="112"/>
      <c r="DP224" s="112"/>
      <c r="DQ224" s="112"/>
      <c r="DS224" s="152"/>
      <c r="DT224" s="152"/>
      <c r="DU224" s="152"/>
      <c r="DV224" s="152"/>
      <c r="DW224" s="152"/>
      <c r="DX224" s="152"/>
      <c r="DY224" s="152"/>
      <c r="DZ224" s="152"/>
    </row>
    <row r="225" spans="1:130" s="191" customFormat="1" ht="21.6" customHeight="1" x14ac:dyDescent="0.25">
      <c r="A225" s="187" t="s">
        <v>130</v>
      </c>
      <c r="B225" s="187"/>
      <c r="C225" s="188" t="s">
        <v>130</v>
      </c>
      <c r="D225" s="189"/>
      <c r="E225" s="11"/>
      <c r="F225" s="188">
        <f>SUM(F247:F511)</f>
        <v>10423</v>
      </c>
      <c r="G225" s="188">
        <f t="shared" ref="G225:Z225" si="394">SUM(G227:G511)</f>
        <v>2451</v>
      </c>
      <c r="H225" s="188">
        <f t="shared" si="394"/>
        <v>12967</v>
      </c>
      <c r="I225" s="188">
        <f t="shared" si="394"/>
        <v>6718.6</v>
      </c>
      <c r="J225" s="188">
        <f t="shared" si="394"/>
        <v>2321.5329999999999</v>
      </c>
      <c r="K225" s="188">
        <f t="shared" si="394"/>
        <v>9040.1330000000016</v>
      </c>
      <c r="L225" s="188">
        <f t="shared" si="394"/>
        <v>0</v>
      </c>
      <c r="M225" s="188">
        <f t="shared" si="394"/>
        <v>0</v>
      </c>
      <c r="N225" s="190">
        <f t="shared" si="394"/>
        <v>0</v>
      </c>
      <c r="O225" s="188">
        <f t="shared" si="394"/>
        <v>0</v>
      </c>
      <c r="P225" s="188">
        <f t="shared" si="394"/>
        <v>0</v>
      </c>
      <c r="Q225" s="188">
        <f t="shared" si="394"/>
        <v>0</v>
      </c>
      <c r="R225" s="188">
        <f t="shared" si="394"/>
        <v>0</v>
      </c>
      <c r="S225" s="188">
        <f t="shared" si="394"/>
        <v>0</v>
      </c>
      <c r="T225" s="188">
        <f t="shared" si="394"/>
        <v>0</v>
      </c>
      <c r="U225" s="188">
        <f t="shared" si="394"/>
        <v>0</v>
      </c>
      <c r="V225" s="188">
        <f t="shared" si="394"/>
        <v>0</v>
      </c>
      <c r="W225" s="188">
        <f t="shared" si="394"/>
        <v>0</v>
      </c>
      <c r="X225" s="188">
        <f t="shared" si="394"/>
        <v>0</v>
      </c>
      <c r="Y225" s="188">
        <f t="shared" si="394"/>
        <v>0</v>
      </c>
      <c r="Z225" s="188">
        <f t="shared" si="394"/>
        <v>0</v>
      </c>
      <c r="AA225" s="188">
        <f t="shared" ref="AA225:BD225" si="395">SUM(AA227:AA512)</f>
        <v>0</v>
      </c>
      <c r="AB225" s="188">
        <f t="shared" si="395"/>
        <v>0</v>
      </c>
      <c r="AC225" s="188">
        <f t="shared" si="395"/>
        <v>0</v>
      </c>
      <c r="AD225" s="188">
        <f t="shared" si="395"/>
        <v>0</v>
      </c>
      <c r="AE225" s="188">
        <f t="shared" si="395"/>
        <v>0</v>
      </c>
      <c r="AF225" s="188">
        <f t="shared" si="395"/>
        <v>0</v>
      </c>
      <c r="AG225" s="188">
        <f t="shared" si="395"/>
        <v>0</v>
      </c>
      <c r="AH225" s="188">
        <f t="shared" si="395"/>
        <v>44351.65</v>
      </c>
      <c r="AI225" s="188">
        <f t="shared" si="395"/>
        <v>2956.7766666666671</v>
      </c>
      <c r="AJ225" s="188">
        <f t="shared" si="395"/>
        <v>39895</v>
      </c>
      <c r="AK225" s="188">
        <f t="shared" si="395"/>
        <v>2659.6666666666674</v>
      </c>
      <c r="AL225" s="188">
        <f t="shared" si="395"/>
        <v>2659.6666666666665</v>
      </c>
      <c r="AM225" s="188">
        <f t="shared" si="395"/>
        <v>11090</v>
      </c>
      <c r="AN225" s="188">
        <f t="shared" si="395"/>
        <v>739.33333333333348</v>
      </c>
      <c r="AO225" s="188">
        <f t="shared" si="395"/>
        <v>739.33333333333337</v>
      </c>
      <c r="AP225" s="188">
        <f t="shared" si="395"/>
        <v>745</v>
      </c>
      <c r="AQ225" s="188">
        <f t="shared" si="395"/>
        <v>49.666666666666671</v>
      </c>
      <c r="AR225" s="188">
        <f t="shared" si="395"/>
        <v>49.666666666666671</v>
      </c>
      <c r="AS225" s="188">
        <f t="shared" si="395"/>
        <v>3448.6666666666688</v>
      </c>
      <c r="AT225" s="188">
        <f t="shared" si="395"/>
        <v>3448.666666666667</v>
      </c>
      <c r="AU225" s="188">
        <f t="shared" si="395"/>
        <v>985</v>
      </c>
      <c r="AV225" s="188">
        <f t="shared" si="395"/>
        <v>65.666666666666671</v>
      </c>
      <c r="AW225" s="188">
        <f t="shared" si="395"/>
        <v>65.666666666666671</v>
      </c>
      <c r="AX225" s="188">
        <f t="shared" si="395"/>
        <v>0</v>
      </c>
      <c r="AY225" s="188">
        <f t="shared" si="395"/>
        <v>34070</v>
      </c>
      <c r="AZ225" s="188">
        <f t="shared" si="395"/>
        <v>2271.3333333333326</v>
      </c>
      <c r="BA225" s="188">
        <f t="shared" si="395"/>
        <v>2271.3333333333335</v>
      </c>
      <c r="BB225" s="188">
        <f t="shared" si="395"/>
        <v>3370</v>
      </c>
      <c r="BC225" s="188">
        <f t="shared" si="395"/>
        <v>224.66666666666666</v>
      </c>
      <c r="BD225" s="188">
        <f t="shared" si="395"/>
        <v>224.66666666666666</v>
      </c>
      <c r="BE225" s="188">
        <f t="shared" ref="BE225:CI225" si="396">SUM(BE227:BE512)</f>
        <v>4904.6666666666652</v>
      </c>
      <c r="BF225" s="188">
        <f t="shared" si="396"/>
        <v>4904.666666666667</v>
      </c>
      <c r="BG225" s="188">
        <f t="shared" si="396"/>
        <v>1013.6666666666669</v>
      </c>
      <c r="BH225" s="188">
        <f t="shared" si="396"/>
        <v>1013.6666666666666</v>
      </c>
      <c r="BI225" s="188">
        <f t="shared" si="396"/>
        <v>65.666666666666671</v>
      </c>
      <c r="BJ225" s="188">
        <f t="shared" si="396"/>
        <v>65.666666666666671</v>
      </c>
      <c r="BK225" s="188">
        <f t="shared" si="396"/>
        <v>5983.9999999999982</v>
      </c>
      <c r="BL225" s="188">
        <f t="shared" si="396"/>
        <v>5984</v>
      </c>
      <c r="BM225" s="188">
        <f t="shared" si="396"/>
        <v>208653.6</v>
      </c>
      <c r="BN225" s="188">
        <f t="shared" si="396"/>
        <v>4135.0720000000001</v>
      </c>
      <c r="BO225" s="188">
        <f t="shared" si="396"/>
        <v>174400</v>
      </c>
      <c r="BP225" s="188">
        <f t="shared" si="396"/>
        <v>3488</v>
      </c>
      <c r="BQ225" s="188">
        <f t="shared" si="396"/>
        <v>3488</v>
      </c>
      <c r="BR225" s="188">
        <f t="shared" si="396"/>
        <v>102455</v>
      </c>
      <c r="BS225" s="188">
        <f t="shared" si="396"/>
        <v>2049.1</v>
      </c>
      <c r="BT225" s="188">
        <f t="shared" si="396"/>
        <v>2049.1</v>
      </c>
      <c r="BU225" s="188">
        <f t="shared" si="396"/>
        <v>22350</v>
      </c>
      <c r="BV225" s="188">
        <f t="shared" si="396"/>
        <v>430</v>
      </c>
      <c r="BW225" s="188">
        <f t="shared" si="396"/>
        <v>430</v>
      </c>
      <c r="BX225" s="188">
        <f t="shared" si="396"/>
        <v>5967.1</v>
      </c>
      <c r="BY225" s="188">
        <f t="shared" si="396"/>
        <v>5967.1</v>
      </c>
      <c r="BZ225" s="188">
        <f t="shared" si="396"/>
        <v>57.899999999999928</v>
      </c>
      <c r="CA225" s="188">
        <f t="shared" si="396"/>
        <v>0</v>
      </c>
      <c r="CB225" s="188">
        <f t="shared" si="396"/>
        <v>0</v>
      </c>
      <c r="CC225" s="188">
        <f t="shared" si="396"/>
        <v>0</v>
      </c>
      <c r="CD225" s="188">
        <f t="shared" si="396"/>
        <v>0</v>
      </c>
      <c r="CE225" s="188">
        <f t="shared" si="396"/>
        <v>295</v>
      </c>
      <c r="CF225" s="188">
        <f t="shared" si="396"/>
        <v>111</v>
      </c>
      <c r="CG225" s="188">
        <f t="shared" si="396"/>
        <v>406</v>
      </c>
      <c r="CH225" s="188">
        <f t="shared" si="396"/>
        <v>204.59</v>
      </c>
      <c r="CI225" s="188">
        <f t="shared" si="396"/>
        <v>132</v>
      </c>
      <c r="CJ225" s="188">
        <f t="shared" ref="CJ225:DO225" si="397">SUM(CJ227:CJ512)</f>
        <v>336.59</v>
      </c>
      <c r="CK225" s="188">
        <f t="shared" si="397"/>
        <v>105</v>
      </c>
      <c r="CL225" s="188">
        <f t="shared" si="397"/>
        <v>7</v>
      </c>
      <c r="CM225" s="188">
        <f t="shared" si="397"/>
        <v>7</v>
      </c>
      <c r="CN225" s="188">
        <f t="shared" si="397"/>
        <v>5435</v>
      </c>
      <c r="CO225" s="188">
        <f t="shared" si="397"/>
        <v>362.33333333333337</v>
      </c>
      <c r="CP225" s="188">
        <f t="shared" si="397"/>
        <v>362.33333333333331</v>
      </c>
      <c r="CQ225" s="188"/>
      <c r="CR225" s="188">
        <f t="shared" si="397"/>
        <v>109</v>
      </c>
      <c r="CS225" s="188">
        <f t="shared" si="397"/>
        <v>41</v>
      </c>
      <c r="CT225" s="188">
        <f t="shared" si="397"/>
        <v>150</v>
      </c>
      <c r="CU225" s="188">
        <f t="shared" si="397"/>
        <v>77.5</v>
      </c>
      <c r="CV225" s="188">
        <f t="shared" si="397"/>
        <v>5</v>
      </c>
      <c r="CW225" s="188">
        <f t="shared" si="397"/>
        <v>82.5</v>
      </c>
      <c r="CX225" s="188">
        <f t="shared" si="397"/>
        <v>0</v>
      </c>
      <c r="CY225" s="188">
        <f t="shared" si="397"/>
        <v>0</v>
      </c>
      <c r="CZ225" s="188">
        <f t="shared" si="397"/>
        <v>0</v>
      </c>
      <c r="DA225" s="188">
        <f t="shared" si="397"/>
        <v>845</v>
      </c>
      <c r="DB225" s="188">
        <f t="shared" si="397"/>
        <v>56.333333333333336</v>
      </c>
      <c r="DC225" s="187">
        <f t="shared" si="397"/>
        <v>56.333333333333336</v>
      </c>
      <c r="DD225" s="33"/>
      <c r="DF225" s="1134"/>
      <c r="DG225" s="188">
        <f>SUM(DG227:DG512)</f>
        <v>122</v>
      </c>
      <c r="DH225" s="188">
        <f>SUM(DH227:DH512)</f>
        <v>593.99999999999989</v>
      </c>
      <c r="DI225" s="6"/>
      <c r="DJ225" s="188">
        <f t="shared" si="397"/>
        <v>6435.9999999999973</v>
      </c>
      <c r="DK225" s="188">
        <f t="shared" si="397"/>
        <v>6436.0000000000009</v>
      </c>
      <c r="DL225" s="188">
        <f t="shared" si="397"/>
        <v>556</v>
      </c>
      <c r="DM225" s="188">
        <f t="shared" si="397"/>
        <v>0</v>
      </c>
      <c r="DN225" s="485">
        <f t="shared" si="397"/>
        <v>968</v>
      </c>
      <c r="DO225" s="188">
        <f t="shared" si="397"/>
        <v>954</v>
      </c>
      <c r="DP225" s="188">
        <f>DJ225-DN225-DO225</f>
        <v>4513.9999999999973</v>
      </c>
      <c r="DQ225" s="188"/>
      <c r="DS225" s="192"/>
      <c r="DT225" s="192"/>
      <c r="DU225" s="192"/>
      <c r="DV225" s="192"/>
      <c r="DW225" s="192"/>
      <c r="DX225" s="192"/>
      <c r="DY225" s="192"/>
      <c r="DZ225" s="192"/>
    </row>
    <row r="226" spans="1:130" s="200" customFormat="1" ht="21.6" customHeight="1" x14ac:dyDescent="0.25">
      <c r="A226" s="193"/>
      <c r="B226" s="193"/>
      <c r="C226" s="131"/>
      <c r="D226" s="194"/>
      <c r="E226" s="37"/>
      <c r="F226" s="131"/>
      <c r="G226" s="131"/>
      <c r="H226" s="131"/>
      <c r="I226" s="131"/>
      <c r="J226" s="131"/>
      <c r="K226" s="131"/>
      <c r="L226" s="179"/>
      <c r="M226" s="196"/>
      <c r="N226" s="147"/>
      <c r="O226" s="131"/>
      <c r="P226" s="148"/>
      <c r="Q226" s="148"/>
      <c r="R226" s="270"/>
      <c r="S226" s="270"/>
      <c r="T226" s="197"/>
      <c r="U226" s="197"/>
      <c r="V226" s="197"/>
      <c r="W226" s="196"/>
      <c r="X226" s="196"/>
      <c r="Y226" s="196"/>
      <c r="Z226" s="179"/>
      <c r="AA226" s="197"/>
      <c r="AB226" s="197"/>
      <c r="AC226" s="197"/>
      <c r="AD226" s="196"/>
      <c r="AE226" s="196"/>
      <c r="AF226" s="198"/>
      <c r="AG226" s="476"/>
      <c r="AH226" s="131"/>
      <c r="AI226" s="131"/>
      <c r="AJ226" s="106"/>
      <c r="AK226" s="106"/>
      <c r="AL226" s="106"/>
      <c r="AM226" s="105"/>
      <c r="AN226" s="105"/>
      <c r="AO226" s="106"/>
      <c r="AP226" s="105"/>
      <c r="AQ226" s="105">
        <f t="shared" ref="AQ226:AQ245" si="398">AP226/15</f>
        <v>0</v>
      </c>
      <c r="AR226" s="106"/>
      <c r="AS226" s="97">
        <f t="shared" si="385"/>
        <v>0</v>
      </c>
      <c r="AT226" s="6"/>
      <c r="AU226" s="469"/>
      <c r="AV226" s="469"/>
      <c r="AW226" s="468"/>
      <c r="AX226" s="508"/>
      <c r="AY226" s="468"/>
      <c r="AZ226" s="468"/>
      <c r="BA226" s="468"/>
      <c r="BB226" s="469"/>
      <c r="BC226" s="469"/>
      <c r="BD226" s="468"/>
      <c r="BE226" s="105"/>
      <c r="BF226" s="468"/>
      <c r="BG226" s="100">
        <f t="shared" ref="BG226:BG258" si="399">BC226+AQ226+AN226</f>
        <v>0</v>
      </c>
      <c r="BH226" s="468"/>
      <c r="BI226" s="100">
        <f t="shared" ref="BI226:BI258" si="400">AV226</f>
        <v>0</v>
      </c>
      <c r="BJ226" s="468"/>
      <c r="BK226" s="101">
        <f t="shared" si="386"/>
        <v>0</v>
      </c>
      <c r="BL226" s="468"/>
      <c r="BM226" s="179"/>
      <c r="BN226" s="179"/>
      <c r="BO226" s="468"/>
      <c r="BP226" s="468"/>
      <c r="BQ226" s="468"/>
      <c r="BR226" s="469"/>
      <c r="BS226" s="469"/>
      <c r="BT226" s="468"/>
      <c r="BU226" s="199"/>
      <c r="BV226" s="199"/>
      <c r="BW226" s="57"/>
      <c r="BX226" s="350">
        <f t="shared" si="387"/>
        <v>0</v>
      </c>
      <c r="BY226" s="179"/>
      <c r="BZ226" s="179">
        <f t="shared" ref="BZ226:BZ246" si="401">BK226-BX226</f>
        <v>0</v>
      </c>
      <c r="CA226" s="536"/>
      <c r="CB226" s="148"/>
      <c r="CC226" s="148"/>
      <c r="CD226" s="270"/>
      <c r="CE226" s="469"/>
      <c r="CF226" s="469"/>
      <c r="CG226" s="469">
        <f t="shared" si="379"/>
        <v>0</v>
      </c>
      <c r="CH226" s="469"/>
      <c r="CI226" s="469"/>
      <c r="CJ226" s="469">
        <f t="shared" si="380"/>
        <v>0</v>
      </c>
      <c r="CK226" s="199"/>
      <c r="CL226" s="199"/>
      <c r="CM226" s="57"/>
      <c r="CN226" s="469"/>
      <c r="CO226" s="469"/>
      <c r="CP226" s="468"/>
      <c r="CQ226" s="439"/>
      <c r="CR226" s="469"/>
      <c r="CS226" s="469"/>
      <c r="CT226" s="469">
        <f t="shared" si="389"/>
        <v>0</v>
      </c>
      <c r="CU226" s="469"/>
      <c r="CV226" s="469"/>
      <c r="CW226" s="469">
        <f t="shared" si="390"/>
        <v>0</v>
      </c>
      <c r="CX226" s="199"/>
      <c r="CY226" s="199"/>
      <c r="CZ226" s="57"/>
      <c r="DA226" s="469"/>
      <c r="DB226" s="455">
        <f t="shared" si="388"/>
        <v>0</v>
      </c>
      <c r="DC226" s="521"/>
      <c r="DD226" s="31"/>
      <c r="DF226" s="1135"/>
      <c r="DG226" s="674">
        <f t="shared" ref="DG226:DG258" si="402">AV226+CY226+DB226</f>
        <v>0</v>
      </c>
      <c r="DH226" s="1119">
        <f t="shared" ref="DH226:DH258" si="403">BC226+CL226+CO226</f>
        <v>0</v>
      </c>
      <c r="DI226" s="1119"/>
      <c r="DJ226" s="101">
        <f t="shared" ref="DJ226" si="404">DC226+CP226+CM226+BK226+BI226+BG226+BE226</f>
        <v>0</v>
      </c>
      <c r="DK226" s="101"/>
      <c r="DL226" s="101">
        <f t="shared" ref="DL226:DL290" si="405">CT226+CG226+AC226</f>
        <v>0</v>
      </c>
      <c r="DM226" s="101"/>
      <c r="DN226" s="112"/>
      <c r="DO226" s="112"/>
      <c r="DP226" s="112"/>
      <c r="DQ226" s="112"/>
      <c r="DS226" s="201"/>
      <c r="DT226" s="201"/>
      <c r="DU226" s="201"/>
      <c r="DV226" s="201"/>
      <c r="DW226" s="201"/>
      <c r="DX226" s="201"/>
      <c r="DY226" s="201"/>
      <c r="DZ226" s="201"/>
    </row>
    <row r="227" spans="1:130" ht="21.6" customHeight="1" x14ac:dyDescent="0.25">
      <c r="A227" s="4" t="s">
        <v>130</v>
      </c>
      <c r="B227" s="4">
        <v>1</v>
      </c>
      <c r="C227" s="166" t="s">
        <v>131</v>
      </c>
      <c r="D227" s="167"/>
      <c r="E227" s="1" t="s">
        <v>132</v>
      </c>
      <c r="F227" s="162">
        <v>24</v>
      </c>
      <c r="G227" s="162">
        <v>21</v>
      </c>
      <c r="H227" s="162">
        <f t="shared" ref="H227:H244" si="406">F227+G227</f>
        <v>45</v>
      </c>
      <c r="I227" s="162"/>
      <c r="J227" s="162">
        <v>45</v>
      </c>
      <c r="K227" s="162">
        <f t="shared" ref="K227:K244" si="407">I227+J227</f>
        <v>45</v>
      </c>
      <c r="L227" s="168"/>
      <c r="M227" s="414"/>
      <c r="N227" s="46"/>
      <c r="O227" s="164"/>
      <c r="P227" s="165"/>
      <c r="Q227" s="165"/>
      <c r="R227" s="271"/>
      <c r="T227" s="89"/>
      <c r="U227" s="89"/>
      <c r="V227" s="89">
        <f>T227+U227</f>
        <v>0</v>
      </c>
      <c r="W227" s="137"/>
      <c r="X227" s="137"/>
      <c r="Y227" s="90">
        <f>W227+X227</f>
        <v>0</v>
      </c>
      <c r="Z227" s="169"/>
      <c r="AA227" s="92"/>
      <c r="AB227" s="92"/>
      <c r="AC227" s="92">
        <f>AA227+AB227</f>
        <v>0</v>
      </c>
      <c r="AD227" s="93"/>
      <c r="AE227" s="93"/>
      <c r="AF227" s="94">
        <f>AD227+AE227</f>
        <v>0</v>
      </c>
      <c r="AG227" s="475"/>
      <c r="AH227" s="99"/>
      <c r="AI227" s="99">
        <f t="shared" ref="AI227:AI246" si="408">AH227/15</f>
        <v>0</v>
      </c>
      <c r="AJ227" s="138"/>
      <c r="AK227" s="138">
        <f t="shared" ref="AK227:AK246" si="409">AJ227/15</f>
        <v>0</v>
      </c>
      <c r="AL227" s="106">
        <f>SUM(AK227:AK245)</f>
        <v>318.66666666666663</v>
      </c>
      <c r="AM227" s="105"/>
      <c r="AN227" s="105">
        <f>AM227/15</f>
        <v>0</v>
      </c>
      <c r="AO227" s="106">
        <f>SUM(AN227:AN246)</f>
        <v>3</v>
      </c>
      <c r="AP227" s="105"/>
      <c r="AQ227" s="105">
        <f t="shared" si="398"/>
        <v>0</v>
      </c>
      <c r="AR227" s="106">
        <f>SUM(AQ227:AQ246)</f>
        <v>0</v>
      </c>
      <c r="AS227" s="97">
        <f t="shared" si="385"/>
        <v>0</v>
      </c>
      <c r="AT227" s="6">
        <f>SUM(AS227:AS246)</f>
        <v>321.66666666666663</v>
      </c>
      <c r="AU227" s="105"/>
      <c r="AV227" s="455">
        <f t="shared" ref="AV227:AV293" si="410">AU227/15</f>
        <v>0</v>
      </c>
      <c r="AW227" s="496">
        <f>SUM(AV227:AV246)</f>
        <v>0</v>
      </c>
      <c r="AX227" s="508"/>
      <c r="AY227" s="498"/>
      <c r="AZ227" s="100">
        <f t="shared" ref="AZ227:AZ238" si="411">AY227/15</f>
        <v>0</v>
      </c>
      <c r="BA227" s="101">
        <f>SUM(AZ227:AZ246)</f>
        <v>146.33333333333331</v>
      </c>
      <c r="BB227" s="100"/>
      <c r="BC227" s="100">
        <f>BB227/15</f>
        <v>0</v>
      </c>
      <c r="BD227" s="101">
        <f>SUM(BC227:BC245)</f>
        <v>0</v>
      </c>
      <c r="BE227" s="105">
        <f t="shared" ref="BE227:BE246" si="412">AK227+AZ227</f>
        <v>0</v>
      </c>
      <c r="BF227" s="101">
        <f>SUM(BE227:BE246)</f>
        <v>465</v>
      </c>
      <c r="BG227" s="100">
        <f t="shared" si="399"/>
        <v>0</v>
      </c>
      <c r="BH227" s="101">
        <f>SUM(BG227:BG246)</f>
        <v>3</v>
      </c>
      <c r="BI227" s="100">
        <f t="shared" si="400"/>
        <v>0</v>
      </c>
      <c r="BJ227" s="101">
        <f>SUM(BI227:BI246)</f>
        <v>0</v>
      </c>
      <c r="BK227" s="101">
        <f t="shared" si="386"/>
        <v>0</v>
      </c>
      <c r="BL227" s="101">
        <f>SUM(BK227:BK246)</f>
        <v>468</v>
      </c>
      <c r="BM227" s="104"/>
      <c r="BN227" s="104">
        <f>BM227/50</f>
        <v>0</v>
      </c>
      <c r="BO227" s="105"/>
      <c r="BP227" s="105">
        <f t="shared" ref="BP227:BP293" si="413">BO227/50</f>
        <v>0</v>
      </c>
      <c r="BQ227" s="106">
        <f>SUM(BP227:BP246)</f>
        <v>0</v>
      </c>
      <c r="BR227" s="105"/>
      <c r="BS227" s="105">
        <f t="shared" si="378"/>
        <v>0</v>
      </c>
      <c r="BT227" s="106">
        <f>SUM(BS227:BS246)</f>
        <v>456</v>
      </c>
      <c r="BU227" s="53"/>
      <c r="BV227" s="53">
        <f t="shared" ref="BV227:BV246" si="414">BU227/50</f>
        <v>0</v>
      </c>
      <c r="BW227" s="54">
        <f>SUM(BV227:BV246)</f>
        <v>12</v>
      </c>
      <c r="BX227" s="350">
        <f t="shared" si="387"/>
        <v>0</v>
      </c>
      <c r="BY227" s="6">
        <f>SUM(BX227:BX246)</f>
        <v>468</v>
      </c>
      <c r="BZ227" s="6">
        <f t="shared" si="401"/>
        <v>0</v>
      </c>
      <c r="CA227" s="508"/>
      <c r="CB227" s="165"/>
      <c r="CC227" s="165"/>
      <c r="CE227" s="504"/>
      <c r="CF227" s="105"/>
      <c r="CG227" s="105">
        <f t="shared" si="379"/>
        <v>0</v>
      </c>
      <c r="CH227" s="105"/>
      <c r="CI227" s="105"/>
      <c r="CJ227" s="105">
        <f t="shared" si="380"/>
        <v>0</v>
      </c>
      <c r="CK227" s="523"/>
      <c r="CL227" s="102">
        <f>CK227/15</f>
        <v>0</v>
      </c>
      <c r="CM227" s="103">
        <f>SUM(CL227:CL246)</f>
        <v>0</v>
      </c>
      <c r="CN227" s="100"/>
      <c r="CO227" s="100">
        <f>CN227/15</f>
        <v>0</v>
      </c>
      <c r="CP227" s="515">
        <f>SUM(CO227:CO246)</f>
        <v>0</v>
      </c>
      <c r="CQ227" s="441"/>
      <c r="CR227" s="504"/>
      <c r="CS227" s="105"/>
      <c r="CT227" s="105">
        <f t="shared" si="389"/>
        <v>0</v>
      </c>
      <c r="CU227" s="105"/>
      <c r="CV227" s="105"/>
      <c r="CW227" s="105">
        <f t="shared" si="390"/>
        <v>0</v>
      </c>
      <c r="CX227" s="53"/>
      <c r="CY227" s="109">
        <f>CX227/15</f>
        <v>0</v>
      </c>
      <c r="CZ227" s="54">
        <f>SUM(CY227:CY246)</f>
        <v>0</v>
      </c>
      <c r="DA227" s="105"/>
      <c r="DB227" s="455">
        <f t="shared" si="388"/>
        <v>0</v>
      </c>
      <c r="DC227" s="495">
        <f>SUM(DB227:DB246)</f>
        <v>0</v>
      </c>
      <c r="DD227" s="25"/>
      <c r="DF227" s="1133"/>
      <c r="DG227" s="674">
        <f t="shared" si="402"/>
        <v>0</v>
      </c>
      <c r="DH227" s="1119">
        <f t="shared" si="403"/>
        <v>0</v>
      </c>
      <c r="DI227" s="1119"/>
      <c r="DJ227" s="101">
        <f t="shared" ref="DJ227:DJ291" si="415">DC227+CO227+CL227+BC227+AZ227+AV227+AS227</f>
        <v>0</v>
      </c>
      <c r="DK227" s="101">
        <f>SUM(DJ227:DJ246)</f>
        <v>468</v>
      </c>
      <c r="DL227" s="101">
        <f t="shared" si="405"/>
        <v>0</v>
      </c>
      <c r="DM227" s="101"/>
      <c r="DN227" s="112"/>
      <c r="DO227" s="112"/>
      <c r="DP227" s="112"/>
      <c r="DQ227" s="112"/>
    </row>
    <row r="228" spans="1:130" ht="21.6" customHeight="1" x14ac:dyDescent="0.25">
      <c r="A228" s="4"/>
      <c r="B228" s="4"/>
      <c r="C228" s="204" t="s">
        <v>131</v>
      </c>
      <c r="D228" s="167" t="s">
        <v>429</v>
      </c>
      <c r="E228" s="3" t="s">
        <v>285</v>
      </c>
      <c r="F228" s="162"/>
      <c r="G228" s="162"/>
      <c r="H228" s="162"/>
      <c r="I228" s="162"/>
      <c r="J228" s="162"/>
      <c r="K228" s="162"/>
      <c r="L228" s="168"/>
      <c r="M228" s="414"/>
      <c r="N228" s="41"/>
      <c r="O228" s="164"/>
      <c r="P228" s="165"/>
      <c r="Q228" s="165"/>
      <c r="R228" s="165"/>
      <c r="S228" s="165"/>
      <c r="T228" s="89"/>
      <c r="U228" s="89"/>
      <c r="V228" s="89">
        <f t="shared" ref="V228:V246" si="416">T228+U228</f>
        <v>0</v>
      </c>
      <c r="W228" s="137"/>
      <c r="X228" s="137"/>
      <c r="Y228" s="90">
        <f t="shared" ref="Y228:Y244" si="417">W228+X228</f>
        <v>0</v>
      </c>
      <c r="Z228" s="169"/>
      <c r="AA228" s="92"/>
      <c r="AB228" s="92"/>
      <c r="AC228" s="92">
        <f t="shared" ref="AC228:AC246" si="418">AA228+AB228</f>
        <v>0</v>
      </c>
      <c r="AD228" s="93"/>
      <c r="AE228" s="93"/>
      <c r="AF228" s="94">
        <f t="shared" ref="AF228:AF246" si="419">AD228+AE228</f>
        <v>0</v>
      </c>
      <c r="AG228" s="475"/>
      <c r="AH228" s="99">
        <v>280</v>
      </c>
      <c r="AI228" s="99">
        <f t="shared" si="408"/>
        <v>18.666666666666668</v>
      </c>
      <c r="AJ228" s="138">
        <v>280</v>
      </c>
      <c r="AK228" s="138">
        <f t="shared" si="409"/>
        <v>18.666666666666668</v>
      </c>
      <c r="AL228" s="106"/>
      <c r="AM228" s="105"/>
      <c r="AN228" s="105">
        <f t="shared" ref="AN228:AN246" si="420">AM228/15</f>
        <v>0</v>
      </c>
      <c r="AO228" s="106"/>
      <c r="AP228" s="105"/>
      <c r="AQ228" s="105">
        <f t="shared" si="398"/>
        <v>0</v>
      </c>
      <c r="AR228" s="106"/>
      <c r="AS228" s="97">
        <f t="shared" si="385"/>
        <v>18.666666666666668</v>
      </c>
      <c r="AT228" s="6"/>
      <c r="AU228" s="105"/>
      <c r="AV228" s="455">
        <f t="shared" si="410"/>
        <v>0</v>
      </c>
      <c r="AW228" s="496"/>
      <c r="AX228" s="508"/>
      <c r="AY228" s="498">
        <v>125</v>
      </c>
      <c r="AZ228" s="100">
        <f t="shared" si="411"/>
        <v>8.3333333333333339</v>
      </c>
      <c r="BA228" s="101"/>
      <c r="BB228" s="100"/>
      <c r="BC228" s="100">
        <f t="shared" ref="BC228:BC246" si="421">BB228/15</f>
        <v>0</v>
      </c>
      <c r="BD228" s="101"/>
      <c r="BE228" s="105">
        <f t="shared" si="412"/>
        <v>27</v>
      </c>
      <c r="BF228" s="106"/>
      <c r="BG228" s="100">
        <f t="shared" si="399"/>
        <v>0</v>
      </c>
      <c r="BH228" s="106"/>
      <c r="BI228" s="100">
        <f t="shared" si="400"/>
        <v>0</v>
      </c>
      <c r="BJ228" s="106"/>
      <c r="BK228" s="101">
        <f t="shared" si="386"/>
        <v>27</v>
      </c>
      <c r="BL228" s="106"/>
      <c r="BM228" s="104"/>
      <c r="BN228" s="104">
        <f>BM228/50</f>
        <v>0</v>
      </c>
      <c r="BO228" s="105"/>
      <c r="BP228" s="105">
        <f t="shared" si="413"/>
        <v>0</v>
      </c>
      <c r="BQ228" s="106"/>
      <c r="BR228" s="105">
        <f>1350</f>
        <v>1350</v>
      </c>
      <c r="BS228" s="105">
        <f t="shared" si="378"/>
        <v>27</v>
      </c>
      <c r="BT228" s="106"/>
      <c r="BU228" s="53"/>
      <c r="BV228" s="53">
        <f t="shared" si="414"/>
        <v>0</v>
      </c>
      <c r="BW228" s="54"/>
      <c r="BX228" s="350">
        <f>BP228+BS228+BV228</f>
        <v>27</v>
      </c>
      <c r="BY228" s="6"/>
      <c r="BZ228" s="6">
        <f t="shared" si="401"/>
        <v>0</v>
      </c>
      <c r="CA228" s="508"/>
      <c r="CB228" s="165"/>
      <c r="CC228" s="165"/>
      <c r="CD228" s="165"/>
      <c r="CE228" s="504"/>
      <c r="CF228" s="105"/>
      <c r="CG228" s="105">
        <f t="shared" si="379"/>
        <v>0</v>
      </c>
      <c r="CH228" s="105"/>
      <c r="CI228" s="105"/>
      <c r="CJ228" s="105">
        <f t="shared" si="380"/>
        <v>0</v>
      </c>
      <c r="CK228" s="523"/>
      <c r="CL228" s="102">
        <f t="shared" ref="CL228:CL248" si="422">CK228/15</f>
        <v>0</v>
      </c>
      <c r="CM228" s="103"/>
      <c r="CN228" s="100"/>
      <c r="CO228" s="100">
        <f t="shared" ref="CO228:CO292" si="423">CN228/15</f>
        <v>0</v>
      </c>
      <c r="CP228" s="515"/>
      <c r="CQ228" s="441"/>
      <c r="CR228" s="504"/>
      <c r="CS228" s="105"/>
      <c r="CT228" s="105">
        <f t="shared" si="389"/>
        <v>0</v>
      </c>
      <c r="CU228" s="105"/>
      <c r="CV228" s="105"/>
      <c r="CW228" s="105">
        <f t="shared" si="390"/>
        <v>0</v>
      </c>
      <c r="CX228" s="53"/>
      <c r="CY228" s="109">
        <f t="shared" ref="CY228:CY292" si="424">CX228/15</f>
        <v>0</v>
      </c>
      <c r="CZ228" s="54"/>
      <c r="DA228" s="105"/>
      <c r="DB228" s="455">
        <f t="shared" si="388"/>
        <v>0</v>
      </c>
      <c r="DC228" s="495"/>
      <c r="DD228" s="24" t="s">
        <v>375</v>
      </c>
      <c r="DE228" s="44" t="s">
        <v>483</v>
      </c>
      <c r="DF228" s="1133"/>
      <c r="DG228" s="674">
        <f t="shared" si="402"/>
        <v>0</v>
      </c>
      <c r="DH228" s="1119">
        <f t="shared" si="403"/>
        <v>0</v>
      </c>
      <c r="DI228" s="1119"/>
      <c r="DJ228" s="101">
        <f t="shared" si="415"/>
        <v>27</v>
      </c>
      <c r="DK228" s="101"/>
      <c r="DL228" s="101">
        <f t="shared" si="405"/>
        <v>0</v>
      </c>
      <c r="DM228" s="101">
        <f>DL228</f>
        <v>0</v>
      </c>
      <c r="DN228" s="112">
        <f>DJ228</f>
        <v>27</v>
      </c>
      <c r="DO228" s="112"/>
      <c r="DP228" s="112"/>
      <c r="DQ228" s="112"/>
    </row>
    <row r="229" spans="1:130" ht="21.6" customHeight="1" x14ac:dyDescent="0.25">
      <c r="A229" s="4"/>
      <c r="B229" s="4"/>
      <c r="C229" s="204" t="s">
        <v>131</v>
      </c>
      <c r="D229" s="167"/>
      <c r="E229" s="3" t="s">
        <v>876</v>
      </c>
      <c r="F229" s="162"/>
      <c r="G229" s="162"/>
      <c r="H229" s="162"/>
      <c r="I229" s="162"/>
      <c r="J229" s="162"/>
      <c r="K229" s="162"/>
      <c r="L229" s="168"/>
      <c r="M229" s="589"/>
      <c r="N229" s="41"/>
      <c r="O229" s="164"/>
      <c r="P229" s="165"/>
      <c r="Q229" s="165"/>
      <c r="R229" s="165"/>
      <c r="S229" s="165"/>
      <c r="T229" s="89"/>
      <c r="U229" s="89"/>
      <c r="V229" s="89"/>
      <c r="W229" s="137"/>
      <c r="X229" s="137"/>
      <c r="Y229" s="90"/>
      <c r="Z229" s="169"/>
      <c r="AA229" s="92"/>
      <c r="AB229" s="92"/>
      <c r="AC229" s="92"/>
      <c r="AD229" s="93"/>
      <c r="AE229" s="93"/>
      <c r="AF229" s="94"/>
      <c r="AG229" s="475"/>
      <c r="AH229" s="99"/>
      <c r="AI229" s="99"/>
      <c r="AJ229" s="138"/>
      <c r="AK229" s="138"/>
      <c r="AL229" s="106"/>
      <c r="AM229" s="105"/>
      <c r="AN229" s="105"/>
      <c r="AO229" s="106"/>
      <c r="AP229" s="105"/>
      <c r="AQ229" s="105"/>
      <c r="AR229" s="106"/>
      <c r="AS229" s="97"/>
      <c r="AT229" s="6"/>
      <c r="AU229" s="105"/>
      <c r="AV229" s="455"/>
      <c r="AW229" s="496"/>
      <c r="AX229" s="508"/>
      <c r="AY229" s="498"/>
      <c r="AZ229" s="100"/>
      <c r="BA229" s="101"/>
      <c r="BB229" s="100"/>
      <c r="BC229" s="100">
        <f t="shared" si="421"/>
        <v>0</v>
      </c>
      <c r="BD229" s="101"/>
      <c r="BE229" s="105">
        <f t="shared" si="412"/>
        <v>0</v>
      </c>
      <c r="BF229" s="106"/>
      <c r="BG229" s="100">
        <f t="shared" si="399"/>
        <v>0</v>
      </c>
      <c r="BH229" s="106"/>
      <c r="BI229" s="100">
        <f t="shared" si="400"/>
        <v>0</v>
      </c>
      <c r="BJ229" s="106"/>
      <c r="BK229" s="101"/>
      <c r="BL229" s="106"/>
      <c r="BM229" s="104"/>
      <c r="BN229" s="104"/>
      <c r="BO229" s="105"/>
      <c r="BP229" s="105"/>
      <c r="BQ229" s="106"/>
      <c r="BR229" s="105">
        <f>575+175</f>
        <v>750</v>
      </c>
      <c r="BS229" s="105">
        <f t="shared" si="378"/>
        <v>15</v>
      </c>
      <c r="BT229" s="106"/>
      <c r="BU229" s="53"/>
      <c r="BV229" s="53"/>
      <c r="BW229" s="54"/>
      <c r="BX229" s="350">
        <f t="shared" si="387"/>
        <v>15</v>
      </c>
      <c r="BY229" s="6"/>
      <c r="BZ229" s="6"/>
      <c r="CA229" s="508"/>
      <c r="CB229" s="165"/>
      <c r="CC229" s="165"/>
      <c r="CD229" s="165"/>
      <c r="CE229" s="504"/>
      <c r="CF229" s="105"/>
      <c r="CG229" s="105">
        <f t="shared" si="379"/>
        <v>0</v>
      </c>
      <c r="CH229" s="105"/>
      <c r="CI229" s="105"/>
      <c r="CJ229" s="105">
        <f t="shared" si="380"/>
        <v>0</v>
      </c>
      <c r="CK229" s="523"/>
      <c r="CL229" s="102"/>
      <c r="CM229" s="103"/>
      <c r="CN229" s="100"/>
      <c r="CO229" s="100">
        <f t="shared" si="423"/>
        <v>0</v>
      </c>
      <c r="CP229" s="515"/>
      <c r="CQ229" s="441"/>
      <c r="CR229" s="504"/>
      <c r="CS229" s="105"/>
      <c r="CT229" s="105">
        <f t="shared" si="389"/>
        <v>0</v>
      </c>
      <c r="CU229" s="105"/>
      <c r="CV229" s="105"/>
      <c r="CW229" s="105">
        <f t="shared" si="390"/>
        <v>0</v>
      </c>
      <c r="CX229" s="53"/>
      <c r="CY229" s="109"/>
      <c r="CZ229" s="54"/>
      <c r="DA229" s="105"/>
      <c r="DB229" s="455">
        <f t="shared" si="388"/>
        <v>0</v>
      </c>
      <c r="DC229" s="495"/>
      <c r="DD229" s="24"/>
      <c r="DF229" s="1133"/>
      <c r="DG229" s="674">
        <f t="shared" si="402"/>
        <v>0</v>
      </c>
      <c r="DH229" s="1119">
        <f t="shared" si="403"/>
        <v>0</v>
      </c>
      <c r="DI229" s="1119"/>
      <c r="DJ229" s="101">
        <f t="shared" si="415"/>
        <v>0</v>
      </c>
      <c r="DK229" s="101"/>
      <c r="DL229" s="101">
        <f t="shared" si="405"/>
        <v>0</v>
      </c>
      <c r="DM229" s="101"/>
      <c r="DN229" s="112"/>
      <c r="DO229" s="112"/>
      <c r="DP229" s="112"/>
      <c r="DQ229" s="112"/>
    </row>
    <row r="230" spans="1:130" ht="21.6" customHeight="1" x14ac:dyDescent="0.25">
      <c r="A230" s="4"/>
      <c r="B230" s="4"/>
      <c r="C230" s="204" t="s">
        <v>131</v>
      </c>
      <c r="D230" s="167" t="s">
        <v>429</v>
      </c>
      <c r="E230" s="3" t="s">
        <v>286</v>
      </c>
      <c r="F230" s="162"/>
      <c r="G230" s="162"/>
      <c r="H230" s="162"/>
      <c r="I230" s="162"/>
      <c r="J230" s="162"/>
      <c r="K230" s="162"/>
      <c r="L230" s="168"/>
      <c r="M230" s="414"/>
      <c r="N230" s="41"/>
      <c r="O230" s="164"/>
      <c r="P230" s="165"/>
      <c r="Q230" s="165"/>
      <c r="R230" s="165"/>
      <c r="S230" s="165"/>
      <c r="T230" s="89"/>
      <c r="U230" s="89"/>
      <c r="V230" s="89">
        <f t="shared" si="416"/>
        <v>0</v>
      </c>
      <c r="W230" s="137"/>
      <c r="X230" s="137"/>
      <c r="Y230" s="90">
        <f t="shared" si="417"/>
        <v>0</v>
      </c>
      <c r="Z230" s="169"/>
      <c r="AA230" s="92"/>
      <c r="AB230" s="92"/>
      <c r="AC230" s="92">
        <f t="shared" si="418"/>
        <v>0</v>
      </c>
      <c r="AD230" s="93"/>
      <c r="AE230" s="93"/>
      <c r="AF230" s="94">
        <f t="shared" si="419"/>
        <v>0</v>
      </c>
      <c r="AG230" s="475"/>
      <c r="AH230" s="99">
        <v>75</v>
      </c>
      <c r="AI230" s="99">
        <f t="shared" si="408"/>
        <v>5</v>
      </c>
      <c r="AJ230" s="138">
        <v>75</v>
      </c>
      <c r="AK230" s="138">
        <f t="shared" si="409"/>
        <v>5</v>
      </c>
      <c r="AL230" s="106"/>
      <c r="AM230" s="105"/>
      <c r="AN230" s="105">
        <f t="shared" si="420"/>
        <v>0</v>
      </c>
      <c r="AO230" s="106"/>
      <c r="AP230" s="105"/>
      <c r="AQ230" s="105">
        <f t="shared" si="398"/>
        <v>0</v>
      </c>
      <c r="AR230" s="106"/>
      <c r="AS230" s="97">
        <f t="shared" si="385"/>
        <v>5</v>
      </c>
      <c r="AT230" s="6"/>
      <c r="AU230" s="105"/>
      <c r="AV230" s="455">
        <f t="shared" si="410"/>
        <v>0</v>
      </c>
      <c r="AW230" s="496"/>
      <c r="AX230" s="508"/>
      <c r="AY230" s="498"/>
      <c r="AZ230" s="100">
        <f t="shared" si="411"/>
        <v>0</v>
      </c>
      <c r="BA230" s="101"/>
      <c r="BB230" s="100"/>
      <c r="BC230" s="100">
        <f t="shared" si="421"/>
        <v>0</v>
      </c>
      <c r="BD230" s="101"/>
      <c r="BE230" s="105">
        <f t="shared" si="412"/>
        <v>5</v>
      </c>
      <c r="BF230" s="106"/>
      <c r="BG230" s="100">
        <f t="shared" si="399"/>
        <v>0</v>
      </c>
      <c r="BH230" s="106"/>
      <c r="BI230" s="100">
        <f t="shared" si="400"/>
        <v>0</v>
      </c>
      <c r="BJ230" s="106"/>
      <c r="BK230" s="101">
        <f t="shared" si="386"/>
        <v>5</v>
      </c>
      <c r="BL230" s="106"/>
      <c r="BM230" s="104"/>
      <c r="BN230" s="104">
        <f t="shared" ref="BN230:BN240" si="425">BM230/50</f>
        <v>0</v>
      </c>
      <c r="BO230" s="105"/>
      <c r="BP230" s="105">
        <f t="shared" si="413"/>
        <v>0</v>
      </c>
      <c r="BQ230" s="106"/>
      <c r="BR230" s="105">
        <v>250</v>
      </c>
      <c r="BS230" s="105">
        <f t="shared" si="378"/>
        <v>5</v>
      </c>
      <c r="BT230" s="106"/>
      <c r="BU230" s="53"/>
      <c r="BV230" s="53">
        <f t="shared" si="414"/>
        <v>0</v>
      </c>
      <c r="BW230" s="54"/>
      <c r="BX230" s="350">
        <f t="shared" si="387"/>
        <v>5</v>
      </c>
      <c r="BY230" s="6"/>
      <c r="BZ230" s="6">
        <f t="shared" si="401"/>
        <v>0</v>
      </c>
      <c r="CA230" s="508"/>
      <c r="CB230" s="165"/>
      <c r="CC230" s="165"/>
      <c r="CD230" s="165"/>
      <c r="CE230" s="504"/>
      <c r="CF230" s="105"/>
      <c r="CG230" s="105">
        <f t="shared" si="379"/>
        <v>0</v>
      </c>
      <c r="CH230" s="105"/>
      <c r="CI230" s="105"/>
      <c r="CJ230" s="105">
        <f t="shared" si="380"/>
        <v>0</v>
      </c>
      <c r="CK230" s="523"/>
      <c r="CL230" s="102">
        <f t="shared" si="422"/>
        <v>0</v>
      </c>
      <c r="CM230" s="103"/>
      <c r="CN230" s="100"/>
      <c r="CO230" s="100">
        <f t="shared" si="423"/>
        <v>0</v>
      </c>
      <c r="CP230" s="515"/>
      <c r="CQ230" s="441"/>
      <c r="CR230" s="504"/>
      <c r="CS230" s="105"/>
      <c r="CT230" s="105">
        <f t="shared" si="389"/>
        <v>0</v>
      </c>
      <c r="CU230" s="105"/>
      <c r="CV230" s="105"/>
      <c r="CW230" s="105">
        <f t="shared" si="390"/>
        <v>0</v>
      </c>
      <c r="CX230" s="53"/>
      <c r="CY230" s="109">
        <f t="shared" si="424"/>
        <v>0</v>
      </c>
      <c r="CZ230" s="54"/>
      <c r="DA230" s="105"/>
      <c r="DB230" s="455">
        <f t="shared" si="388"/>
        <v>0</v>
      </c>
      <c r="DC230" s="495"/>
      <c r="DD230" s="24" t="s">
        <v>375</v>
      </c>
      <c r="DE230" s="44" t="s">
        <v>483</v>
      </c>
      <c r="DF230" s="1133"/>
      <c r="DG230" s="674">
        <f t="shared" si="402"/>
        <v>0</v>
      </c>
      <c r="DH230" s="1119">
        <f t="shared" si="403"/>
        <v>0</v>
      </c>
      <c r="DI230" s="1119"/>
      <c r="DJ230" s="101">
        <f t="shared" si="415"/>
        <v>5</v>
      </c>
      <c r="DK230" s="101"/>
      <c r="DL230" s="101">
        <f t="shared" si="405"/>
        <v>0</v>
      </c>
      <c r="DM230" s="101">
        <f t="shared" ref="DM230:DM231" si="426">DL230</f>
        <v>0</v>
      </c>
      <c r="DN230" s="112">
        <f>DJ230</f>
        <v>5</v>
      </c>
      <c r="DO230" s="112"/>
      <c r="DP230" s="112"/>
      <c r="DQ230" s="112"/>
    </row>
    <row r="231" spans="1:130" s="139" customFormat="1" ht="21.6" customHeight="1" x14ac:dyDescent="0.25">
      <c r="A231" s="4"/>
      <c r="B231" s="4"/>
      <c r="C231" s="134" t="s">
        <v>131</v>
      </c>
      <c r="D231" s="167" t="s">
        <v>429</v>
      </c>
      <c r="E231" s="3" t="s">
        <v>288</v>
      </c>
      <c r="F231" s="135"/>
      <c r="G231" s="135"/>
      <c r="H231" s="135"/>
      <c r="I231" s="135"/>
      <c r="J231" s="135"/>
      <c r="K231" s="135"/>
      <c r="L231" s="183"/>
      <c r="M231" s="5"/>
      <c r="N231" s="41"/>
      <c r="O231" s="6"/>
      <c r="P231" s="7"/>
      <c r="Q231" s="7"/>
      <c r="R231" s="7"/>
      <c r="S231" s="7"/>
      <c r="T231" s="89"/>
      <c r="U231" s="89"/>
      <c r="V231" s="89">
        <f t="shared" si="416"/>
        <v>0</v>
      </c>
      <c r="W231" s="137"/>
      <c r="X231" s="137"/>
      <c r="Y231" s="90">
        <f t="shared" si="417"/>
        <v>0</v>
      </c>
      <c r="Z231" s="91"/>
      <c r="AA231" s="92"/>
      <c r="AB231" s="92"/>
      <c r="AC231" s="92">
        <f t="shared" si="418"/>
        <v>0</v>
      </c>
      <c r="AD231" s="93"/>
      <c r="AE231" s="93"/>
      <c r="AF231" s="94">
        <f t="shared" si="419"/>
        <v>0</v>
      </c>
      <c r="AG231" s="473"/>
      <c r="AH231" s="99">
        <v>160</v>
      </c>
      <c r="AI231" s="99">
        <f t="shared" si="408"/>
        <v>10.666666666666666</v>
      </c>
      <c r="AJ231" s="138">
        <v>165</v>
      </c>
      <c r="AK231" s="138">
        <f t="shared" si="409"/>
        <v>11</v>
      </c>
      <c r="AL231" s="106"/>
      <c r="AM231" s="105"/>
      <c r="AN231" s="105">
        <f t="shared" si="420"/>
        <v>0</v>
      </c>
      <c r="AO231" s="106"/>
      <c r="AP231" s="105"/>
      <c r="AQ231" s="105">
        <f t="shared" si="398"/>
        <v>0</v>
      </c>
      <c r="AR231" s="106"/>
      <c r="AS231" s="97">
        <f t="shared" si="385"/>
        <v>11</v>
      </c>
      <c r="AT231" s="6"/>
      <c r="AU231" s="105"/>
      <c r="AV231" s="455">
        <f t="shared" si="410"/>
        <v>0</v>
      </c>
      <c r="AW231" s="496"/>
      <c r="AX231" s="508"/>
      <c r="AY231" s="498">
        <v>45</v>
      </c>
      <c r="AZ231" s="100">
        <f t="shared" si="411"/>
        <v>3</v>
      </c>
      <c r="BA231" s="101"/>
      <c r="BB231" s="100"/>
      <c r="BC231" s="100">
        <f t="shared" si="421"/>
        <v>0</v>
      </c>
      <c r="BD231" s="101"/>
      <c r="BE231" s="105">
        <f t="shared" si="412"/>
        <v>14</v>
      </c>
      <c r="BF231" s="106"/>
      <c r="BG231" s="100">
        <f t="shared" si="399"/>
        <v>0</v>
      </c>
      <c r="BH231" s="106"/>
      <c r="BI231" s="100">
        <f t="shared" si="400"/>
        <v>0</v>
      </c>
      <c r="BJ231" s="106"/>
      <c r="BK231" s="101">
        <f t="shared" si="386"/>
        <v>14</v>
      </c>
      <c r="BL231" s="106"/>
      <c r="BM231" s="104"/>
      <c r="BN231" s="104">
        <f t="shared" si="425"/>
        <v>0</v>
      </c>
      <c r="BO231" s="105"/>
      <c r="BP231" s="105">
        <f t="shared" si="413"/>
        <v>0</v>
      </c>
      <c r="BQ231" s="106"/>
      <c r="BR231" s="105">
        <v>600</v>
      </c>
      <c r="BS231" s="105">
        <f t="shared" si="378"/>
        <v>12</v>
      </c>
      <c r="BT231" s="106"/>
      <c r="BU231" s="53"/>
      <c r="BV231" s="53">
        <f t="shared" si="414"/>
        <v>0</v>
      </c>
      <c r="BW231" s="54"/>
      <c r="BX231" s="350">
        <f t="shared" si="387"/>
        <v>12</v>
      </c>
      <c r="BY231" s="6"/>
      <c r="BZ231" s="6">
        <f t="shared" si="401"/>
        <v>2</v>
      </c>
      <c r="CA231" s="508"/>
      <c r="CB231" s="7"/>
      <c r="CC231" s="7"/>
      <c r="CD231" s="7"/>
      <c r="CE231" s="504"/>
      <c r="CF231" s="105"/>
      <c r="CG231" s="105">
        <f t="shared" si="379"/>
        <v>0</v>
      </c>
      <c r="CH231" s="105"/>
      <c r="CI231" s="105"/>
      <c r="CJ231" s="105">
        <f t="shared" si="380"/>
        <v>0</v>
      </c>
      <c r="CK231" s="523"/>
      <c r="CL231" s="102">
        <f t="shared" si="422"/>
        <v>0</v>
      </c>
      <c r="CM231" s="103"/>
      <c r="CN231" s="100"/>
      <c r="CO231" s="100">
        <f t="shared" si="423"/>
        <v>0</v>
      </c>
      <c r="CP231" s="515"/>
      <c r="CQ231" s="441"/>
      <c r="CR231" s="504"/>
      <c r="CS231" s="105"/>
      <c r="CT231" s="105">
        <f t="shared" si="389"/>
        <v>0</v>
      </c>
      <c r="CU231" s="105"/>
      <c r="CV231" s="105"/>
      <c r="CW231" s="105">
        <f t="shared" si="390"/>
        <v>0</v>
      </c>
      <c r="CX231" s="53"/>
      <c r="CY231" s="109">
        <f t="shared" si="424"/>
        <v>0</v>
      </c>
      <c r="CZ231" s="54"/>
      <c r="DA231" s="105"/>
      <c r="DB231" s="455">
        <f t="shared" si="388"/>
        <v>0</v>
      </c>
      <c r="DC231" s="495"/>
      <c r="DD231" s="24" t="s">
        <v>375</v>
      </c>
      <c r="DE231" s="139" t="s">
        <v>483</v>
      </c>
      <c r="DF231" s="1133"/>
      <c r="DG231" s="674">
        <f t="shared" si="402"/>
        <v>0</v>
      </c>
      <c r="DH231" s="1119">
        <f t="shared" si="403"/>
        <v>0</v>
      </c>
      <c r="DI231" s="1119"/>
      <c r="DJ231" s="101">
        <f t="shared" si="415"/>
        <v>14</v>
      </c>
      <c r="DK231" s="101"/>
      <c r="DL231" s="101">
        <f t="shared" si="405"/>
        <v>0</v>
      </c>
      <c r="DM231" s="101">
        <f t="shared" si="426"/>
        <v>0</v>
      </c>
      <c r="DN231" s="112">
        <f>DJ231</f>
        <v>14</v>
      </c>
      <c r="DO231" s="112"/>
      <c r="DP231" s="112"/>
      <c r="DQ231" s="112"/>
      <c r="DS231" s="140"/>
      <c r="DT231" s="140"/>
      <c r="DU231" s="140"/>
      <c r="DV231" s="140"/>
      <c r="DW231" s="140"/>
      <c r="DX231" s="140"/>
      <c r="DY231" s="140"/>
      <c r="DZ231" s="140"/>
    </row>
    <row r="232" spans="1:130" s="139" customFormat="1" ht="21.6" customHeight="1" x14ac:dyDescent="0.25">
      <c r="A232" s="4"/>
      <c r="B232" s="4"/>
      <c r="C232" s="134" t="s">
        <v>131</v>
      </c>
      <c r="D232" s="182" t="s">
        <v>431</v>
      </c>
      <c r="E232" s="3" t="s">
        <v>289</v>
      </c>
      <c r="F232" s="135"/>
      <c r="G232" s="135"/>
      <c r="H232" s="135"/>
      <c r="I232" s="135"/>
      <c r="J232" s="135"/>
      <c r="K232" s="135"/>
      <c r="L232" s="183"/>
      <c r="M232" s="5"/>
      <c r="N232" s="41"/>
      <c r="O232" s="6"/>
      <c r="P232" s="7"/>
      <c r="Q232" s="7"/>
      <c r="R232" s="7"/>
      <c r="S232" s="7"/>
      <c r="T232" s="89"/>
      <c r="U232" s="89"/>
      <c r="V232" s="89">
        <f t="shared" si="416"/>
        <v>0</v>
      </c>
      <c r="W232" s="137"/>
      <c r="X232" s="137"/>
      <c r="Y232" s="90">
        <f t="shared" si="417"/>
        <v>0</v>
      </c>
      <c r="Z232" s="91"/>
      <c r="AA232" s="92"/>
      <c r="AB232" s="92"/>
      <c r="AC232" s="92">
        <f t="shared" si="418"/>
        <v>0</v>
      </c>
      <c r="AD232" s="93"/>
      <c r="AE232" s="93"/>
      <c r="AF232" s="94">
        <f t="shared" si="419"/>
        <v>0</v>
      </c>
      <c r="AG232" s="473"/>
      <c r="AH232" s="99">
        <v>140</v>
      </c>
      <c r="AI232" s="99">
        <f t="shared" si="408"/>
        <v>9.3333333333333339</v>
      </c>
      <c r="AJ232" s="138">
        <v>135</v>
      </c>
      <c r="AK232" s="138">
        <f t="shared" si="409"/>
        <v>9</v>
      </c>
      <c r="AL232" s="106"/>
      <c r="AM232" s="105"/>
      <c r="AN232" s="105">
        <f t="shared" si="420"/>
        <v>0</v>
      </c>
      <c r="AO232" s="106"/>
      <c r="AP232" s="105"/>
      <c r="AQ232" s="105">
        <f t="shared" si="398"/>
        <v>0</v>
      </c>
      <c r="AR232" s="106"/>
      <c r="AS232" s="97">
        <f t="shared" si="385"/>
        <v>9</v>
      </c>
      <c r="AT232" s="6"/>
      <c r="AU232" s="105"/>
      <c r="AV232" s="455">
        <f t="shared" si="410"/>
        <v>0</v>
      </c>
      <c r="AW232" s="496"/>
      <c r="AX232" s="508"/>
      <c r="AY232" s="498"/>
      <c r="AZ232" s="100">
        <f t="shared" si="411"/>
        <v>0</v>
      </c>
      <c r="BA232" s="101"/>
      <c r="BB232" s="100"/>
      <c r="BC232" s="100">
        <f t="shared" si="421"/>
        <v>0</v>
      </c>
      <c r="BD232" s="101"/>
      <c r="BE232" s="105">
        <f t="shared" si="412"/>
        <v>9</v>
      </c>
      <c r="BF232" s="106"/>
      <c r="BG232" s="100">
        <f t="shared" si="399"/>
        <v>0</v>
      </c>
      <c r="BH232" s="106"/>
      <c r="BI232" s="100">
        <f t="shared" si="400"/>
        <v>0</v>
      </c>
      <c r="BJ232" s="106"/>
      <c r="BK232" s="101">
        <f t="shared" si="386"/>
        <v>9</v>
      </c>
      <c r="BL232" s="106"/>
      <c r="BM232" s="104"/>
      <c r="BN232" s="104">
        <f t="shared" si="425"/>
        <v>0</v>
      </c>
      <c r="BO232" s="105"/>
      <c r="BP232" s="105">
        <f t="shared" si="413"/>
        <v>0</v>
      </c>
      <c r="BQ232" s="106"/>
      <c r="BR232" s="105">
        <v>450</v>
      </c>
      <c r="BS232" s="105">
        <f t="shared" si="378"/>
        <v>9</v>
      </c>
      <c r="BT232" s="106"/>
      <c r="BU232" s="53"/>
      <c r="BV232" s="53">
        <f t="shared" si="414"/>
        <v>0</v>
      </c>
      <c r="BW232" s="54"/>
      <c r="BX232" s="350">
        <f t="shared" si="387"/>
        <v>9</v>
      </c>
      <c r="BY232" s="6"/>
      <c r="BZ232" s="6">
        <f t="shared" si="401"/>
        <v>0</v>
      </c>
      <c r="CA232" s="508"/>
      <c r="CB232" s="7"/>
      <c r="CC232" s="7"/>
      <c r="CD232" s="7"/>
      <c r="CE232" s="504"/>
      <c r="CF232" s="105"/>
      <c r="CG232" s="105">
        <f t="shared" si="379"/>
        <v>0</v>
      </c>
      <c r="CH232" s="105"/>
      <c r="CI232" s="105"/>
      <c r="CJ232" s="105">
        <f t="shared" si="380"/>
        <v>0</v>
      </c>
      <c r="CK232" s="523"/>
      <c r="CL232" s="102">
        <f t="shared" si="422"/>
        <v>0</v>
      </c>
      <c r="CM232" s="103"/>
      <c r="CN232" s="100"/>
      <c r="CO232" s="100">
        <f t="shared" si="423"/>
        <v>0</v>
      </c>
      <c r="CP232" s="515"/>
      <c r="CQ232" s="441"/>
      <c r="CR232" s="504"/>
      <c r="CS232" s="105"/>
      <c r="CT232" s="105">
        <f t="shared" si="389"/>
        <v>0</v>
      </c>
      <c r="CU232" s="105"/>
      <c r="CV232" s="105"/>
      <c r="CW232" s="105">
        <f t="shared" si="390"/>
        <v>0</v>
      </c>
      <c r="CX232" s="53"/>
      <c r="CY232" s="109">
        <f t="shared" si="424"/>
        <v>0</v>
      </c>
      <c r="CZ232" s="54"/>
      <c r="DA232" s="105"/>
      <c r="DB232" s="455">
        <f t="shared" si="388"/>
        <v>0</v>
      </c>
      <c r="DC232" s="495"/>
      <c r="DD232" s="24" t="s">
        <v>375</v>
      </c>
      <c r="DF232" s="1133"/>
      <c r="DG232" s="674">
        <f t="shared" si="402"/>
        <v>0</v>
      </c>
      <c r="DH232" s="1119">
        <f t="shared" si="403"/>
        <v>0</v>
      </c>
      <c r="DI232" s="1119"/>
      <c r="DJ232" s="101">
        <f t="shared" si="415"/>
        <v>9</v>
      </c>
      <c r="DK232" s="101"/>
      <c r="DL232" s="101">
        <f t="shared" si="405"/>
        <v>0</v>
      </c>
      <c r="DM232" s="101"/>
      <c r="DN232" s="112"/>
      <c r="DO232" s="112"/>
      <c r="DP232" s="112"/>
      <c r="DQ232" s="112"/>
      <c r="DS232" s="140"/>
      <c r="DT232" s="140"/>
      <c r="DU232" s="140"/>
      <c r="DV232" s="140"/>
      <c r="DW232" s="140"/>
      <c r="DX232" s="140"/>
      <c r="DY232" s="140"/>
      <c r="DZ232" s="140"/>
    </row>
    <row r="233" spans="1:130" s="139" customFormat="1" ht="21.6" customHeight="1" x14ac:dyDescent="0.25">
      <c r="A233" s="4"/>
      <c r="B233" s="4"/>
      <c r="C233" s="134" t="s">
        <v>131</v>
      </c>
      <c r="D233" s="182" t="s">
        <v>431</v>
      </c>
      <c r="E233" s="3" t="s">
        <v>295</v>
      </c>
      <c r="F233" s="135"/>
      <c r="G233" s="135"/>
      <c r="H233" s="135"/>
      <c r="I233" s="135"/>
      <c r="J233" s="135"/>
      <c r="K233" s="135"/>
      <c r="L233" s="183"/>
      <c r="M233" s="5"/>
      <c r="N233" s="41"/>
      <c r="O233" s="6"/>
      <c r="P233" s="7"/>
      <c r="Q233" s="7"/>
      <c r="R233" s="7"/>
      <c r="S233" s="7"/>
      <c r="T233" s="89"/>
      <c r="U233" s="89"/>
      <c r="V233" s="89">
        <f t="shared" si="416"/>
        <v>0</v>
      </c>
      <c r="W233" s="137"/>
      <c r="X233" s="137"/>
      <c r="Y233" s="90">
        <f t="shared" si="417"/>
        <v>0</v>
      </c>
      <c r="Z233" s="91"/>
      <c r="AA233" s="92"/>
      <c r="AB233" s="92"/>
      <c r="AC233" s="92">
        <f t="shared" si="418"/>
        <v>0</v>
      </c>
      <c r="AD233" s="93"/>
      <c r="AE233" s="93"/>
      <c r="AF233" s="94">
        <f t="shared" si="419"/>
        <v>0</v>
      </c>
      <c r="AG233" s="473"/>
      <c r="AH233" s="99">
        <v>45</v>
      </c>
      <c r="AI233" s="99">
        <f t="shared" si="408"/>
        <v>3</v>
      </c>
      <c r="AJ233" s="138">
        <v>45</v>
      </c>
      <c r="AK233" s="138">
        <f t="shared" si="409"/>
        <v>3</v>
      </c>
      <c r="AL233" s="106"/>
      <c r="AM233" s="105"/>
      <c r="AN233" s="105">
        <f t="shared" si="420"/>
        <v>0</v>
      </c>
      <c r="AO233" s="106"/>
      <c r="AP233" s="105"/>
      <c r="AQ233" s="105">
        <f t="shared" si="398"/>
        <v>0</v>
      </c>
      <c r="AR233" s="106"/>
      <c r="AS233" s="97">
        <f t="shared" si="385"/>
        <v>3</v>
      </c>
      <c r="AT233" s="6"/>
      <c r="AU233" s="105"/>
      <c r="AV233" s="455">
        <f t="shared" si="410"/>
        <v>0</v>
      </c>
      <c r="AW233" s="496"/>
      <c r="AX233" s="508"/>
      <c r="AY233" s="498"/>
      <c r="AZ233" s="100">
        <f t="shared" si="411"/>
        <v>0</v>
      </c>
      <c r="BA233" s="101"/>
      <c r="BB233" s="100"/>
      <c r="BC233" s="100">
        <f t="shared" si="421"/>
        <v>0</v>
      </c>
      <c r="BD233" s="101"/>
      <c r="BE233" s="105">
        <f t="shared" si="412"/>
        <v>3</v>
      </c>
      <c r="BF233" s="106"/>
      <c r="BG233" s="100">
        <f t="shared" si="399"/>
        <v>0</v>
      </c>
      <c r="BH233" s="106"/>
      <c r="BI233" s="100">
        <f t="shared" si="400"/>
        <v>0</v>
      </c>
      <c r="BJ233" s="106"/>
      <c r="BK233" s="101">
        <f t="shared" si="386"/>
        <v>3</v>
      </c>
      <c r="BL233" s="106"/>
      <c r="BM233" s="104"/>
      <c r="BN233" s="104">
        <f t="shared" si="425"/>
        <v>0</v>
      </c>
      <c r="BO233" s="105"/>
      <c r="BP233" s="105">
        <f t="shared" si="413"/>
        <v>0</v>
      </c>
      <c r="BQ233" s="106"/>
      <c r="BR233" s="105"/>
      <c r="BS233" s="105">
        <f t="shared" si="378"/>
        <v>0</v>
      </c>
      <c r="BT233" s="106"/>
      <c r="BU233" s="53"/>
      <c r="BV233" s="53">
        <f t="shared" si="414"/>
        <v>0</v>
      </c>
      <c r="BW233" s="54"/>
      <c r="BX233" s="350">
        <f t="shared" si="387"/>
        <v>0</v>
      </c>
      <c r="BY233" s="6"/>
      <c r="BZ233" s="6">
        <f t="shared" si="401"/>
        <v>3</v>
      </c>
      <c r="CA233" s="508"/>
      <c r="CB233" s="7"/>
      <c r="CC233" s="7"/>
      <c r="CD233" s="7"/>
      <c r="CE233" s="504"/>
      <c r="CF233" s="105"/>
      <c r="CG233" s="105">
        <f t="shared" si="379"/>
        <v>0</v>
      </c>
      <c r="CH233" s="105"/>
      <c r="CI233" s="105"/>
      <c r="CJ233" s="105">
        <f t="shared" si="380"/>
        <v>0</v>
      </c>
      <c r="CK233" s="523"/>
      <c r="CL233" s="102">
        <f t="shared" si="422"/>
        <v>0</v>
      </c>
      <c r="CM233" s="103"/>
      <c r="CN233" s="100"/>
      <c r="CO233" s="100">
        <f t="shared" si="423"/>
        <v>0</v>
      </c>
      <c r="CP233" s="515"/>
      <c r="CQ233" s="441"/>
      <c r="CR233" s="504"/>
      <c r="CS233" s="105"/>
      <c r="CT233" s="105">
        <f t="shared" si="389"/>
        <v>0</v>
      </c>
      <c r="CU233" s="105"/>
      <c r="CV233" s="105"/>
      <c r="CW233" s="105">
        <f t="shared" si="390"/>
        <v>0</v>
      </c>
      <c r="CX233" s="53"/>
      <c r="CY233" s="109">
        <f t="shared" si="424"/>
        <v>0</v>
      </c>
      <c r="CZ233" s="54"/>
      <c r="DA233" s="105"/>
      <c r="DB233" s="455">
        <f t="shared" si="388"/>
        <v>0</v>
      </c>
      <c r="DC233" s="495"/>
      <c r="DD233" s="24" t="s">
        <v>375</v>
      </c>
      <c r="DE233" s="139" t="s">
        <v>483</v>
      </c>
      <c r="DF233" s="1133"/>
      <c r="DG233" s="674">
        <f t="shared" si="402"/>
        <v>0</v>
      </c>
      <c r="DH233" s="1119">
        <f t="shared" si="403"/>
        <v>0</v>
      </c>
      <c r="DI233" s="1119"/>
      <c r="DJ233" s="101">
        <f t="shared" si="415"/>
        <v>3</v>
      </c>
      <c r="DK233" s="101"/>
      <c r="DL233" s="101">
        <f t="shared" si="405"/>
        <v>0</v>
      </c>
      <c r="DM233" s="101"/>
      <c r="DN233" s="112"/>
      <c r="DO233" s="112"/>
      <c r="DP233" s="112"/>
      <c r="DQ233" s="112"/>
      <c r="DS233" s="140"/>
      <c r="DT233" s="140"/>
      <c r="DU233" s="140"/>
      <c r="DV233" s="140"/>
      <c r="DW233" s="140"/>
      <c r="DX233" s="140"/>
      <c r="DY233" s="140"/>
      <c r="DZ233" s="140"/>
    </row>
    <row r="234" spans="1:130" s="139" customFormat="1" ht="21.6" customHeight="1" x14ac:dyDescent="0.25">
      <c r="A234" s="4"/>
      <c r="B234" s="4"/>
      <c r="C234" s="134" t="s">
        <v>131</v>
      </c>
      <c r="D234" s="167" t="s">
        <v>429</v>
      </c>
      <c r="E234" s="3" t="s">
        <v>54</v>
      </c>
      <c r="F234" s="135"/>
      <c r="G234" s="135"/>
      <c r="H234" s="135"/>
      <c r="I234" s="135"/>
      <c r="J234" s="135"/>
      <c r="K234" s="135"/>
      <c r="L234" s="183"/>
      <c r="M234" s="5"/>
      <c r="N234" s="41"/>
      <c r="O234" s="6"/>
      <c r="P234" s="7"/>
      <c r="Q234" s="7"/>
      <c r="R234" s="7"/>
      <c r="S234" s="7"/>
      <c r="T234" s="89"/>
      <c r="U234" s="89"/>
      <c r="V234" s="89">
        <f t="shared" si="416"/>
        <v>0</v>
      </c>
      <c r="W234" s="137"/>
      <c r="X234" s="137"/>
      <c r="Y234" s="90">
        <f t="shared" si="417"/>
        <v>0</v>
      </c>
      <c r="Z234" s="91"/>
      <c r="AA234" s="92"/>
      <c r="AB234" s="92"/>
      <c r="AC234" s="92">
        <f t="shared" si="418"/>
        <v>0</v>
      </c>
      <c r="AD234" s="93"/>
      <c r="AE234" s="93"/>
      <c r="AF234" s="94">
        <f t="shared" si="419"/>
        <v>0</v>
      </c>
      <c r="AG234" s="473"/>
      <c r="AH234" s="99">
        <v>365</v>
      </c>
      <c r="AI234" s="99">
        <f t="shared" si="408"/>
        <v>24.333333333333332</v>
      </c>
      <c r="AJ234" s="138">
        <v>370</v>
      </c>
      <c r="AK234" s="138">
        <f t="shared" si="409"/>
        <v>24.666666666666668</v>
      </c>
      <c r="AL234" s="106"/>
      <c r="AM234" s="105"/>
      <c r="AN234" s="105">
        <f t="shared" si="420"/>
        <v>0</v>
      </c>
      <c r="AO234" s="106"/>
      <c r="AP234" s="105"/>
      <c r="AQ234" s="105">
        <f t="shared" si="398"/>
        <v>0</v>
      </c>
      <c r="AR234" s="106"/>
      <c r="AS234" s="97">
        <f t="shared" si="385"/>
        <v>24.666666666666668</v>
      </c>
      <c r="AT234" s="6"/>
      <c r="AU234" s="105"/>
      <c r="AV234" s="455">
        <f t="shared" si="410"/>
        <v>0</v>
      </c>
      <c r="AW234" s="496"/>
      <c r="AX234" s="508"/>
      <c r="AY234" s="498">
        <v>35</v>
      </c>
      <c r="AZ234" s="100">
        <f t="shared" si="411"/>
        <v>2.3333333333333335</v>
      </c>
      <c r="BA234" s="101"/>
      <c r="BB234" s="100"/>
      <c r="BC234" s="100">
        <f t="shared" si="421"/>
        <v>0</v>
      </c>
      <c r="BD234" s="101"/>
      <c r="BE234" s="105">
        <f t="shared" si="412"/>
        <v>27</v>
      </c>
      <c r="BF234" s="106"/>
      <c r="BG234" s="100">
        <f t="shared" si="399"/>
        <v>0</v>
      </c>
      <c r="BH234" s="106"/>
      <c r="BI234" s="100">
        <f t="shared" si="400"/>
        <v>0</v>
      </c>
      <c r="BJ234" s="106"/>
      <c r="BK234" s="101">
        <f t="shared" si="386"/>
        <v>27</v>
      </c>
      <c r="BL234" s="106"/>
      <c r="BM234" s="104"/>
      <c r="BN234" s="104">
        <f t="shared" si="425"/>
        <v>0</v>
      </c>
      <c r="BO234" s="105"/>
      <c r="BP234" s="105">
        <f t="shared" si="413"/>
        <v>0</v>
      </c>
      <c r="BQ234" s="106"/>
      <c r="BR234" s="105">
        <v>1350</v>
      </c>
      <c r="BS234" s="105">
        <f t="shared" si="378"/>
        <v>27</v>
      </c>
      <c r="BT234" s="106"/>
      <c r="BU234" s="53"/>
      <c r="BV234" s="53">
        <f t="shared" si="414"/>
        <v>0</v>
      </c>
      <c r="BW234" s="54"/>
      <c r="BX234" s="350">
        <f t="shared" si="387"/>
        <v>27</v>
      </c>
      <c r="BY234" s="6"/>
      <c r="BZ234" s="6">
        <f t="shared" si="401"/>
        <v>0</v>
      </c>
      <c r="CA234" s="508"/>
      <c r="CB234" s="7"/>
      <c r="CC234" s="7"/>
      <c r="CD234" s="7"/>
      <c r="CE234" s="504"/>
      <c r="CF234" s="105"/>
      <c r="CG234" s="105">
        <f t="shared" si="379"/>
        <v>0</v>
      </c>
      <c r="CH234" s="105"/>
      <c r="CI234" s="105"/>
      <c r="CJ234" s="105">
        <f t="shared" si="380"/>
        <v>0</v>
      </c>
      <c r="CK234" s="523"/>
      <c r="CL234" s="102">
        <f t="shared" si="422"/>
        <v>0</v>
      </c>
      <c r="CM234" s="103"/>
      <c r="CN234" s="100"/>
      <c r="CO234" s="100">
        <f t="shared" si="423"/>
        <v>0</v>
      </c>
      <c r="CP234" s="515"/>
      <c r="CQ234" s="441"/>
      <c r="CR234" s="504"/>
      <c r="CS234" s="105"/>
      <c r="CT234" s="105">
        <f t="shared" si="389"/>
        <v>0</v>
      </c>
      <c r="CU234" s="105"/>
      <c r="CV234" s="105"/>
      <c r="CW234" s="105">
        <f t="shared" si="390"/>
        <v>0</v>
      </c>
      <c r="CX234" s="53"/>
      <c r="CY234" s="109">
        <f t="shared" si="424"/>
        <v>0</v>
      </c>
      <c r="CZ234" s="54"/>
      <c r="DA234" s="105"/>
      <c r="DB234" s="455">
        <f t="shared" si="388"/>
        <v>0</v>
      </c>
      <c r="DC234" s="495"/>
      <c r="DD234" s="24" t="s">
        <v>375</v>
      </c>
      <c r="DE234" s="139" t="s">
        <v>483</v>
      </c>
      <c r="DF234" s="1133"/>
      <c r="DG234" s="674">
        <f t="shared" si="402"/>
        <v>0</v>
      </c>
      <c r="DH234" s="1119">
        <f t="shared" si="403"/>
        <v>0</v>
      </c>
      <c r="DI234" s="1119"/>
      <c r="DJ234" s="101">
        <f t="shared" si="415"/>
        <v>27</v>
      </c>
      <c r="DK234" s="101"/>
      <c r="DL234" s="101">
        <f t="shared" si="405"/>
        <v>0</v>
      </c>
      <c r="DM234" s="101">
        <f t="shared" ref="DM234:DM237" si="427">DL234</f>
        <v>0</v>
      </c>
      <c r="DN234" s="112">
        <f>DJ234</f>
        <v>27</v>
      </c>
      <c r="DO234" s="112"/>
      <c r="DP234" s="112"/>
      <c r="DQ234" s="112"/>
      <c r="DS234" s="140"/>
      <c r="DT234" s="140"/>
      <c r="DU234" s="140"/>
      <c r="DV234" s="140"/>
      <c r="DW234" s="140"/>
      <c r="DX234" s="140"/>
      <c r="DY234" s="140"/>
      <c r="DZ234" s="140"/>
    </row>
    <row r="235" spans="1:130" s="139" customFormat="1" ht="21.6" customHeight="1" x14ac:dyDescent="0.25">
      <c r="A235" s="4"/>
      <c r="B235" s="4"/>
      <c r="C235" s="134" t="s">
        <v>131</v>
      </c>
      <c r="D235" s="167" t="s">
        <v>429</v>
      </c>
      <c r="E235" s="3" t="s">
        <v>290</v>
      </c>
      <c r="F235" s="135"/>
      <c r="G235" s="135"/>
      <c r="H235" s="135"/>
      <c r="I235" s="135"/>
      <c r="J235" s="135"/>
      <c r="K235" s="135"/>
      <c r="L235" s="183"/>
      <c r="M235" s="5"/>
      <c r="N235" s="41"/>
      <c r="O235" s="6"/>
      <c r="P235" s="7"/>
      <c r="Q235" s="7"/>
      <c r="R235" s="7"/>
      <c r="S235" s="7"/>
      <c r="T235" s="89"/>
      <c r="U235" s="89"/>
      <c r="V235" s="89">
        <f t="shared" si="416"/>
        <v>0</v>
      </c>
      <c r="W235" s="137"/>
      <c r="X235" s="137"/>
      <c r="Y235" s="90">
        <f t="shared" si="417"/>
        <v>0</v>
      </c>
      <c r="Z235" s="91"/>
      <c r="AA235" s="92"/>
      <c r="AB235" s="92"/>
      <c r="AC235" s="92">
        <f t="shared" si="418"/>
        <v>0</v>
      </c>
      <c r="AD235" s="93"/>
      <c r="AE235" s="93"/>
      <c r="AF235" s="94">
        <f t="shared" si="419"/>
        <v>0</v>
      </c>
      <c r="AG235" s="473"/>
      <c r="AH235" s="99">
        <v>25</v>
      </c>
      <c r="AI235" s="99">
        <f t="shared" si="408"/>
        <v>1.6666666666666667</v>
      </c>
      <c r="AJ235" s="138">
        <v>30</v>
      </c>
      <c r="AK235" s="138">
        <f t="shared" si="409"/>
        <v>2</v>
      </c>
      <c r="AL235" s="106"/>
      <c r="AM235" s="105"/>
      <c r="AN235" s="105">
        <f t="shared" si="420"/>
        <v>0</v>
      </c>
      <c r="AO235" s="106"/>
      <c r="AP235" s="105"/>
      <c r="AQ235" s="105">
        <f t="shared" si="398"/>
        <v>0</v>
      </c>
      <c r="AR235" s="106"/>
      <c r="AS235" s="97">
        <f t="shared" si="385"/>
        <v>2</v>
      </c>
      <c r="AT235" s="6"/>
      <c r="AU235" s="105"/>
      <c r="AV235" s="455">
        <f t="shared" si="410"/>
        <v>0</v>
      </c>
      <c r="AW235" s="496"/>
      <c r="AX235" s="508"/>
      <c r="AY235" s="498"/>
      <c r="AZ235" s="100">
        <f t="shared" si="411"/>
        <v>0</v>
      </c>
      <c r="BA235" s="101"/>
      <c r="BB235" s="100"/>
      <c r="BC235" s="100">
        <f t="shared" si="421"/>
        <v>0</v>
      </c>
      <c r="BD235" s="101"/>
      <c r="BE235" s="105">
        <f t="shared" si="412"/>
        <v>2</v>
      </c>
      <c r="BF235" s="106"/>
      <c r="BG235" s="100">
        <f t="shared" si="399"/>
        <v>0</v>
      </c>
      <c r="BH235" s="106"/>
      <c r="BI235" s="100">
        <f t="shared" si="400"/>
        <v>0</v>
      </c>
      <c r="BJ235" s="106"/>
      <c r="BK235" s="101">
        <f t="shared" si="386"/>
        <v>2</v>
      </c>
      <c r="BL235" s="106"/>
      <c r="BM235" s="104"/>
      <c r="BN235" s="104">
        <f t="shared" si="425"/>
        <v>0</v>
      </c>
      <c r="BO235" s="105"/>
      <c r="BP235" s="105">
        <f t="shared" si="413"/>
        <v>0</v>
      </c>
      <c r="BQ235" s="106"/>
      <c r="BR235" s="105">
        <v>100</v>
      </c>
      <c r="BS235" s="105">
        <f t="shared" si="378"/>
        <v>2</v>
      </c>
      <c r="BT235" s="106"/>
      <c r="BU235" s="53"/>
      <c r="BV235" s="53">
        <f t="shared" si="414"/>
        <v>0</v>
      </c>
      <c r="BW235" s="54"/>
      <c r="BX235" s="350">
        <f t="shared" si="387"/>
        <v>2</v>
      </c>
      <c r="BY235" s="6"/>
      <c r="BZ235" s="6">
        <f t="shared" si="401"/>
        <v>0</v>
      </c>
      <c r="CA235" s="508"/>
      <c r="CB235" s="7"/>
      <c r="CC235" s="7"/>
      <c r="CD235" s="7"/>
      <c r="CE235" s="504"/>
      <c r="CF235" s="105"/>
      <c r="CG235" s="105">
        <f t="shared" si="379"/>
        <v>0</v>
      </c>
      <c r="CH235" s="105"/>
      <c r="CI235" s="105"/>
      <c r="CJ235" s="105">
        <f t="shared" si="380"/>
        <v>0</v>
      </c>
      <c r="CK235" s="523"/>
      <c r="CL235" s="102">
        <f t="shared" si="422"/>
        <v>0</v>
      </c>
      <c r="CM235" s="103"/>
      <c r="CN235" s="100"/>
      <c r="CO235" s="100">
        <f t="shared" si="423"/>
        <v>0</v>
      </c>
      <c r="CP235" s="515"/>
      <c r="CQ235" s="441"/>
      <c r="CR235" s="504"/>
      <c r="CS235" s="105"/>
      <c r="CT235" s="105">
        <f t="shared" si="389"/>
        <v>0</v>
      </c>
      <c r="CU235" s="105"/>
      <c r="CV235" s="105"/>
      <c r="CW235" s="105">
        <f t="shared" si="390"/>
        <v>0</v>
      </c>
      <c r="CX235" s="53"/>
      <c r="CY235" s="109">
        <f t="shared" si="424"/>
        <v>0</v>
      </c>
      <c r="CZ235" s="54"/>
      <c r="DA235" s="105"/>
      <c r="DB235" s="455">
        <f t="shared" si="388"/>
        <v>0</v>
      </c>
      <c r="DC235" s="495"/>
      <c r="DD235" s="24" t="s">
        <v>375</v>
      </c>
      <c r="DE235" s="139" t="s">
        <v>483</v>
      </c>
      <c r="DF235" s="1133"/>
      <c r="DG235" s="674">
        <f t="shared" si="402"/>
        <v>0</v>
      </c>
      <c r="DH235" s="1119">
        <f t="shared" si="403"/>
        <v>0</v>
      </c>
      <c r="DI235" s="1119"/>
      <c r="DJ235" s="101">
        <f t="shared" si="415"/>
        <v>2</v>
      </c>
      <c r="DK235" s="101"/>
      <c r="DL235" s="101">
        <f t="shared" si="405"/>
        <v>0</v>
      </c>
      <c r="DM235" s="101">
        <f t="shared" si="427"/>
        <v>0</v>
      </c>
      <c r="DN235" s="112">
        <f>DJ235</f>
        <v>2</v>
      </c>
      <c r="DO235" s="112"/>
      <c r="DP235" s="112"/>
      <c r="DQ235" s="112"/>
      <c r="DS235" s="140"/>
      <c r="DT235" s="140"/>
      <c r="DU235" s="140"/>
      <c r="DV235" s="140"/>
      <c r="DW235" s="140"/>
      <c r="DX235" s="140"/>
      <c r="DY235" s="140"/>
      <c r="DZ235" s="140"/>
    </row>
    <row r="236" spans="1:130" s="139" customFormat="1" ht="21.6" customHeight="1" x14ac:dyDescent="0.25">
      <c r="A236" s="4" t="s">
        <v>130</v>
      </c>
      <c r="B236" s="4">
        <v>3</v>
      </c>
      <c r="C236" s="153" t="s">
        <v>131</v>
      </c>
      <c r="D236" s="167" t="s">
        <v>429</v>
      </c>
      <c r="E236" s="13" t="s">
        <v>133</v>
      </c>
      <c r="F236" s="135">
        <v>22</v>
      </c>
      <c r="G236" s="135">
        <v>6</v>
      </c>
      <c r="H236" s="135">
        <f t="shared" si="406"/>
        <v>28</v>
      </c>
      <c r="I236" s="135">
        <v>30</v>
      </c>
      <c r="J236" s="135"/>
      <c r="K236" s="135">
        <f t="shared" si="407"/>
        <v>30</v>
      </c>
      <c r="L236" s="183"/>
      <c r="M236" s="5"/>
      <c r="N236" s="41"/>
      <c r="O236" s="6"/>
      <c r="P236" s="6"/>
      <c r="Q236" s="6"/>
      <c r="R236" s="7"/>
      <c r="S236" s="7"/>
      <c r="T236" s="89"/>
      <c r="U236" s="89"/>
      <c r="V236" s="89">
        <f t="shared" si="416"/>
        <v>0</v>
      </c>
      <c r="W236" s="137"/>
      <c r="X236" s="137"/>
      <c r="Y236" s="90">
        <f t="shared" si="417"/>
        <v>0</v>
      </c>
      <c r="Z236" s="91"/>
      <c r="AA236" s="92"/>
      <c r="AB236" s="92"/>
      <c r="AC236" s="92">
        <f t="shared" si="418"/>
        <v>0</v>
      </c>
      <c r="AD236" s="93"/>
      <c r="AE236" s="93"/>
      <c r="AF236" s="94">
        <f t="shared" si="419"/>
        <v>0</v>
      </c>
      <c r="AG236" s="473"/>
      <c r="AH236" s="99">
        <v>50</v>
      </c>
      <c r="AI236" s="99">
        <f t="shared" si="408"/>
        <v>3.3333333333333335</v>
      </c>
      <c r="AJ236" s="138">
        <v>50</v>
      </c>
      <c r="AK236" s="138">
        <f t="shared" si="409"/>
        <v>3.3333333333333335</v>
      </c>
      <c r="AL236" s="106"/>
      <c r="AM236" s="105"/>
      <c r="AN236" s="105">
        <f t="shared" si="420"/>
        <v>0</v>
      </c>
      <c r="AO236" s="106"/>
      <c r="AP236" s="105"/>
      <c r="AQ236" s="105">
        <f t="shared" si="398"/>
        <v>0</v>
      </c>
      <c r="AR236" s="106"/>
      <c r="AS236" s="97">
        <f t="shared" si="385"/>
        <v>3.3333333333333335</v>
      </c>
      <c r="AT236" s="6"/>
      <c r="AU236" s="105"/>
      <c r="AV236" s="455">
        <f t="shared" si="410"/>
        <v>0</v>
      </c>
      <c r="AW236" s="496"/>
      <c r="AX236" s="508"/>
      <c r="AY236" s="498">
        <f>55+20+5</f>
        <v>80</v>
      </c>
      <c r="AZ236" s="100">
        <f t="shared" si="411"/>
        <v>5.333333333333333</v>
      </c>
      <c r="BA236" s="101"/>
      <c r="BB236" s="100"/>
      <c r="BC236" s="100">
        <f t="shared" si="421"/>
        <v>0</v>
      </c>
      <c r="BD236" s="101"/>
      <c r="BE236" s="105">
        <f t="shared" si="412"/>
        <v>8.6666666666666661</v>
      </c>
      <c r="BF236" s="106"/>
      <c r="BG236" s="100">
        <f t="shared" si="399"/>
        <v>0</v>
      </c>
      <c r="BH236" s="106"/>
      <c r="BI236" s="100">
        <f t="shared" si="400"/>
        <v>0</v>
      </c>
      <c r="BJ236" s="106"/>
      <c r="BK236" s="101">
        <f t="shared" si="386"/>
        <v>8.6666666666666661</v>
      </c>
      <c r="BL236" s="106"/>
      <c r="BM236" s="104"/>
      <c r="BN236" s="104">
        <f t="shared" si="425"/>
        <v>0</v>
      </c>
      <c r="BO236" s="105"/>
      <c r="BP236" s="105">
        <f t="shared" si="413"/>
        <v>0</v>
      </c>
      <c r="BQ236" s="106"/>
      <c r="BR236" s="105">
        <v>400</v>
      </c>
      <c r="BS236" s="105">
        <f t="shared" si="378"/>
        <v>8</v>
      </c>
      <c r="BT236" s="106"/>
      <c r="BU236" s="53"/>
      <c r="BV236" s="53">
        <f t="shared" si="414"/>
        <v>0</v>
      </c>
      <c r="BW236" s="54"/>
      <c r="BX236" s="350">
        <f t="shared" si="387"/>
        <v>8</v>
      </c>
      <c r="BY236" s="6"/>
      <c r="BZ236" s="6">
        <f t="shared" si="401"/>
        <v>0.66666666666666607</v>
      </c>
      <c r="CA236" s="508"/>
      <c r="CB236" s="6"/>
      <c r="CC236" s="6"/>
      <c r="CD236" s="7"/>
      <c r="CE236" s="504"/>
      <c r="CF236" s="105"/>
      <c r="CG236" s="105">
        <f t="shared" si="379"/>
        <v>0</v>
      </c>
      <c r="CH236" s="105"/>
      <c r="CI236" s="105"/>
      <c r="CJ236" s="105">
        <f t="shared" si="380"/>
        <v>0</v>
      </c>
      <c r="CK236" s="523"/>
      <c r="CL236" s="102">
        <f t="shared" si="422"/>
        <v>0</v>
      </c>
      <c r="CM236" s="103"/>
      <c r="CN236" s="100"/>
      <c r="CO236" s="100">
        <f t="shared" si="423"/>
        <v>0</v>
      </c>
      <c r="CP236" s="515"/>
      <c r="CQ236" s="441"/>
      <c r="CR236" s="504"/>
      <c r="CS236" s="105"/>
      <c r="CT236" s="105">
        <f t="shared" si="389"/>
        <v>0</v>
      </c>
      <c r="CU236" s="105"/>
      <c r="CV236" s="105"/>
      <c r="CW236" s="105">
        <f t="shared" si="390"/>
        <v>0</v>
      </c>
      <c r="CX236" s="53"/>
      <c r="CY236" s="109">
        <f t="shared" si="424"/>
        <v>0</v>
      </c>
      <c r="CZ236" s="54"/>
      <c r="DA236" s="105"/>
      <c r="DB236" s="455">
        <f t="shared" si="388"/>
        <v>0</v>
      </c>
      <c r="DC236" s="495"/>
      <c r="DD236" s="24"/>
      <c r="DE236" s="139" t="s">
        <v>483</v>
      </c>
      <c r="DF236" s="1133"/>
      <c r="DG236" s="674">
        <f t="shared" si="402"/>
        <v>0</v>
      </c>
      <c r="DH236" s="1119">
        <f t="shared" si="403"/>
        <v>0</v>
      </c>
      <c r="DI236" s="1119"/>
      <c r="DJ236" s="101">
        <f t="shared" si="415"/>
        <v>8.6666666666666661</v>
      </c>
      <c r="DK236" s="101"/>
      <c r="DL236" s="101">
        <f t="shared" si="405"/>
        <v>0</v>
      </c>
      <c r="DM236" s="101">
        <f t="shared" si="427"/>
        <v>0</v>
      </c>
      <c r="DN236" s="112">
        <f>DJ236</f>
        <v>8.6666666666666661</v>
      </c>
      <c r="DO236" s="112"/>
      <c r="DP236" s="112"/>
      <c r="DQ236" s="112"/>
      <c r="DS236" s="140"/>
      <c r="DT236" s="140"/>
      <c r="DU236" s="140"/>
      <c r="DV236" s="140"/>
      <c r="DW236" s="140"/>
      <c r="DX236" s="140"/>
      <c r="DY236" s="140"/>
      <c r="DZ236" s="140"/>
    </row>
    <row r="237" spans="1:130" s="139" customFormat="1" ht="21.6" customHeight="1" x14ac:dyDescent="0.25">
      <c r="A237" s="4"/>
      <c r="B237" s="4"/>
      <c r="C237" s="134" t="s">
        <v>131</v>
      </c>
      <c r="D237" s="167" t="s">
        <v>429</v>
      </c>
      <c r="E237" s="3" t="s">
        <v>291</v>
      </c>
      <c r="F237" s="135"/>
      <c r="G237" s="135"/>
      <c r="H237" s="135"/>
      <c r="I237" s="135"/>
      <c r="J237" s="135"/>
      <c r="K237" s="135"/>
      <c r="L237" s="183"/>
      <c r="M237" s="5"/>
      <c r="N237" s="41"/>
      <c r="O237" s="6"/>
      <c r="P237" s="7"/>
      <c r="Q237" s="7"/>
      <c r="R237" s="7"/>
      <c r="S237" s="7"/>
      <c r="T237" s="89"/>
      <c r="U237" s="89"/>
      <c r="V237" s="89">
        <f t="shared" si="416"/>
        <v>0</v>
      </c>
      <c r="W237" s="137"/>
      <c r="X237" s="137"/>
      <c r="Y237" s="90">
        <f t="shared" si="417"/>
        <v>0</v>
      </c>
      <c r="Z237" s="91"/>
      <c r="AA237" s="92"/>
      <c r="AB237" s="92"/>
      <c r="AC237" s="92">
        <f t="shared" si="418"/>
        <v>0</v>
      </c>
      <c r="AD237" s="93"/>
      <c r="AE237" s="93"/>
      <c r="AF237" s="94">
        <f t="shared" si="419"/>
        <v>0</v>
      </c>
      <c r="AG237" s="473"/>
      <c r="AH237" s="99">
        <v>175</v>
      </c>
      <c r="AI237" s="99">
        <f t="shared" si="408"/>
        <v>11.666666666666666</v>
      </c>
      <c r="AJ237" s="138">
        <v>180</v>
      </c>
      <c r="AK237" s="138">
        <f t="shared" si="409"/>
        <v>12</v>
      </c>
      <c r="AL237" s="106"/>
      <c r="AM237" s="105"/>
      <c r="AN237" s="105">
        <f t="shared" si="420"/>
        <v>0</v>
      </c>
      <c r="AO237" s="106"/>
      <c r="AP237" s="105"/>
      <c r="AQ237" s="105">
        <f t="shared" si="398"/>
        <v>0</v>
      </c>
      <c r="AR237" s="106"/>
      <c r="AS237" s="97">
        <f t="shared" si="385"/>
        <v>12</v>
      </c>
      <c r="AT237" s="6"/>
      <c r="AU237" s="105"/>
      <c r="AV237" s="455">
        <f t="shared" si="410"/>
        <v>0</v>
      </c>
      <c r="AW237" s="496"/>
      <c r="AX237" s="508"/>
      <c r="AY237" s="498"/>
      <c r="AZ237" s="100">
        <f t="shared" si="411"/>
        <v>0</v>
      </c>
      <c r="BA237" s="101"/>
      <c r="BB237" s="100"/>
      <c r="BC237" s="100">
        <f t="shared" si="421"/>
        <v>0</v>
      </c>
      <c r="BD237" s="101"/>
      <c r="BE237" s="105">
        <f t="shared" si="412"/>
        <v>12</v>
      </c>
      <c r="BF237" s="106"/>
      <c r="BG237" s="100">
        <f t="shared" si="399"/>
        <v>0</v>
      </c>
      <c r="BH237" s="106"/>
      <c r="BI237" s="100">
        <f t="shared" si="400"/>
        <v>0</v>
      </c>
      <c r="BJ237" s="106"/>
      <c r="BK237" s="101">
        <f t="shared" si="386"/>
        <v>12</v>
      </c>
      <c r="BL237" s="106"/>
      <c r="BM237" s="104"/>
      <c r="BN237" s="104">
        <f t="shared" si="425"/>
        <v>0</v>
      </c>
      <c r="BO237" s="105"/>
      <c r="BP237" s="105">
        <f t="shared" si="413"/>
        <v>0</v>
      </c>
      <c r="BQ237" s="106"/>
      <c r="BR237" s="105">
        <v>600</v>
      </c>
      <c r="BS237" s="105">
        <f t="shared" si="378"/>
        <v>12</v>
      </c>
      <c r="BT237" s="106"/>
      <c r="BU237" s="53"/>
      <c r="BV237" s="53">
        <f t="shared" si="414"/>
        <v>0</v>
      </c>
      <c r="BW237" s="54"/>
      <c r="BX237" s="350">
        <f t="shared" si="387"/>
        <v>12</v>
      </c>
      <c r="BY237" s="6"/>
      <c r="BZ237" s="6">
        <f t="shared" si="401"/>
        <v>0</v>
      </c>
      <c r="CA237" s="508"/>
      <c r="CB237" s="7"/>
      <c r="CC237" s="7"/>
      <c r="CD237" s="7"/>
      <c r="CE237" s="504"/>
      <c r="CF237" s="105"/>
      <c r="CG237" s="105">
        <f t="shared" si="379"/>
        <v>0</v>
      </c>
      <c r="CH237" s="105"/>
      <c r="CI237" s="105"/>
      <c r="CJ237" s="105">
        <f t="shared" si="380"/>
        <v>0</v>
      </c>
      <c r="CK237" s="523"/>
      <c r="CL237" s="102">
        <f t="shared" si="422"/>
        <v>0</v>
      </c>
      <c r="CM237" s="103"/>
      <c r="CN237" s="100"/>
      <c r="CO237" s="100">
        <f t="shared" si="423"/>
        <v>0</v>
      </c>
      <c r="CP237" s="515"/>
      <c r="CQ237" s="441"/>
      <c r="CR237" s="504"/>
      <c r="CS237" s="105"/>
      <c r="CT237" s="105">
        <f t="shared" si="389"/>
        <v>0</v>
      </c>
      <c r="CU237" s="105"/>
      <c r="CV237" s="105"/>
      <c r="CW237" s="105">
        <f t="shared" si="390"/>
        <v>0</v>
      </c>
      <c r="CX237" s="53"/>
      <c r="CY237" s="109">
        <f t="shared" si="424"/>
        <v>0</v>
      </c>
      <c r="CZ237" s="54"/>
      <c r="DA237" s="105"/>
      <c r="DB237" s="455">
        <f t="shared" si="388"/>
        <v>0</v>
      </c>
      <c r="DC237" s="495"/>
      <c r="DD237" s="24" t="s">
        <v>375</v>
      </c>
      <c r="DE237" s="139" t="s">
        <v>483</v>
      </c>
      <c r="DF237" s="1133"/>
      <c r="DG237" s="674">
        <f t="shared" si="402"/>
        <v>0</v>
      </c>
      <c r="DH237" s="1119">
        <f t="shared" si="403"/>
        <v>0</v>
      </c>
      <c r="DI237" s="1119"/>
      <c r="DJ237" s="101">
        <f t="shared" si="415"/>
        <v>12</v>
      </c>
      <c r="DK237" s="101"/>
      <c r="DL237" s="101">
        <f t="shared" si="405"/>
        <v>0</v>
      </c>
      <c r="DM237" s="101">
        <f t="shared" si="427"/>
        <v>0</v>
      </c>
      <c r="DN237" s="112">
        <f>DJ237</f>
        <v>12</v>
      </c>
      <c r="DO237" s="112"/>
      <c r="DP237" s="112"/>
      <c r="DQ237" s="112"/>
      <c r="DS237" s="140"/>
      <c r="DT237" s="140"/>
      <c r="DU237" s="140"/>
      <c r="DV237" s="140"/>
      <c r="DW237" s="140"/>
      <c r="DX237" s="140"/>
      <c r="DY237" s="140"/>
      <c r="DZ237" s="140"/>
    </row>
    <row r="238" spans="1:130" ht="21.6" customHeight="1" x14ac:dyDescent="0.25">
      <c r="A238" s="4"/>
      <c r="B238" s="4"/>
      <c r="C238" s="204" t="s">
        <v>131</v>
      </c>
      <c r="D238" s="167"/>
      <c r="E238" s="3" t="s">
        <v>287</v>
      </c>
      <c r="F238" s="162"/>
      <c r="G238" s="162"/>
      <c r="H238" s="162"/>
      <c r="I238" s="162"/>
      <c r="J238" s="162"/>
      <c r="K238" s="162"/>
      <c r="L238" s="168"/>
      <c r="M238" s="414"/>
      <c r="N238" s="41"/>
      <c r="O238" s="164"/>
      <c r="P238" s="165"/>
      <c r="Q238" s="165"/>
      <c r="R238" s="165"/>
      <c r="S238" s="165"/>
      <c r="T238" s="89"/>
      <c r="U238" s="89"/>
      <c r="V238" s="89">
        <f t="shared" si="416"/>
        <v>0</v>
      </c>
      <c r="W238" s="137"/>
      <c r="X238" s="137"/>
      <c r="Y238" s="90">
        <f t="shared" si="417"/>
        <v>0</v>
      </c>
      <c r="Z238" s="169"/>
      <c r="AA238" s="92"/>
      <c r="AB238" s="92"/>
      <c r="AC238" s="92">
        <f t="shared" si="418"/>
        <v>0</v>
      </c>
      <c r="AD238" s="93"/>
      <c r="AE238" s="93"/>
      <c r="AF238" s="94">
        <f t="shared" si="419"/>
        <v>0</v>
      </c>
      <c r="AG238" s="475"/>
      <c r="AH238" s="99">
        <v>165</v>
      </c>
      <c r="AI238" s="99">
        <f t="shared" si="408"/>
        <v>11</v>
      </c>
      <c r="AJ238" s="138"/>
      <c r="AK238" s="138">
        <f t="shared" si="409"/>
        <v>0</v>
      </c>
      <c r="AL238" s="106"/>
      <c r="AM238" s="105"/>
      <c r="AN238" s="105">
        <f t="shared" si="420"/>
        <v>0</v>
      </c>
      <c r="AO238" s="106"/>
      <c r="AP238" s="105"/>
      <c r="AQ238" s="105">
        <f t="shared" si="398"/>
        <v>0</v>
      </c>
      <c r="AR238" s="106"/>
      <c r="AS238" s="97">
        <f t="shared" si="385"/>
        <v>0</v>
      </c>
      <c r="AT238" s="6"/>
      <c r="AU238" s="105"/>
      <c r="AV238" s="455">
        <f t="shared" si="410"/>
        <v>0</v>
      </c>
      <c r="AW238" s="496"/>
      <c r="AX238" s="508"/>
      <c r="AY238" s="498"/>
      <c r="AZ238" s="100">
        <f t="shared" si="411"/>
        <v>0</v>
      </c>
      <c r="BA238" s="101"/>
      <c r="BB238" s="100"/>
      <c r="BC238" s="100">
        <f t="shared" si="421"/>
        <v>0</v>
      </c>
      <c r="BD238" s="101"/>
      <c r="BE238" s="105">
        <f t="shared" si="412"/>
        <v>0</v>
      </c>
      <c r="BF238" s="106"/>
      <c r="BG238" s="100">
        <f t="shared" si="399"/>
        <v>0</v>
      </c>
      <c r="BH238" s="106"/>
      <c r="BI238" s="100">
        <f t="shared" si="400"/>
        <v>0</v>
      </c>
      <c r="BJ238" s="106"/>
      <c r="BK238" s="101">
        <f t="shared" si="386"/>
        <v>0</v>
      </c>
      <c r="BL238" s="106"/>
      <c r="BM238" s="104"/>
      <c r="BN238" s="104">
        <f t="shared" si="425"/>
        <v>0</v>
      </c>
      <c r="BO238" s="105"/>
      <c r="BP238" s="105">
        <f t="shared" si="413"/>
        <v>0</v>
      </c>
      <c r="BQ238" s="106"/>
      <c r="BR238" s="105">
        <v>1250</v>
      </c>
      <c r="BS238" s="105">
        <f t="shared" si="378"/>
        <v>25</v>
      </c>
      <c r="BT238" s="106"/>
      <c r="BU238" s="53"/>
      <c r="BV238" s="53">
        <f t="shared" si="414"/>
        <v>0</v>
      </c>
      <c r="BW238" s="54"/>
      <c r="BX238" s="350">
        <f t="shared" si="387"/>
        <v>25</v>
      </c>
      <c r="BY238" s="6"/>
      <c r="BZ238" s="6">
        <f t="shared" si="401"/>
        <v>-25</v>
      </c>
      <c r="CA238" s="508"/>
      <c r="CB238" s="165"/>
      <c r="CC238" s="165"/>
      <c r="CD238" s="165"/>
      <c r="CE238" s="504"/>
      <c r="CF238" s="105"/>
      <c r="CG238" s="105">
        <f t="shared" si="379"/>
        <v>0</v>
      </c>
      <c r="CH238" s="105"/>
      <c r="CI238" s="105"/>
      <c r="CJ238" s="105">
        <f t="shared" si="380"/>
        <v>0</v>
      </c>
      <c r="CK238" s="523"/>
      <c r="CL238" s="102">
        <f t="shared" si="422"/>
        <v>0</v>
      </c>
      <c r="CM238" s="103"/>
      <c r="CN238" s="100"/>
      <c r="CO238" s="100">
        <f t="shared" si="423"/>
        <v>0</v>
      </c>
      <c r="CP238" s="515"/>
      <c r="CQ238" s="441"/>
      <c r="CR238" s="504"/>
      <c r="CS238" s="105"/>
      <c r="CT238" s="105">
        <f t="shared" si="389"/>
        <v>0</v>
      </c>
      <c r="CU238" s="105"/>
      <c r="CV238" s="105"/>
      <c r="CW238" s="105">
        <f t="shared" si="390"/>
        <v>0</v>
      </c>
      <c r="CX238" s="53"/>
      <c r="CY238" s="109">
        <f t="shared" si="424"/>
        <v>0</v>
      </c>
      <c r="CZ238" s="54"/>
      <c r="DA238" s="105"/>
      <c r="DB238" s="455">
        <f t="shared" si="388"/>
        <v>0</v>
      </c>
      <c r="DC238" s="495"/>
      <c r="DD238" s="24" t="s">
        <v>375</v>
      </c>
      <c r="DF238" s="1133"/>
      <c r="DG238" s="674">
        <f t="shared" si="402"/>
        <v>0</v>
      </c>
      <c r="DH238" s="1119">
        <f t="shared" si="403"/>
        <v>0</v>
      </c>
      <c r="DI238" s="1119"/>
      <c r="DJ238" s="101">
        <f t="shared" si="415"/>
        <v>0</v>
      </c>
      <c r="DK238" s="101"/>
      <c r="DL238" s="101">
        <f t="shared" si="405"/>
        <v>0</v>
      </c>
      <c r="DM238" s="101"/>
      <c r="DN238" s="112"/>
      <c r="DO238" s="112"/>
      <c r="DP238" s="112"/>
      <c r="DQ238" s="112"/>
    </row>
    <row r="239" spans="1:130" s="139" customFormat="1" ht="36.75" customHeight="1" x14ac:dyDescent="0.25">
      <c r="A239" s="4"/>
      <c r="B239" s="4"/>
      <c r="C239" s="134"/>
      <c r="D239" s="167" t="s">
        <v>429</v>
      </c>
      <c r="E239" s="3" t="s">
        <v>484</v>
      </c>
      <c r="F239" s="135"/>
      <c r="G239" s="135"/>
      <c r="H239" s="135"/>
      <c r="I239" s="135"/>
      <c r="J239" s="135"/>
      <c r="K239" s="135"/>
      <c r="L239" s="183"/>
      <c r="M239" s="5"/>
      <c r="N239" s="41"/>
      <c r="O239" s="6"/>
      <c r="P239" s="7"/>
      <c r="Q239" s="7"/>
      <c r="R239" s="7"/>
      <c r="S239" s="7"/>
      <c r="T239" s="89"/>
      <c r="U239" s="89"/>
      <c r="V239" s="89"/>
      <c r="W239" s="137"/>
      <c r="X239" s="137"/>
      <c r="Y239" s="90"/>
      <c r="Z239" s="91"/>
      <c r="AA239" s="92"/>
      <c r="AB239" s="92"/>
      <c r="AC239" s="92">
        <f t="shared" si="418"/>
        <v>0</v>
      </c>
      <c r="AD239" s="93"/>
      <c r="AE239" s="93"/>
      <c r="AF239" s="94">
        <f t="shared" si="419"/>
        <v>0</v>
      </c>
      <c r="AG239" s="473"/>
      <c r="AH239" s="99"/>
      <c r="AI239" s="99"/>
      <c r="AJ239" s="138">
        <v>165</v>
      </c>
      <c r="AK239" s="138">
        <f t="shared" si="409"/>
        <v>11</v>
      </c>
      <c r="AL239" s="106"/>
      <c r="AM239" s="105"/>
      <c r="AN239" s="105">
        <f t="shared" si="420"/>
        <v>0</v>
      </c>
      <c r="AO239" s="106"/>
      <c r="AP239" s="105"/>
      <c r="AQ239" s="105">
        <f t="shared" si="398"/>
        <v>0</v>
      </c>
      <c r="AR239" s="106"/>
      <c r="AS239" s="97">
        <f t="shared" si="385"/>
        <v>11</v>
      </c>
      <c r="AT239" s="6"/>
      <c r="AU239" s="105"/>
      <c r="AV239" s="455">
        <f t="shared" si="410"/>
        <v>0</v>
      </c>
      <c r="AW239" s="496"/>
      <c r="AX239" s="508"/>
      <c r="AY239" s="498"/>
      <c r="AZ239" s="100"/>
      <c r="BA239" s="101"/>
      <c r="BB239" s="100"/>
      <c r="BC239" s="100">
        <f t="shared" si="421"/>
        <v>0</v>
      </c>
      <c r="BD239" s="101"/>
      <c r="BE239" s="105">
        <f t="shared" si="412"/>
        <v>11</v>
      </c>
      <c r="BF239" s="106"/>
      <c r="BG239" s="100">
        <f t="shared" si="399"/>
        <v>0</v>
      </c>
      <c r="BH239" s="106"/>
      <c r="BI239" s="100">
        <f t="shared" si="400"/>
        <v>0</v>
      </c>
      <c r="BJ239" s="106"/>
      <c r="BK239" s="101">
        <f t="shared" si="386"/>
        <v>11</v>
      </c>
      <c r="BL239" s="106"/>
      <c r="BM239" s="104"/>
      <c r="BN239" s="104"/>
      <c r="BO239" s="105"/>
      <c r="BP239" s="105">
        <f t="shared" si="413"/>
        <v>0</v>
      </c>
      <c r="BQ239" s="106"/>
      <c r="BR239" s="105">
        <f>11*50</f>
        <v>550</v>
      </c>
      <c r="BS239" s="105">
        <f t="shared" si="378"/>
        <v>11</v>
      </c>
      <c r="BT239" s="106"/>
      <c r="BU239" s="53"/>
      <c r="BV239" s="53">
        <f t="shared" si="414"/>
        <v>0</v>
      </c>
      <c r="BW239" s="54"/>
      <c r="BX239" s="350">
        <f t="shared" si="387"/>
        <v>11</v>
      </c>
      <c r="BY239" s="6"/>
      <c r="BZ239" s="6">
        <f t="shared" si="401"/>
        <v>0</v>
      </c>
      <c r="CA239" s="508"/>
      <c r="CB239" s="7"/>
      <c r="CC239" s="7"/>
      <c r="CD239" s="7"/>
      <c r="CE239" s="504"/>
      <c r="CF239" s="105"/>
      <c r="CG239" s="105">
        <f t="shared" si="379"/>
        <v>0</v>
      </c>
      <c r="CH239" s="105"/>
      <c r="CI239" s="105"/>
      <c r="CJ239" s="105">
        <f t="shared" si="380"/>
        <v>0</v>
      </c>
      <c r="CK239" s="523"/>
      <c r="CL239" s="102">
        <f t="shared" si="422"/>
        <v>0</v>
      </c>
      <c r="CM239" s="103"/>
      <c r="CN239" s="100"/>
      <c r="CO239" s="100">
        <f t="shared" si="423"/>
        <v>0</v>
      </c>
      <c r="CP239" s="515"/>
      <c r="CQ239" s="441"/>
      <c r="CR239" s="504"/>
      <c r="CS239" s="105"/>
      <c r="CT239" s="105">
        <f t="shared" si="389"/>
        <v>0</v>
      </c>
      <c r="CU239" s="105"/>
      <c r="CV239" s="105"/>
      <c r="CW239" s="105">
        <f t="shared" si="390"/>
        <v>0</v>
      </c>
      <c r="CX239" s="53"/>
      <c r="CY239" s="109">
        <f t="shared" si="424"/>
        <v>0</v>
      </c>
      <c r="CZ239" s="54"/>
      <c r="DA239" s="105"/>
      <c r="DB239" s="455">
        <f t="shared" si="388"/>
        <v>0</v>
      </c>
      <c r="DC239" s="495"/>
      <c r="DD239" s="24" t="s">
        <v>485</v>
      </c>
      <c r="DE239" s="139" t="s">
        <v>483</v>
      </c>
      <c r="DF239" s="1133"/>
      <c r="DG239" s="674">
        <f t="shared" si="402"/>
        <v>0</v>
      </c>
      <c r="DH239" s="1119">
        <f t="shared" si="403"/>
        <v>0</v>
      </c>
      <c r="DI239" s="1119"/>
      <c r="DJ239" s="101">
        <f t="shared" si="415"/>
        <v>11</v>
      </c>
      <c r="DK239" s="101"/>
      <c r="DL239" s="101">
        <f t="shared" si="405"/>
        <v>0</v>
      </c>
      <c r="DM239" s="101">
        <f>DL239</f>
        <v>0</v>
      </c>
      <c r="DN239" s="112">
        <f>DJ239</f>
        <v>11</v>
      </c>
      <c r="DO239" s="112"/>
      <c r="DP239" s="112"/>
      <c r="DQ239" s="112"/>
      <c r="DS239" s="140"/>
      <c r="DT239" s="140"/>
      <c r="DU239" s="140"/>
      <c r="DV239" s="140"/>
      <c r="DW239" s="140"/>
      <c r="DX239" s="140"/>
      <c r="DY239" s="140"/>
      <c r="DZ239" s="140"/>
    </row>
    <row r="240" spans="1:130" s="139" customFormat="1" ht="40.5" customHeight="1" x14ac:dyDescent="0.25">
      <c r="A240" s="4"/>
      <c r="B240" s="4"/>
      <c r="C240" s="134" t="s">
        <v>131</v>
      </c>
      <c r="D240" s="182" t="s">
        <v>431</v>
      </c>
      <c r="E240" s="3" t="s">
        <v>294</v>
      </c>
      <c r="F240" s="135"/>
      <c r="G240" s="135"/>
      <c r="H240" s="135"/>
      <c r="I240" s="135"/>
      <c r="J240" s="135"/>
      <c r="K240" s="135"/>
      <c r="L240" s="183"/>
      <c r="M240" s="5"/>
      <c r="N240" s="41"/>
      <c r="O240" s="6"/>
      <c r="P240" s="6"/>
      <c r="Q240" s="6"/>
      <c r="R240" s="7"/>
      <c r="S240" s="7"/>
      <c r="T240" s="89"/>
      <c r="U240" s="89"/>
      <c r="V240" s="89">
        <f t="shared" si="416"/>
        <v>0</v>
      </c>
      <c r="W240" s="137"/>
      <c r="X240" s="137"/>
      <c r="Y240" s="90">
        <f t="shared" si="417"/>
        <v>0</v>
      </c>
      <c r="Z240" s="91"/>
      <c r="AA240" s="92"/>
      <c r="AB240" s="92"/>
      <c r="AC240" s="92">
        <f t="shared" si="418"/>
        <v>0</v>
      </c>
      <c r="AD240" s="93"/>
      <c r="AE240" s="93"/>
      <c r="AF240" s="94">
        <f t="shared" si="419"/>
        <v>0</v>
      </c>
      <c r="AG240" s="473"/>
      <c r="AH240" s="99">
        <v>70</v>
      </c>
      <c r="AI240" s="99">
        <f t="shared" si="408"/>
        <v>4.666666666666667</v>
      </c>
      <c r="AJ240" s="138">
        <v>45</v>
      </c>
      <c r="AK240" s="138">
        <f t="shared" si="409"/>
        <v>3</v>
      </c>
      <c r="AL240" s="106"/>
      <c r="AM240" s="105"/>
      <c r="AN240" s="105">
        <f t="shared" si="420"/>
        <v>0</v>
      </c>
      <c r="AO240" s="106"/>
      <c r="AP240" s="105"/>
      <c r="AQ240" s="105">
        <f t="shared" si="398"/>
        <v>0</v>
      </c>
      <c r="AR240" s="106"/>
      <c r="AS240" s="97">
        <f t="shared" si="385"/>
        <v>3</v>
      </c>
      <c r="AT240" s="6"/>
      <c r="AU240" s="105"/>
      <c r="AV240" s="455">
        <f t="shared" si="410"/>
        <v>0</v>
      </c>
      <c r="AW240" s="496"/>
      <c r="AX240" s="508"/>
      <c r="AY240" s="498">
        <v>195</v>
      </c>
      <c r="AZ240" s="100">
        <f t="shared" ref="AZ240:AZ246" si="428">AY240/15</f>
        <v>13</v>
      </c>
      <c r="BA240" s="101"/>
      <c r="BB240" s="100"/>
      <c r="BC240" s="100">
        <f t="shared" si="421"/>
        <v>0</v>
      </c>
      <c r="BD240" s="101"/>
      <c r="BE240" s="105">
        <f t="shared" si="412"/>
        <v>16</v>
      </c>
      <c r="BF240" s="106"/>
      <c r="BG240" s="100">
        <f t="shared" si="399"/>
        <v>0</v>
      </c>
      <c r="BH240" s="106"/>
      <c r="BI240" s="100">
        <f t="shared" si="400"/>
        <v>0</v>
      </c>
      <c r="BJ240" s="106"/>
      <c r="BK240" s="101">
        <f t="shared" si="386"/>
        <v>16</v>
      </c>
      <c r="BL240" s="106"/>
      <c r="BM240" s="104"/>
      <c r="BN240" s="104">
        <f t="shared" si="425"/>
        <v>0</v>
      </c>
      <c r="BO240" s="105"/>
      <c r="BP240" s="105">
        <f t="shared" si="413"/>
        <v>0</v>
      </c>
      <c r="BQ240" s="106"/>
      <c r="BR240" s="105">
        <f>16*50</f>
        <v>800</v>
      </c>
      <c r="BS240" s="105">
        <f t="shared" si="378"/>
        <v>16</v>
      </c>
      <c r="BT240" s="106"/>
      <c r="BU240" s="53"/>
      <c r="BV240" s="53">
        <f t="shared" si="414"/>
        <v>0</v>
      </c>
      <c r="BW240" s="54"/>
      <c r="BX240" s="350">
        <f t="shared" si="387"/>
        <v>16</v>
      </c>
      <c r="BY240" s="6"/>
      <c r="BZ240" s="6">
        <f t="shared" si="401"/>
        <v>0</v>
      </c>
      <c r="CA240" s="508"/>
      <c r="CB240" s="6"/>
      <c r="CC240" s="6"/>
      <c r="CD240" s="7"/>
      <c r="CE240" s="504"/>
      <c r="CF240" s="105"/>
      <c r="CG240" s="105">
        <f t="shared" si="379"/>
        <v>0</v>
      </c>
      <c r="CH240" s="105"/>
      <c r="CI240" s="105"/>
      <c r="CJ240" s="105">
        <f t="shared" si="380"/>
        <v>0</v>
      </c>
      <c r="CK240" s="523"/>
      <c r="CL240" s="102">
        <f t="shared" si="422"/>
        <v>0</v>
      </c>
      <c r="CM240" s="103"/>
      <c r="CN240" s="100"/>
      <c r="CO240" s="100">
        <f t="shared" si="423"/>
        <v>0</v>
      </c>
      <c r="CP240" s="515"/>
      <c r="CQ240" s="441"/>
      <c r="CR240" s="504"/>
      <c r="CS240" s="105"/>
      <c r="CT240" s="105">
        <f t="shared" si="389"/>
        <v>0</v>
      </c>
      <c r="CU240" s="105"/>
      <c r="CV240" s="105"/>
      <c r="CW240" s="105">
        <f t="shared" si="390"/>
        <v>0</v>
      </c>
      <c r="CX240" s="53"/>
      <c r="CY240" s="109">
        <f t="shared" si="424"/>
        <v>0</v>
      </c>
      <c r="CZ240" s="54"/>
      <c r="DA240" s="105"/>
      <c r="DB240" s="455">
        <f t="shared" si="388"/>
        <v>0</v>
      </c>
      <c r="DC240" s="495"/>
      <c r="DD240" s="24" t="s">
        <v>375</v>
      </c>
      <c r="DE240" s="139" t="s">
        <v>483</v>
      </c>
      <c r="DF240" s="1133"/>
      <c r="DG240" s="674">
        <f t="shared" si="402"/>
        <v>0</v>
      </c>
      <c r="DH240" s="1119">
        <f t="shared" si="403"/>
        <v>0</v>
      </c>
      <c r="DI240" s="1119"/>
      <c r="DJ240" s="101">
        <f t="shared" si="415"/>
        <v>16</v>
      </c>
      <c r="DK240" s="101"/>
      <c r="DL240" s="101">
        <f t="shared" si="405"/>
        <v>0</v>
      </c>
      <c r="DM240" s="101"/>
      <c r="DN240" s="112"/>
      <c r="DO240" s="112"/>
      <c r="DP240" s="112"/>
      <c r="DQ240" s="112"/>
      <c r="DS240" s="140"/>
      <c r="DT240" s="140"/>
      <c r="DU240" s="140"/>
      <c r="DV240" s="140"/>
      <c r="DW240" s="140"/>
      <c r="DX240" s="140"/>
      <c r="DY240" s="140"/>
      <c r="DZ240" s="140"/>
    </row>
    <row r="241" spans="1:130" s="139" customFormat="1" ht="39.75" customHeight="1" x14ac:dyDescent="0.25">
      <c r="A241" s="4"/>
      <c r="B241" s="4"/>
      <c r="C241" s="134" t="s">
        <v>131</v>
      </c>
      <c r="D241" s="182" t="s">
        <v>431</v>
      </c>
      <c r="E241" s="3" t="s">
        <v>486</v>
      </c>
      <c r="F241" s="135"/>
      <c r="G241" s="135"/>
      <c r="H241" s="135"/>
      <c r="I241" s="135"/>
      <c r="J241" s="135"/>
      <c r="K241" s="135"/>
      <c r="L241" s="183"/>
      <c r="M241" s="5"/>
      <c r="N241" s="41"/>
      <c r="O241" s="6"/>
      <c r="P241" s="6"/>
      <c r="Q241" s="6"/>
      <c r="R241" s="7"/>
      <c r="S241" s="7"/>
      <c r="T241" s="89"/>
      <c r="U241" s="89"/>
      <c r="V241" s="89"/>
      <c r="W241" s="137"/>
      <c r="X241" s="137"/>
      <c r="Y241" s="90"/>
      <c r="Z241" s="91"/>
      <c r="AA241" s="92"/>
      <c r="AB241" s="92"/>
      <c r="AC241" s="92">
        <f t="shared" si="418"/>
        <v>0</v>
      </c>
      <c r="AD241" s="93"/>
      <c r="AE241" s="93"/>
      <c r="AF241" s="94"/>
      <c r="AG241" s="473"/>
      <c r="AH241" s="99"/>
      <c r="AI241" s="99"/>
      <c r="AJ241" s="138"/>
      <c r="AK241" s="138">
        <f t="shared" si="409"/>
        <v>0</v>
      </c>
      <c r="AL241" s="106"/>
      <c r="AM241" s="105"/>
      <c r="AN241" s="105">
        <f t="shared" si="420"/>
        <v>0</v>
      </c>
      <c r="AO241" s="106"/>
      <c r="AP241" s="105"/>
      <c r="AQ241" s="105">
        <f t="shared" si="398"/>
        <v>0</v>
      </c>
      <c r="AR241" s="106"/>
      <c r="AS241" s="97">
        <f t="shared" si="385"/>
        <v>0</v>
      </c>
      <c r="AT241" s="6"/>
      <c r="AU241" s="105"/>
      <c r="AV241" s="455">
        <f t="shared" si="410"/>
        <v>0</v>
      </c>
      <c r="AW241" s="496"/>
      <c r="AX241" s="508"/>
      <c r="AY241" s="498">
        <f>600-5</f>
        <v>595</v>
      </c>
      <c r="AZ241" s="100">
        <f t="shared" si="428"/>
        <v>39.666666666666664</v>
      </c>
      <c r="BA241" s="101"/>
      <c r="BB241" s="100"/>
      <c r="BC241" s="100">
        <f t="shared" si="421"/>
        <v>0</v>
      </c>
      <c r="BD241" s="101"/>
      <c r="BE241" s="105">
        <f t="shared" si="412"/>
        <v>39.666666666666664</v>
      </c>
      <c r="BF241" s="106"/>
      <c r="BG241" s="100">
        <f t="shared" si="399"/>
        <v>0</v>
      </c>
      <c r="BH241" s="106"/>
      <c r="BI241" s="100">
        <f t="shared" si="400"/>
        <v>0</v>
      </c>
      <c r="BJ241" s="106"/>
      <c r="BK241" s="101">
        <f t="shared" si="386"/>
        <v>39.666666666666664</v>
      </c>
      <c r="BL241" s="106"/>
      <c r="BM241" s="104"/>
      <c r="BN241" s="104"/>
      <c r="BO241" s="105"/>
      <c r="BP241" s="105">
        <f t="shared" si="413"/>
        <v>0</v>
      </c>
      <c r="BQ241" s="106"/>
      <c r="BR241" s="105">
        <v>1900</v>
      </c>
      <c r="BS241" s="105">
        <f t="shared" si="378"/>
        <v>38</v>
      </c>
      <c r="BT241" s="106"/>
      <c r="BU241" s="53">
        <v>100</v>
      </c>
      <c r="BV241" s="53">
        <f t="shared" si="414"/>
        <v>2</v>
      </c>
      <c r="BW241" s="54"/>
      <c r="BX241" s="350">
        <f t="shared" si="387"/>
        <v>40</v>
      </c>
      <c r="BY241" s="6"/>
      <c r="BZ241" s="6">
        <f t="shared" si="401"/>
        <v>-0.3333333333333357</v>
      </c>
      <c r="CA241" s="508"/>
      <c r="CB241" s="6"/>
      <c r="CC241" s="6"/>
      <c r="CD241" s="7"/>
      <c r="CE241" s="504"/>
      <c r="CF241" s="105"/>
      <c r="CG241" s="105">
        <f t="shared" si="379"/>
        <v>0</v>
      </c>
      <c r="CH241" s="105"/>
      <c r="CI241" s="105"/>
      <c r="CJ241" s="105">
        <f t="shared" si="380"/>
        <v>0</v>
      </c>
      <c r="CK241" s="523"/>
      <c r="CL241" s="102">
        <f t="shared" si="422"/>
        <v>0</v>
      </c>
      <c r="CM241" s="103"/>
      <c r="CN241" s="100"/>
      <c r="CO241" s="100">
        <f t="shared" si="423"/>
        <v>0</v>
      </c>
      <c r="CP241" s="515"/>
      <c r="CQ241" s="441"/>
      <c r="CR241" s="504"/>
      <c r="CS241" s="105"/>
      <c r="CT241" s="105">
        <f t="shared" si="389"/>
        <v>0</v>
      </c>
      <c r="CU241" s="105"/>
      <c r="CV241" s="105"/>
      <c r="CW241" s="105">
        <f t="shared" si="390"/>
        <v>0</v>
      </c>
      <c r="CX241" s="53"/>
      <c r="CY241" s="109">
        <f t="shared" si="424"/>
        <v>0</v>
      </c>
      <c r="CZ241" s="54"/>
      <c r="DA241" s="105"/>
      <c r="DB241" s="455">
        <f t="shared" si="388"/>
        <v>0</v>
      </c>
      <c r="DC241" s="495"/>
      <c r="DD241" s="24" t="s">
        <v>485</v>
      </c>
      <c r="DE241" s="139" t="s">
        <v>483</v>
      </c>
      <c r="DF241" s="1133"/>
      <c r="DG241" s="674">
        <f t="shared" si="402"/>
        <v>0</v>
      </c>
      <c r="DH241" s="1119">
        <f t="shared" si="403"/>
        <v>0</v>
      </c>
      <c r="DI241" s="1119"/>
      <c r="DJ241" s="101">
        <f t="shared" si="415"/>
        <v>39.666666666666664</v>
      </c>
      <c r="DK241" s="101"/>
      <c r="DL241" s="101">
        <f t="shared" si="405"/>
        <v>0</v>
      </c>
      <c r="DM241" s="101"/>
      <c r="DN241" s="112"/>
      <c r="DO241" s="112"/>
      <c r="DP241" s="112"/>
      <c r="DQ241" s="112"/>
      <c r="DS241" s="140" t="s">
        <v>487</v>
      </c>
      <c r="DT241" s="140"/>
      <c r="DU241" s="140"/>
      <c r="DV241" s="140"/>
      <c r="DW241" s="140"/>
      <c r="DX241" s="140"/>
      <c r="DY241" s="140"/>
      <c r="DZ241" s="140"/>
    </row>
    <row r="242" spans="1:130" s="139" customFormat="1" ht="33.75" customHeight="1" x14ac:dyDescent="0.25">
      <c r="A242" s="4"/>
      <c r="B242" s="4"/>
      <c r="C242" s="134" t="s">
        <v>131</v>
      </c>
      <c r="D242" s="182" t="s">
        <v>431</v>
      </c>
      <c r="E242" s="3" t="s">
        <v>488</v>
      </c>
      <c r="F242" s="135"/>
      <c r="G242" s="135"/>
      <c r="H242" s="135"/>
      <c r="I242" s="135"/>
      <c r="J242" s="135"/>
      <c r="K242" s="135"/>
      <c r="L242" s="183"/>
      <c r="M242" s="5"/>
      <c r="N242" s="41"/>
      <c r="O242" s="6"/>
      <c r="P242" s="6"/>
      <c r="Q242" s="6"/>
      <c r="R242" s="7"/>
      <c r="S242" s="7"/>
      <c r="T242" s="89"/>
      <c r="U242" s="89"/>
      <c r="V242" s="89"/>
      <c r="W242" s="137"/>
      <c r="X242" s="137"/>
      <c r="Y242" s="90"/>
      <c r="Z242" s="91"/>
      <c r="AA242" s="92"/>
      <c r="AB242" s="92"/>
      <c r="AC242" s="92">
        <f t="shared" si="418"/>
        <v>0</v>
      </c>
      <c r="AD242" s="93"/>
      <c r="AE242" s="93"/>
      <c r="AF242" s="94">
        <f t="shared" si="419"/>
        <v>0</v>
      </c>
      <c r="AG242" s="473"/>
      <c r="AH242" s="99"/>
      <c r="AI242" s="99"/>
      <c r="AJ242" s="138"/>
      <c r="AK242" s="138">
        <f t="shared" si="409"/>
        <v>0</v>
      </c>
      <c r="AL242" s="106"/>
      <c r="AM242" s="105"/>
      <c r="AN242" s="105">
        <f t="shared" si="420"/>
        <v>0</v>
      </c>
      <c r="AO242" s="106"/>
      <c r="AP242" s="105"/>
      <c r="AQ242" s="105">
        <f t="shared" si="398"/>
        <v>0</v>
      </c>
      <c r="AR242" s="106"/>
      <c r="AS242" s="97">
        <f t="shared" si="385"/>
        <v>0</v>
      </c>
      <c r="AT242" s="6"/>
      <c r="AU242" s="105"/>
      <c r="AV242" s="455">
        <f t="shared" si="410"/>
        <v>0</v>
      </c>
      <c r="AW242" s="496"/>
      <c r="AX242" s="508"/>
      <c r="AY242" s="498">
        <v>150</v>
      </c>
      <c r="AZ242" s="100">
        <f t="shared" si="428"/>
        <v>10</v>
      </c>
      <c r="BA242" s="101"/>
      <c r="BB242" s="100"/>
      <c r="BC242" s="100">
        <f t="shared" si="421"/>
        <v>0</v>
      </c>
      <c r="BD242" s="101"/>
      <c r="BE242" s="105">
        <f t="shared" si="412"/>
        <v>10</v>
      </c>
      <c r="BF242" s="106"/>
      <c r="BG242" s="100">
        <f t="shared" si="399"/>
        <v>0</v>
      </c>
      <c r="BH242" s="106"/>
      <c r="BI242" s="100">
        <f t="shared" si="400"/>
        <v>0</v>
      </c>
      <c r="BJ242" s="106"/>
      <c r="BK242" s="101">
        <f t="shared" si="386"/>
        <v>10</v>
      </c>
      <c r="BL242" s="106"/>
      <c r="BM242" s="104"/>
      <c r="BN242" s="104"/>
      <c r="BO242" s="105"/>
      <c r="BP242" s="105">
        <f t="shared" si="413"/>
        <v>0</v>
      </c>
      <c r="BQ242" s="106"/>
      <c r="BR242" s="105">
        <v>500</v>
      </c>
      <c r="BS242" s="105">
        <f t="shared" si="378"/>
        <v>10</v>
      </c>
      <c r="BT242" s="106"/>
      <c r="BU242" s="53"/>
      <c r="BV242" s="53">
        <f t="shared" si="414"/>
        <v>0</v>
      </c>
      <c r="BW242" s="54"/>
      <c r="BX242" s="350">
        <f t="shared" si="387"/>
        <v>10</v>
      </c>
      <c r="BY242" s="6"/>
      <c r="BZ242" s="6">
        <f t="shared" si="401"/>
        <v>0</v>
      </c>
      <c r="CA242" s="508"/>
      <c r="CB242" s="6"/>
      <c r="CC242" s="6"/>
      <c r="CD242" s="7"/>
      <c r="CE242" s="504"/>
      <c r="CF242" s="105"/>
      <c r="CG242" s="105">
        <f t="shared" si="379"/>
        <v>0</v>
      </c>
      <c r="CH242" s="105"/>
      <c r="CI242" s="105"/>
      <c r="CJ242" s="105">
        <f t="shared" si="380"/>
        <v>0</v>
      </c>
      <c r="CK242" s="523"/>
      <c r="CL242" s="102">
        <f t="shared" si="422"/>
        <v>0</v>
      </c>
      <c r="CM242" s="103"/>
      <c r="CN242" s="100"/>
      <c r="CO242" s="100">
        <f t="shared" si="423"/>
        <v>0</v>
      </c>
      <c r="CP242" s="515"/>
      <c r="CQ242" s="441"/>
      <c r="CR242" s="504"/>
      <c r="CS242" s="105"/>
      <c r="CT242" s="105">
        <f t="shared" si="389"/>
        <v>0</v>
      </c>
      <c r="CU242" s="105"/>
      <c r="CV242" s="105"/>
      <c r="CW242" s="105">
        <f t="shared" si="390"/>
        <v>0</v>
      </c>
      <c r="CX242" s="53"/>
      <c r="CY242" s="109">
        <f t="shared" si="424"/>
        <v>0</v>
      </c>
      <c r="CZ242" s="54"/>
      <c r="DA242" s="105"/>
      <c r="DB242" s="455">
        <f t="shared" si="388"/>
        <v>0</v>
      </c>
      <c r="DC242" s="495"/>
      <c r="DD242" s="24" t="s">
        <v>485</v>
      </c>
      <c r="DE242" s="139" t="s">
        <v>483</v>
      </c>
      <c r="DF242" s="1133"/>
      <c r="DG242" s="674">
        <f t="shared" si="402"/>
        <v>0</v>
      </c>
      <c r="DH242" s="1119">
        <f t="shared" si="403"/>
        <v>0</v>
      </c>
      <c r="DI242" s="1119"/>
      <c r="DJ242" s="101">
        <f t="shared" si="415"/>
        <v>10</v>
      </c>
      <c r="DK242" s="101"/>
      <c r="DL242" s="101">
        <f t="shared" si="405"/>
        <v>0</v>
      </c>
      <c r="DM242" s="101"/>
      <c r="DN242" s="112"/>
      <c r="DO242" s="112"/>
      <c r="DP242" s="112"/>
      <c r="DQ242" s="112"/>
      <c r="DS242" s="140"/>
      <c r="DT242" s="140"/>
      <c r="DU242" s="140"/>
      <c r="DV242" s="140"/>
      <c r="DW242" s="140"/>
      <c r="DX242" s="140"/>
      <c r="DY242" s="140"/>
      <c r="DZ242" s="140"/>
    </row>
    <row r="243" spans="1:130" s="139" customFormat="1" ht="21.6" customHeight="1" x14ac:dyDescent="0.25">
      <c r="A243" s="4"/>
      <c r="B243" s="4"/>
      <c r="C243" s="134" t="s">
        <v>131</v>
      </c>
      <c r="D243" s="167" t="s">
        <v>429</v>
      </c>
      <c r="E243" s="3" t="s">
        <v>293</v>
      </c>
      <c r="F243" s="135"/>
      <c r="G243" s="135"/>
      <c r="H243" s="135"/>
      <c r="I243" s="135"/>
      <c r="J243" s="135"/>
      <c r="K243" s="135"/>
      <c r="L243" s="183"/>
      <c r="M243" s="5"/>
      <c r="N243" s="41"/>
      <c r="O243" s="6"/>
      <c r="P243" s="7"/>
      <c r="Q243" s="7"/>
      <c r="R243" s="7"/>
      <c r="S243" s="7"/>
      <c r="T243" s="89"/>
      <c r="U243" s="89"/>
      <c r="V243" s="89">
        <f t="shared" si="416"/>
        <v>0</v>
      </c>
      <c r="W243" s="137"/>
      <c r="X243" s="137"/>
      <c r="Y243" s="90">
        <f t="shared" si="417"/>
        <v>0</v>
      </c>
      <c r="Z243" s="91"/>
      <c r="AA243" s="92"/>
      <c r="AB243" s="92"/>
      <c r="AC243" s="92">
        <f t="shared" si="418"/>
        <v>0</v>
      </c>
      <c r="AD243" s="93"/>
      <c r="AE243" s="93"/>
      <c r="AF243" s="94">
        <f t="shared" si="419"/>
        <v>0</v>
      </c>
      <c r="AG243" s="473"/>
      <c r="AH243" s="99">
        <v>3270</v>
      </c>
      <c r="AI243" s="99">
        <f t="shared" si="408"/>
        <v>218</v>
      </c>
      <c r="AJ243" s="138">
        <v>3205</v>
      </c>
      <c r="AK243" s="138">
        <f t="shared" si="409"/>
        <v>213.66666666666666</v>
      </c>
      <c r="AL243" s="106"/>
      <c r="AM243" s="105"/>
      <c r="AN243" s="105">
        <f t="shared" si="420"/>
        <v>0</v>
      </c>
      <c r="AO243" s="106"/>
      <c r="AP243" s="105"/>
      <c r="AQ243" s="105">
        <f t="shared" si="398"/>
        <v>0</v>
      </c>
      <c r="AR243" s="106"/>
      <c r="AS243" s="97">
        <f t="shared" si="385"/>
        <v>213.66666666666666</v>
      </c>
      <c r="AT243" s="6"/>
      <c r="AU243" s="105"/>
      <c r="AV243" s="455">
        <f t="shared" si="410"/>
        <v>0</v>
      </c>
      <c r="AW243" s="496"/>
      <c r="AX243" s="508"/>
      <c r="AY243" s="498">
        <v>900</v>
      </c>
      <c r="AZ243" s="100">
        <f t="shared" si="428"/>
        <v>60</v>
      </c>
      <c r="BA243" s="101"/>
      <c r="BB243" s="100"/>
      <c r="BC243" s="100">
        <f t="shared" si="421"/>
        <v>0</v>
      </c>
      <c r="BD243" s="101"/>
      <c r="BE243" s="105">
        <f t="shared" si="412"/>
        <v>273.66666666666663</v>
      </c>
      <c r="BF243" s="106"/>
      <c r="BG243" s="100">
        <f t="shared" si="399"/>
        <v>0</v>
      </c>
      <c r="BH243" s="106"/>
      <c r="BI243" s="100">
        <f t="shared" si="400"/>
        <v>0</v>
      </c>
      <c r="BJ243" s="106"/>
      <c r="BK243" s="101">
        <f t="shared" si="386"/>
        <v>273.66666666666663</v>
      </c>
      <c r="BL243" s="106"/>
      <c r="BM243" s="104"/>
      <c r="BN243" s="104"/>
      <c r="BO243" s="105"/>
      <c r="BP243" s="105">
        <f t="shared" si="413"/>
        <v>0</v>
      </c>
      <c r="BQ243" s="106"/>
      <c r="BR243" s="105">
        <v>11450</v>
      </c>
      <c r="BS243" s="105">
        <f t="shared" si="378"/>
        <v>229</v>
      </c>
      <c r="BT243" s="106"/>
      <c r="BU243" s="53">
        <v>500</v>
      </c>
      <c r="BV243" s="53">
        <f t="shared" si="414"/>
        <v>10</v>
      </c>
      <c r="BW243" s="54"/>
      <c r="BX243" s="350">
        <f>BP243+BS243+BV243</f>
        <v>239</v>
      </c>
      <c r="BY243" s="6"/>
      <c r="BZ243" s="6">
        <f t="shared" si="401"/>
        <v>34.666666666666629</v>
      </c>
      <c r="CA243" s="508"/>
      <c r="CB243" s="7"/>
      <c r="CC243" s="7"/>
      <c r="CD243" s="7"/>
      <c r="CE243" s="504"/>
      <c r="CF243" s="105"/>
      <c r="CG243" s="105">
        <f t="shared" si="379"/>
        <v>0</v>
      </c>
      <c r="CH243" s="105"/>
      <c r="CI243" s="105"/>
      <c r="CJ243" s="105">
        <f t="shared" si="380"/>
        <v>0</v>
      </c>
      <c r="CK243" s="523"/>
      <c r="CL243" s="102">
        <f t="shared" si="422"/>
        <v>0</v>
      </c>
      <c r="CM243" s="103"/>
      <c r="CN243" s="100"/>
      <c r="CO243" s="100">
        <f t="shared" si="423"/>
        <v>0</v>
      </c>
      <c r="CP243" s="515"/>
      <c r="CQ243" s="441"/>
      <c r="CR243" s="504"/>
      <c r="CS243" s="105"/>
      <c r="CT243" s="105">
        <f t="shared" si="389"/>
        <v>0</v>
      </c>
      <c r="CU243" s="105"/>
      <c r="CV243" s="105"/>
      <c r="CW243" s="105">
        <f t="shared" si="390"/>
        <v>0</v>
      </c>
      <c r="CX243" s="53"/>
      <c r="CY243" s="109">
        <f t="shared" si="424"/>
        <v>0</v>
      </c>
      <c r="CZ243" s="54"/>
      <c r="DA243" s="105"/>
      <c r="DB243" s="455">
        <f t="shared" si="388"/>
        <v>0</v>
      </c>
      <c r="DC243" s="495"/>
      <c r="DD243" s="24" t="s">
        <v>375</v>
      </c>
      <c r="DE243" s="139" t="s">
        <v>483</v>
      </c>
      <c r="DF243" s="1133"/>
      <c r="DG243" s="674">
        <f t="shared" si="402"/>
        <v>0</v>
      </c>
      <c r="DH243" s="1119">
        <f t="shared" si="403"/>
        <v>0</v>
      </c>
      <c r="DI243" s="1119"/>
      <c r="DJ243" s="101">
        <f t="shared" si="415"/>
        <v>273.66666666666663</v>
      </c>
      <c r="DK243" s="101"/>
      <c r="DL243" s="101">
        <f t="shared" si="405"/>
        <v>0</v>
      </c>
      <c r="DM243" s="101">
        <f>DL243</f>
        <v>0</v>
      </c>
      <c r="DN243" s="112">
        <f>DJ243</f>
        <v>273.66666666666663</v>
      </c>
      <c r="DO243" s="112"/>
      <c r="DP243" s="112"/>
      <c r="DQ243" s="112"/>
      <c r="DS243" s="140"/>
      <c r="DT243" s="140"/>
      <c r="DU243" s="140"/>
      <c r="DV243" s="140"/>
      <c r="DW243" s="140"/>
      <c r="DX243" s="140"/>
      <c r="DY243" s="140"/>
      <c r="DZ243" s="140"/>
    </row>
    <row r="244" spans="1:130" ht="21.6" customHeight="1" x14ac:dyDescent="0.25">
      <c r="A244" s="4" t="s">
        <v>130</v>
      </c>
      <c r="B244" s="4">
        <v>4</v>
      </c>
      <c r="C244" s="166" t="s">
        <v>131</v>
      </c>
      <c r="D244" s="167"/>
      <c r="E244" s="1" t="s">
        <v>134</v>
      </c>
      <c r="F244" s="162">
        <v>47</v>
      </c>
      <c r="G244" s="162">
        <v>3</v>
      </c>
      <c r="H244" s="162">
        <f t="shared" si="406"/>
        <v>50</v>
      </c>
      <c r="I244" s="162">
        <v>104</v>
      </c>
      <c r="J244" s="162"/>
      <c r="K244" s="162">
        <f t="shared" si="407"/>
        <v>104</v>
      </c>
      <c r="L244" s="168"/>
      <c r="M244" s="414"/>
      <c r="N244" s="41"/>
      <c r="O244" s="164"/>
      <c r="P244" s="165"/>
      <c r="Q244" s="165"/>
      <c r="R244" s="165"/>
      <c r="S244" s="165"/>
      <c r="T244" s="89"/>
      <c r="U244" s="89"/>
      <c r="V244" s="89">
        <f t="shared" si="416"/>
        <v>0</v>
      </c>
      <c r="W244" s="137"/>
      <c r="X244" s="137"/>
      <c r="Y244" s="90">
        <f t="shared" si="417"/>
        <v>0</v>
      </c>
      <c r="Z244" s="169"/>
      <c r="AA244" s="92"/>
      <c r="AB244" s="92"/>
      <c r="AC244" s="92">
        <f t="shared" si="418"/>
        <v>0</v>
      </c>
      <c r="AD244" s="93"/>
      <c r="AE244" s="93"/>
      <c r="AF244" s="94">
        <f t="shared" si="419"/>
        <v>0</v>
      </c>
      <c r="AG244" s="475"/>
      <c r="AH244" s="99"/>
      <c r="AI244" s="99">
        <f t="shared" si="408"/>
        <v>0</v>
      </c>
      <c r="AJ244" s="138"/>
      <c r="AK244" s="138">
        <f t="shared" si="409"/>
        <v>0</v>
      </c>
      <c r="AL244" s="106"/>
      <c r="AM244" s="105"/>
      <c r="AN244" s="105">
        <f t="shared" si="420"/>
        <v>0</v>
      </c>
      <c r="AO244" s="106"/>
      <c r="AP244" s="105"/>
      <c r="AQ244" s="105">
        <f t="shared" si="398"/>
        <v>0</v>
      </c>
      <c r="AR244" s="106"/>
      <c r="AS244" s="97">
        <f t="shared" si="385"/>
        <v>0</v>
      </c>
      <c r="AT244" s="6"/>
      <c r="AU244" s="105"/>
      <c r="AV244" s="455">
        <f t="shared" si="410"/>
        <v>0</v>
      </c>
      <c r="AW244" s="496"/>
      <c r="AX244" s="508"/>
      <c r="AY244" s="498"/>
      <c r="AZ244" s="100">
        <f t="shared" si="428"/>
        <v>0</v>
      </c>
      <c r="BA244" s="101"/>
      <c r="BB244" s="100"/>
      <c r="BC244" s="100">
        <f t="shared" si="421"/>
        <v>0</v>
      </c>
      <c r="BD244" s="101"/>
      <c r="BE244" s="105">
        <f t="shared" si="412"/>
        <v>0</v>
      </c>
      <c r="BF244" s="106"/>
      <c r="BG244" s="100">
        <f t="shared" si="399"/>
        <v>0</v>
      </c>
      <c r="BH244" s="106"/>
      <c r="BI244" s="100">
        <f t="shared" si="400"/>
        <v>0</v>
      </c>
      <c r="BJ244" s="106"/>
      <c r="BK244" s="101">
        <f t="shared" si="386"/>
        <v>0</v>
      </c>
      <c r="BL244" s="106"/>
      <c r="BM244" s="104"/>
      <c r="BN244" s="104">
        <f t="shared" ref="BN244:BN246" si="429">BM244/50</f>
        <v>0</v>
      </c>
      <c r="BO244" s="105"/>
      <c r="BP244" s="105">
        <f t="shared" si="413"/>
        <v>0</v>
      </c>
      <c r="BQ244" s="106"/>
      <c r="BR244" s="105"/>
      <c r="BS244" s="105">
        <f t="shared" si="378"/>
        <v>0</v>
      </c>
      <c r="BT244" s="106"/>
      <c r="BU244" s="53"/>
      <c r="BV244" s="53">
        <f t="shared" si="414"/>
        <v>0</v>
      </c>
      <c r="BW244" s="54"/>
      <c r="BX244" s="350">
        <f t="shared" si="387"/>
        <v>0</v>
      </c>
      <c r="BY244" s="6"/>
      <c r="BZ244" s="6">
        <f t="shared" si="401"/>
        <v>0</v>
      </c>
      <c r="CA244" s="508"/>
      <c r="CB244" s="165"/>
      <c r="CC244" s="165"/>
      <c r="CD244" s="165"/>
      <c r="CE244" s="504"/>
      <c r="CF244" s="105"/>
      <c r="CG244" s="105">
        <f t="shared" si="379"/>
        <v>0</v>
      </c>
      <c r="CH244" s="105"/>
      <c r="CI244" s="105"/>
      <c r="CJ244" s="105">
        <f t="shared" si="380"/>
        <v>0</v>
      </c>
      <c r="CK244" s="523"/>
      <c r="CL244" s="102">
        <f t="shared" si="422"/>
        <v>0</v>
      </c>
      <c r="CM244" s="103"/>
      <c r="CN244" s="100"/>
      <c r="CO244" s="100">
        <f t="shared" si="423"/>
        <v>0</v>
      </c>
      <c r="CP244" s="515"/>
      <c r="CQ244" s="441"/>
      <c r="CR244" s="504"/>
      <c r="CS244" s="105"/>
      <c r="CT244" s="105">
        <f t="shared" si="389"/>
        <v>0</v>
      </c>
      <c r="CU244" s="105"/>
      <c r="CV244" s="105"/>
      <c r="CW244" s="105">
        <f t="shared" si="390"/>
        <v>0</v>
      </c>
      <c r="CX244" s="53"/>
      <c r="CY244" s="109">
        <f t="shared" si="424"/>
        <v>0</v>
      </c>
      <c r="CZ244" s="54"/>
      <c r="DA244" s="105"/>
      <c r="DB244" s="455">
        <f t="shared" si="388"/>
        <v>0</v>
      </c>
      <c r="DC244" s="495"/>
      <c r="DD244" s="25"/>
      <c r="DF244" s="1133"/>
      <c r="DG244" s="674">
        <f t="shared" si="402"/>
        <v>0</v>
      </c>
      <c r="DH244" s="1119">
        <f t="shared" si="403"/>
        <v>0</v>
      </c>
      <c r="DI244" s="1119"/>
      <c r="DJ244" s="101">
        <f t="shared" si="415"/>
        <v>0</v>
      </c>
      <c r="DK244" s="101"/>
      <c r="DL244" s="101">
        <f t="shared" si="405"/>
        <v>0</v>
      </c>
      <c r="DM244" s="101"/>
      <c r="DN244" s="112"/>
      <c r="DO244" s="112"/>
      <c r="DP244" s="112"/>
      <c r="DQ244" s="112"/>
    </row>
    <row r="245" spans="1:130" s="139" customFormat="1" ht="21.6" customHeight="1" x14ac:dyDescent="0.25">
      <c r="A245" s="4"/>
      <c r="B245" s="4"/>
      <c r="C245" s="134" t="s">
        <v>131</v>
      </c>
      <c r="D245" s="167" t="s">
        <v>429</v>
      </c>
      <c r="E245" s="3" t="s">
        <v>292</v>
      </c>
      <c r="F245" s="135"/>
      <c r="G245" s="135"/>
      <c r="H245" s="135"/>
      <c r="I245" s="135"/>
      <c r="J245" s="135"/>
      <c r="K245" s="135"/>
      <c r="L245" s="183"/>
      <c r="M245" s="5"/>
      <c r="N245" s="41"/>
      <c r="O245" s="6"/>
      <c r="P245" s="7"/>
      <c r="Q245" s="7"/>
      <c r="R245" s="7"/>
      <c r="S245" s="7"/>
      <c r="T245" s="89"/>
      <c r="U245" s="89"/>
      <c r="V245" s="89">
        <f t="shared" si="416"/>
        <v>0</v>
      </c>
      <c r="W245" s="137"/>
      <c r="X245" s="137"/>
      <c r="Y245" s="90">
        <f>W245+X245</f>
        <v>0</v>
      </c>
      <c r="Z245" s="91"/>
      <c r="AA245" s="92"/>
      <c r="AB245" s="92"/>
      <c r="AC245" s="92">
        <f t="shared" si="418"/>
        <v>0</v>
      </c>
      <c r="AD245" s="93"/>
      <c r="AE245" s="93"/>
      <c r="AF245" s="94">
        <f t="shared" si="419"/>
        <v>0</v>
      </c>
      <c r="AG245" s="473"/>
      <c r="AH245" s="99">
        <v>35</v>
      </c>
      <c r="AI245" s="99">
        <f t="shared" si="408"/>
        <v>2.3333333333333335</v>
      </c>
      <c r="AJ245" s="138">
        <v>35</v>
      </c>
      <c r="AK245" s="138">
        <f t="shared" si="409"/>
        <v>2.3333333333333335</v>
      </c>
      <c r="AL245" s="106"/>
      <c r="AM245" s="105"/>
      <c r="AN245" s="105">
        <f t="shared" si="420"/>
        <v>0</v>
      </c>
      <c r="AO245" s="106"/>
      <c r="AP245" s="105"/>
      <c r="AQ245" s="105">
        <f t="shared" si="398"/>
        <v>0</v>
      </c>
      <c r="AR245" s="106"/>
      <c r="AS245" s="97">
        <f t="shared" si="385"/>
        <v>2.3333333333333335</v>
      </c>
      <c r="AT245" s="6"/>
      <c r="AU245" s="105"/>
      <c r="AV245" s="455">
        <f t="shared" si="410"/>
        <v>0</v>
      </c>
      <c r="AW245" s="496"/>
      <c r="AX245" s="508"/>
      <c r="AY245" s="498">
        <v>70</v>
      </c>
      <c r="AZ245" s="100">
        <f t="shared" si="428"/>
        <v>4.666666666666667</v>
      </c>
      <c r="BA245" s="101"/>
      <c r="BB245" s="100"/>
      <c r="BC245" s="100">
        <f t="shared" si="421"/>
        <v>0</v>
      </c>
      <c r="BD245" s="101"/>
      <c r="BE245" s="105">
        <f t="shared" si="412"/>
        <v>7</v>
      </c>
      <c r="BF245" s="106"/>
      <c r="BG245" s="100">
        <f t="shared" si="399"/>
        <v>0</v>
      </c>
      <c r="BH245" s="106"/>
      <c r="BI245" s="100">
        <f t="shared" si="400"/>
        <v>0</v>
      </c>
      <c r="BJ245" s="106"/>
      <c r="BK245" s="101">
        <f t="shared" si="386"/>
        <v>7</v>
      </c>
      <c r="BL245" s="106"/>
      <c r="BM245" s="104"/>
      <c r="BN245" s="104">
        <f t="shared" si="429"/>
        <v>0</v>
      </c>
      <c r="BO245" s="105"/>
      <c r="BP245" s="105">
        <f t="shared" si="413"/>
        <v>0</v>
      </c>
      <c r="BQ245" s="106"/>
      <c r="BR245" s="105">
        <f>7*50</f>
        <v>350</v>
      </c>
      <c r="BS245" s="105">
        <f t="shared" si="378"/>
        <v>7</v>
      </c>
      <c r="BT245" s="106"/>
      <c r="BU245" s="53"/>
      <c r="BV245" s="53">
        <f t="shared" si="414"/>
        <v>0</v>
      </c>
      <c r="BW245" s="54"/>
      <c r="BX245" s="350">
        <f t="shared" si="387"/>
        <v>7</v>
      </c>
      <c r="BY245" s="6"/>
      <c r="BZ245" s="6">
        <f t="shared" si="401"/>
        <v>0</v>
      </c>
      <c r="CA245" s="508"/>
      <c r="CB245" s="7"/>
      <c r="CC245" s="7"/>
      <c r="CD245" s="7"/>
      <c r="CE245" s="504"/>
      <c r="CF245" s="105"/>
      <c r="CG245" s="105">
        <f t="shared" si="379"/>
        <v>0</v>
      </c>
      <c r="CH245" s="105"/>
      <c r="CI245" s="105"/>
      <c r="CJ245" s="105">
        <f t="shared" si="380"/>
        <v>0</v>
      </c>
      <c r="CK245" s="523"/>
      <c r="CL245" s="102">
        <f t="shared" si="422"/>
        <v>0</v>
      </c>
      <c r="CM245" s="103"/>
      <c r="CN245" s="100"/>
      <c r="CO245" s="100">
        <f t="shared" si="423"/>
        <v>0</v>
      </c>
      <c r="CP245" s="515"/>
      <c r="CQ245" s="441"/>
      <c r="CR245" s="504"/>
      <c r="CS245" s="105"/>
      <c r="CT245" s="105">
        <f t="shared" si="389"/>
        <v>0</v>
      </c>
      <c r="CU245" s="105"/>
      <c r="CV245" s="105"/>
      <c r="CW245" s="105">
        <f t="shared" si="390"/>
        <v>0</v>
      </c>
      <c r="CX245" s="53"/>
      <c r="CY245" s="109">
        <f t="shared" si="424"/>
        <v>0</v>
      </c>
      <c r="CZ245" s="54"/>
      <c r="DA245" s="105"/>
      <c r="DB245" s="455">
        <f t="shared" si="388"/>
        <v>0</v>
      </c>
      <c r="DC245" s="495"/>
      <c r="DD245" s="24" t="s">
        <v>375</v>
      </c>
      <c r="DE245" s="139" t="s">
        <v>483</v>
      </c>
      <c r="DF245" s="1133"/>
      <c r="DG245" s="674">
        <f t="shared" si="402"/>
        <v>0</v>
      </c>
      <c r="DH245" s="1119">
        <f t="shared" si="403"/>
        <v>0</v>
      </c>
      <c r="DI245" s="1119"/>
      <c r="DJ245" s="101">
        <f t="shared" si="415"/>
        <v>7</v>
      </c>
      <c r="DK245" s="101"/>
      <c r="DL245" s="101">
        <f t="shared" si="405"/>
        <v>0</v>
      </c>
      <c r="DM245" s="101">
        <f>DL245</f>
        <v>0</v>
      </c>
      <c r="DN245" s="112">
        <f>DJ245</f>
        <v>7</v>
      </c>
      <c r="DO245" s="112"/>
      <c r="DP245" s="112"/>
      <c r="DQ245" s="112"/>
      <c r="DS245" s="140"/>
      <c r="DT245" s="140"/>
      <c r="DU245" s="140"/>
      <c r="DV245" s="140"/>
      <c r="DW245" s="140"/>
      <c r="DX245" s="140"/>
      <c r="DY245" s="140"/>
      <c r="DZ245" s="140"/>
    </row>
    <row r="246" spans="1:130" s="139" customFormat="1" ht="33" customHeight="1" x14ac:dyDescent="0.25">
      <c r="A246" s="4"/>
      <c r="B246" s="4"/>
      <c r="C246" s="134" t="s">
        <v>131</v>
      </c>
      <c r="D246" s="167" t="s">
        <v>429</v>
      </c>
      <c r="E246" s="3" t="s">
        <v>604</v>
      </c>
      <c r="F246" s="135"/>
      <c r="G246" s="135"/>
      <c r="H246" s="135"/>
      <c r="I246" s="135"/>
      <c r="J246" s="135"/>
      <c r="K246" s="135"/>
      <c r="L246" s="183"/>
      <c r="M246" s="5"/>
      <c r="N246" s="41"/>
      <c r="O246" s="6"/>
      <c r="P246" s="7"/>
      <c r="Q246" s="7"/>
      <c r="R246" s="7"/>
      <c r="S246" s="7"/>
      <c r="T246" s="89"/>
      <c r="U246" s="89"/>
      <c r="V246" s="89">
        <f t="shared" si="416"/>
        <v>0</v>
      </c>
      <c r="W246" s="137"/>
      <c r="X246" s="137"/>
      <c r="Y246" s="90">
        <f>W246+X246</f>
        <v>0</v>
      </c>
      <c r="Z246" s="91"/>
      <c r="AA246" s="92"/>
      <c r="AB246" s="92"/>
      <c r="AC246" s="92">
        <f t="shared" si="418"/>
        <v>0</v>
      </c>
      <c r="AD246" s="93"/>
      <c r="AE246" s="93"/>
      <c r="AF246" s="94">
        <f t="shared" si="419"/>
        <v>0</v>
      </c>
      <c r="AG246" s="473"/>
      <c r="AH246" s="99"/>
      <c r="AI246" s="99">
        <f t="shared" si="408"/>
        <v>0</v>
      </c>
      <c r="AJ246" s="138"/>
      <c r="AK246" s="138">
        <f t="shared" si="409"/>
        <v>0</v>
      </c>
      <c r="AL246" s="106"/>
      <c r="AM246" s="105">
        <v>45</v>
      </c>
      <c r="AN246" s="105">
        <f t="shared" si="420"/>
        <v>3</v>
      </c>
      <c r="AO246" s="106"/>
      <c r="AP246" s="105"/>
      <c r="AQ246" s="105"/>
      <c r="AR246" s="106"/>
      <c r="AS246" s="97">
        <f t="shared" si="385"/>
        <v>3</v>
      </c>
      <c r="AT246" s="6"/>
      <c r="AU246" s="105"/>
      <c r="AV246" s="455">
        <f t="shared" si="410"/>
        <v>0</v>
      </c>
      <c r="AW246" s="496"/>
      <c r="AX246" s="508"/>
      <c r="AY246" s="498"/>
      <c r="AZ246" s="100">
        <f t="shared" si="428"/>
        <v>0</v>
      </c>
      <c r="BA246" s="101"/>
      <c r="BB246" s="100"/>
      <c r="BC246" s="100">
        <f t="shared" si="421"/>
        <v>0</v>
      </c>
      <c r="BD246" s="101"/>
      <c r="BE246" s="105">
        <f t="shared" si="412"/>
        <v>0</v>
      </c>
      <c r="BF246" s="106"/>
      <c r="BG246" s="100">
        <f t="shared" si="399"/>
        <v>3</v>
      </c>
      <c r="BH246" s="106"/>
      <c r="BI246" s="100">
        <f t="shared" si="400"/>
        <v>0</v>
      </c>
      <c r="BJ246" s="106"/>
      <c r="BK246" s="101">
        <f t="shared" si="386"/>
        <v>3</v>
      </c>
      <c r="BL246" s="106"/>
      <c r="BM246" s="104"/>
      <c r="BN246" s="104">
        <f t="shared" si="429"/>
        <v>0</v>
      </c>
      <c r="BO246" s="105"/>
      <c r="BP246" s="105">
        <f t="shared" si="413"/>
        <v>0</v>
      </c>
      <c r="BQ246" s="106"/>
      <c r="BR246" s="105">
        <v>150</v>
      </c>
      <c r="BS246" s="105">
        <f t="shared" si="378"/>
        <v>3</v>
      </c>
      <c r="BT246" s="106"/>
      <c r="BU246" s="53"/>
      <c r="BV246" s="53">
        <f t="shared" si="414"/>
        <v>0</v>
      </c>
      <c r="BW246" s="54"/>
      <c r="BX246" s="350">
        <f t="shared" si="387"/>
        <v>3</v>
      </c>
      <c r="BY246" s="6"/>
      <c r="BZ246" s="6">
        <f t="shared" si="401"/>
        <v>0</v>
      </c>
      <c r="CA246" s="508"/>
      <c r="CB246" s="7"/>
      <c r="CC246" s="7"/>
      <c r="CD246" s="7"/>
      <c r="CE246" s="504"/>
      <c r="CF246" s="105"/>
      <c r="CG246" s="105"/>
      <c r="CH246" s="105"/>
      <c r="CI246" s="105"/>
      <c r="CJ246" s="105"/>
      <c r="CK246" s="523"/>
      <c r="CL246" s="102">
        <f t="shared" si="422"/>
        <v>0</v>
      </c>
      <c r="CM246" s="103"/>
      <c r="CN246" s="100"/>
      <c r="CO246" s="100">
        <f t="shared" si="423"/>
        <v>0</v>
      </c>
      <c r="CP246" s="515"/>
      <c r="CQ246" s="441"/>
      <c r="CR246" s="504"/>
      <c r="CS246" s="105"/>
      <c r="CT246" s="105"/>
      <c r="CU246" s="105"/>
      <c r="CV246" s="105"/>
      <c r="CW246" s="105"/>
      <c r="CX246" s="53"/>
      <c r="CY246" s="109">
        <f t="shared" si="424"/>
        <v>0</v>
      </c>
      <c r="CZ246" s="54"/>
      <c r="DA246" s="105"/>
      <c r="DB246" s="455">
        <f t="shared" si="388"/>
        <v>0</v>
      </c>
      <c r="DC246" s="495"/>
      <c r="DD246" s="24"/>
      <c r="DF246" s="1133"/>
      <c r="DG246" s="674">
        <f t="shared" si="402"/>
        <v>0</v>
      </c>
      <c r="DH246" s="1119">
        <f t="shared" si="403"/>
        <v>0</v>
      </c>
      <c r="DI246" s="1119"/>
      <c r="DJ246" s="101">
        <f t="shared" si="415"/>
        <v>3</v>
      </c>
      <c r="DK246" s="101"/>
      <c r="DL246" s="101">
        <f t="shared" si="405"/>
        <v>0</v>
      </c>
      <c r="DM246" s="101">
        <f>DL246</f>
        <v>0</v>
      </c>
      <c r="DN246" s="112">
        <f>DJ246</f>
        <v>3</v>
      </c>
      <c r="DO246" s="112"/>
      <c r="DP246" s="112"/>
      <c r="DQ246" s="112"/>
      <c r="DS246" s="140"/>
      <c r="DT246" s="140"/>
      <c r="DU246" s="140"/>
      <c r="DV246" s="140"/>
      <c r="DW246" s="140"/>
      <c r="DX246" s="140"/>
      <c r="DY246" s="140"/>
      <c r="DZ246" s="140"/>
    </row>
    <row r="247" spans="1:130" s="388" customFormat="1" ht="21.6" customHeight="1" x14ac:dyDescent="0.25">
      <c r="A247" s="369"/>
      <c r="B247" s="369"/>
      <c r="C247" s="370"/>
      <c r="D247" s="371"/>
      <c r="E247" s="372"/>
      <c r="F247" s="373"/>
      <c r="G247" s="373"/>
      <c r="H247" s="373"/>
      <c r="I247" s="373"/>
      <c r="J247" s="373"/>
      <c r="K247" s="373"/>
      <c r="L247" s="374"/>
      <c r="M247" s="375"/>
      <c r="N247" s="376"/>
      <c r="O247" s="377"/>
      <c r="P247" s="378"/>
      <c r="Q247" s="378"/>
      <c r="R247" s="378"/>
      <c r="S247" s="378"/>
      <c r="T247" s="379"/>
      <c r="U247" s="379"/>
      <c r="V247" s="379"/>
      <c r="W247" s="380"/>
      <c r="X247" s="380"/>
      <c r="Y247" s="381"/>
      <c r="Z247" s="382"/>
      <c r="AA247" s="379"/>
      <c r="AB247" s="379"/>
      <c r="AC247" s="379"/>
      <c r="AD247" s="381"/>
      <c r="AE247" s="381"/>
      <c r="AF247" s="383"/>
      <c r="AG247" s="481"/>
      <c r="AH247" s="384"/>
      <c r="AI247" s="384"/>
      <c r="AJ247" s="138"/>
      <c r="AK247" s="138"/>
      <c r="AL247" s="106"/>
      <c r="AM247" s="105"/>
      <c r="AN247" s="105"/>
      <c r="AO247" s="106"/>
      <c r="AP247" s="105"/>
      <c r="AQ247" s="105"/>
      <c r="AR247" s="106"/>
      <c r="AS247" s="97">
        <f t="shared" si="385"/>
        <v>0</v>
      </c>
      <c r="AT247" s="6"/>
      <c r="AU247" s="105"/>
      <c r="AV247" s="455"/>
      <c r="AW247" s="496"/>
      <c r="AX247" s="508"/>
      <c r="AY247" s="498"/>
      <c r="AZ247" s="100"/>
      <c r="BA247" s="101"/>
      <c r="BB247" s="100"/>
      <c r="BC247" s="100"/>
      <c r="BD247" s="101"/>
      <c r="BE247" s="105"/>
      <c r="BF247" s="106"/>
      <c r="BG247" s="100">
        <f t="shared" si="399"/>
        <v>0</v>
      </c>
      <c r="BH247" s="106"/>
      <c r="BI247" s="100">
        <f t="shared" si="400"/>
        <v>0</v>
      </c>
      <c r="BJ247" s="106"/>
      <c r="BK247" s="101">
        <f t="shared" si="386"/>
        <v>0</v>
      </c>
      <c r="BL247" s="106"/>
      <c r="BM247" s="385"/>
      <c r="BN247" s="385"/>
      <c r="BO247" s="105"/>
      <c r="BP247" s="105"/>
      <c r="BQ247" s="106"/>
      <c r="BR247" s="105"/>
      <c r="BS247" s="105"/>
      <c r="BT247" s="106"/>
      <c r="BU247" s="385"/>
      <c r="BV247" s="385"/>
      <c r="BW247" s="377"/>
      <c r="BX247" s="350">
        <f t="shared" si="387"/>
        <v>0</v>
      </c>
      <c r="BY247" s="377"/>
      <c r="BZ247" s="377"/>
      <c r="CA247" s="538"/>
      <c r="CB247" s="378"/>
      <c r="CC247" s="378"/>
      <c r="CD247" s="378"/>
      <c r="CE247" s="504"/>
      <c r="CF247" s="105"/>
      <c r="CG247" s="105"/>
      <c r="CH247" s="105"/>
      <c r="CI247" s="105"/>
      <c r="CJ247" s="105"/>
      <c r="CK247" s="529"/>
      <c r="CL247" s="386"/>
      <c r="CM247" s="387"/>
      <c r="CN247" s="100"/>
      <c r="CO247" s="100">
        <f t="shared" si="423"/>
        <v>0</v>
      </c>
      <c r="CP247" s="515"/>
      <c r="CQ247" s="441"/>
      <c r="CR247" s="504"/>
      <c r="CS247" s="105"/>
      <c r="CT247" s="105"/>
      <c r="CU247" s="105"/>
      <c r="CV247" s="105"/>
      <c r="CW247" s="105"/>
      <c r="CX247" s="53"/>
      <c r="CY247" s="109">
        <f t="shared" si="424"/>
        <v>0</v>
      </c>
      <c r="CZ247" s="54"/>
      <c r="DA247" s="105"/>
      <c r="DB247" s="455"/>
      <c r="DC247" s="495"/>
      <c r="DD247" s="576"/>
      <c r="DF247" s="1133"/>
      <c r="DG247" s="674">
        <f t="shared" si="402"/>
        <v>0</v>
      </c>
      <c r="DH247" s="1119">
        <f t="shared" si="403"/>
        <v>0</v>
      </c>
      <c r="DI247" s="1119"/>
      <c r="DJ247" s="101">
        <f t="shared" si="415"/>
        <v>0</v>
      </c>
      <c r="DK247" s="101"/>
      <c r="DL247" s="101">
        <f t="shared" si="405"/>
        <v>0</v>
      </c>
      <c r="DM247" s="101"/>
      <c r="DN247" s="112"/>
      <c r="DO247" s="112"/>
      <c r="DP247" s="112"/>
      <c r="DQ247" s="112"/>
      <c r="DS247" s="389"/>
      <c r="DT247" s="389"/>
      <c r="DU247" s="389"/>
      <c r="DV247" s="389"/>
      <c r="DW247" s="389"/>
      <c r="DX247" s="389"/>
      <c r="DY247" s="389"/>
      <c r="DZ247" s="389"/>
    </row>
    <row r="248" spans="1:130" s="139" customFormat="1" ht="21.6" customHeight="1" x14ac:dyDescent="0.25">
      <c r="A248" s="4"/>
      <c r="B248" s="4"/>
      <c r="C248" s="134" t="s">
        <v>370</v>
      </c>
      <c r="D248" s="182" t="s">
        <v>431</v>
      </c>
      <c r="E248" s="2"/>
      <c r="F248" s="135"/>
      <c r="G248" s="135"/>
      <c r="H248" s="135"/>
      <c r="I248" s="135"/>
      <c r="J248" s="135"/>
      <c r="K248" s="135"/>
      <c r="L248" s="183"/>
      <c r="M248" s="5"/>
      <c r="N248" s="41"/>
      <c r="O248" s="6"/>
      <c r="P248" s="7"/>
      <c r="Q248" s="7"/>
      <c r="R248" s="7"/>
      <c r="S248" s="7"/>
      <c r="T248" s="273"/>
      <c r="U248" s="273"/>
      <c r="V248" s="273"/>
      <c r="W248" s="274"/>
      <c r="X248" s="274"/>
      <c r="Y248" s="275"/>
      <c r="Z248" s="91"/>
      <c r="AA248" s="273"/>
      <c r="AB248" s="273"/>
      <c r="AC248" s="273"/>
      <c r="AD248" s="275"/>
      <c r="AE248" s="275"/>
      <c r="AF248" s="276"/>
      <c r="AG248" s="473"/>
      <c r="AH248" s="277"/>
      <c r="AI248" s="277"/>
      <c r="AJ248" s="138"/>
      <c r="AK248" s="138"/>
      <c r="AL248" s="106"/>
      <c r="AM248" s="105"/>
      <c r="AN248" s="105"/>
      <c r="AO248" s="106"/>
      <c r="AP248" s="105"/>
      <c r="AQ248" s="105"/>
      <c r="AR248" s="106"/>
      <c r="AS248" s="97">
        <f t="shared" si="385"/>
        <v>0</v>
      </c>
      <c r="AT248" s="6"/>
      <c r="AU248" s="105"/>
      <c r="AV248" s="455"/>
      <c r="AW248" s="496"/>
      <c r="AX248" s="508"/>
      <c r="AY248" s="498"/>
      <c r="AZ248" s="100"/>
      <c r="BA248" s="101"/>
      <c r="BB248" s="100"/>
      <c r="BC248" s="100"/>
      <c r="BD248" s="101"/>
      <c r="BE248" s="105"/>
      <c r="BF248" s="106"/>
      <c r="BG248" s="100">
        <f t="shared" si="399"/>
        <v>0</v>
      </c>
      <c r="BH248" s="106"/>
      <c r="BI248" s="100">
        <f t="shared" si="400"/>
        <v>0</v>
      </c>
      <c r="BJ248" s="106"/>
      <c r="BK248" s="101">
        <f t="shared" si="386"/>
        <v>0</v>
      </c>
      <c r="BL248" s="106"/>
      <c r="BM248" s="52"/>
      <c r="BN248" s="52"/>
      <c r="BO248" s="105"/>
      <c r="BP248" s="105"/>
      <c r="BQ248" s="106"/>
      <c r="BR248" s="105"/>
      <c r="BS248" s="105"/>
      <c r="BT248" s="106"/>
      <c r="BU248" s="52"/>
      <c r="BV248" s="52"/>
      <c r="BW248" s="6"/>
      <c r="BX248" s="350">
        <f t="shared" si="387"/>
        <v>0</v>
      </c>
      <c r="BY248" s="6"/>
      <c r="BZ248" s="6"/>
      <c r="CA248" s="508"/>
      <c r="CB248" s="7"/>
      <c r="CC248" s="7"/>
      <c r="CD248" s="7"/>
      <c r="CE248" s="504"/>
      <c r="CF248" s="105"/>
      <c r="CG248" s="105"/>
      <c r="CH248" s="105"/>
      <c r="CI248" s="105"/>
      <c r="CJ248" s="105"/>
      <c r="CK248" s="530">
        <f>225-120</f>
        <v>105</v>
      </c>
      <c r="CL248" s="102">
        <f t="shared" si="422"/>
        <v>7</v>
      </c>
      <c r="CM248" s="103">
        <f>SUM(CL248)</f>
        <v>7</v>
      </c>
      <c r="CN248" s="100">
        <v>120</v>
      </c>
      <c r="CO248" s="100">
        <f t="shared" si="423"/>
        <v>8</v>
      </c>
      <c r="CP248" s="515">
        <f>SUM(CO248)</f>
        <v>8</v>
      </c>
      <c r="CQ248" s="441"/>
      <c r="CR248" s="504"/>
      <c r="CS248" s="105"/>
      <c r="CT248" s="105"/>
      <c r="CU248" s="105"/>
      <c r="CV248" s="105"/>
      <c r="CW248" s="105"/>
      <c r="CX248" s="53"/>
      <c r="CY248" s="109">
        <f t="shared" si="424"/>
        <v>0</v>
      </c>
      <c r="CZ248" s="54"/>
      <c r="DA248" s="105"/>
      <c r="DB248" s="455"/>
      <c r="DC248" s="515">
        <f>SUM(DB248)</f>
        <v>0</v>
      </c>
      <c r="DD248" s="24"/>
      <c r="DF248" s="1137"/>
      <c r="DG248" s="674">
        <f t="shared" si="402"/>
        <v>0</v>
      </c>
      <c r="DH248" s="1119">
        <f t="shared" si="403"/>
        <v>15</v>
      </c>
      <c r="DI248" s="1119"/>
      <c r="DJ248" s="101">
        <f t="shared" si="415"/>
        <v>15</v>
      </c>
      <c r="DK248" s="101">
        <f>SUM(DJ248)</f>
        <v>15</v>
      </c>
      <c r="DL248" s="101">
        <f t="shared" si="405"/>
        <v>0</v>
      </c>
      <c r="DM248" s="101"/>
      <c r="DN248" s="112"/>
      <c r="DO248" s="112"/>
      <c r="DP248" s="112"/>
      <c r="DQ248" s="112"/>
      <c r="DS248" s="140"/>
      <c r="DT248" s="140"/>
      <c r="DU248" s="140"/>
      <c r="DV248" s="140"/>
      <c r="DW248" s="140"/>
      <c r="DX248" s="140"/>
      <c r="DY248" s="140"/>
      <c r="DZ248" s="140"/>
    </row>
    <row r="249" spans="1:130" s="388" customFormat="1" ht="21.6" customHeight="1" x14ac:dyDescent="0.25">
      <c r="A249" s="369"/>
      <c r="B249" s="369"/>
      <c r="C249" s="370"/>
      <c r="D249" s="371"/>
      <c r="E249" s="372"/>
      <c r="F249" s="373"/>
      <c r="G249" s="373"/>
      <c r="H249" s="373"/>
      <c r="I249" s="373"/>
      <c r="J249" s="373"/>
      <c r="K249" s="373"/>
      <c r="L249" s="374"/>
      <c r="M249" s="375"/>
      <c r="N249" s="376"/>
      <c r="O249" s="377"/>
      <c r="P249" s="378"/>
      <c r="Q249" s="378"/>
      <c r="R249" s="378"/>
      <c r="S249" s="378"/>
      <c r="T249" s="379"/>
      <c r="U249" s="379"/>
      <c r="V249" s="379"/>
      <c r="W249" s="380"/>
      <c r="X249" s="380"/>
      <c r="Y249" s="381"/>
      <c r="Z249" s="382"/>
      <c r="AA249" s="379"/>
      <c r="AB249" s="379"/>
      <c r="AC249" s="379"/>
      <c r="AD249" s="381"/>
      <c r="AE249" s="381"/>
      <c r="AF249" s="383"/>
      <c r="AG249" s="481"/>
      <c r="AH249" s="384"/>
      <c r="AI249" s="384"/>
      <c r="AJ249" s="138"/>
      <c r="AK249" s="138"/>
      <c r="AL249" s="106"/>
      <c r="AM249" s="105"/>
      <c r="AN249" s="105"/>
      <c r="AO249" s="106"/>
      <c r="AP249" s="105"/>
      <c r="AQ249" s="105"/>
      <c r="AR249" s="106"/>
      <c r="AS249" s="97">
        <f t="shared" si="385"/>
        <v>0</v>
      </c>
      <c r="AT249" s="6"/>
      <c r="AU249" s="105"/>
      <c r="AV249" s="455"/>
      <c r="AW249" s="496"/>
      <c r="AX249" s="508"/>
      <c r="AY249" s="498"/>
      <c r="AZ249" s="100"/>
      <c r="BA249" s="101"/>
      <c r="BB249" s="100"/>
      <c r="BC249" s="100"/>
      <c r="BD249" s="101"/>
      <c r="BE249" s="105"/>
      <c r="BF249" s="106"/>
      <c r="BG249" s="100">
        <f t="shared" si="399"/>
        <v>0</v>
      </c>
      <c r="BH249" s="106"/>
      <c r="BI249" s="100">
        <f t="shared" si="400"/>
        <v>0</v>
      </c>
      <c r="BJ249" s="106"/>
      <c r="BK249" s="101">
        <f t="shared" si="386"/>
        <v>0</v>
      </c>
      <c r="BL249" s="106"/>
      <c r="BM249" s="385"/>
      <c r="BN249" s="385"/>
      <c r="BO249" s="105"/>
      <c r="BP249" s="105"/>
      <c r="BQ249" s="106"/>
      <c r="BR249" s="105"/>
      <c r="BS249" s="105"/>
      <c r="BT249" s="106"/>
      <c r="BU249" s="385"/>
      <c r="BV249" s="385"/>
      <c r="BW249" s="377"/>
      <c r="BX249" s="350">
        <f t="shared" si="387"/>
        <v>0</v>
      </c>
      <c r="BY249" s="377"/>
      <c r="BZ249" s="377"/>
      <c r="CA249" s="538"/>
      <c r="CB249" s="378"/>
      <c r="CC249" s="378"/>
      <c r="CD249" s="378"/>
      <c r="CE249" s="504"/>
      <c r="CF249" s="105"/>
      <c r="CG249" s="105"/>
      <c r="CH249" s="105"/>
      <c r="CI249" s="105"/>
      <c r="CJ249" s="105"/>
      <c r="CK249" s="529"/>
      <c r="CL249" s="386"/>
      <c r="CM249" s="387"/>
      <c r="CN249" s="100"/>
      <c r="CO249" s="100">
        <f t="shared" si="423"/>
        <v>0</v>
      </c>
      <c r="CP249" s="515"/>
      <c r="CQ249" s="441"/>
      <c r="CR249" s="504"/>
      <c r="CS249" s="105"/>
      <c r="CT249" s="105"/>
      <c r="CU249" s="105"/>
      <c r="CV249" s="105"/>
      <c r="CW249" s="105"/>
      <c r="CX249" s="53"/>
      <c r="CY249" s="109">
        <f t="shared" si="424"/>
        <v>0</v>
      </c>
      <c r="CZ249" s="54"/>
      <c r="DA249" s="105"/>
      <c r="DB249" s="455"/>
      <c r="DC249" s="495"/>
      <c r="DD249" s="576"/>
      <c r="DF249" s="1133"/>
      <c r="DG249" s="674">
        <f t="shared" si="402"/>
        <v>0</v>
      </c>
      <c r="DH249" s="1119">
        <f t="shared" si="403"/>
        <v>0</v>
      </c>
      <c r="DI249" s="1119"/>
      <c r="DJ249" s="101">
        <f t="shared" si="415"/>
        <v>0</v>
      </c>
      <c r="DK249" s="101"/>
      <c r="DL249" s="101">
        <f t="shared" si="405"/>
        <v>0</v>
      </c>
      <c r="DM249" s="101"/>
      <c r="DN249" s="112"/>
      <c r="DO249" s="112"/>
      <c r="DP249" s="112"/>
      <c r="DQ249" s="112"/>
      <c r="DS249" s="389"/>
      <c r="DT249" s="389"/>
      <c r="DU249" s="389"/>
      <c r="DV249" s="389"/>
      <c r="DW249" s="389"/>
      <c r="DX249" s="389"/>
      <c r="DY249" s="389"/>
      <c r="DZ249" s="389"/>
    </row>
    <row r="250" spans="1:130" s="139" customFormat="1" ht="21.6" customHeight="1" x14ac:dyDescent="0.25">
      <c r="A250" s="4" t="s">
        <v>130</v>
      </c>
      <c r="B250" s="4">
        <v>2</v>
      </c>
      <c r="C250" s="153" t="s">
        <v>135</v>
      </c>
      <c r="D250" s="182" t="s">
        <v>431</v>
      </c>
      <c r="E250" s="13" t="s">
        <v>608</v>
      </c>
      <c r="F250" s="135">
        <v>12</v>
      </c>
      <c r="G250" s="135">
        <v>2</v>
      </c>
      <c r="H250" s="135">
        <f t="shared" ref="H250:H256" si="430">F250+G250</f>
        <v>14</v>
      </c>
      <c r="I250" s="135"/>
      <c r="J250" s="135">
        <v>15.5</v>
      </c>
      <c r="K250" s="135">
        <f t="shared" ref="K250:K256" si="431">I250+J250</f>
        <v>15.5</v>
      </c>
      <c r="L250" s="183"/>
      <c r="M250" s="5"/>
      <c r="N250" s="41"/>
      <c r="O250" s="6"/>
      <c r="P250" s="7"/>
      <c r="Q250" s="7"/>
      <c r="R250" s="7"/>
      <c r="S250" s="7"/>
      <c r="T250" s="89"/>
      <c r="U250" s="89"/>
      <c r="V250" s="89">
        <f t="shared" ref="V250:V256" si="432">T250+U250</f>
        <v>0</v>
      </c>
      <c r="W250" s="137"/>
      <c r="X250" s="137"/>
      <c r="Y250" s="90">
        <f t="shared" ref="Y250:Y256" si="433">W250+X250</f>
        <v>0</v>
      </c>
      <c r="Z250" s="91"/>
      <c r="AA250" s="92"/>
      <c r="AB250" s="92"/>
      <c r="AC250" s="92">
        <f t="shared" ref="AC250:AC258" si="434">AA250+AB250</f>
        <v>0</v>
      </c>
      <c r="AD250" s="93"/>
      <c r="AE250" s="93"/>
      <c r="AF250" s="94">
        <f t="shared" ref="AF250:AF258" si="435">AD250+AE250</f>
        <v>0</v>
      </c>
      <c r="AG250" s="473"/>
      <c r="AH250" s="99"/>
      <c r="AI250" s="99">
        <f t="shared" ref="AI250:AI256" si="436">AH250/15</f>
        <v>0</v>
      </c>
      <c r="AJ250" s="138"/>
      <c r="AK250" s="138">
        <f t="shared" ref="AK250:AK258" si="437">AJ250/15</f>
        <v>0</v>
      </c>
      <c r="AL250" s="106">
        <f>SUM(AK250:AK258)</f>
        <v>58.666666666666664</v>
      </c>
      <c r="AM250" s="105"/>
      <c r="AN250" s="105">
        <f t="shared" ref="AN250:AN258" si="438">AM250/15</f>
        <v>0</v>
      </c>
      <c r="AO250" s="106">
        <f>SUM(AN250:AN258)</f>
        <v>1.3333333333333333</v>
      </c>
      <c r="AP250" s="105"/>
      <c r="AQ250" s="105">
        <f t="shared" ref="AQ250:AQ281" si="439">AP250/15</f>
        <v>0</v>
      </c>
      <c r="AR250" s="106">
        <f>SUM(AQ250:AQ258)</f>
        <v>0</v>
      </c>
      <c r="AS250" s="97">
        <f t="shared" si="385"/>
        <v>0</v>
      </c>
      <c r="AT250" s="6">
        <f>SUM(AS250:AS258)</f>
        <v>59.999999999999993</v>
      </c>
      <c r="AU250" s="105"/>
      <c r="AV250" s="455">
        <f t="shared" si="410"/>
        <v>0</v>
      </c>
      <c r="AW250" s="496">
        <f>SUM(AV250:AV258)</f>
        <v>0</v>
      </c>
      <c r="AX250" s="508"/>
      <c r="AY250" s="498">
        <v>170</v>
      </c>
      <c r="AZ250" s="100">
        <f t="shared" ref="AZ250:AZ258" si="440">AY250/15</f>
        <v>11.333333333333334</v>
      </c>
      <c r="BA250" s="101">
        <f>SUM(AZ250:AZ258)</f>
        <v>184.33333333333334</v>
      </c>
      <c r="BB250" s="100"/>
      <c r="BC250" s="100">
        <f t="shared" ref="BC250:BC258" si="441">BB250/15</f>
        <v>0</v>
      </c>
      <c r="BD250" s="101">
        <f>SUM(BC250:BC258)</f>
        <v>0</v>
      </c>
      <c r="BE250" s="105">
        <f t="shared" ref="BE250:BE258" si="442">AK250+AZ250</f>
        <v>11.333333333333334</v>
      </c>
      <c r="BF250" s="101">
        <f>SUM(BE250:BE258)</f>
        <v>243.00000000000003</v>
      </c>
      <c r="BG250" s="100">
        <f t="shared" si="399"/>
        <v>0</v>
      </c>
      <c r="BH250" s="101">
        <f>SUM(BG250:BG258)</f>
        <v>1.3333333333333333</v>
      </c>
      <c r="BI250" s="100">
        <f t="shared" si="400"/>
        <v>0</v>
      </c>
      <c r="BJ250" s="101">
        <f>SUM(BI250:BI258)</f>
        <v>0</v>
      </c>
      <c r="BK250" s="101">
        <f t="shared" si="386"/>
        <v>11.333333333333334</v>
      </c>
      <c r="BL250" s="101">
        <f>SUM(BK250:BK258)</f>
        <v>244.33333333333337</v>
      </c>
      <c r="BM250" s="104"/>
      <c r="BN250" s="104">
        <f t="shared" ref="BN250:BN256" si="443">BM250/50</f>
        <v>0</v>
      </c>
      <c r="BO250" s="105">
        <v>550</v>
      </c>
      <c r="BP250" s="105">
        <f t="shared" si="413"/>
        <v>11</v>
      </c>
      <c r="BQ250" s="106">
        <f>SUM(BP250:BP258)</f>
        <v>159</v>
      </c>
      <c r="BR250" s="105"/>
      <c r="BS250" s="105">
        <f t="shared" si="378"/>
        <v>0</v>
      </c>
      <c r="BT250" s="106">
        <f>SUM(BS250:BS258)</f>
        <v>83</v>
      </c>
      <c r="BU250" s="53"/>
      <c r="BV250" s="53">
        <f t="shared" ref="BV250:BV258" si="444">BU250/50</f>
        <v>0</v>
      </c>
      <c r="BW250" s="54">
        <f>SUM(BV250:BV258)</f>
        <v>0</v>
      </c>
      <c r="BX250" s="350">
        <f t="shared" si="387"/>
        <v>11</v>
      </c>
      <c r="BY250" s="6">
        <f>SUM(BX250:BX258)</f>
        <v>242</v>
      </c>
      <c r="BZ250" s="6">
        <f t="shared" ref="BZ250:BZ281" si="445">BK250-BX250</f>
        <v>0.33333333333333393</v>
      </c>
      <c r="CA250" s="508"/>
      <c r="CB250" s="7"/>
      <c r="CC250" s="7"/>
      <c r="CD250" s="7"/>
      <c r="CE250" s="504"/>
      <c r="CF250" s="105"/>
      <c r="CG250" s="105">
        <f t="shared" ref="CG250:CG316" si="446">CE250+CF250</f>
        <v>0</v>
      </c>
      <c r="CH250" s="105"/>
      <c r="CI250" s="105"/>
      <c r="CJ250" s="105">
        <f t="shared" ref="CJ250:CJ316" si="447">CH250+CI250</f>
        <v>0</v>
      </c>
      <c r="CK250" s="523">
        <v>0</v>
      </c>
      <c r="CL250" s="102">
        <f>CK250/15</f>
        <v>0</v>
      </c>
      <c r="CM250" s="103">
        <f>SUM(CL250:CL258)</f>
        <v>0</v>
      </c>
      <c r="CN250" s="100"/>
      <c r="CO250" s="100">
        <f t="shared" si="423"/>
        <v>0</v>
      </c>
      <c r="CP250" s="515">
        <f>SUM(CO250:CO258)</f>
        <v>10</v>
      </c>
      <c r="CQ250" s="441"/>
      <c r="CR250" s="504"/>
      <c r="CS250" s="105"/>
      <c r="CT250" s="105">
        <f t="shared" si="389"/>
        <v>0</v>
      </c>
      <c r="CU250" s="105"/>
      <c r="CV250" s="105"/>
      <c r="CW250" s="105">
        <f t="shared" si="390"/>
        <v>0</v>
      </c>
      <c r="CX250" s="53"/>
      <c r="CY250" s="109">
        <f t="shared" si="424"/>
        <v>0</v>
      </c>
      <c r="CZ250" s="54">
        <f>SUM(CY250:CY258)</f>
        <v>0</v>
      </c>
      <c r="DA250" s="105"/>
      <c r="DB250" s="455">
        <f t="shared" si="388"/>
        <v>0</v>
      </c>
      <c r="DC250" s="495">
        <f>SUM(DB250:DB258)</f>
        <v>0</v>
      </c>
      <c r="DD250" s="24"/>
      <c r="DE250" s="139" t="s">
        <v>490</v>
      </c>
      <c r="DF250" s="1133"/>
      <c r="DG250" s="674">
        <f t="shared" si="402"/>
        <v>0</v>
      </c>
      <c r="DH250" s="1119">
        <f t="shared" si="403"/>
        <v>0</v>
      </c>
      <c r="DI250" s="1119"/>
      <c r="DJ250" s="101">
        <f t="shared" si="415"/>
        <v>11.333333333333334</v>
      </c>
      <c r="DK250" s="101">
        <f>SUM(DJ250:DJ258)</f>
        <v>254.33333333333337</v>
      </c>
      <c r="DL250" s="101">
        <f t="shared" si="405"/>
        <v>0</v>
      </c>
      <c r="DM250" s="101"/>
      <c r="DN250" s="112"/>
      <c r="DO250" s="112"/>
      <c r="DP250" s="112"/>
      <c r="DQ250" s="112"/>
      <c r="DS250" s="140"/>
      <c r="DT250" s="140">
        <f>1005-AJ250-AJ251-AJ252-AJ253-AJ254-AJ255-AJ256</f>
        <v>345</v>
      </c>
      <c r="DU250" s="140"/>
      <c r="DV250" s="140"/>
      <c r="DW250" s="140"/>
      <c r="DX250" s="140"/>
      <c r="DY250" s="140"/>
      <c r="DZ250" s="140"/>
    </row>
    <row r="251" spans="1:130" s="139" customFormat="1" ht="21.6" customHeight="1" x14ac:dyDescent="0.25">
      <c r="A251" s="4" t="s">
        <v>130</v>
      </c>
      <c r="B251" s="4">
        <v>3</v>
      </c>
      <c r="C251" s="134" t="s">
        <v>135</v>
      </c>
      <c r="D251" s="182" t="s">
        <v>431</v>
      </c>
      <c r="E251" s="13" t="s">
        <v>136</v>
      </c>
      <c r="F251" s="135">
        <v>12</v>
      </c>
      <c r="G251" s="135">
        <v>4</v>
      </c>
      <c r="H251" s="135">
        <f t="shared" si="430"/>
        <v>16</v>
      </c>
      <c r="I251" s="135"/>
      <c r="J251" s="135">
        <v>12</v>
      </c>
      <c r="K251" s="135">
        <f t="shared" si="431"/>
        <v>12</v>
      </c>
      <c r="L251" s="183"/>
      <c r="M251" s="5"/>
      <c r="N251" s="41"/>
      <c r="O251" s="6"/>
      <c r="P251" s="7"/>
      <c r="Q251" s="7"/>
      <c r="R251" s="7"/>
      <c r="S251" s="7"/>
      <c r="T251" s="89"/>
      <c r="U251" s="89"/>
      <c r="V251" s="89">
        <f t="shared" si="432"/>
        <v>0</v>
      </c>
      <c r="W251" s="137"/>
      <c r="X251" s="137"/>
      <c r="Y251" s="90">
        <f t="shared" si="433"/>
        <v>0</v>
      </c>
      <c r="Z251" s="91"/>
      <c r="AA251" s="92"/>
      <c r="AB251" s="92"/>
      <c r="AC251" s="92">
        <f t="shared" si="434"/>
        <v>0</v>
      </c>
      <c r="AD251" s="93"/>
      <c r="AE251" s="93"/>
      <c r="AF251" s="94">
        <f t="shared" si="435"/>
        <v>0</v>
      </c>
      <c r="AG251" s="473"/>
      <c r="AH251" s="99"/>
      <c r="AI251" s="99">
        <f t="shared" si="436"/>
        <v>0</v>
      </c>
      <c r="AJ251" s="138">
        <v>160</v>
      </c>
      <c r="AK251" s="138">
        <f t="shared" si="437"/>
        <v>10.666666666666666</v>
      </c>
      <c r="AL251" s="106"/>
      <c r="AM251" s="105"/>
      <c r="AN251" s="105">
        <f t="shared" si="438"/>
        <v>0</v>
      </c>
      <c r="AO251" s="106"/>
      <c r="AP251" s="105"/>
      <c r="AQ251" s="105">
        <f t="shared" si="439"/>
        <v>0</v>
      </c>
      <c r="AR251" s="106"/>
      <c r="AS251" s="97">
        <f t="shared" si="385"/>
        <v>10.666666666666666</v>
      </c>
      <c r="AT251" s="6"/>
      <c r="AU251" s="105"/>
      <c r="AV251" s="455">
        <f t="shared" si="410"/>
        <v>0</v>
      </c>
      <c r="AW251" s="496"/>
      <c r="AX251" s="508"/>
      <c r="AY251" s="498">
        <v>380</v>
      </c>
      <c r="AZ251" s="100">
        <f t="shared" si="440"/>
        <v>25.333333333333332</v>
      </c>
      <c r="BA251" s="101"/>
      <c r="BB251" s="100"/>
      <c r="BC251" s="100">
        <f t="shared" si="441"/>
        <v>0</v>
      </c>
      <c r="BD251" s="101"/>
      <c r="BE251" s="105">
        <f t="shared" si="442"/>
        <v>36</v>
      </c>
      <c r="BF251" s="106"/>
      <c r="BG251" s="100">
        <f t="shared" si="399"/>
        <v>0</v>
      </c>
      <c r="BH251" s="106"/>
      <c r="BI251" s="100">
        <f t="shared" si="400"/>
        <v>0</v>
      </c>
      <c r="BJ251" s="106"/>
      <c r="BK251" s="101">
        <f t="shared" si="386"/>
        <v>36</v>
      </c>
      <c r="BL251" s="106"/>
      <c r="BM251" s="104">
        <v>500</v>
      </c>
      <c r="BN251" s="104">
        <f t="shared" si="443"/>
        <v>10</v>
      </c>
      <c r="BO251" s="105">
        <v>500</v>
      </c>
      <c r="BP251" s="105">
        <f t="shared" si="413"/>
        <v>10</v>
      </c>
      <c r="BQ251" s="106"/>
      <c r="BR251" s="105">
        <v>1300</v>
      </c>
      <c r="BS251" s="105">
        <f t="shared" si="378"/>
        <v>26</v>
      </c>
      <c r="BT251" s="106"/>
      <c r="BU251" s="53"/>
      <c r="BV251" s="53">
        <f t="shared" si="444"/>
        <v>0</v>
      </c>
      <c r="BW251" s="54"/>
      <c r="BX251" s="350">
        <f t="shared" si="387"/>
        <v>36</v>
      </c>
      <c r="BY251" s="6"/>
      <c r="BZ251" s="6">
        <f t="shared" si="445"/>
        <v>0</v>
      </c>
      <c r="CA251" s="508"/>
      <c r="CB251" s="7"/>
      <c r="CC251" s="7"/>
      <c r="CD251" s="7"/>
      <c r="CE251" s="504"/>
      <c r="CF251" s="105"/>
      <c r="CG251" s="105">
        <f t="shared" si="446"/>
        <v>0</v>
      </c>
      <c r="CH251" s="105"/>
      <c r="CI251" s="105"/>
      <c r="CJ251" s="105">
        <f t="shared" si="447"/>
        <v>0</v>
      </c>
      <c r="CK251" s="523"/>
      <c r="CL251" s="102">
        <f t="shared" ref="CL251:CL258" si="448">CK251/15</f>
        <v>0</v>
      </c>
      <c r="CM251" s="103"/>
      <c r="CN251" s="100"/>
      <c r="CO251" s="100">
        <f t="shared" si="423"/>
        <v>0</v>
      </c>
      <c r="CP251" s="515"/>
      <c r="CQ251" s="441"/>
      <c r="CR251" s="504"/>
      <c r="CS251" s="105"/>
      <c r="CT251" s="105">
        <f t="shared" si="389"/>
        <v>0</v>
      </c>
      <c r="CU251" s="105"/>
      <c r="CV251" s="105"/>
      <c r="CW251" s="105">
        <f t="shared" si="390"/>
        <v>0</v>
      </c>
      <c r="CX251" s="53"/>
      <c r="CY251" s="109">
        <f t="shared" si="424"/>
        <v>0</v>
      </c>
      <c r="CZ251" s="54"/>
      <c r="DA251" s="105"/>
      <c r="DB251" s="455">
        <f t="shared" si="388"/>
        <v>0</v>
      </c>
      <c r="DC251" s="495"/>
      <c r="DD251" s="24" t="s">
        <v>390</v>
      </c>
      <c r="DE251" s="139" t="s">
        <v>491</v>
      </c>
      <c r="DF251" s="1133"/>
      <c r="DG251" s="674">
        <f t="shared" si="402"/>
        <v>0</v>
      </c>
      <c r="DH251" s="1119">
        <f t="shared" si="403"/>
        <v>0</v>
      </c>
      <c r="DI251" s="1119"/>
      <c r="DJ251" s="101">
        <f t="shared" si="415"/>
        <v>36</v>
      </c>
      <c r="DK251" s="101"/>
      <c r="DL251" s="101">
        <f t="shared" si="405"/>
        <v>0</v>
      </c>
      <c r="DM251" s="101"/>
      <c r="DN251" s="112"/>
      <c r="DO251" s="112"/>
      <c r="DP251" s="112"/>
      <c r="DQ251" s="112"/>
      <c r="DS251" s="140"/>
      <c r="DT251" s="140"/>
      <c r="DU251" s="140"/>
      <c r="DV251" s="140"/>
      <c r="DW251" s="140"/>
      <c r="DX251" s="140"/>
      <c r="DY251" s="140"/>
      <c r="DZ251" s="140"/>
    </row>
    <row r="252" spans="1:130" s="139" customFormat="1" ht="33" customHeight="1" x14ac:dyDescent="0.25">
      <c r="A252" s="4" t="s">
        <v>130</v>
      </c>
      <c r="B252" s="4">
        <v>5</v>
      </c>
      <c r="C252" s="134" t="s">
        <v>135</v>
      </c>
      <c r="D252" s="182" t="s">
        <v>437</v>
      </c>
      <c r="E252" s="13" t="s">
        <v>137</v>
      </c>
      <c r="F252" s="135">
        <v>56</v>
      </c>
      <c r="G252" s="135">
        <v>14</v>
      </c>
      <c r="H252" s="135">
        <f t="shared" si="430"/>
        <v>70</v>
      </c>
      <c r="I252" s="135">
        <v>45</v>
      </c>
      <c r="J252" s="135">
        <v>8.8000000000000007</v>
      </c>
      <c r="K252" s="135">
        <f t="shared" si="431"/>
        <v>53.8</v>
      </c>
      <c r="L252" s="183"/>
      <c r="M252" s="5"/>
      <c r="N252" s="41"/>
      <c r="O252" s="6"/>
      <c r="P252" s="7"/>
      <c r="Q252" s="7"/>
      <c r="R252" s="7"/>
      <c r="S252" s="7"/>
      <c r="T252" s="89"/>
      <c r="U252" s="89"/>
      <c r="V252" s="89">
        <f t="shared" si="432"/>
        <v>0</v>
      </c>
      <c r="W252" s="137"/>
      <c r="X252" s="137"/>
      <c r="Y252" s="90">
        <f t="shared" si="433"/>
        <v>0</v>
      </c>
      <c r="Z252" s="91"/>
      <c r="AA252" s="92"/>
      <c r="AB252" s="92"/>
      <c r="AC252" s="92">
        <f t="shared" si="434"/>
        <v>0</v>
      </c>
      <c r="AD252" s="93"/>
      <c r="AE252" s="93"/>
      <c r="AF252" s="94">
        <f t="shared" si="435"/>
        <v>0</v>
      </c>
      <c r="AG252" s="473"/>
      <c r="AH252" s="99">
        <v>155</v>
      </c>
      <c r="AI252" s="99">
        <f t="shared" si="436"/>
        <v>10.333333333333334</v>
      </c>
      <c r="AJ252" s="138">
        <v>240</v>
      </c>
      <c r="AK252" s="138">
        <f t="shared" si="437"/>
        <v>16</v>
      </c>
      <c r="AL252" s="106"/>
      <c r="AM252" s="105"/>
      <c r="AN252" s="105">
        <f t="shared" si="438"/>
        <v>0</v>
      </c>
      <c r="AO252" s="106"/>
      <c r="AP252" s="105"/>
      <c r="AQ252" s="105">
        <f t="shared" si="439"/>
        <v>0</v>
      </c>
      <c r="AR252" s="106"/>
      <c r="AS252" s="97">
        <f t="shared" si="385"/>
        <v>16</v>
      </c>
      <c r="AT252" s="6"/>
      <c r="AU252" s="105"/>
      <c r="AV252" s="455">
        <f t="shared" si="410"/>
        <v>0</v>
      </c>
      <c r="AW252" s="496"/>
      <c r="AX252" s="508"/>
      <c r="AY252" s="498">
        <v>910</v>
      </c>
      <c r="AZ252" s="100">
        <f t="shared" si="440"/>
        <v>60.666666666666664</v>
      </c>
      <c r="BA252" s="101"/>
      <c r="BB252" s="100"/>
      <c r="BC252" s="100">
        <f t="shared" si="441"/>
        <v>0</v>
      </c>
      <c r="BD252" s="101"/>
      <c r="BE252" s="105">
        <f t="shared" si="442"/>
        <v>76.666666666666657</v>
      </c>
      <c r="BF252" s="106"/>
      <c r="BG252" s="100">
        <f t="shared" si="399"/>
        <v>0</v>
      </c>
      <c r="BH252" s="106"/>
      <c r="BI252" s="100">
        <f t="shared" si="400"/>
        <v>0</v>
      </c>
      <c r="BJ252" s="106"/>
      <c r="BK252" s="101">
        <f t="shared" si="386"/>
        <v>76.666666666666657</v>
      </c>
      <c r="BL252" s="106"/>
      <c r="BM252" s="104">
        <v>1050</v>
      </c>
      <c r="BN252" s="104">
        <f t="shared" si="443"/>
        <v>21</v>
      </c>
      <c r="BO252" s="105">
        <f>1800+350</f>
        <v>2150</v>
      </c>
      <c r="BP252" s="105">
        <f t="shared" si="413"/>
        <v>43</v>
      </c>
      <c r="BQ252" s="106"/>
      <c r="BR252" s="105">
        <v>2050</v>
      </c>
      <c r="BS252" s="105">
        <f t="shared" si="378"/>
        <v>41</v>
      </c>
      <c r="BT252" s="106"/>
      <c r="BU252" s="53"/>
      <c r="BV252" s="53">
        <f t="shared" si="444"/>
        <v>0</v>
      </c>
      <c r="BW252" s="54"/>
      <c r="BX252" s="350">
        <f t="shared" si="387"/>
        <v>84</v>
      </c>
      <c r="BY252" s="6"/>
      <c r="BZ252" s="6">
        <f t="shared" si="445"/>
        <v>-7.3333333333333428</v>
      </c>
      <c r="CA252" s="508"/>
      <c r="CB252" s="7"/>
      <c r="CC252" s="7"/>
      <c r="CD252" s="7"/>
      <c r="CE252" s="504"/>
      <c r="CF252" s="105"/>
      <c r="CG252" s="105">
        <f t="shared" si="446"/>
        <v>0</v>
      </c>
      <c r="CH252" s="105"/>
      <c r="CI252" s="105"/>
      <c r="CJ252" s="105">
        <f t="shared" si="447"/>
        <v>0</v>
      </c>
      <c r="CK252" s="523"/>
      <c r="CL252" s="102">
        <f t="shared" si="448"/>
        <v>0</v>
      </c>
      <c r="CM252" s="103"/>
      <c r="CN252" s="100">
        <v>150</v>
      </c>
      <c r="CO252" s="100">
        <f t="shared" si="423"/>
        <v>10</v>
      </c>
      <c r="CP252" s="515"/>
      <c r="CQ252" s="441"/>
      <c r="CR252" s="504"/>
      <c r="CS252" s="105"/>
      <c r="CT252" s="105">
        <f t="shared" si="389"/>
        <v>0</v>
      </c>
      <c r="CU252" s="105"/>
      <c r="CV252" s="105"/>
      <c r="CW252" s="105">
        <f t="shared" si="390"/>
        <v>0</v>
      </c>
      <c r="CX252" s="53"/>
      <c r="CY252" s="109">
        <f t="shared" si="424"/>
        <v>0</v>
      </c>
      <c r="CZ252" s="54"/>
      <c r="DA252" s="105"/>
      <c r="DB252" s="455">
        <f t="shared" si="388"/>
        <v>0</v>
      </c>
      <c r="DC252" s="495"/>
      <c r="DD252" s="24" t="s">
        <v>391</v>
      </c>
      <c r="DE252" s="139" t="s">
        <v>492</v>
      </c>
      <c r="DF252" s="1133"/>
      <c r="DG252" s="674">
        <f t="shared" si="402"/>
        <v>0</v>
      </c>
      <c r="DH252" s="1119">
        <f t="shared" si="403"/>
        <v>10</v>
      </c>
      <c r="DI252" s="1119"/>
      <c r="DJ252" s="101">
        <f t="shared" si="415"/>
        <v>86.666666666666657</v>
      </c>
      <c r="DK252" s="101"/>
      <c r="DL252" s="101">
        <f t="shared" si="405"/>
        <v>0</v>
      </c>
      <c r="DM252" s="101"/>
      <c r="DN252" s="112"/>
      <c r="DO252" s="112">
        <f>DJ252</f>
        <v>86.666666666666657</v>
      </c>
      <c r="DP252" s="112"/>
      <c r="DQ252" s="112"/>
      <c r="DS252" s="140"/>
      <c r="DT252" s="140"/>
      <c r="DU252" s="140"/>
      <c r="DV252" s="140"/>
      <c r="DW252" s="140"/>
      <c r="DX252" s="140"/>
      <c r="DY252" s="140"/>
      <c r="DZ252" s="140"/>
    </row>
    <row r="253" spans="1:130" s="139" customFormat="1" ht="21.6" customHeight="1" x14ac:dyDescent="0.25">
      <c r="A253" s="4" t="s">
        <v>130</v>
      </c>
      <c r="B253" s="4">
        <v>7</v>
      </c>
      <c r="C253" s="134" t="s">
        <v>135</v>
      </c>
      <c r="D253" s="182" t="s">
        <v>431</v>
      </c>
      <c r="E253" s="13" t="s">
        <v>138</v>
      </c>
      <c r="F253" s="135">
        <v>12</v>
      </c>
      <c r="G253" s="135">
        <v>2</v>
      </c>
      <c r="H253" s="135">
        <f t="shared" si="430"/>
        <v>14</v>
      </c>
      <c r="I253" s="135"/>
      <c r="J253" s="135">
        <v>10.8</v>
      </c>
      <c r="K253" s="135">
        <f t="shared" si="431"/>
        <v>10.8</v>
      </c>
      <c r="L253" s="183"/>
      <c r="M253" s="5"/>
      <c r="N253" s="41"/>
      <c r="O253" s="6"/>
      <c r="P253" s="7"/>
      <c r="Q253" s="7"/>
      <c r="R253" s="7"/>
      <c r="S253" s="7"/>
      <c r="T253" s="89"/>
      <c r="U253" s="89"/>
      <c r="V253" s="89">
        <f t="shared" si="432"/>
        <v>0</v>
      </c>
      <c r="W253" s="137"/>
      <c r="X253" s="137"/>
      <c r="Y253" s="90">
        <f t="shared" si="433"/>
        <v>0</v>
      </c>
      <c r="Z253" s="91"/>
      <c r="AA253" s="92"/>
      <c r="AB253" s="92"/>
      <c r="AC253" s="92">
        <f t="shared" si="434"/>
        <v>0</v>
      </c>
      <c r="AD253" s="93"/>
      <c r="AE253" s="93"/>
      <c r="AF253" s="94">
        <f t="shared" si="435"/>
        <v>0</v>
      </c>
      <c r="AG253" s="473"/>
      <c r="AH253" s="99">
        <v>100</v>
      </c>
      <c r="AI253" s="99">
        <f t="shared" si="436"/>
        <v>6.666666666666667</v>
      </c>
      <c r="AJ253" s="138">
        <v>100</v>
      </c>
      <c r="AK253" s="138">
        <f t="shared" si="437"/>
        <v>6.666666666666667</v>
      </c>
      <c r="AL253" s="106"/>
      <c r="AM253" s="105"/>
      <c r="AN253" s="105">
        <f t="shared" si="438"/>
        <v>0</v>
      </c>
      <c r="AO253" s="106"/>
      <c r="AP253" s="105"/>
      <c r="AQ253" s="105">
        <f t="shared" si="439"/>
        <v>0</v>
      </c>
      <c r="AR253" s="106"/>
      <c r="AS253" s="97">
        <f t="shared" si="385"/>
        <v>6.666666666666667</v>
      </c>
      <c r="AT253" s="6"/>
      <c r="AU253" s="105"/>
      <c r="AV253" s="455">
        <f t="shared" si="410"/>
        <v>0</v>
      </c>
      <c r="AW253" s="496"/>
      <c r="AX253" s="508"/>
      <c r="AY253" s="498">
        <v>145</v>
      </c>
      <c r="AZ253" s="100">
        <f t="shared" si="440"/>
        <v>9.6666666666666661</v>
      </c>
      <c r="BA253" s="101"/>
      <c r="BB253" s="100"/>
      <c r="BC253" s="100">
        <f t="shared" si="441"/>
        <v>0</v>
      </c>
      <c r="BD253" s="101"/>
      <c r="BE253" s="105">
        <f t="shared" si="442"/>
        <v>16.333333333333332</v>
      </c>
      <c r="BF253" s="106"/>
      <c r="BG253" s="100">
        <f t="shared" si="399"/>
        <v>0</v>
      </c>
      <c r="BH253" s="106"/>
      <c r="BI253" s="100">
        <f t="shared" si="400"/>
        <v>0</v>
      </c>
      <c r="BJ253" s="106"/>
      <c r="BK253" s="101">
        <f t="shared" si="386"/>
        <v>16.333333333333332</v>
      </c>
      <c r="BL253" s="106"/>
      <c r="BM253" s="104"/>
      <c r="BN253" s="104">
        <f t="shared" si="443"/>
        <v>0</v>
      </c>
      <c r="BO253" s="105">
        <v>100</v>
      </c>
      <c r="BP253" s="105">
        <f t="shared" si="413"/>
        <v>2</v>
      </c>
      <c r="BQ253" s="106"/>
      <c r="BR253" s="105"/>
      <c r="BS253" s="105">
        <f t="shared" si="378"/>
        <v>0</v>
      </c>
      <c r="BT253" s="106"/>
      <c r="BU253" s="53"/>
      <c r="BV253" s="53">
        <f t="shared" si="444"/>
        <v>0</v>
      </c>
      <c r="BW253" s="54"/>
      <c r="BX253" s="350">
        <f t="shared" si="387"/>
        <v>2</v>
      </c>
      <c r="BY253" s="6"/>
      <c r="BZ253" s="6">
        <f t="shared" si="445"/>
        <v>14.333333333333332</v>
      </c>
      <c r="CA253" s="508"/>
      <c r="CB253" s="7"/>
      <c r="CC253" s="7"/>
      <c r="CD253" s="7"/>
      <c r="CE253" s="504"/>
      <c r="CF253" s="105"/>
      <c r="CG253" s="105">
        <f t="shared" si="446"/>
        <v>0</v>
      </c>
      <c r="CH253" s="105"/>
      <c r="CI253" s="105"/>
      <c r="CJ253" s="105">
        <f t="shared" si="447"/>
        <v>0</v>
      </c>
      <c r="CK253" s="523"/>
      <c r="CL253" s="102">
        <f t="shared" si="448"/>
        <v>0</v>
      </c>
      <c r="CM253" s="103"/>
      <c r="CN253" s="100"/>
      <c r="CO253" s="100">
        <f t="shared" si="423"/>
        <v>0</v>
      </c>
      <c r="CP253" s="515"/>
      <c r="CQ253" s="441"/>
      <c r="CR253" s="504"/>
      <c r="CS253" s="105"/>
      <c r="CT253" s="105">
        <f t="shared" si="389"/>
        <v>0</v>
      </c>
      <c r="CU253" s="105"/>
      <c r="CV253" s="105"/>
      <c r="CW253" s="105">
        <f t="shared" si="390"/>
        <v>0</v>
      </c>
      <c r="CX253" s="53"/>
      <c r="CY253" s="109">
        <f t="shared" si="424"/>
        <v>0</v>
      </c>
      <c r="CZ253" s="54"/>
      <c r="DA253" s="105"/>
      <c r="DB253" s="455">
        <f t="shared" si="388"/>
        <v>0</v>
      </c>
      <c r="DC253" s="495"/>
      <c r="DD253" s="24"/>
      <c r="DE253" s="139" t="s">
        <v>493</v>
      </c>
      <c r="DF253" s="1133"/>
      <c r="DG253" s="674">
        <f t="shared" si="402"/>
        <v>0</v>
      </c>
      <c r="DH253" s="1119">
        <f t="shared" si="403"/>
        <v>0</v>
      </c>
      <c r="DI253" s="1119"/>
      <c r="DJ253" s="101">
        <f t="shared" si="415"/>
        <v>16.333333333333332</v>
      </c>
      <c r="DK253" s="101"/>
      <c r="DL253" s="101">
        <f t="shared" si="405"/>
        <v>0</v>
      </c>
      <c r="DM253" s="101"/>
      <c r="DN253" s="112"/>
      <c r="DO253" s="112"/>
      <c r="DP253" s="112"/>
      <c r="DQ253" s="112"/>
      <c r="DS253" s="140"/>
      <c r="DT253" s="140"/>
      <c r="DU253" s="140"/>
      <c r="DV253" s="140"/>
      <c r="DW253" s="140"/>
      <c r="DX253" s="140"/>
      <c r="DY253" s="140"/>
      <c r="DZ253" s="140"/>
    </row>
    <row r="254" spans="1:130" s="139" customFormat="1" ht="21.6" customHeight="1" x14ac:dyDescent="0.25">
      <c r="A254" s="4" t="s">
        <v>130</v>
      </c>
      <c r="B254" s="4">
        <v>8</v>
      </c>
      <c r="C254" s="134" t="s">
        <v>135</v>
      </c>
      <c r="D254" s="182" t="s">
        <v>431</v>
      </c>
      <c r="E254" s="13" t="s">
        <v>139</v>
      </c>
      <c r="F254" s="135">
        <v>15</v>
      </c>
      <c r="G254" s="135"/>
      <c r="H254" s="135">
        <f t="shared" si="430"/>
        <v>15</v>
      </c>
      <c r="I254" s="135">
        <v>1.3</v>
      </c>
      <c r="J254" s="135">
        <v>12</v>
      </c>
      <c r="K254" s="135">
        <f t="shared" si="431"/>
        <v>13.3</v>
      </c>
      <c r="L254" s="183"/>
      <c r="M254" s="5"/>
      <c r="N254" s="41"/>
      <c r="O254" s="6"/>
      <c r="P254" s="7"/>
      <c r="Q254" s="7"/>
      <c r="R254" s="7"/>
      <c r="S254" s="7"/>
      <c r="T254" s="89"/>
      <c r="U254" s="89"/>
      <c r="V254" s="89">
        <f t="shared" si="432"/>
        <v>0</v>
      </c>
      <c r="W254" s="137"/>
      <c r="X254" s="137"/>
      <c r="Y254" s="90">
        <f t="shared" si="433"/>
        <v>0</v>
      </c>
      <c r="Z254" s="91"/>
      <c r="AA254" s="92"/>
      <c r="AB254" s="92"/>
      <c r="AC254" s="92">
        <f t="shared" si="434"/>
        <v>0</v>
      </c>
      <c r="AD254" s="93"/>
      <c r="AE254" s="93"/>
      <c r="AF254" s="94">
        <f t="shared" si="435"/>
        <v>0</v>
      </c>
      <c r="AG254" s="473"/>
      <c r="AH254" s="99"/>
      <c r="AI254" s="99">
        <f t="shared" si="436"/>
        <v>0</v>
      </c>
      <c r="AJ254" s="138">
        <v>50</v>
      </c>
      <c r="AK254" s="138">
        <f t="shared" si="437"/>
        <v>3.3333333333333335</v>
      </c>
      <c r="AL254" s="106"/>
      <c r="AM254" s="105">
        <f>10+10</f>
        <v>20</v>
      </c>
      <c r="AN254" s="105">
        <f t="shared" si="438"/>
        <v>1.3333333333333333</v>
      </c>
      <c r="AO254" s="106"/>
      <c r="AP254" s="105"/>
      <c r="AQ254" s="105">
        <f t="shared" si="439"/>
        <v>0</v>
      </c>
      <c r="AR254" s="106"/>
      <c r="AS254" s="97">
        <f t="shared" si="385"/>
        <v>4.666666666666667</v>
      </c>
      <c r="AT254" s="6"/>
      <c r="AU254" s="105"/>
      <c r="AV254" s="455">
        <f t="shared" si="410"/>
        <v>0</v>
      </c>
      <c r="AW254" s="496"/>
      <c r="AX254" s="508"/>
      <c r="AY254" s="498">
        <v>250</v>
      </c>
      <c r="AZ254" s="100">
        <f t="shared" si="440"/>
        <v>16.666666666666668</v>
      </c>
      <c r="BA254" s="101"/>
      <c r="BB254" s="100"/>
      <c r="BC254" s="100">
        <f t="shared" si="441"/>
        <v>0</v>
      </c>
      <c r="BD254" s="101"/>
      <c r="BE254" s="105">
        <f t="shared" si="442"/>
        <v>20</v>
      </c>
      <c r="BF254" s="106"/>
      <c r="BG254" s="100">
        <f t="shared" si="399"/>
        <v>1.3333333333333333</v>
      </c>
      <c r="BH254" s="106"/>
      <c r="BI254" s="100">
        <f t="shared" si="400"/>
        <v>0</v>
      </c>
      <c r="BJ254" s="106"/>
      <c r="BK254" s="101">
        <f t="shared" si="386"/>
        <v>21.333333333333332</v>
      </c>
      <c r="BL254" s="106"/>
      <c r="BM254" s="104">
        <v>875.1</v>
      </c>
      <c r="BN254" s="104">
        <f t="shared" si="443"/>
        <v>17.501999999999999</v>
      </c>
      <c r="BO254" s="105">
        <v>850</v>
      </c>
      <c r="BP254" s="105">
        <f t="shared" si="413"/>
        <v>17</v>
      </c>
      <c r="BQ254" s="106"/>
      <c r="BR254" s="105">
        <v>150</v>
      </c>
      <c r="BS254" s="105">
        <f t="shared" si="378"/>
        <v>3</v>
      </c>
      <c r="BT254" s="106"/>
      <c r="BU254" s="53"/>
      <c r="BV254" s="53">
        <f t="shared" si="444"/>
        <v>0</v>
      </c>
      <c r="BW254" s="54"/>
      <c r="BX254" s="350">
        <f t="shared" si="387"/>
        <v>20</v>
      </c>
      <c r="BY254" s="6"/>
      <c r="BZ254" s="6">
        <f t="shared" si="445"/>
        <v>1.3333333333333321</v>
      </c>
      <c r="CA254" s="508"/>
      <c r="CB254" s="7"/>
      <c r="CC254" s="7"/>
      <c r="CD254" s="7"/>
      <c r="CE254" s="504"/>
      <c r="CF254" s="105"/>
      <c r="CG254" s="105">
        <f t="shared" si="446"/>
        <v>0</v>
      </c>
      <c r="CH254" s="105"/>
      <c r="CI254" s="105"/>
      <c r="CJ254" s="105">
        <f t="shared" si="447"/>
        <v>0</v>
      </c>
      <c r="CK254" s="523"/>
      <c r="CL254" s="102">
        <f t="shared" si="448"/>
        <v>0</v>
      </c>
      <c r="CM254" s="103"/>
      <c r="CN254" s="100"/>
      <c r="CO254" s="100">
        <f t="shared" si="423"/>
        <v>0</v>
      </c>
      <c r="CP254" s="515"/>
      <c r="CQ254" s="441"/>
      <c r="CR254" s="504"/>
      <c r="CS254" s="105"/>
      <c r="CT254" s="105">
        <f t="shared" si="389"/>
        <v>0</v>
      </c>
      <c r="CU254" s="105"/>
      <c r="CV254" s="105"/>
      <c r="CW254" s="105">
        <f t="shared" si="390"/>
        <v>0</v>
      </c>
      <c r="CX254" s="53"/>
      <c r="CY254" s="109">
        <f t="shared" si="424"/>
        <v>0</v>
      </c>
      <c r="CZ254" s="54"/>
      <c r="DA254" s="105"/>
      <c r="DB254" s="455">
        <f t="shared" si="388"/>
        <v>0</v>
      </c>
      <c r="DC254" s="495"/>
      <c r="DD254" s="24" t="s">
        <v>389</v>
      </c>
      <c r="DE254" s="139" t="s">
        <v>494</v>
      </c>
      <c r="DF254" s="1133"/>
      <c r="DG254" s="674">
        <f t="shared" si="402"/>
        <v>0</v>
      </c>
      <c r="DH254" s="1119">
        <f t="shared" si="403"/>
        <v>0</v>
      </c>
      <c r="DI254" s="1119"/>
      <c r="DJ254" s="101">
        <f t="shared" si="415"/>
        <v>21.333333333333336</v>
      </c>
      <c r="DK254" s="101"/>
      <c r="DL254" s="101">
        <f t="shared" si="405"/>
        <v>0</v>
      </c>
      <c r="DM254" s="101"/>
      <c r="DN254" s="112"/>
      <c r="DO254" s="112"/>
      <c r="DP254" s="112"/>
      <c r="DQ254" s="112"/>
      <c r="DS254" s="140"/>
      <c r="DT254" s="140"/>
      <c r="DU254" s="140"/>
      <c r="DV254" s="140"/>
      <c r="DW254" s="140"/>
      <c r="DX254" s="140"/>
      <c r="DY254" s="140"/>
      <c r="DZ254" s="140"/>
    </row>
    <row r="255" spans="1:130" s="139" customFormat="1" ht="21.6" customHeight="1" x14ac:dyDescent="0.25">
      <c r="A255" s="4" t="s">
        <v>130</v>
      </c>
      <c r="B255" s="4">
        <v>9</v>
      </c>
      <c r="C255" s="134" t="s">
        <v>135</v>
      </c>
      <c r="D255" s="182" t="s">
        <v>431</v>
      </c>
      <c r="E255" s="13" t="s">
        <v>140</v>
      </c>
      <c r="F255" s="135">
        <v>10</v>
      </c>
      <c r="G255" s="135">
        <v>4</v>
      </c>
      <c r="H255" s="135">
        <f t="shared" si="430"/>
        <v>14</v>
      </c>
      <c r="I255" s="135"/>
      <c r="J255" s="135">
        <v>12</v>
      </c>
      <c r="K255" s="135">
        <f t="shared" si="431"/>
        <v>12</v>
      </c>
      <c r="L255" s="183"/>
      <c r="M255" s="5"/>
      <c r="N255" s="41"/>
      <c r="O255" s="6"/>
      <c r="P255" s="7"/>
      <c r="Q255" s="7"/>
      <c r="R255" s="7"/>
      <c r="S255" s="7"/>
      <c r="T255" s="89"/>
      <c r="U255" s="89"/>
      <c r="V255" s="89">
        <f t="shared" si="432"/>
        <v>0</v>
      </c>
      <c r="W255" s="137"/>
      <c r="X255" s="137"/>
      <c r="Y255" s="90">
        <f t="shared" si="433"/>
        <v>0</v>
      </c>
      <c r="Z255" s="91"/>
      <c r="AA255" s="92"/>
      <c r="AB255" s="92"/>
      <c r="AC255" s="92">
        <f t="shared" si="434"/>
        <v>0</v>
      </c>
      <c r="AD255" s="93"/>
      <c r="AE255" s="93"/>
      <c r="AF255" s="94">
        <f t="shared" si="435"/>
        <v>0</v>
      </c>
      <c r="AG255" s="473"/>
      <c r="AH255" s="99"/>
      <c r="AI255" s="99">
        <f t="shared" si="436"/>
        <v>0</v>
      </c>
      <c r="AJ255" s="138">
        <v>110</v>
      </c>
      <c r="AK255" s="138">
        <f t="shared" si="437"/>
        <v>7.333333333333333</v>
      </c>
      <c r="AL255" s="106"/>
      <c r="AM255" s="105"/>
      <c r="AN255" s="105">
        <f t="shared" si="438"/>
        <v>0</v>
      </c>
      <c r="AO255" s="106"/>
      <c r="AP255" s="105"/>
      <c r="AQ255" s="105">
        <f t="shared" si="439"/>
        <v>0</v>
      </c>
      <c r="AR255" s="106"/>
      <c r="AS255" s="97">
        <f t="shared" si="385"/>
        <v>7.333333333333333</v>
      </c>
      <c r="AT255" s="6"/>
      <c r="AU255" s="105"/>
      <c r="AV255" s="455">
        <f t="shared" si="410"/>
        <v>0</v>
      </c>
      <c r="AW255" s="496"/>
      <c r="AX255" s="508"/>
      <c r="AY255" s="498">
        <v>175</v>
      </c>
      <c r="AZ255" s="100">
        <f t="shared" si="440"/>
        <v>11.666666666666666</v>
      </c>
      <c r="BA255" s="101"/>
      <c r="BB255" s="100"/>
      <c r="BC255" s="100">
        <f t="shared" si="441"/>
        <v>0</v>
      </c>
      <c r="BD255" s="101"/>
      <c r="BE255" s="105">
        <f t="shared" si="442"/>
        <v>19</v>
      </c>
      <c r="BF255" s="106"/>
      <c r="BG255" s="100">
        <f t="shared" si="399"/>
        <v>0</v>
      </c>
      <c r="BH255" s="106"/>
      <c r="BI255" s="100">
        <f t="shared" si="400"/>
        <v>0</v>
      </c>
      <c r="BJ255" s="106"/>
      <c r="BK255" s="101">
        <f t="shared" si="386"/>
        <v>19</v>
      </c>
      <c r="BL255" s="106"/>
      <c r="BM255" s="104"/>
      <c r="BN255" s="104">
        <f t="shared" si="443"/>
        <v>0</v>
      </c>
      <c r="BO255" s="105">
        <v>950</v>
      </c>
      <c r="BP255" s="105">
        <f t="shared" si="413"/>
        <v>19</v>
      </c>
      <c r="BQ255" s="106"/>
      <c r="BR255" s="105"/>
      <c r="BS255" s="105">
        <f t="shared" si="378"/>
        <v>0</v>
      </c>
      <c r="BT255" s="106"/>
      <c r="BU255" s="53"/>
      <c r="BV255" s="53">
        <f t="shared" si="444"/>
        <v>0</v>
      </c>
      <c r="BW255" s="54"/>
      <c r="BX255" s="350">
        <f t="shared" si="387"/>
        <v>19</v>
      </c>
      <c r="BY255" s="6"/>
      <c r="BZ255" s="6">
        <f t="shared" si="445"/>
        <v>0</v>
      </c>
      <c r="CA255" s="508"/>
      <c r="CB255" s="7"/>
      <c r="CC255" s="7"/>
      <c r="CD255" s="7"/>
      <c r="CE255" s="504"/>
      <c r="CF255" s="105"/>
      <c r="CG255" s="105">
        <f t="shared" si="446"/>
        <v>0</v>
      </c>
      <c r="CH255" s="105"/>
      <c r="CI255" s="105"/>
      <c r="CJ255" s="105">
        <f t="shared" si="447"/>
        <v>0</v>
      </c>
      <c r="CK255" s="523"/>
      <c r="CL255" s="102">
        <f t="shared" si="448"/>
        <v>0</v>
      </c>
      <c r="CM255" s="103"/>
      <c r="CN255" s="100"/>
      <c r="CO255" s="100">
        <f t="shared" si="423"/>
        <v>0</v>
      </c>
      <c r="CP255" s="515"/>
      <c r="CQ255" s="441"/>
      <c r="CR255" s="504"/>
      <c r="CS255" s="105"/>
      <c r="CT255" s="105">
        <f t="shared" si="389"/>
        <v>0</v>
      </c>
      <c r="CU255" s="105"/>
      <c r="CV255" s="105"/>
      <c r="CW255" s="105">
        <f t="shared" si="390"/>
        <v>0</v>
      </c>
      <c r="CX255" s="53"/>
      <c r="CY255" s="109">
        <f t="shared" si="424"/>
        <v>0</v>
      </c>
      <c r="CZ255" s="54"/>
      <c r="DA255" s="105"/>
      <c r="DB255" s="455">
        <f t="shared" si="388"/>
        <v>0</v>
      </c>
      <c r="DC255" s="495"/>
      <c r="DD255" s="24"/>
      <c r="DE255" s="139" t="s">
        <v>493</v>
      </c>
      <c r="DF255" s="1133"/>
      <c r="DG255" s="674">
        <f t="shared" si="402"/>
        <v>0</v>
      </c>
      <c r="DH255" s="1119">
        <f t="shared" si="403"/>
        <v>0</v>
      </c>
      <c r="DI255" s="1119"/>
      <c r="DJ255" s="101">
        <f t="shared" si="415"/>
        <v>19</v>
      </c>
      <c r="DK255" s="101"/>
      <c r="DL255" s="101">
        <f t="shared" si="405"/>
        <v>0</v>
      </c>
      <c r="DM255" s="101"/>
      <c r="DN255" s="112"/>
      <c r="DO255" s="112"/>
      <c r="DP255" s="112"/>
      <c r="DQ255" s="112"/>
      <c r="DS255" s="140"/>
      <c r="DT255" s="140"/>
      <c r="DU255" s="140"/>
      <c r="DV255" s="140"/>
      <c r="DW255" s="140"/>
      <c r="DX255" s="140"/>
      <c r="DY255" s="140"/>
      <c r="DZ255" s="140"/>
    </row>
    <row r="256" spans="1:130" s="139" customFormat="1" ht="21.6" customHeight="1" x14ac:dyDescent="0.25">
      <c r="A256" s="4" t="s">
        <v>130</v>
      </c>
      <c r="B256" s="4">
        <v>10</v>
      </c>
      <c r="C256" s="134" t="s">
        <v>135</v>
      </c>
      <c r="D256" s="182" t="s">
        <v>431</v>
      </c>
      <c r="E256" s="13" t="s">
        <v>141</v>
      </c>
      <c r="F256" s="135">
        <v>33</v>
      </c>
      <c r="G256" s="135">
        <v>9</v>
      </c>
      <c r="H256" s="135">
        <f t="shared" si="430"/>
        <v>42</v>
      </c>
      <c r="I256" s="135"/>
      <c r="J256" s="135">
        <v>28.9</v>
      </c>
      <c r="K256" s="135">
        <f t="shared" si="431"/>
        <v>28.9</v>
      </c>
      <c r="L256" s="183"/>
      <c r="M256" s="5"/>
      <c r="N256" s="41"/>
      <c r="O256" s="6"/>
      <c r="P256" s="7"/>
      <c r="Q256" s="7"/>
      <c r="R256" s="7"/>
      <c r="S256" s="7"/>
      <c r="T256" s="89"/>
      <c r="U256" s="89"/>
      <c r="V256" s="89">
        <f t="shared" si="432"/>
        <v>0</v>
      </c>
      <c r="W256" s="137"/>
      <c r="X256" s="137"/>
      <c r="Y256" s="90">
        <f t="shared" si="433"/>
        <v>0</v>
      </c>
      <c r="Z256" s="91"/>
      <c r="AA256" s="92"/>
      <c r="AB256" s="92"/>
      <c r="AC256" s="92">
        <f t="shared" si="434"/>
        <v>0</v>
      </c>
      <c r="AD256" s="93"/>
      <c r="AE256" s="93"/>
      <c r="AF256" s="94">
        <f t="shared" si="435"/>
        <v>0</v>
      </c>
      <c r="AG256" s="473"/>
      <c r="AH256" s="99"/>
      <c r="AI256" s="99">
        <f t="shared" si="436"/>
        <v>0</v>
      </c>
      <c r="AJ256" s="138"/>
      <c r="AK256" s="138">
        <f t="shared" si="437"/>
        <v>0</v>
      </c>
      <c r="AL256" s="106"/>
      <c r="AM256" s="105"/>
      <c r="AN256" s="105">
        <f t="shared" si="438"/>
        <v>0</v>
      </c>
      <c r="AO256" s="106"/>
      <c r="AP256" s="105"/>
      <c r="AQ256" s="105">
        <f t="shared" si="439"/>
        <v>0</v>
      </c>
      <c r="AR256" s="106"/>
      <c r="AS256" s="97">
        <f t="shared" si="385"/>
        <v>0</v>
      </c>
      <c r="AT256" s="6"/>
      <c r="AU256" s="105"/>
      <c r="AV256" s="455">
        <f t="shared" si="410"/>
        <v>0</v>
      </c>
      <c r="AW256" s="496"/>
      <c r="AX256" s="508"/>
      <c r="AY256" s="498">
        <v>410</v>
      </c>
      <c r="AZ256" s="100">
        <f t="shared" si="440"/>
        <v>27.333333333333332</v>
      </c>
      <c r="BA256" s="101"/>
      <c r="BB256" s="100"/>
      <c r="BC256" s="100">
        <f t="shared" si="441"/>
        <v>0</v>
      </c>
      <c r="BD256" s="101"/>
      <c r="BE256" s="105">
        <f t="shared" si="442"/>
        <v>27.333333333333332</v>
      </c>
      <c r="BF256" s="106"/>
      <c r="BG256" s="100">
        <f t="shared" si="399"/>
        <v>0</v>
      </c>
      <c r="BH256" s="106"/>
      <c r="BI256" s="100">
        <f t="shared" si="400"/>
        <v>0</v>
      </c>
      <c r="BJ256" s="106"/>
      <c r="BK256" s="101">
        <f t="shared" si="386"/>
        <v>27.333333333333332</v>
      </c>
      <c r="BL256" s="106"/>
      <c r="BM256" s="104"/>
      <c r="BN256" s="104">
        <f t="shared" si="443"/>
        <v>0</v>
      </c>
      <c r="BO256" s="105">
        <f>1300+350</f>
        <v>1650</v>
      </c>
      <c r="BP256" s="105">
        <f t="shared" si="413"/>
        <v>33</v>
      </c>
      <c r="BQ256" s="106"/>
      <c r="BR256" s="105">
        <v>50</v>
      </c>
      <c r="BS256" s="105">
        <f t="shared" si="378"/>
        <v>1</v>
      </c>
      <c r="BT256" s="106"/>
      <c r="BU256" s="53"/>
      <c r="BV256" s="53">
        <f t="shared" si="444"/>
        <v>0</v>
      </c>
      <c r="BW256" s="54"/>
      <c r="BX256" s="350">
        <f t="shared" si="387"/>
        <v>34</v>
      </c>
      <c r="BY256" s="6"/>
      <c r="BZ256" s="6">
        <f t="shared" si="445"/>
        <v>-6.6666666666666679</v>
      </c>
      <c r="CA256" s="508"/>
      <c r="CB256" s="7"/>
      <c r="CC256" s="7"/>
      <c r="CD256" s="7"/>
      <c r="CE256" s="504"/>
      <c r="CF256" s="105"/>
      <c r="CG256" s="105">
        <f t="shared" si="446"/>
        <v>0</v>
      </c>
      <c r="CH256" s="105"/>
      <c r="CI256" s="105"/>
      <c r="CJ256" s="105">
        <f t="shared" si="447"/>
        <v>0</v>
      </c>
      <c r="CK256" s="523"/>
      <c r="CL256" s="102">
        <f t="shared" si="448"/>
        <v>0</v>
      </c>
      <c r="CM256" s="103"/>
      <c r="CN256" s="100"/>
      <c r="CO256" s="100">
        <f t="shared" si="423"/>
        <v>0</v>
      </c>
      <c r="CP256" s="515"/>
      <c r="CQ256" s="441"/>
      <c r="CR256" s="504"/>
      <c r="CS256" s="105"/>
      <c r="CT256" s="105">
        <f t="shared" si="389"/>
        <v>0</v>
      </c>
      <c r="CU256" s="105"/>
      <c r="CV256" s="105"/>
      <c r="CW256" s="105">
        <f t="shared" si="390"/>
        <v>0</v>
      </c>
      <c r="CX256" s="53"/>
      <c r="CY256" s="109">
        <f t="shared" si="424"/>
        <v>0</v>
      </c>
      <c r="CZ256" s="54"/>
      <c r="DA256" s="105"/>
      <c r="DB256" s="455">
        <f t="shared" si="388"/>
        <v>0</v>
      </c>
      <c r="DC256" s="495"/>
      <c r="DD256" s="24"/>
      <c r="DE256" s="139" t="s">
        <v>493</v>
      </c>
      <c r="DF256" s="1133"/>
      <c r="DG256" s="674">
        <f t="shared" si="402"/>
        <v>0</v>
      </c>
      <c r="DH256" s="1119">
        <f t="shared" si="403"/>
        <v>0</v>
      </c>
      <c r="DI256" s="1119"/>
      <c r="DJ256" s="101">
        <f t="shared" si="415"/>
        <v>27.333333333333332</v>
      </c>
      <c r="DK256" s="101"/>
      <c r="DL256" s="101">
        <f t="shared" si="405"/>
        <v>0</v>
      </c>
      <c r="DM256" s="101"/>
      <c r="DN256" s="112"/>
      <c r="DO256" s="112"/>
      <c r="DP256" s="112"/>
      <c r="DQ256" s="112"/>
      <c r="DS256" s="140"/>
      <c r="DT256" s="140"/>
      <c r="DU256" s="140"/>
      <c r="DV256" s="140"/>
      <c r="DW256" s="140"/>
      <c r="DX256" s="140"/>
      <c r="DY256" s="140"/>
      <c r="DZ256" s="140"/>
    </row>
    <row r="257" spans="1:130" s="139" customFormat="1" ht="21.6" customHeight="1" x14ac:dyDescent="0.25">
      <c r="A257" s="4" t="s">
        <v>130</v>
      </c>
      <c r="B257" s="4"/>
      <c r="C257" s="134" t="s">
        <v>135</v>
      </c>
      <c r="D257" s="182" t="s">
        <v>437</v>
      </c>
      <c r="E257" s="3" t="s">
        <v>495</v>
      </c>
      <c r="F257" s="135"/>
      <c r="G257" s="135"/>
      <c r="H257" s="135"/>
      <c r="I257" s="135"/>
      <c r="J257" s="135"/>
      <c r="K257" s="135"/>
      <c r="L257" s="183"/>
      <c r="M257" s="5"/>
      <c r="N257" s="41"/>
      <c r="O257" s="6"/>
      <c r="P257" s="7"/>
      <c r="Q257" s="7"/>
      <c r="R257" s="7"/>
      <c r="S257" s="7"/>
      <c r="T257" s="89"/>
      <c r="U257" s="89"/>
      <c r="V257" s="89"/>
      <c r="W257" s="137"/>
      <c r="X257" s="137"/>
      <c r="Y257" s="90"/>
      <c r="Z257" s="91"/>
      <c r="AA257" s="92"/>
      <c r="AB257" s="92"/>
      <c r="AC257" s="92">
        <f t="shared" si="434"/>
        <v>0</v>
      </c>
      <c r="AD257" s="93"/>
      <c r="AE257" s="93"/>
      <c r="AF257" s="94">
        <f t="shared" si="435"/>
        <v>0</v>
      </c>
      <c r="AG257" s="473"/>
      <c r="AH257" s="99"/>
      <c r="AI257" s="99"/>
      <c r="AJ257" s="138"/>
      <c r="AK257" s="138">
        <f t="shared" si="437"/>
        <v>0</v>
      </c>
      <c r="AL257" s="106"/>
      <c r="AM257" s="105"/>
      <c r="AN257" s="105">
        <f t="shared" si="438"/>
        <v>0</v>
      </c>
      <c r="AO257" s="106"/>
      <c r="AP257" s="105"/>
      <c r="AQ257" s="105">
        <f t="shared" si="439"/>
        <v>0</v>
      </c>
      <c r="AR257" s="106"/>
      <c r="AS257" s="97">
        <f t="shared" si="385"/>
        <v>0</v>
      </c>
      <c r="AT257" s="6"/>
      <c r="AU257" s="105"/>
      <c r="AV257" s="455">
        <f t="shared" si="410"/>
        <v>0</v>
      </c>
      <c r="AW257" s="496"/>
      <c r="AX257" s="508"/>
      <c r="AY257" s="498">
        <v>240</v>
      </c>
      <c r="AZ257" s="100">
        <f t="shared" si="440"/>
        <v>16</v>
      </c>
      <c r="BA257" s="101"/>
      <c r="BB257" s="100"/>
      <c r="BC257" s="100">
        <f t="shared" si="441"/>
        <v>0</v>
      </c>
      <c r="BD257" s="101"/>
      <c r="BE257" s="105">
        <f t="shared" si="442"/>
        <v>16</v>
      </c>
      <c r="BF257" s="106"/>
      <c r="BG257" s="100">
        <f t="shared" si="399"/>
        <v>0</v>
      </c>
      <c r="BH257" s="106"/>
      <c r="BI257" s="100">
        <f t="shared" si="400"/>
        <v>0</v>
      </c>
      <c r="BJ257" s="106"/>
      <c r="BK257" s="101">
        <f t="shared" si="386"/>
        <v>16</v>
      </c>
      <c r="BL257" s="106"/>
      <c r="BM257" s="104"/>
      <c r="BN257" s="104"/>
      <c r="BO257" s="105">
        <v>500</v>
      </c>
      <c r="BP257" s="105">
        <f t="shared" si="413"/>
        <v>10</v>
      </c>
      <c r="BQ257" s="106"/>
      <c r="BR257" s="105">
        <v>300</v>
      </c>
      <c r="BS257" s="105">
        <f t="shared" si="378"/>
        <v>6</v>
      </c>
      <c r="BT257" s="106"/>
      <c r="BU257" s="53"/>
      <c r="BV257" s="53">
        <f t="shared" si="444"/>
        <v>0</v>
      </c>
      <c r="BW257" s="54"/>
      <c r="BX257" s="350">
        <f t="shared" si="387"/>
        <v>16</v>
      </c>
      <c r="BY257" s="6"/>
      <c r="BZ257" s="6">
        <f t="shared" si="445"/>
        <v>0</v>
      </c>
      <c r="CA257" s="508"/>
      <c r="CB257" s="7"/>
      <c r="CC257" s="7"/>
      <c r="CD257" s="7"/>
      <c r="CE257" s="504"/>
      <c r="CF257" s="105"/>
      <c r="CG257" s="105">
        <f t="shared" si="446"/>
        <v>0</v>
      </c>
      <c r="CH257" s="105"/>
      <c r="CI257" s="105"/>
      <c r="CJ257" s="105">
        <f t="shared" si="447"/>
        <v>0</v>
      </c>
      <c r="CK257" s="523"/>
      <c r="CL257" s="102">
        <f t="shared" si="448"/>
        <v>0</v>
      </c>
      <c r="CM257" s="103"/>
      <c r="CN257" s="100"/>
      <c r="CO257" s="100">
        <f t="shared" si="423"/>
        <v>0</v>
      </c>
      <c r="CP257" s="515"/>
      <c r="CQ257" s="441"/>
      <c r="CR257" s="504"/>
      <c r="CS257" s="105"/>
      <c r="CT257" s="105">
        <f t="shared" si="389"/>
        <v>0</v>
      </c>
      <c r="CU257" s="105"/>
      <c r="CV257" s="105"/>
      <c r="CW257" s="105">
        <f t="shared" si="390"/>
        <v>0</v>
      </c>
      <c r="CX257" s="53"/>
      <c r="CY257" s="109">
        <f t="shared" si="424"/>
        <v>0</v>
      </c>
      <c r="CZ257" s="54"/>
      <c r="DA257" s="105"/>
      <c r="DB257" s="455">
        <f t="shared" si="388"/>
        <v>0</v>
      </c>
      <c r="DC257" s="495"/>
      <c r="DD257" s="24"/>
      <c r="DE257" s="139" t="s">
        <v>496</v>
      </c>
      <c r="DF257" s="1133"/>
      <c r="DG257" s="674">
        <f t="shared" si="402"/>
        <v>0</v>
      </c>
      <c r="DH257" s="1119">
        <f t="shared" si="403"/>
        <v>0</v>
      </c>
      <c r="DI257" s="1119"/>
      <c r="DJ257" s="101">
        <f t="shared" si="415"/>
        <v>16</v>
      </c>
      <c r="DK257" s="101"/>
      <c r="DL257" s="101">
        <f t="shared" si="405"/>
        <v>0</v>
      </c>
      <c r="DM257" s="101"/>
      <c r="DN257" s="112"/>
      <c r="DO257" s="112">
        <f>DJ257</f>
        <v>16</v>
      </c>
      <c r="DP257" s="112"/>
      <c r="DQ257" s="112"/>
      <c r="DS257" s="140"/>
      <c r="DT257" s="140"/>
      <c r="DU257" s="140"/>
      <c r="DV257" s="140"/>
      <c r="DW257" s="140"/>
      <c r="DX257" s="140"/>
      <c r="DY257" s="140"/>
      <c r="DZ257" s="140"/>
    </row>
    <row r="258" spans="1:130" s="139" customFormat="1" ht="21.6" customHeight="1" x14ac:dyDescent="0.25">
      <c r="A258" s="4" t="s">
        <v>130</v>
      </c>
      <c r="B258" s="4"/>
      <c r="C258" s="134" t="s">
        <v>135</v>
      </c>
      <c r="D258" s="182" t="s">
        <v>431</v>
      </c>
      <c r="E258" s="3" t="s">
        <v>497</v>
      </c>
      <c r="F258" s="135"/>
      <c r="G258" s="135"/>
      <c r="H258" s="135"/>
      <c r="I258" s="135"/>
      <c r="J258" s="135"/>
      <c r="K258" s="135"/>
      <c r="L258" s="183"/>
      <c r="M258" s="5"/>
      <c r="N258" s="41"/>
      <c r="O258" s="6"/>
      <c r="P258" s="7"/>
      <c r="Q258" s="7"/>
      <c r="R258" s="7"/>
      <c r="S258" s="7"/>
      <c r="T258" s="89"/>
      <c r="U258" s="89"/>
      <c r="V258" s="89"/>
      <c r="W258" s="137"/>
      <c r="X258" s="137"/>
      <c r="Y258" s="90"/>
      <c r="Z258" s="91"/>
      <c r="AA258" s="92"/>
      <c r="AB258" s="92"/>
      <c r="AC258" s="92">
        <f t="shared" si="434"/>
        <v>0</v>
      </c>
      <c r="AD258" s="93"/>
      <c r="AE258" s="93"/>
      <c r="AF258" s="94">
        <f t="shared" si="435"/>
        <v>0</v>
      </c>
      <c r="AG258" s="473"/>
      <c r="AH258" s="99"/>
      <c r="AI258" s="99"/>
      <c r="AJ258" s="138">
        <v>220</v>
      </c>
      <c r="AK258" s="138">
        <f t="shared" si="437"/>
        <v>14.666666666666666</v>
      </c>
      <c r="AL258" s="106"/>
      <c r="AM258" s="105"/>
      <c r="AN258" s="105">
        <f t="shared" si="438"/>
        <v>0</v>
      </c>
      <c r="AO258" s="106"/>
      <c r="AP258" s="105"/>
      <c r="AQ258" s="105">
        <f t="shared" si="439"/>
        <v>0</v>
      </c>
      <c r="AR258" s="106"/>
      <c r="AS258" s="97">
        <f t="shared" si="385"/>
        <v>14.666666666666666</v>
      </c>
      <c r="AT258" s="6"/>
      <c r="AU258" s="105"/>
      <c r="AV258" s="455">
        <f t="shared" si="410"/>
        <v>0</v>
      </c>
      <c r="AW258" s="496"/>
      <c r="AX258" s="508"/>
      <c r="AY258" s="498">
        <v>85</v>
      </c>
      <c r="AZ258" s="100">
        <f t="shared" si="440"/>
        <v>5.666666666666667</v>
      </c>
      <c r="BA258" s="101"/>
      <c r="BB258" s="100"/>
      <c r="BC258" s="100">
        <f t="shared" si="441"/>
        <v>0</v>
      </c>
      <c r="BD258" s="101"/>
      <c r="BE258" s="105">
        <f t="shared" si="442"/>
        <v>20.333333333333332</v>
      </c>
      <c r="BF258" s="106"/>
      <c r="BG258" s="100">
        <f t="shared" si="399"/>
        <v>0</v>
      </c>
      <c r="BH258" s="106"/>
      <c r="BI258" s="100">
        <f t="shared" si="400"/>
        <v>0</v>
      </c>
      <c r="BJ258" s="106"/>
      <c r="BK258" s="101">
        <f t="shared" si="386"/>
        <v>20.333333333333332</v>
      </c>
      <c r="BL258" s="106"/>
      <c r="BM258" s="104"/>
      <c r="BN258" s="104"/>
      <c r="BO258" s="105">
        <v>700</v>
      </c>
      <c r="BP258" s="105">
        <f t="shared" si="413"/>
        <v>14</v>
      </c>
      <c r="BQ258" s="106"/>
      <c r="BR258" s="105">
        <v>300</v>
      </c>
      <c r="BS258" s="105">
        <f t="shared" si="378"/>
        <v>6</v>
      </c>
      <c r="BT258" s="106"/>
      <c r="BU258" s="53"/>
      <c r="BV258" s="53">
        <f t="shared" si="444"/>
        <v>0</v>
      </c>
      <c r="BW258" s="54"/>
      <c r="BX258" s="350">
        <f t="shared" si="387"/>
        <v>20</v>
      </c>
      <c r="BY258" s="6"/>
      <c r="BZ258" s="6">
        <f t="shared" si="445"/>
        <v>0.33333333333333215</v>
      </c>
      <c r="CA258" s="508"/>
      <c r="CB258" s="7"/>
      <c r="CC258" s="7"/>
      <c r="CD258" s="7"/>
      <c r="CE258" s="504"/>
      <c r="CF258" s="105"/>
      <c r="CG258" s="105">
        <f t="shared" si="446"/>
        <v>0</v>
      </c>
      <c r="CH258" s="105"/>
      <c r="CI258" s="105"/>
      <c r="CJ258" s="105">
        <f t="shared" si="447"/>
        <v>0</v>
      </c>
      <c r="CK258" s="523"/>
      <c r="CL258" s="102">
        <f t="shared" si="448"/>
        <v>0</v>
      </c>
      <c r="CM258" s="103"/>
      <c r="CN258" s="100"/>
      <c r="CO258" s="100">
        <f t="shared" si="423"/>
        <v>0</v>
      </c>
      <c r="CP258" s="515"/>
      <c r="CQ258" s="441"/>
      <c r="CR258" s="504"/>
      <c r="CS258" s="105"/>
      <c r="CT258" s="105">
        <f t="shared" si="389"/>
        <v>0</v>
      </c>
      <c r="CU258" s="105"/>
      <c r="CV258" s="105"/>
      <c r="CW258" s="105">
        <f t="shared" si="390"/>
        <v>0</v>
      </c>
      <c r="CX258" s="53"/>
      <c r="CY258" s="109">
        <f t="shared" si="424"/>
        <v>0</v>
      </c>
      <c r="CZ258" s="54"/>
      <c r="DA258" s="105"/>
      <c r="DB258" s="455">
        <f t="shared" si="388"/>
        <v>0</v>
      </c>
      <c r="DC258" s="495"/>
      <c r="DD258" s="24"/>
      <c r="DE258" s="139" t="s">
        <v>499</v>
      </c>
      <c r="DF258" s="1133"/>
      <c r="DG258" s="674">
        <f t="shared" si="402"/>
        <v>0</v>
      </c>
      <c r="DH258" s="1119">
        <f t="shared" si="403"/>
        <v>0</v>
      </c>
      <c r="DI258" s="1119"/>
      <c r="DJ258" s="101">
        <f t="shared" si="415"/>
        <v>20.333333333333332</v>
      </c>
      <c r="DK258" s="101"/>
      <c r="DL258" s="101">
        <f t="shared" si="405"/>
        <v>0</v>
      </c>
      <c r="DM258" s="101"/>
      <c r="DN258" s="112"/>
      <c r="DO258" s="112"/>
      <c r="DP258" s="112"/>
      <c r="DQ258" s="112"/>
      <c r="DS258" s="140"/>
      <c r="DT258" s="140"/>
      <c r="DU258" s="140"/>
      <c r="DV258" s="140"/>
      <c r="DW258" s="140"/>
      <c r="DX258" s="140"/>
      <c r="DY258" s="140"/>
      <c r="DZ258" s="140"/>
    </row>
    <row r="259" spans="1:130" s="151" customFormat="1" ht="21.6" customHeight="1" x14ac:dyDescent="0.25">
      <c r="A259" s="141"/>
      <c r="B259" s="141"/>
      <c r="C259" s="142"/>
      <c r="D259" s="143"/>
      <c r="E259" s="22"/>
      <c r="F259" s="144"/>
      <c r="G259" s="144"/>
      <c r="H259" s="144"/>
      <c r="I259" s="144"/>
      <c r="J259" s="144"/>
      <c r="K259" s="144"/>
      <c r="L259" s="145"/>
      <c r="M259" s="146"/>
      <c r="N259" s="147"/>
      <c r="O259" s="131"/>
      <c r="P259" s="148"/>
      <c r="Q259" s="148"/>
      <c r="R259" s="148"/>
      <c r="S259" s="148"/>
      <c r="T259" s="123"/>
      <c r="U259" s="123"/>
      <c r="V259" s="123"/>
      <c r="W259" s="149"/>
      <c r="X259" s="149"/>
      <c r="Y259" s="124"/>
      <c r="Z259" s="125"/>
      <c r="AA259" s="123"/>
      <c r="AB259" s="123"/>
      <c r="AC259" s="123"/>
      <c r="AD259" s="124"/>
      <c r="AE259" s="124"/>
      <c r="AF259" s="126"/>
      <c r="AG259" s="474"/>
      <c r="AH259" s="129"/>
      <c r="AI259" s="129"/>
      <c r="AJ259" s="138"/>
      <c r="AK259" s="138"/>
      <c r="AL259" s="106"/>
      <c r="AM259" s="105"/>
      <c r="AN259" s="105"/>
      <c r="AO259" s="106"/>
      <c r="AP259" s="105"/>
      <c r="AQ259" s="105">
        <f t="shared" si="439"/>
        <v>0</v>
      </c>
      <c r="AR259" s="106"/>
      <c r="AS259" s="97">
        <f t="shared" si="385"/>
        <v>0</v>
      </c>
      <c r="AT259" s="6"/>
      <c r="AU259" s="105"/>
      <c r="AV259" s="455">
        <f t="shared" si="410"/>
        <v>0</v>
      </c>
      <c r="AW259" s="496"/>
      <c r="AX259" s="508"/>
      <c r="AY259" s="498"/>
      <c r="AZ259" s="100"/>
      <c r="BA259" s="101"/>
      <c r="BB259" s="100"/>
      <c r="BC259" s="100"/>
      <c r="BD259" s="101"/>
      <c r="BE259" s="105"/>
      <c r="BF259" s="106"/>
      <c r="BG259" s="100">
        <f t="shared" ref="BG259:BG290" si="449">BC259+AQ259+AN259</f>
        <v>0</v>
      </c>
      <c r="BH259" s="106"/>
      <c r="BI259" s="100">
        <f t="shared" ref="BI259:BI290" si="450">AV259</f>
        <v>0</v>
      </c>
      <c r="BJ259" s="106"/>
      <c r="BK259" s="101">
        <f t="shared" si="386"/>
        <v>0</v>
      </c>
      <c r="BL259" s="106"/>
      <c r="BM259" s="130"/>
      <c r="BN259" s="130"/>
      <c r="BO259" s="105"/>
      <c r="BP259" s="105">
        <f t="shared" si="413"/>
        <v>0</v>
      </c>
      <c r="BQ259" s="106"/>
      <c r="BR259" s="105"/>
      <c r="BS259" s="105"/>
      <c r="BT259" s="106"/>
      <c r="BU259" s="53"/>
      <c r="BV259" s="53"/>
      <c r="BW259" s="54"/>
      <c r="BX259" s="350">
        <f t="shared" si="387"/>
        <v>0</v>
      </c>
      <c r="BY259" s="131"/>
      <c r="BZ259" s="131">
        <f t="shared" si="445"/>
        <v>0</v>
      </c>
      <c r="CA259" s="536"/>
      <c r="CB259" s="148"/>
      <c r="CC259" s="148"/>
      <c r="CD259" s="148"/>
      <c r="CE259" s="504"/>
      <c r="CF259" s="105"/>
      <c r="CG259" s="105">
        <f t="shared" si="446"/>
        <v>0</v>
      </c>
      <c r="CH259" s="105"/>
      <c r="CI259" s="105"/>
      <c r="CJ259" s="105">
        <f t="shared" si="447"/>
        <v>0</v>
      </c>
      <c r="CK259" s="523"/>
      <c r="CL259" s="102"/>
      <c r="CM259" s="103"/>
      <c r="CN259" s="100"/>
      <c r="CO259" s="100">
        <f t="shared" si="423"/>
        <v>0</v>
      </c>
      <c r="CP259" s="515"/>
      <c r="CQ259" s="441"/>
      <c r="CR259" s="504"/>
      <c r="CS259" s="105"/>
      <c r="CT259" s="105">
        <f t="shared" si="389"/>
        <v>0</v>
      </c>
      <c r="CU259" s="105"/>
      <c r="CV259" s="105"/>
      <c r="CW259" s="105">
        <f t="shared" si="390"/>
        <v>0</v>
      </c>
      <c r="CX259" s="53"/>
      <c r="CY259" s="109">
        <f t="shared" si="424"/>
        <v>0</v>
      </c>
      <c r="CZ259" s="54"/>
      <c r="DA259" s="105"/>
      <c r="DB259" s="455">
        <f t="shared" si="388"/>
        <v>0</v>
      </c>
      <c r="DC259" s="495"/>
      <c r="DD259" s="31"/>
      <c r="DF259" s="1133"/>
      <c r="DG259" s="674">
        <f t="shared" ref="DG259:DG290" si="451">AV259+CY259+DB259</f>
        <v>0</v>
      </c>
      <c r="DH259" s="1119">
        <f t="shared" ref="DH259:DH290" si="452">BC259+CL259+CO259</f>
        <v>0</v>
      </c>
      <c r="DI259" s="1119"/>
      <c r="DJ259" s="101">
        <f t="shared" si="415"/>
        <v>0</v>
      </c>
      <c r="DK259" s="101"/>
      <c r="DL259" s="101">
        <f t="shared" si="405"/>
        <v>0</v>
      </c>
      <c r="DM259" s="101"/>
      <c r="DN259" s="112"/>
      <c r="DO259" s="112"/>
      <c r="DP259" s="112"/>
      <c r="DQ259" s="112"/>
      <c r="DS259" s="152"/>
      <c r="DT259" s="152"/>
      <c r="DU259" s="152"/>
      <c r="DV259" s="152"/>
      <c r="DW259" s="152"/>
      <c r="DX259" s="152"/>
      <c r="DY259" s="152"/>
      <c r="DZ259" s="152"/>
    </row>
    <row r="260" spans="1:130" s="139" customFormat="1" ht="21.6" customHeight="1" x14ac:dyDescent="0.25">
      <c r="A260" s="4" t="s">
        <v>130</v>
      </c>
      <c r="B260" s="4">
        <v>1</v>
      </c>
      <c r="C260" s="153" t="s">
        <v>142</v>
      </c>
      <c r="D260" s="182" t="s">
        <v>437</v>
      </c>
      <c r="E260" s="13" t="s">
        <v>143</v>
      </c>
      <c r="F260" s="135">
        <v>9</v>
      </c>
      <c r="G260" s="135">
        <v>10</v>
      </c>
      <c r="H260" s="135">
        <f t="shared" ref="H260:H282" si="453">F260+G260</f>
        <v>19</v>
      </c>
      <c r="I260" s="135">
        <v>10.75</v>
      </c>
      <c r="J260" s="135"/>
      <c r="K260" s="135">
        <f t="shared" ref="K260:K282" si="454">I260+J260</f>
        <v>10.75</v>
      </c>
      <c r="L260" s="183"/>
      <c r="M260" s="5"/>
      <c r="N260" s="41"/>
      <c r="O260" s="6"/>
      <c r="P260" s="7"/>
      <c r="Q260" s="7"/>
      <c r="R260" s="7"/>
      <c r="S260" s="7"/>
      <c r="T260" s="89"/>
      <c r="U260" s="89"/>
      <c r="V260" s="89">
        <f t="shared" ref="V260:V282" si="455">T260+U260</f>
        <v>0</v>
      </c>
      <c r="W260" s="137"/>
      <c r="X260" s="137"/>
      <c r="Y260" s="90">
        <f t="shared" ref="Y260:Y282" si="456">W260+X260</f>
        <v>0</v>
      </c>
      <c r="Z260" s="91"/>
      <c r="AA260" s="92"/>
      <c r="AB260" s="92"/>
      <c r="AC260" s="92">
        <f t="shared" ref="AC260:AC282" si="457">AA260+AB260</f>
        <v>0</v>
      </c>
      <c r="AD260" s="93"/>
      <c r="AE260" s="93"/>
      <c r="AF260" s="94">
        <f t="shared" ref="AF260:AF282" si="458">AD260+AE260</f>
        <v>0</v>
      </c>
      <c r="AG260" s="473"/>
      <c r="AH260" s="99"/>
      <c r="AI260" s="99">
        <f t="shared" ref="AI260:AI282" si="459">AH260/15</f>
        <v>0</v>
      </c>
      <c r="AJ260" s="138"/>
      <c r="AK260" s="138">
        <f t="shared" ref="AK260:AK282" si="460">AJ260/15</f>
        <v>0</v>
      </c>
      <c r="AL260" s="106">
        <f>SUM(AK260:AK282)</f>
        <v>39</v>
      </c>
      <c r="AM260" s="105"/>
      <c r="AN260" s="105">
        <f t="shared" ref="AN260:AN282" si="461">AM260/15</f>
        <v>0</v>
      </c>
      <c r="AO260" s="106">
        <f>SUM(AN260:AN282)</f>
        <v>31.666666666666664</v>
      </c>
      <c r="AP260" s="105"/>
      <c r="AQ260" s="105">
        <f t="shared" si="439"/>
        <v>0</v>
      </c>
      <c r="AR260" s="106">
        <f>SUM(AQ260:AQ282)</f>
        <v>0</v>
      </c>
      <c r="AS260" s="97">
        <f t="shared" si="385"/>
        <v>0</v>
      </c>
      <c r="AT260" s="6">
        <f>SUM(AS260:AS282)</f>
        <v>70.666666666666671</v>
      </c>
      <c r="AU260" s="105"/>
      <c r="AV260" s="455">
        <f t="shared" si="410"/>
        <v>0</v>
      </c>
      <c r="AW260" s="496">
        <f>SUM(AV260:AV282)</f>
        <v>0</v>
      </c>
      <c r="AX260" s="508"/>
      <c r="AY260" s="498">
        <v>210</v>
      </c>
      <c r="AZ260" s="100">
        <f t="shared" ref="AZ260:AZ282" si="462">AY260/15</f>
        <v>14</v>
      </c>
      <c r="BA260" s="106">
        <f>SUM(AZ260:AZ282)</f>
        <v>222.33333333333334</v>
      </c>
      <c r="BB260" s="105"/>
      <c r="BC260" s="105">
        <f t="shared" ref="BC260:BC282" si="463">BB260/15</f>
        <v>0</v>
      </c>
      <c r="BD260" s="106">
        <f>SUM(BC260:BC282)</f>
        <v>0</v>
      </c>
      <c r="BE260" s="105">
        <f t="shared" ref="BE260:BE282" si="464">AK260+AZ260</f>
        <v>14</v>
      </c>
      <c r="BF260" s="106">
        <f>SUM(BE260:BE282)</f>
        <v>261.33333333333337</v>
      </c>
      <c r="BG260" s="100">
        <f t="shared" si="449"/>
        <v>0</v>
      </c>
      <c r="BH260" s="106">
        <f>SUM(BG260:BG282)</f>
        <v>31.666666666666664</v>
      </c>
      <c r="BI260" s="100">
        <f t="shared" si="450"/>
        <v>0</v>
      </c>
      <c r="BJ260" s="106">
        <f>SUM(BI260:BI282)</f>
        <v>0</v>
      </c>
      <c r="BK260" s="101">
        <f t="shared" si="386"/>
        <v>14</v>
      </c>
      <c r="BL260" s="106">
        <f>SUM(BK260:BK282)</f>
        <v>293</v>
      </c>
      <c r="BM260" s="104">
        <v>700</v>
      </c>
      <c r="BN260" s="104">
        <f t="shared" ref="BN260:BN282" si="465">BM260/50</f>
        <v>14</v>
      </c>
      <c r="BO260" s="105">
        <v>700</v>
      </c>
      <c r="BP260" s="105">
        <f t="shared" si="413"/>
        <v>14</v>
      </c>
      <c r="BQ260" s="106">
        <f>SUM(BP260:BP282)</f>
        <v>258</v>
      </c>
      <c r="BR260" s="105"/>
      <c r="BS260" s="105">
        <f t="shared" si="378"/>
        <v>0</v>
      </c>
      <c r="BT260" s="106">
        <f>SUM(BS260:BS282)</f>
        <v>13</v>
      </c>
      <c r="BU260" s="53"/>
      <c r="BV260" s="53">
        <f t="shared" ref="BV260:BV282" si="466">BU260/50</f>
        <v>0</v>
      </c>
      <c r="BW260" s="54">
        <f>SUM(BV260:BV282)</f>
        <v>19</v>
      </c>
      <c r="BX260" s="350">
        <f t="shared" si="387"/>
        <v>14</v>
      </c>
      <c r="BY260" s="6">
        <f>SUM(BX260:BX282)</f>
        <v>290</v>
      </c>
      <c r="BZ260" s="6">
        <f t="shared" si="445"/>
        <v>0</v>
      </c>
      <c r="CA260" s="508"/>
      <c r="CB260" s="7"/>
      <c r="CC260" s="7"/>
      <c r="CD260" s="7"/>
      <c r="CE260" s="504">
        <v>8</v>
      </c>
      <c r="CF260" s="105">
        <v>8</v>
      </c>
      <c r="CG260" s="105">
        <f t="shared" si="446"/>
        <v>16</v>
      </c>
      <c r="CH260" s="105">
        <v>14</v>
      </c>
      <c r="CI260" s="105"/>
      <c r="CJ260" s="105">
        <f t="shared" si="447"/>
        <v>14</v>
      </c>
      <c r="CK260" s="524"/>
      <c r="CL260" s="53">
        <f t="shared" ref="CL260:CL282" si="467">CK260/15</f>
        <v>0</v>
      </c>
      <c r="CM260" s="54">
        <f>SUM(CL260:CL282)</f>
        <v>0</v>
      </c>
      <c r="CN260" s="105">
        <v>210</v>
      </c>
      <c r="CO260" s="100">
        <f t="shared" si="423"/>
        <v>14</v>
      </c>
      <c r="CP260" s="496">
        <f>SUM(CO260:CO282)</f>
        <v>45</v>
      </c>
      <c r="CQ260" s="439"/>
      <c r="CR260" s="504"/>
      <c r="CS260" s="105"/>
      <c r="CT260" s="105">
        <f t="shared" si="389"/>
        <v>0</v>
      </c>
      <c r="CU260" s="105"/>
      <c r="CV260" s="105"/>
      <c r="CW260" s="105">
        <f t="shared" si="390"/>
        <v>0</v>
      </c>
      <c r="CX260" s="53"/>
      <c r="CY260" s="109">
        <f t="shared" si="424"/>
        <v>0</v>
      </c>
      <c r="CZ260" s="54">
        <f>SUM(CY260:CY282)</f>
        <v>0</v>
      </c>
      <c r="DA260" s="105"/>
      <c r="DB260" s="455">
        <f t="shared" si="388"/>
        <v>0</v>
      </c>
      <c r="DC260" s="495">
        <f>SUM(DB260:DB282)</f>
        <v>30</v>
      </c>
      <c r="DD260" s="24"/>
      <c r="DF260" s="1133"/>
      <c r="DG260" s="674">
        <f t="shared" si="451"/>
        <v>0</v>
      </c>
      <c r="DH260" s="1119">
        <f t="shared" si="452"/>
        <v>14</v>
      </c>
      <c r="DI260" s="1119"/>
      <c r="DJ260" s="101">
        <f t="shared" si="415"/>
        <v>58</v>
      </c>
      <c r="DK260" s="101">
        <f>SUM(DJ260:DJ282)</f>
        <v>368</v>
      </c>
      <c r="DL260" s="101">
        <f t="shared" si="405"/>
        <v>16</v>
      </c>
      <c r="DM260" s="101"/>
      <c r="DN260" s="112"/>
      <c r="DO260" s="112">
        <f>DJ260</f>
        <v>58</v>
      </c>
      <c r="DP260" s="112"/>
      <c r="DQ260" s="112"/>
      <c r="DS260" s="140"/>
      <c r="DT260" s="140"/>
      <c r="DU260" s="140"/>
      <c r="DV260" s="140"/>
      <c r="DW260" s="140"/>
      <c r="DX260" s="140"/>
      <c r="DY260" s="140"/>
      <c r="DZ260" s="140"/>
    </row>
    <row r="261" spans="1:130" s="139" customFormat="1" ht="21.6" customHeight="1" x14ac:dyDescent="0.25">
      <c r="A261" s="4" t="s">
        <v>130</v>
      </c>
      <c r="B261" s="4">
        <v>3</v>
      </c>
      <c r="C261" s="153" t="s">
        <v>142</v>
      </c>
      <c r="D261" s="182" t="s">
        <v>431</v>
      </c>
      <c r="E261" s="2" t="s">
        <v>144</v>
      </c>
      <c r="F261" s="135">
        <v>14</v>
      </c>
      <c r="G261" s="135">
        <v>16</v>
      </c>
      <c r="H261" s="135">
        <f t="shared" si="453"/>
        <v>30</v>
      </c>
      <c r="I261" s="135">
        <v>46.8</v>
      </c>
      <c r="J261" s="135">
        <v>1</v>
      </c>
      <c r="K261" s="135">
        <f t="shared" si="454"/>
        <v>47.8</v>
      </c>
      <c r="L261" s="183"/>
      <c r="M261" s="5"/>
      <c r="N261" s="41"/>
      <c r="O261" s="6"/>
      <c r="P261" s="7"/>
      <c r="Q261" s="7"/>
      <c r="R261" s="7"/>
      <c r="S261" s="7"/>
      <c r="T261" s="273"/>
      <c r="U261" s="273"/>
      <c r="V261" s="273">
        <f t="shared" si="455"/>
        <v>0</v>
      </c>
      <c r="W261" s="274"/>
      <c r="X261" s="274"/>
      <c r="Y261" s="275">
        <f t="shared" si="456"/>
        <v>0</v>
      </c>
      <c r="Z261" s="91"/>
      <c r="AA261" s="273"/>
      <c r="AB261" s="273"/>
      <c r="AC261" s="273">
        <f t="shared" si="457"/>
        <v>0</v>
      </c>
      <c r="AD261" s="275"/>
      <c r="AE261" s="275"/>
      <c r="AF261" s="276">
        <f t="shared" si="458"/>
        <v>0</v>
      </c>
      <c r="AG261" s="473"/>
      <c r="AH261" s="277"/>
      <c r="AI261" s="277">
        <f t="shared" si="459"/>
        <v>0</v>
      </c>
      <c r="AJ261" s="138"/>
      <c r="AK261" s="138">
        <f t="shared" si="460"/>
        <v>0</v>
      </c>
      <c r="AL261" s="106"/>
      <c r="AM261" s="105"/>
      <c r="AN261" s="105">
        <f t="shared" si="461"/>
        <v>0</v>
      </c>
      <c r="AO261" s="106"/>
      <c r="AP261" s="105"/>
      <c r="AQ261" s="105">
        <f t="shared" si="439"/>
        <v>0</v>
      </c>
      <c r="AR261" s="106"/>
      <c r="AS261" s="97">
        <f t="shared" si="385"/>
        <v>0</v>
      </c>
      <c r="AT261" s="6"/>
      <c r="AU261" s="105"/>
      <c r="AV261" s="455">
        <f t="shared" si="410"/>
        <v>0</v>
      </c>
      <c r="AW261" s="496"/>
      <c r="AX261" s="508"/>
      <c r="AY261" s="498">
        <v>150</v>
      </c>
      <c r="AZ261" s="100">
        <f t="shared" si="462"/>
        <v>10</v>
      </c>
      <c r="BA261" s="101"/>
      <c r="BB261" s="100"/>
      <c r="BC261" s="100">
        <f t="shared" si="463"/>
        <v>0</v>
      </c>
      <c r="BD261" s="101"/>
      <c r="BE261" s="105">
        <f t="shared" si="464"/>
        <v>10</v>
      </c>
      <c r="BF261" s="106"/>
      <c r="BG261" s="100">
        <f t="shared" si="449"/>
        <v>0</v>
      </c>
      <c r="BH261" s="106"/>
      <c r="BI261" s="100">
        <f t="shared" si="450"/>
        <v>0</v>
      </c>
      <c r="BJ261" s="106"/>
      <c r="BK261" s="101">
        <f t="shared" si="386"/>
        <v>10</v>
      </c>
      <c r="BL261" s="106"/>
      <c r="BM261" s="52">
        <v>500</v>
      </c>
      <c r="BN261" s="52">
        <f t="shared" si="465"/>
        <v>10</v>
      </c>
      <c r="BO261" s="105">
        <v>500</v>
      </c>
      <c r="BP261" s="105">
        <f t="shared" si="413"/>
        <v>10</v>
      </c>
      <c r="BQ261" s="106"/>
      <c r="BR261" s="105"/>
      <c r="BS261" s="105">
        <f t="shared" si="378"/>
        <v>0</v>
      </c>
      <c r="BT261" s="106"/>
      <c r="BU261" s="53"/>
      <c r="BV261" s="53">
        <f t="shared" si="466"/>
        <v>0</v>
      </c>
      <c r="BW261" s="54"/>
      <c r="BX261" s="350">
        <f t="shared" si="387"/>
        <v>10</v>
      </c>
      <c r="BY261" s="6"/>
      <c r="BZ261" s="6">
        <f t="shared" si="445"/>
        <v>0</v>
      </c>
      <c r="CA261" s="508"/>
      <c r="CB261" s="7"/>
      <c r="CC261" s="7"/>
      <c r="CD261" s="7"/>
      <c r="CE261" s="504"/>
      <c r="CF261" s="105"/>
      <c r="CG261" s="105">
        <f t="shared" si="446"/>
        <v>0</v>
      </c>
      <c r="CH261" s="105"/>
      <c r="CI261" s="105"/>
      <c r="CJ261" s="105">
        <f t="shared" si="447"/>
        <v>0</v>
      </c>
      <c r="CK261" s="523"/>
      <c r="CL261" s="102">
        <f t="shared" si="467"/>
        <v>0</v>
      </c>
      <c r="CM261" s="103"/>
      <c r="CN261" s="100"/>
      <c r="CO261" s="100">
        <f t="shared" si="423"/>
        <v>0</v>
      </c>
      <c r="CP261" s="515"/>
      <c r="CQ261" s="441"/>
      <c r="CR261" s="504"/>
      <c r="CS261" s="105"/>
      <c r="CT261" s="105">
        <f t="shared" si="389"/>
        <v>0</v>
      </c>
      <c r="CU261" s="105"/>
      <c r="CV261" s="105"/>
      <c r="CW261" s="105">
        <f t="shared" si="390"/>
        <v>0</v>
      </c>
      <c r="CX261" s="53"/>
      <c r="CY261" s="109">
        <f t="shared" si="424"/>
        <v>0</v>
      </c>
      <c r="CZ261" s="54"/>
      <c r="DA261" s="105"/>
      <c r="DB261" s="455">
        <f t="shared" si="388"/>
        <v>0</v>
      </c>
      <c r="DC261" s="495"/>
      <c r="DD261" s="24"/>
      <c r="DF261" s="1133"/>
      <c r="DG261" s="674">
        <f t="shared" si="451"/>
        <v>0</v>
      </c>
      <c r="DH261" s="1119">
        <f t="shared" si="452"/>
        <v>0</v>
      </c>
      <c r="DI261" s="1119"/>
      <c r="DJ261" s="101">
        <f t="shared" si="415"/>
        <v>10</v>
      </c>
      <c r="DK261" s="101"/>
      <c r="DL261" s="101">
        <f t="shared" si="405"/>
        <v>0</v>
      </c>
      <c r="DM261" s="101"/>
      <c r="DN261" s="112"/>
      <c r="DO261" s="112"/>
      <c r="DP261" s="112"/>
      <c r="DQ261" s="112"/>
      <c r="DS261" s="140"/>
      <c r="DT261" s="140"/>
      <c r="DU261" s="140"/>
      <c r="DV261" s="140"/>
      <c r="DW261" s="140"/>
      <c r="DX261" s="140"/>
      <c r="DY261" s="140"/>
      <c r="DZ261" s="140"/>
    </row>
    <row r="262" spans="1:130" s="139" customFormat="1" ht="21.6" customHeight="1" x14ac:dyDescent="0.25">
      <c r="A262" s="4"/>
      <c r="B262" s="4"/>
      <c r="C262" s="134" t="s">
        <v>142</v>
      </c>
      <c r="D262" s="182"/>
      <c r="E262" s="3" t="s">
        <v>348</v>
      </c>
      <c r="F262" s="135"/>
      <c r="G262" s="135"/>
      <c r="H262" s="135"/>
      <c r="I262" s="135"/>
      <c r="J262" s="135"/>
      <c r="K262" s="135"/>
      <c r="L262" s="183"/>
      <c r="M262" s="5"/>
      <c r="N262" s="41"/>
      <c r="O262" s="6"/>
      <c r="P262" s="7"/>
      <c r="Q262" s="7"/>
      <c r="R262" s="7"/>
      <c r="S262" s="7"/>
      <c r="T262" s="89"/>
      <c r="U262" s="89"/>
      <c r="V262" s="89">
        <f t="shared" si="455"/>
        <v>0</v>
      </c>
      <c r="W262" s="137"/>
      <c r="X262" s="137"/>
      <c r="Y262" s="90">
        <f t="shared" si="456"/>
        <v>0</v>
      </c>
      <c r="Z262" s="91"/>
      <c r="AA262" s="92"/>
      <c r="AB262" s="92"/>
      <c r="AC262" s="92">
        <f t="shared" si="457"/>
        <v>0</v>
      </c>
      <c r="AD262" s="93"/>
      <c r="AE262" s="93"/>
      <c r="AF262" s="94">
        <f t="shared" si="458"/>
        <v>0</v>
      </c>
      <c r="AG262" s="473"/>
      <c r="AH262" s="99">
        <f>90+300</f>
        <v>390</v>
      </c>
      <c r="AI262" s="99">
        <f t="shared" si="459"/>
        <v>26</v>
      </c>
      <c r="AJ262" s="138">
        <v>0</v>
      </c>
      <c r="AK262" s="138">
        <f t="shared" si="460"/>
        <v>0</v>
      </c>
      <c r="AL262" s="106"/>
      <c r="AM262" s="105"/>
      <c r="AN262" s="105">
        <f t="shared" si="461"/>
        <v>0</v>
      </c>
      <c r="AO262" s="106"/>
      <c r="AP262" s="105"/>
      <c r="AQ262" s="105">
        <f t="shared" si="439"/>
        <v>0</v>
      </c>
      <c r="AR262" s="106"/>
      <c r="AS262" s="97">
        <f t="shared" si="385"/>
        <v>0</v>
      </c>
      <c r="AT262" s="6"/>
      <c r="AU262" s="105"/>
      <c r="AV262" s="455">
        <f t="shared" si="410"/>
        <v>0</v>
      </c>
      <c r="AW262" s="496"/>
      <c r="AX262" s="508"/>
      <c r="AY262" s="498"/>
      <c r="AZ262" s="100">
        <f t="shared" si="462"/>
        <v>0</v>
      </c>
      <c r="BA262" s="101"/>
      <c r="BB262" s="100"/>
      <c r="BC262" s="100">
        <f t="shared" si="463"/>
        <v>0</v>
      </c>
      <c r="BD262" s="101"/>
      <c r="BE262" s="105">
        <f t="shared" si="464"/>
        <v>0</v>
      </c>
      <c r="BF262" s="106"/>
      <c r="BG262" s="100">
        <f t="shared" si="449"/>
        <v>0</v>
      </c>
      <c r="BH262" s="106"/>
      <c r="BI262" s="100">
        <f t="shared" si="450"/>
        <v>0</v>
      </c>
      <c r="BJ262" s="106"/>
      <c r="BK262" s="101">
        <f t="shared" si="386"/>
        <v>0</v>
      </c>
      <c r="BL262" s="106"/>
      <c r="BM262" s="104">
        <v>300</v>
      </c>
      <c r="BN262" s="104">
        <f t="shared" si="465"/>
        <v>6</v>
      </c>
      <c r="BO262" s="105"/>
      <c r="BP262" s="105">
        <f t="shared" si="413"/>
        <v>0</v>
      </c>
      <c r="BQ262" s="106"/>
      <c r="BR262" s="105"/>
      <c r="BS262" s="105">
        <f t="shared" si="378"/>
        <v>0</v>
      </c>
      <c r="BT262" s="106"/>
      <c r="BU262" s="53"/>
      <c r="BV262" s="53">
        <f t="shared" si="466"/>
        <v>0</v>
      </c>
      <c r="BW262" s="54"/>
      <c r="BX262" s="350">
        <f t="shared" si="387"/>
        <v>0</v>
      </c>
      <c r="BY262" s="6"/>
      <c r="BZ262" s="6">
        <f t="shared" si="445"/>
        <v>0</v>
      </c>
      <c r="CA262" s="508"/>
      <c r="CB262" s="7"/>
      <c r="CC262" s="7"/>
      <c r="CD262" s="7"/>
      <c r="CE262" s="504"/>
      <c r="CF262" s="105"/>
      <c r="CG262" s="105">
        <f t="shared" si="446"/>
        <v>0</v>
      </c>
      <c r="CH262" s="105"/>
      <c r="CI262" s="105"/>
      <c r="CJ262" s="105">
        <f t="shared" si="447"/>
        <v>0</v>
      </c>
      <c r="CK262" s="523"/>
      <c r="CL262" s="102">
        <f t="shared" si="467"/>
        <v>0</v>
      </c>
      <c r="CM262" s="103"/>
      <c r="CN262" s="100"/>
      <c r="CO262" s="100">
        <f t="shared" si="423"/>
        <v>0</v>
      </c>
      <c r="CP262" s="515"/>
      <c r="CQ262" s="441"/>
      <c r="CR262" s="504"/>
      <c r="CS262" s="105"/>
      <c r="CT262" s="105">
        <f t="shared" si="389"/>
        <v>0</v>
      </c>
      <c r="CU262" s="105"/>
      <c r="CV262" s="105"/>
      <c r="CW262" s="105">
        <f t="shared" si="390"/>
        <v>0</v>
      </c>
      <c r="CX262" s="53"/>
      <c r="CY262" s="109">
        <f t="shared" si="424"/>
        <v>0</v>
      </c>
      <c r="CZ262" s="54"/>
      <c r="DA262" s="105"/>
      <c r="DB262" s="455">
        <f t="shared" si="388"/>
        <v>0</v>
      </c>
      <c r="DC262" s="495"/>
      <c r="DD262" s="24" t="s">
        <v>336</v>
      </c>
      <c r="DF262" s="1133"/>
      <c r="DG262" s="674">
        <f t="shared" si="451"/>
        <v>0</v>
      </c>
      <c r="DH262" s="1119">
        <f t="shared" si="452"/>
        <v>0</v>
      </c>
      <c r="DI262" s="1119"/>
      <c r="DJ262" s="101">
        <f t="shared" si="415"/>
        <v>0</v>
      </c>
      <c r="DK262" s="101"/>
      <c r="DL262" s="101">
        <f t="shared" si="405"/>
        <v>0</v>
      </c>
      <c r="DM262" s="101"/>
      <c r="DN262" s="112"/>
      <c r="DO262" s="112"/>
      <c r="DP262" s="112"/>
      <c r="DQ262" s="112"/>
      <c r="DS262" s="140"/>
      <c r="DT262" s="140"/>
      <c r="DU262" s="140"/>
      <c r="DV262" s="140"/>
      <c r="DW262" s="140"/>
      <c r="DX262" s="140"/>
      <c r="DY262" s="140"/>
      <c r="DZ262" s="140"/>
    </row>
    <row r="263" spans="1:130" s="139" customFormat="1" ht="30.75" customHeight="1" x14ac:dyDescent="0.25">
      <c r="A263" s="4" t="s">
        <v>130</v>
      </c>
      <c r="B263" s="4">
        <v>4</v>
      </c>
      <c r="C263" s="134" t="s">
        <v>142</v>
      </c>
      <c r="D263" s="182" t="s">
        <v>437</v>
      </c>
      <c r="E263" s="13" t="s">
        <v>402</v>
      </c>
      <c r="F263" s="135">
        <v>73</v>
      </c>
      <c r="G263" s="135">
        <v>7</v>
      </c>
      <c r="H263" s="135">
        <f t="shared" si="453"/>
        <v>80</v>
      </c>
      <c r="I263" s="135">
        <v>74</v>
      </c>
      <c r="J263" s="135"/>
      <c r="K263" s="135">
        <f t="shared" si="454"/>
        <v>74</v>
      </c>
      <c r="L263" s="183"/>
      <c r="M263" s="5"/>
      <c r="N263" s="41"/>
      <c r="O263" s="6"/>
      <c r="P263" s="7"/>
      <c r="Q263" s="7"/>
      <c r="R263" s="7"/>
      <c r="S263" s="7"/>
      <c r="T263" s="89"/>
      <c r="U263" s="89"/>
      <c r="V263" s="89">
        <f t="shared" si="455"/>
        <v>0</v>
      </c>
      <c r="W263" s="137"/>
      <c r="X263" s="137"/>
      <c r="Y263" s="90">
        <f t="shared" si="456"/>
        <v>0</v>
      </c>
      <c r="Z263" s="91"/>
      <c r="AA263" s="92"/>
      <c r="AB263" s="92"/>
      <c r="AC263" s="92">
        <f t="shared" si="457"/>
        <v>0</v>
      </c>
      <c r="AD263" s="93"/>
      <c r="AE263" s="93"/>
      <c r="AF263" s="94">
        <f t="shared" si="458"/>
        <v>0</v>
      </c>
      <c r="AG263" s="473"/>
      <c r="AH263" s="99"/>
      <c r="AI263" s="99">
        <f t="shared" si="459"/>
        <v>0</v>
      </c>
      <c r="AJ263" s="138"/>
      <c r="AK263" s="138">
        <f t="shared" si="460"/>
        <v>0</v>
      </c>
      <c r="AL263" s="106"/>
      <c r="AM263" s="105">
        <v>300</v>
      </c>
      <c r="AN263" s="105">
        <f t="shared" si="461"/>
        <v>20</v>
      </c>
      <c r="AO263" s="106"/>
      <c r="AP263" s="105"/>
      <c r="AQ263" s="105">
        <f t="shared" si="439"/>
        <v>0</v>
      </c>
      <c r="AR263" s="106"/>
      <c r="AS263" s="97">
        <f t="shared" si="385"/>
        <v>20</v>
      </c>
      <c r="AT263" s="6"/>
      <c r="AU263" s="105"/>
      <c r="AV263" s="455">
        <f t="shared" si="410"/>
        <v>0</v>
      </c>
      <c r="AW263" s="496"/>
      <c r="AX263" s="508"/>
      <c r="AY263" s="498">
        <v>185</v>
      </c>
      <c r="AZ263" s="100">
        <f t="shared" si="462"/>
        <v>12.333333333333334</v>
      </c>
      <c r="BA263" s="101"/>
      <c r="BB263" s="100"/>
      <c r="BC263" s="100">
        <f t="shared" si="463"/>
        <v>0</v>
      </c>
      <c r="BD263" s="101"/>
      <c r="BE263" s="105">
        <f t="shared" si="464"/>
        <v>12.333333333333334</v>
      </c>
      <c r="BF263" s="106"/>
      <c r="BG263" s="100">
        <f t="shared" si="449"/>
        <v>20</v>
      </c>
      <c r="BH263" s="106"/>
      <c r="BI263" s="100">
        <f t="shared" si="450"/>
        <v>0</v>
      </c>
      <c r="BJ263" s="106"/>
      <c r="BK263" s="101">
        <f t="shared" si="386"/>
        <v>32.333333333333336</v>
      </c>
      <c r="BL263" s="106"/>
      <c r="BM263" s="104">
        <v>617</v>
      </c>
      <c r="BN263" s="104">
        <f t="shared" si="465"/>
        <v>12.34</v>
      </c>
      <c r="BO263" s="105">
        <v>600</v>
      </c>
      <c r="BP263" s="105">
        <f t="shared" si="413"/>
        <v>12</v>
      </c>
      <c r="BQ263" s="106"/>
      <c r="BR263" s="105"/>
      <c r="BS263" s="105">
        <f t="shared" si="378"/>
        <v>0</v>
      </c>
      <c r="BT263" s="106"/>
      <c r="BU263" s="53">
        <f>1000-600</f>
        <v>400</v>
      </c>
      <c r="BV263" s="53">
        <f t="shared" si="466"/>
        <v>8</v>
      </c>
      <c r="BW263" s="54"/>
      <c r="BX263" s="350">
        <f t="shared" si="387"/>
        <v>20</v>
      </c>
      <c r="BY263" s="6"/>
      <c r="BZ263" s="6">
        <f t="shared" si="445"/>
        <v>12.333333333333336</v>
      </c>
      <c r="CA263" s="508"/>
      <c r="CB263" s="7"/>
      <c r="CC263" s="7"/>
      <c r="CD263" s="7"/>
      <c r="CE263" s="504"/>
      <c r="CF263" s="105"/>
      <c r="CG263" s="105">
        <f t="shared" si="446"/>
        <v>0</v>
      </c>
      <c r="CH263" s="105"/>
      <c r="CI263" s="105"/>
      <c r="CJ263" s="105">
        <f t="shared" si="447"/>
        <v>0</v>
      </c>
      <c r="CK263" s="523"/>
      <c r="CL263" s="102">
        <f t="shared" si="467"/>
        <v>0</v>
      </c>
      <c r="CM263" s="103"/>
      <c r="CN263" s="100">
        <v>15</v>
      </c>
      <c r="CO263" s="100">
        <f t="shared" si="423"/>
        <v>1</v>
      </c>
      <c r="CP263" s="515"/>
      <c r="CQ263" s="441"/>
      <c r="CR263" s="504"/>
      <c r="CS263" s="105"/>
      <c r="CT263" s="105">
        <f t="shared" si="389"/>
        <v>0</v>
      </c>
      <c r="CU263" s="105"/>
      <c r="CV263" s="105"/>
      <c r="CW263" s="105">
        <f t="shared" si="390"/>
        <v>0</v>
      </c>
      <c r="CX263" s="53"/>
      <c r="CY263" s="109">
        <f t="shared" si="424"/>
        <v>0</v>
      </c>
      <c r="CZ263" s="54"/>
      <c r="DA263" s="105"/>
      <c r="DB263" s="455">
        <f t="shared" si="388"/>
        <v>0</v>
      </c>
      <c r="DC263" s="495"/>
      <c r="DD263" s="24" t="s">
        <v>336</v>
      </c>
      <c r="DF263" s="1133"/>
      <c r="DG263" s="674">
        <f t="shared" si="451"/>
        <v>0</v>
      </c>
      <c r="DH263" s="1119">
        <f t="shared" si="452"/>
        <v>1</v>
      </c>
      <c r="DI263" s="1119"/>
      <c r="DJ263" s="101">
        <f t="shared" si="415"/>
        <v>33.333333333333336</v>
      </c>
      <c r="DK263" s="101"/>
      <c r="DL263" s="101">
        <f t="shared" si="405"/>
        <v>0</v>
      </c>
      <c r="DM263" s="101"/>
      <c r="DN263" s="112"/>
      <c r="DO263" s="112">
        <f>DJ263</f>
        <v>33.333333333333336</v>
      </c>
      <c r="DP263" s="112"/>
      <c r="DQ263" s="112"/>
      <c r="DS263" s="140"/>
      <c r="DT263" s="140"/>
      <c r="DU263" s="140"/>
      <c r="DV263" s="140"/>
      <c r="DW263" s="140"/>
      <c r="DX263" s="140"/>
      <c r="DY263" s="140"/>
      <c r="DZ263" s="140"/>
    </row>
    <row r="264" spans="1:130" s="139" customFormat="1" ht="21.6" customHeight="1" x14ac:dyDescent="0.25">
      <c r="A264" s="4" t="s">
        <v>130</v>
      </c>
      <c r="B264" s="4">
        <v>6</v>
      </c>
      <c r="C264" s="153" t="s">
        <v>142</v>
      </c>
      <c r="D264" s="182" t="s">
        <v>431</v>
      </c>
      <c r="E264" s="13" t="s">
        <v>145</v>
      </c>
      <c r="F264" s="135">
        <v>9</v>
      </c>
      <c r="G264" s="135">
        <v>29</v>
      </c>
      <c r="H264" s="135">
        <f t="shared" si="453"/>
        <v>38</v>
      </c>
      <c r="I264" s="135">
        <v>29.75</v>
      </c>
      <c r="J264" s="135">
        <v>1.3</v>
      </c>
      <c r="K264" s="135">
        <f t="shared" si="454"/>
        <v>31.05</v>
      </c>
      <c r="L264" s="183"/>
      <c r="M264" s="5"/>
      <c r="N264" s="41"/>
      <c r="O264" s="6"/>
      <c r="P264" s="7"/>
      <c r="Q264" s="7"/>
      <c r="R264" s="7"/>
      <c r="S264" s="7"/>
      <c r="T264" s="89"/>
      <c r="U264" s="89"/>
      <c r="V264" s="89">
        <f t="shared" si="455"/>
        <v>0</v>
      </c>
      <c r="W264" s="137"/>
      <c r="X264" s="137"/>
      <c r="Y264" s="90">
        <f t="shared" si="456"/>
        <v>0</v>
      </c>
      <c r="Z264" s="91"/>
      <c r="AA264" s="92"/>
      <c r="AB264" s="92"/>
      <c r="AC264" s="92">
        <f t="shared" si="457"/>
        <v>0</v>
      </c>
      <c r="AD264" s="93"/>
      <c r="AE264" s="93"/>
      <c r="AF264" s="94">
        <f t="shared" si="458"/>
        <v>0</v>
      </c>
      <c r="AG264" s="473"/>
      <c r="AH264" s="99"/>
      <c r="AI264" s="99">
        <f t="shared" si="459"/>
        <v>0</v>
      </c>
      <c r="AJ264" s="138"/>
      <c r="AK264" s="138">
        <f t="shared" si="460"/>
        <v>0</v>
      </c>
      <c r="AL264" s="106"/>
      <c r="AM264" s="105"/>
      <c r="AN264" s="105">
        <f t="shared" si="461"/>
        <v>0</v>
      </c>
      <c r="AO264" s="106"/>
      <c r="AP264" s="105"/>
      <c r="AQ264" s="105">
        <f t="shared" si="439"/>
        <v>0</v>
      </c>
      <c r="AR264" s="106"/>
      <c r="AS264" s="97">
        <f t="shared" si="385"/>
        <v>0</v>
      </c>
      <c r="AT264" s="6"/>
      <c r="AU264" s="105"/>
      <c r="AV264" s="455">
        <f t="shared" si="410"/>
        <v>0</v>
      </c>
      <c r="AW264" s="496"/>
      <c r="AX264" s="508"/>
      <c r="AY264" s="498">
        <v>540</v>
      </c>
      <c r="AZ264" s="100">
        <f t="shared" si="462"/>
        <v>36</v>
      </c>
      <c r="BA264" s="101"/>
      <c r="BB264" s="100"/>
      <c r="BC264" s="100">
        <f t="shared" si="463"/>
        <v>0</v>
      </c>
      <c r="BD264" s="101"/>
      <c r="BE264" s="105">
        <f t="shared" si="464"/>
        <v>36</v>
      </c>
      <c r="BF264" s="106"/>
      <c r="BG264" s="100">
        <f t="shared" si="449"/>
        <v>0</v>
      </c>
      <c r="BH264" s="106"/>
      <c r="BI264" s="100">
        <f t="shared" si="450"/>
        <v>0</v>
      </c>
      <c r="BJ264" s="106"/>
      <c r="BK264" s="101">
        <f t="shared" si="386"/>
        <v>36</v>
      </c>
      <c r="BL264" s="106"/>
      <c r="BM264" s="104">
        <v>1800</v>
      </c>
      <c r="BN264" s="104">
        <f t="shared" si="465"/>
        <v>36</v>
      </c>
      <c r="BO264" s="105">
        <v>1800</v>
      </c>
      <c r="BP264" s="105">
        <f t="shared" si="413"/>
        <v>36</v>
      </c>
      <c r="BQ264" s="106"/>
      <c r="BR264" s="105"/>
      <c r="BS264" s="105">
        <f t="shared" si="378"/>
        <v>0</v>
      </c>
      <c r="BT264" s="106"/>
      <c r="BU264" s="53"/>
      <c r="BV264" s="53">
        <f t="shared" si="466"/>
        <v>0</v>
      </c>
      <c r="BW264" s="54"/>
      <c r="BX264" s="350">
        <f t="shared" si="387"/>
        <v>36</v>
      </c>
      <c r="BY264" s="6"/>
      <c r="BZ264" s="6">
        <f t="shared" si="445"/>
        <v>0</v>
      </c>
      <c r="CA264" s="508"/>
      <c r="CB264" s="7"/>
      <c r="CC264" s="7"/>
      <c r="CD264" s="7"/>
      <c r="CE264" s="504"/>
      <c r="CF264" s="105"/>
      <c r="CG264" s="105">
        <f t="shared" si="446"/>
        <v>0</v>
      </c>
      <c r="CH264" s="105"/>
      <c r="CI264" s="105"/>
      <c r="CJ264" s="105">
        <f t="shared" si="447"/>
        <v>0</v>
      </c>
      <c r="CK264" s="523"/>
      <c r="CL264" s="102">
        <f t="shared" si="467"/>
        <v>0</v>
      </c>
      <c r="CM264" s="103"/>
      <c r="CN264" s="100"/>
      <c r="CO264" s="100">
        <f t="shared" si="423"/>
        <v>0</v>
      </c>
      <c r="CP264" s="515"/>
      <c r="CQ264" s="441"/>
      <c r="CR264" s="504"/>
      <c r="CS264" s="105"/>
      <c r="CT264" s="105">
        <f t="shared" si="389"/>
        <v>0</v>
      </c>
      <c r="CU264" s="105"/>
      <c r="CV264" s="105"/>
      <c r="CW264" s="105">
        <f t="shared" si="390"/>
        <v>0</v>
      </c>
      <c r="CX264" s="53"/>
      <c r="CY264" s="109">
        <f t="shared" si="424"/>
        <v>0</v>
      </c>
      <c r="CZ264" s="54"/>
      <c r="DA264" s="105"/>
      <c r="DB264" s="455">
        <f t="shared" si="388"/>
        <v>0</v>
      </c>
      <c r="DC264" s="495"/>
      <c r="DD264" s="24"/>
      <c r="DF264" s="1133"/>
      <c r="DG264" s="674">
        <f t="shared" si="451"/>
        <v>0</v>
      </c>
      <c r="DH264" s="1119">
        <f t="shared" si="452"/>
        <v>0</v>
      </c>
      <c r="DI264" s="1119"/>
      <c r="DJ264" s="101">
        <f t="shared" si="415"/>
        <v>36</v>
      </c>
      <c r="DK264" s="101"/>
      <c r="DL264" s="101">
        <f t="shared" si="405"/>
        <v>0</v>
      </c>
      <c r="DM264" s="101"/>
      <c r="DN264" s="112"/>
      <c r="DO264" s="112"/>
      <c r="DP264" s="112"/>
      <c r="DQ264" s="112"/>
      <c r="DS264" s="140"/>
      <c r="DT264" s="140"/>
      <c r="DU264" s="140"/>
      <c r="DV264" s="140"/>
      <c r="DW264" s="140"/>
      <c r="DX264" s="140"/>
      <c r="DY264" s="140"/>
      <c r="DZ264" s="140"/>
    </row>
    <row r="265" spans="1:130" s="139" customFormat="1" ht="30.75" customHeight="1" x14ac:dyDescent="0.25">
      <c r="A265" s="4" t="s">
        <v>130</v>
      </c>
      <c r="B265" s="4">
        <v>7</v>
      </c>
      <c r="C265" s="153" t="s">
        <v>142</v>
      </c>
      <c r="D265" s="182" t="s">
        <v>437</v>
      </c>
      <c r="E265" s="13" t="s">
        <v>146</v>
      </c>
      <c r="F265" s="135">
        <v>56</v>
      </c>
      <c r="G265" s="135">
        <v>2</v>
      </c>
      <c r="H265" s="135">
        <f t="shared" si="453"/>
        <v>58</v>
      </c>
      <c r="I265" s="135">
        <v>36</v>
      </c>
      <c r="J265" s="135">
        <v>1</v>
      </c>
      <c r="K265" s="135">
        <f t="shared" si="454"/>
        <v>37</v>
      </c>
      <c r="L265" s="183"/>
      <c r="M265" s="5"/>
      <c r="N265" s="41"/>
      <c r="O265" s="6"/>
      <c r="P265" s="7"/>
      <c r="Q265" s="7"/>
      <c r="R265" s="7"/>
      <c r="S265" s="7"/>
      <c r="T265" s="89"/>
      <c r="U265" s="89"/>
      <c r="V265" s="89">
        <f t="shared" si="455"/>
        <v>0</v>
      </c>
      <c r="W265" s="137"/>
      <c r="X265" s="137"/>
      <c r="Y265" s="90">
        <f t="shared" si="456"/>
        <v>0</v>
      </c>
      <c r="Z265" s="91"/>
      <c r="AA265" s="92"/>
      <c r="AB265" s="92"/>
      <c r="AC265" s="92">
        <f t="shared" si="457"/>
        <v>0</v>
      </c>
      <c r="AD265" s="93"/>
      <c r="AE265" s="93"/>
      <c r="AF265" s="94">
        <f t="shared" si="458"/>
        <v>0</v>
      </c>
      <c r="AG265" s="473"/>
      <c r="AH265" s="99">
        <v>150</v>
      </c>
      <c r="AI265" s="99">
        <f t="shared" si="459"/>
        <v>10</v>
      </c>
      <c r="AJ265" s="138">
        <v>150</v>
      </c>
      <c r="AK265" s="138">
        <f t="shared" si="460"/>
        <v>10</v>
      </c>
      <c r="AL265" s="106"/>
      <c r="AM265" s="105"/>
      <c r="AN265" s="105">
        <f t="shared" si="461"/>
        <v>0</v>
      </c>
      <c r="AO265" s="106"/>
      <c r="AP265" s="105"/>
      <c r="AQ265" s="105">
        <f t="shared" si="439"/>
        <v>0</v>
      </c>
      <c r="AR265" s="106"/>
      <c r="AS265" s="97">
        <f t="shared" si="385"/>
        <v>10</v>
      </c>
      <c r="AT265" s="6"/>
      <c r="AU265" s="105"/>
      <c r="AV265" s="455">
        <f t="shared" si="410"/>
        <v>0</v>
      </c>
      <c r="AW265" s="496"/>
      <c r="AX265" s="508"/>
      <c r="AY265" s="498"/>
      <c r="AZ265" s="100">
        <f t="shared" si="462"/>
        <v>0</v>
      </c>
      <c r="BA265" s="101"/>
      <c r="BB265" s="100"/>
      <c r="BC265" s="100">
        <f t="shared" si="463"/>
        <v>0</v>
      </c>
      <c r="BD265" s="101"/>
      <c r="BE265" s="105">
        <f t="shared" si="464"/>
        <v>10</v>
      </c>
      <c r="BF265" s="106"/>
      <c r="BG265" s="100">
        <f t="shared" si="449"/>
        <v>0</v>
      </c>
      <c r="BH265" s="106"/>
      <c r="BI265" s="100">
        <f t="shared" si="450"/>
        <v>0</v>
      </c>
      <c r="BJ265" s="106"/>
      <c r="BK265" s="101">
        <f t="shared" si="386"/>
        <v>10</v>
      </c>
      <c r="BL265" s="106"/>
      <c r="BM265" s="104">
        <v>500</v>
      </c>
      <c r="BN265" s="104">
        <f t="shared" si="465"/>
        <v>10</v>
      </c>
      <c r="BO265" s="105">
        <v>500</v>
      </c>
      <c r="BP265" s="105">
        <f t="shared" si="413"/>
        <v>10</v>
      </c>
      <c r="BQ265" s="106"/>
      <c r="BR265" s="105"/>
      <c r="BS265" s="105">
        <f t="shared" si="378"/>
        <v>0</v>
      </c>
      <c r="BT265" s="106"/>
      <c r="BU265" s="53"/>
      <c r="BV265" s="53">
        <f t="shared" si="466"/>
        <v>0</v>
      </c>
      <c r="BW265" s="54"/>
      <c r="BX265" s="350">
        <f t="shared" si="387"/>
        <v>10</v>
      </c>
      <c r="BY265" s="6"/>
      <c r="BZ265" s="6">
        <f t="shared" si="445"/>
        <v>0</v>
      </c>
      <c r="CA265" s="508"/>
      <c r="CB265" s="7"/>
      <c r="CC265" s="7"/>
      <c r="CD265" s="7"/>
      <c r="CE265" s="504"/>
      <c r="CF265" s="105"/>
      <c r="CG265" s="105">
        <f t="shared" si="446"/>
        <v>0</v>
      </c>
      <c r="CH265" s="105"/>
      <c r="CI265" s="105"/>
      <c r="CJ265" s="105">
        <f t="shared" si="447"/>
        <v>0</v>
      </c>
      <c r="CK265" s="523"/>
      <c r="CL265" s="102">
        <f t="shared" si="467"/>
        <v>0</v>
      </c>
      <c r="CM265" s="103"/>
      <c r="CN265" s="100"/>
      <c r="CO265" s="100">
        <f t="shared" si="423"/>
        <v>0</v>
      </c>
      <c r="CP265" s="515"/>
      <c r="CQ265" s="441"/>
      <c r="CR265" s="504"/>
      <c r="CS265" s="105"/>
      <c r="CT265" s="105">
        <f t="shared" si="389"/>
        <v>0</v>
      </c>
      <c r="CU265" s="105"/>
      <c r="CV265" s="105"/>
      <c r="CW265" s="105">
        <f t="shared" si="390"/>
        <v>0</v>
      </c>
      <c r="CX265" s="53"/>
      <c r="CY265" s="109">
        <f t="shared" si="424"/>
        <v>0</v>
      </c>
      <c r="CZ265" s="54"/>
      <c r="DA265" s="105"/>
      <c r="DB265" s="455">
        <f t="shared" si="388"/>
        <v>0</v>
      </c>
      <c r="DC265" s="495"/>
      <c r="DD265" s="24"/>
      <c r="DF265" s="1133"/>
      <c r="DG265" s="674">
        <f t="shared" si="451"/>
        <v>0</v>
      </c>
      <c r="DH265" s="1119">
        <f t="shared" si="452"/>
        <v>0</v>
      </c>
      <c r="DI265" s="1119"/>
      <c r="DJ265" s="101">
        <f t="shared" si="415"/>
        <v>10</v>
      </c>
      <c r="DK265" s="101"/>
      <c r="DL265" s="101">
        <f t="shared" si="405"/>
        <v>0</v>
      </c>
      <c r="DM265" s="101"/>
      <c r="DN265" s="112"/>
      <c r="DO265" s="112">
        <f>DJ265</f>
        <v>10</v>
      </c>
      <c r="DP265" s="112"/>
      <c r="DQ265" s="112"/>
      <c r="DS265" s="140"/>
      <c r="DT265" s="140"/>
      <c r="DU265" s="140"/>
      <c r="DV265" s="140"/>
      <c r="DW265" s="140"/>
      <c r="DX265" s="140"/>
      <c r="DY265" s="140"/>
      <c r="DZ265" s="140"/>
    </row>
    <row r="266" spans="1:130" s="222" customFormat="1" ht="33" customHeight="1" x14ac:dyDescent="0.25">
      <c r="A266" s="207"/>
      <c r="B266" s="207"/>
      <c r="C266" s="134" t="s">
        <v>142</v>
      </c>
      <c r="D266" s="182" t="s">
        <v>437</v>
      </c>
      <c r="E266" s="16" t="s">
        <v>405</v>
      </c>
      <c r="F266" s="208"/>
      <c r="G266" s="208"/>
      <c r="H266" s="208"/>
      <c r="I266" s="208"/>
      <c r="J266" s="208"/>
      <c r="K266" s="208"/>
      <c r="L266" s="278"/>
      <c r="M266" s="210"/>
      <c r="N266" s="177"/>
      <c r="O266" s="211"/>
      <c r="P266" s="212"/>
      <c r="Q266" s="212"/>
      <c r="R266" s="212"/>
      <c r="S266" s="212"/>
      <c r="T266" s="213"/>
      <c r="U266" s="213"/>
      <c r="V266" s="89">
        <f t="shared" si="455"/>
        <v>0</v>
      </c>
      <c r="W266" s="214"/>
      <c r="X266" s="214"/>
      <c r="Y266" s="90">
        <f t="shared" si="456"/>
        <v>0</v>
      </c>
      <c r="Z266" s="91"/>
      <c r="AA266" s="92"/>
      <c r="AB266" s="92"/>
      <c r="AC266" s="92">
        <f t="shared" si="457"/>
        <v>0</v>
      </c>
      <c r="AD266" s="93"/>
      <c r="AE266" s="93"/>
      <c r="AF266" s="94">
        <f t="shared" si="458"/>
        <v>0</v>
      </c>
      <c r="AG266" s="473"/>
      <c r="AH266" s="219"/>
      <c r="AI266" s="219"/>
      <c r="AJ266" s="221"/>
      <c r="AK266" s="138">
        <f t="shared" si="460"/>
        <v>0</v>
      </c>
      <c r="AL266" s="106"/>
      <c r="AM266" s="105"/>
      <c r="AN266" s="105">
        <f t="shared" si="461"/>
        <v>0</v>
      </c>
      <c r="AO266" s="106"/>
      <c r="AP266" s="105"/>
      <c r="AQ266" s="105">
        <f t="shared" si="439"/>
        <v>0</v>
      </c>
      <c r="AR266" s="106"/>
      <c r="AS266" s="97">
        <f t="shared" si="385"/>
        <v>0</v>
      </c>
      <c r="AT266" s="6"/>
      <c r="AU266" s="105"/>
      <c r="AV266" s="455">
        <f t="shared" si="410"/>
        <v>0</v>
      </c>
      <c r="AW266" s="496"/>
      <c r="AX266" s="508"/>
      <c r="AY266" s="500">
        <v>135</v>
      </c>
      <c r="AZ266" s="100">
        <f t="shared" si="462"/>
        <v>9</v>
      </c>
      <c r="BA266" s="101"/>
      <c r="BB266" s="100"/>
      <c r="BC266" s="100">
        <f t="shared" si="463"/>
        <v>0</v>
      </c>
      <c r="BD266" s="101"/>
      <c r="BE266" s="105">
        <f t="shared" si="464"/>
        <v>9</v>
      </c>
      <c r="BF266" s="106"/>
      <c r="BG266" s="100">
        <f t="shared" si="449"/>
        <v>0</v>
      </c>
      <c r="BH266" s="106"/>
      <c r="BI266" s="100">
        <f t="shared" si="450"/>
        <v>0</v>
      </c>
      <c r="BJ266" s="106"/>
      <c r="BK266" s="101">
        <f t="shared" si="386"/>
        <v>9</v>
      </c>
      <c r="BL266" s="106"/>
      <c r="BM266" s="219">
        <v>450</v>
      </c>
      <c r="BN266" s="104">
        <f t="shared" si="465"/>
        <v>9</v>
      </c>
      <c r="BO266" s="105">
        <v>450</v>
      </c>
      <c r="BP266" s="105">
        <f t="shared" si="413"/>
        <v>9</v>
      </c>
      <c r="BQ266" s="106"/>
      <c r="BR266" s="105"/>
      <c r="BS266" s="105">
        <f t="shared" si="378"/>
        <v>0</v>
      </c>
      <c r="BT266" s="106"/>
      <c r="BU266" s="53"/>
      <c r="BV266" s="53">
        <f t="shared" si="466"/>
        <v>0</v>
      </c>
      <c r="BW266" s="54"/>
      <c r="BX266" s="350">
        <f t="shared" si="387"/>
        <v>9</v>
      </c>
      <c r="BY266" s="6"/>
      <c r="BZ266" s="6">
        <f t="shared" si="445"/>
        <v>0</v>
      </c>
      <c r="CA266" s="508"/>
      <c r="CB266" s="212"/>
      <c r="CC266" s="212"/>
      <c r="CD266" s="212"/>
      <c r="CE266" s="504"/>
      <c r="CF266" s="105"/>
      <c r="CG266" s="105">
        <f t="shared" si="446"/>
        <v>0</v>
      </c>
      <c r="CH266" s="105"/>
      <c r="CI266" s="105"/>
      <c r="CJ266" s="105">
        <f t="shared" si="447"/>
        <v>0</v>
      </c>
      <c r="CK266" s="523"/>
      <c r="CL266" s="102">
        <f t="shared" si="467"/>
        <v>0</v>
      </c>
      <c r="CM266" s="103"/>
      <c r="CN266" s="100"/>
      <c r="CO266" s="100">
        <f t="shared" si="423"/>
        <v>0</v>
      </c>
      <c r="CP266" s="515"/>
      <c r="CQ266" s="441"/>
      <c r="CR266" s="504"/>
      <c r="CS266" s="105"/>
      <c r="CT266" s="105">
        <f t="shared" si="389"/>
        <v>0</v>
      </c>
      <c r="CU266" s="105"/>
      <c r="CV266" s="105"/>
      <c r="CW266" s="105">
        <f t="shared" si="390"/>
        <v>0</v>
      </c>
      <c r="CX266" s="53"/>
      <c r="CY266" s="109">
        <f t="shared" si="424"/>
        <v>0</v>
      </c>
      <c r="CZ266" s="54"/>
      <c r="DA266" s="105"/>
      <c r="DB266" s="455">
        <f t="shared" si="388"/>
        <v>0</v>
      </c>
      <c r="DC266" s="495"/>
      <c r="DD266" s="32" t="s">
        <v>406</v>
      </c>
      <c r="DF266" s="1133"/>
      <c r="DG266" s="674">
        <f t="shared" si="451"/>
        <v>0</v>
      </c>
      <c r="DH266" s="1119">
        <f t="shared" si="452"/>
        <v>0</v>
      </c>
      <c r="DI266" s="1119"/>
      <c r="DJ266" s="101">
        <f t="shared" si="415"/>
        <v>9</v>
      </c>
      <c r="DK266" s="101"/>
      <c r="DL266" s="101">
        <f t="shared" si="405"/>
        <v>0</v>
      </c>
      <c r="DM266" s="101"/>
      <c r="DN266" s="112"/>
      <c r="DO266" s="112">
        <f>DJ266</f>
        <v>9</v>
      </c>
      <c r="DP266" s="112"/>
      <c r="DQ266" s="112"/>
      <c r="DS266" s="223"/>
      <c r="DT266" s="223"/>
      <c r="DU266" s="223"/>
      <c r="DV266" s="223"/>
      <c r="DW266" s="223"/>
      <c r="DX266" s="223"/>
      <c r="DY266" s="223"/>
      <c r="DZ266" s="223"/>
    </row>
    <row r="267" spans="1:130" s="139" customFormat="1" ht="21.6" customHeight="1" x14ac:dyDescent="0.25">
      <c r="A267" s="4" t="s">
        <v>130</v>
      </c>
      <c r="B267" s="4">
        <v>9</v>
      </c>
      <c r="C267" s="153" t="s">
        <v>142</v>
      </c>
      <c r="D267" s="182" t="s">
        <v>431</v>
      </c>
      <c r="E267" s="13" t="s">
        <v>147</v>
      </c>
      <c r="F267" s="135">
        <v>60</v>
      </c>
      <c r="G267" s="135">
        <v>13</v>
      </c>
      <c r="H267" s="135">
        <f t="shared" si="453"/>
        <v>73</v>
      </c>
      <c r="I267" s="135">
        <v>6.5</v>
      </c>
      <c r="J267" s="135">
        <v>18.600000000000001</v>
      </c>
      <c r="K267" s="135">
        <f t="shared" si="454"/>
        <v>25.1</v>
      </c>
      <c r="L267" s="183"/>
      <c r="M267" s="5"/>
      <c r="N267" s="41"/>
      <c r="O267" s="6"/>
      <c r="P267" s="7"/>
      <c r="Q267" s="7"/>
      <c r="R267" s="7"/>
      <c r="S267" s="7"/>
      <c r="T267" s="89"/>
      <c r="U267" s="89"/>
      <c r="V267" s="89">
        <f t="shared" si="455"/>
        <v>0</v>
      </c>
      <c r="W267" s="137"/>
      <c r="X267" s="137"/>
      <c r="Y267" s="90">
        <f t="shared" si="456"/>
        <v>0</v>
      </c>
      <c r="Z267" s="91"/>
      <c r="AA267" s="92"/>
      <c r="AB267" s="92"/>
      <c r="AC267" s="92">
        <f t="shared" si="457"/>
        <v>0</v>
      </c>
      <c r="AD267" s="93"/>
      <c r="AE267" s="93"/>
      <c r="AF267" s="261">
        <f t="shared" si="458"/>
        <v>0</v>
      </c>
      <c r="AG267" s="473"/>
      <c r="AH267" s="99"/>
      <c r="AI267" s="99">
        <f t="shared" si="459"/>
        <v>0</v>
      </c>
      <c r="AJ267" s="138"/>
      <c r="AK267" s="138">
        <f t="shared" si="460"/>
        <v>0</v>
      </c>
      <c r="AL267" s="106"/>
      <c r="AM267" s="105"/>
      <c r="AN267" s="105">
        <f t="shared" si="461"/>
        <v>0</v>
      </c>
      <c r="AO267" s="106"/>
      <c r="AP267" s="105"/>
      <c r="AQ267" s="105">
        <f t="shared" si="439"/>
        <v>0</v>
      </c>
      <c r="AR267" s="106"/>
      <c r="AS267" s="97">
        <f t="shared" si="385"/>
        <v>0</v>
      </c>
      <c r="AT267" s="6"/>
      <c r="AU267" s="105"/>
      <c r="AV267" s="455">
        <f t="shared" si="410"/>
        <v>0</v>
      </c>
      <c r="AW267" s="496"/>
      <c r="AX267" s="508"/>
      <c r="AY267" s="498">
        <v>425</v>
      </c>
      <c r="AZ267" s="100">
        <f t="shared" si="462"/>
        <v>28.333333333333332</v>
      </c>
      <c r="BA267" s="101"/>
      <c r="BB267" s="100"/>
      <c r="BC267" s="100">
        <f t="shared" si="463"/>
        <v>0</v>
      </c>
      <c r="BD267" s="101"/>
      <c r="BE267" s="105">
        <f t="shared" si="464"/>
        <v>28.333333333333332</v>
      </c>
      <c r="BF267" s="264"/>
      <c r="BG267" s="100">
        <f t="shared" si="449"/>
        <v>0</v>
      </c>
      <c r="BH267" s="264"/>
      <c r="BI267" s="100">
        <f t="shared" si="450"/>
        <v>0</v>
      </c>
      <c r="BJ267" s="264"/>
      <c r="BK267" s="101">
        <f t="shared" si="386"/>
        <v>28.333333333333332</v>
      </c>
      <c r="BL267" s="264"/>
      <c r="BM267" s="104">
        <f>320+1100</f>
        <v>1420</v>
      </c>
      <c r="BN267" s="104">
        <f t="shared" si="465"/>
        <v>28.4</v>
      </c>
      <c r="BO267" s="105">
        <v>1400</v>
      </c>
      <c r="BP267" s="105">
        <f t="shared" si="413"/>
        <v>28</v>
      </c>
      <c r="BQ267" s="106"/>
      <c r="BR267" s="105"/>
      <c r="BS267" s="105">
        <f t="shared" si="378"/>
        <v>0</v>
      </c>
      <c r="BT267" s="106"/>
      <c r="BU267" s="53"/>
      <c r="BV267" s="53">
        <f t="shared" si="466"/>
        <v>0</v>
      </c>
      <c r="BW267" s="54"/>
      <c r="BX267" s="350">
        <f t="shared" si="387"/>
        <v>28</v>
      </c>
      <c r="BY267" s="6"/>
      <c r="BZ267" s="6">
        <f t="shared" si="445"/>
        <v>0.33333333333333215</v>
      </c>
      <c r="CA267" s="508"/>
      <c r="CB267" s="7"/>
      <c r="CC267" s="7"/>
      <c r="CD267" s="7"/>
      <c r="CE267" s="504"/>
      <c r="CF267" s="105"/>
      <c r="CG267" s="105">
        <f t="shared" si="446"/>
        <v>0</v>
      </c>
      <c r="CH267" s="105"/>
      <c r="CI267" s="105"/>
      <c r="CJ267" s="105">
        <f t="shared" si="447"/>
        <v>0</v>
      </c>
      <c r="CK267" s="523"/>
      <c r="CL267" s="102">
        <f t="shared" si="467"/>
        <v>0</v>
      </c>
      <c r="CM267" s="103"/>
      <c r="CN267" s="100"/>
      <c r="CO267" s="100">
        <f t="shared" si="423"/>
        <v>0</v>
      </c>
      <c r="CP267" s="515"/>
      <c r="CQ267" s="441"/>
      <c r="CR267" s="504"/>
      <c r="CS267" s="105"/>
      <c r="CT267" s="105">
        <f t="shared" si="389"/>
        <v>0</v>
      </c>
      <c r="CU267" s="105"/>
      <c r="CV267" s="105"/>
      <c r="CW267" s="105">
        <f t="shared" si="390"/>
        <v>0</v>
      </c>
      <c r="CX267" s="53"/>
      <c r="CY267" s="109">
        <f t="shared" si="424"/>
        <v>0</v>
      </c>
      <c r="CZ267" s="54"/>
      <c r="DA267" s="105"/>
      <c r="DB267" s="455">
        <f t="shared" si="388"/>
        <v>0</v>
      </c>
      <c r="DC267" s="495"/>
      <c r="DD267" s="24"/>
      <c r="DE267" s="7" t="s">
        <v>500</v>
      </c>
      <c r="DF267" s="1133"/>
      <c r="DG267" s="674">
        <f t="shared" si="451"/>
        <v>0</v>
      </c>
      <c r="DH267" s="1119">
        <f t="shared" si="452"/>
        <v>0</v>
      </c>
      <c r="DI267" s="1119"/>
      <c r="DJ267" s="101">
        <f t="shared" si="415"/>
        <v>28.333333333333332</v>
      </c>
      <c r="DK267" s="101"/>
      <c r="DL267" s="101">
        <f t="shared" si="405"/>
        <v>0</v>
      </c>
      <c r="DM267" s="101"/>
      <c r="DN267" s="112"/>
      <c r="DO267" s="112"/>
      <c r="DP267" s="112"/>
      <c r="DQ267" s="112"/>
      <c r="DR267" s="58"/>
      <c r="DS267" s="140"/>
      <c r="DT267" s="140"/>
      <c r="DU267" s="140"/>
      <c r="DV267" s="140"/>
      <c r="DW267" s="140"/>
      <c r="DX267" s="140"/>
      <c r="DY267" s="140"/>
      <c r="DZ267" s="140"/>
    </row>
    <row r="268" spans="1:130" s="139" customFormat="1" ht="29.25" customHeight="1" x14ac:dyDescent="0.25">
      <c r="A268" s="4" t="s">
        <v>130</v>
      </c>
      <c r="B268" s="4">
        <v>10</v>
      </c>
      <c r="C268" s="153" t="s">
        <v>142</v>
      </c>
      <c r="D268" s="182" t="s">
        <v>431</v>
      </c>
      <c r="E268" s="13" t="s">
        <v>148</v>
      </c>
      <c r="F268" s="135">
        <v>19</v>
      </c>
      <c r="G268" s="135">
        <v>2</v>
      </c>
      <c r="H268" s="135">
        <f t="shared" si="453"/>
        <v>21</v>
      </c>
      <c r="I268" s="135">
        <v>10.25</v>
      </c>
      <c r="J268" s="135">
        <v>0.75</v>
      </c>
      <c r="K268" s="135">
        <f t="shared" si="454"/>
        <v>11</v>
      </c>
      <c r="L268" s="183"/>
      <c r="M268" s="5"/>
      <c r="N268" s="41"/>
      <c r="O268" s="6"/>
      <c r="P268" s="7"/>
      <c r="Q268" s="7"/>
      <c r="R268" s="7"/>
      <c r="S268" s="7"/>
      <c r="T268" s="89"/>
      <c r="U268" s="89"/>
      <c r="V268" s="89">
        <f t="shared" si="455"/>
        <v>0</v>
      </c>
      <c r="W268" s="137"/>
      <c r="X268" s="137"/>
      <c r="Y268" s="90">
        <f t="shared" si="456"/>
        <v>0</v>
      </c>
      <c r="Z268" s="91"/>
      <c r="AA268" s="92"/>
      <c r="AB268" s="92"/>
      <c r="AC268" s="92">
        <f t="shared" si="457"/>
        <v>0</v>
      </c>
      <c r="AD268" s="93"/>
      <c r="AE268" s="93"/>
      <c r="AF268" s="94">
        <f t="shared" si="458"/>
        <v>0</v>
      </c>
      <c r="AG268" s="473"/>
      <c r="AH268" s="99"/>
      <c r="AI268" s="99">
        <f t="shared" si="459"/>
        <v>0</v>
      </c>
      <c r="AJ268" s="138"/>
      <c r="AK268" s="138">
        <f t="shared" si="460"/>
        <v>0</v>
      </c>
      <c r="AL268" s="106"/>
      <c r="AM268" s="105"/>
      <c r="AN268" s="105">
        <f t="shared" si="461"/>
        <v>0</v>
      </c>
      <c r="AO268" s="106"/>
      <c r="AP268" s="105"/>
      <c r="AQ268" s="105">
        <f t="shared" si="439"/>
        <v>0</v>
      </c>
      <c r="AR268" s="106"/>
      <c r="AS268" s="97">
        <f t="shared" si="385"/>
        <v>0</v>
      </c>
      <c r="AT268" s="6"/>
      <c r="AU268" s="105"/>
      <c r="AV268" s="455">
        <f t="shared" si="410"/>
        <v>0</v>
      </c>
      <c r="AW268" s="496"/>
      <c r="AX268" s="508"/>
      <c r="AY268" s="498">
        <v>100</v>
      </c>
      <c r="AZ268" s="100">
        <f t="shared" si="462"/>
        <v>6.666666666666667</v>
      </c>
      <c r="BA268" s="101"/>
      <c r="BB268" s="100"/>
      <c r="BC268" s="100">
        <f t="shared" si="463"/>
        <v>0</v>
      </c>
      <c r="BD268" s="101"/>
      <c r="BE268" s="105">
        <f t="shared" si="464"/>
        <v>6.666666666666667</v>
      </c>
      <c r="BF268" s="106"/>
      <c r="BG268" s="100">
        <f t="shared" si="449"/>
        <v>0</v>
      </c>
      <c r="BH268" s="106"/>
      <c r="BI268" s="100">
        <f t="shared" si="450"/>
        <v>0</v>
      </c>
      <c r="BJ268" s="106"/>
      <c r="BK268" s="101">
        <f t="shared" si="386"/>
        <v>6.666666666666667</v>
      </c>
      <c r="BL268" s="106"/>
      <c r="BM268" s="104">
        <v>339</v>
      </c>
      <c r="BN268" s="104">
        <f t="shared" si="465"/>
        <v>6.78</v>
      </c>
      <c r="BO268" s="105">
        <v>300</v>
      </c>
      <c r="BP268" s="105">
        <f t="shared" si="413"/>
        <v>6</v>
      </c>
      <c r="BQ268" s="106"/>
      <c r="BR268" s="105"/>
      <c r="BS268" s="105">
        <f t="shared" si="378"/>
        <v>0</v>
      </c>
      <c r="BT268" s="106"/>
      <c r="BU268" s="53"/>
      <c r="BV268" s="53">
        <f t="shared" si="466"/>
        <v>0</v>
      </c>
      <c r="BW268" s="54"/>
      <c r="BX268" s="350">
        <f t="shared" si="387"/>
        <v>6</v>
      </c>
      <c r="BY268" s="6"/>
      <c r="BZ268" s="6">
        <f t="shared" si="445"/>
        <v>0.66666666666666696</v>
      </c>
      <c r="CA268" s="508"/>
      <c r="CB268" s="7"/>
      <c r="CC268" s="7"/>
      <c r="CD268" s="7"/>
      <c r="CE268" s="504"/>
      <c r="CF268" s="105"/>
      <c r="CG268" s="105">
        <f t="shared" si="446"/>
        <v>0</v>
      </c>
      <c r="CH268" s="105"/>
      <c r="CI268" s="105"/>
      <c r="CJ268" s="105">
        <f t="shared" si="447"/>
        <v>0</v>
      </c>
      <c r="CK268" s="523"/>
      <c r="CL268" s="102">
        <f t="shared" si="467"/>
        <v>0</v>
      </c>
      <c r="CM268" s="103"/>
      <c r="CN268" s="100"/>
      <c r="CO268" s="100">
        <f t="shared" si="423"/>
        <v>0</v>
      </c>
      <c r="CP268" s="515"/>
      <c r="CQ268" s="441"/>
      <c r="CR268" s="504"/>
      <c r="CS268" s="105"/>
      <c r="CT268" s="105">
        <f t="shared" si="389"/>
        <v>0</v>
      </c>
      <c r="CU268" s="105"/>
      <c r="CV268" s="105"/>
      <c r="CW268" s="105">
        <f t="shared" si="390"/>
        <v>0</v>
      </c>
      <c r="CX268" s="53"/>
      <c r="CY268" s="109">
        <f t="shared" si="424"/>
        <v>0</v>
      </c>
      <c r="CZ268" s="54"/>
      <c r="DA268" s="105"/>
      <c r="DB268" s="455">
        <f t="shared" si="388"/>
        <v>0</v>
      </c>
      <c r="DC268" s="495"/>
      <c r="DD268" s="24"/>
      <c r="DF268" s="1133"/>
      <c r="DG268" s="674">
        <f t="shared" si="451"/>
        <v>0</v>
      </c>
      <c r="DH268" s="1119">
        <f t="shared" si="452"/>
        <v>0</v>
      </c>
      <c r="DI268" s="1119"/>
      <c r="DJ268" s="101">
        <f t="shared" si="415"/>
        <v>6.666666666666667</v>
      </c>
      <c r="DK268" s="101"/>
      <c r="DL268" s="101">
        <f t="shared" si="405"/>
        <v>0</v>
      </c>
      <c r="DM268" s="101"/>
      <c r="DN268" s="112"/>
      <c r="DO268" s="112"/>
      <c r="DP268" s="112"/>
      <c r="DQ268" s="112"/>
      <c r="DS268" s="140"/>
      <c r="DT268" s="140"/>
      <c r="DU268" s="140"/>
      <c r="DV268" s="140"/>
      <c r="DW268" s="140"/>
      <c r="DX268" s="140"/>
      <c r="DY268" s="140"/>
      <c r="DZ268" s="140"/>
    </row>
    <row r="269" spans="1:130" s="139" customFormat="1" ht="21.6" customHeight="1" x14ac:dyDescent="0.25">
      <c r="A269" s="4"/>
      <c r="B269" s="4"/>
      <c r="C269" s="134" t="s">
        <v>142</v>
      </c>
      <c r="D269" s="182" t="s">
        <v>431</v>
      </c>
      <c r="E269" s="3" t="s">
        <v>407</v>
      </c>
      <c r="F269" s="135"/>
      <c r="G269" s="135"/>
      <c r="H269" s="135"/>
      <c r="I269" s="135"/>
      <c r="J269" s="135"/>
      <c r="K269" s="135"/>
      <c r="L269" s="183"/>
      <c r="M269" s="5"/>
      <c r="N269" s="41"/>
      <c r="O269" s="6"/>
      <c r="P269" s="7"/>
      <c r="Q269" s="7"/>
      <c r="R269" s="7"/>
      <c r="S269" s="7"/>
      <c r="T269" s="89"/>
      <c r="U269" s="89"/>
      <c r="V269" s="89">
        <f t="shared" si="455"/>
        <v>0</v>
      </c>
      <c r="W269" s="137"/>
      <c r="X269" s="137"/>
      <c r="Y269" s="90">
        <f t="shared" si="456"/>
        <v>0</v>
      </c>
      <c r="Z269" s="91"/>
      <c r="AA269" s="92"/>
      <c r="AB269" s="92"/>
      <c r="AC269" s="92">
        <f t="shared" si="457"/>
        <v>0</v>
      </c>
      <c r="AD269" s="93"/>
      <c r="AE269" s="93"/>
      <c r="AF269" s="94">
        <f t="shared" si="458"/>
        <v>0</v>
      </c>
      <c r="AG269" s="473"/>
      <c r="AH269" s="99"/>
      <c r="AI269" s="99"/>
      <c r="AJ269" s="138"/>
      <c r="AK269" s="138">
        <f t="shared" si="460"/>
        <v>0</v>
      </c>
      <c r="AL269" s="106"/>
      <c r="AM269" s="105"/>
      <c r="AN269" s="105">
        <f t="shared" si="461"/>
        <v>0</v>
      </c>
      <c r="AO269" s="106"/>
      <c r="AP269" s="105"/>
      <c r="AQ269" s="105">
        <f t="shared" si="439"/>
        <v>0</v>
      </c>
      <c r="AR269" s="106"/>
      <c r="AS269" s="97">
        <f t="shared" si="385"/>
        <v>0</v>
      </c>
      <c r="AT269" s="6"/>
      <c r="AU269" s="105"/>
      <c r="AV269" s="455">
        <f t="shared" si="410"/>
        <v>0</v>
      </c>
      <c r="AW269" s="496"/>
      <c r="AX269" s="508"/>
      <c r="AY269" s="498">
        <v>50</v>
      </c>
      <c r="AZ269" s="100">
        <f t="shared" si="462"/>
        <v>3.3333333333333335</v>
      </c>
      <c r="BA269" s="101"/>
      <c r="BB269" s="100"/>
      <c r="BC269" s="100">
        <f t="shared" si="463"/>
        <v>0</v>
      </c>
      <c r="BD269" s="101"/>
      <c r="BE269" s="105">
        <f t="shared" si="464"/>
        <v>3.3333333333333335</v>
      </c>
      <c r="BF269" s="106"/>
      <c r="BG269" s="100">
        <f t="shared" si="449"/>
        <v>0</v>
      </c>
      <c r="BH269" s="106"/>
      <c r="BI269" s="100">
        <f t="shared" si="450"/>
        <v>0</v>
      </c>
      <c r="BJ269" s="106"/>
      <c r="BK269" s="101">
        <f t="shared" si="386"/>
        <v>3.3333333333333335</v>
      </c>
      <c r="BL269" s="106"/>
      <c r="BM269" s="104">
        <v>175</v>
      </c>
      <c r="BN269" s="104">
        <f t="shared" si="465"/>
        <v>3.5</v>
      </c>
      <c r="BO269" s="105">
        <v>150</v>
      </c>
      <c r="BP269" s="105">
        <f t="shared" si="413"/>
        <v>3</v>
      </c>
      <c r="BQ269" s="106"/>
      <c r="BR269" s="105"/>
      <c r="BS269" s="105">
        <f t="shared" si="378"/>
        <v>0</v>
      </c>
      <c r="BT269" s="106"/>
      <c r="BU269" s="53"/>
      <c r="BV269" s="53">
        <f t="shared" si="466"/>
        <v>0</v>
      </c>
      <c r="BW269" s="54"/>
      <c r="BX269" s="350">
        <f t="shared" si="387"/>
        <v>3</v>
      </c>
      <c r="BY269" s="6"/>
      <c r="BZ269" s="6">
        <f t="shared" si="445"/>
        <v>0.33333333333333348</v>
      </c>
      <c r="CA269" s="508"/>
      <c r="CB269" s="7"/>
      <c r="CC269" s="7"/>
      <c r="CD269" s="7"/>
      <c r="CE269" s="504"/>
      <c r="CF269" s="105"/>
      <c r="CG269" s="105">
        <f t="shared" si="446"/>
        <v>0</v>
      </c>
      <c r="CH269" s="105"/>
      <c r="CI269" s="105"/>
      <c r="CJ269" s="105">
        <f t="shared" si="447"/>
        <v>0</v>
      </c>
      <c r="CK269" s="523"/>
      <c r="CL269" s="102">
        <f t="shared" si="467"/>
        <v>0</v>
      </c>
      <c r="CM269" s="103"/>
      <c r="CN269" s="100"/>
      <c r="CO269" s="100">
        <f t="shared" si="423"/>
        <v>0</v>
      </c>
      <c r="CP269" s="515"/>
      <c r="CQ269" s="441"/>
      <c r="CR269" s="504"/>
      <c r="CS269" s="105"/>
      <c r="CT269" s="105">
        <f t="shared" si="389"/>
        <v>0</v>
      </c>
      <c r="CU269" s="105"/>
      <c r="CV269" s="105"/>
      <c r="CW269" s="105">
        <f t="shared" si="390"/>
        <v>0</v>
      </c>
      <c r="CX269" s="53"/>
      <c r="CY269" s="109">
        <f t="shared" si="424"/>
        <v>0</v>
      </c>
      <c r="CZ269" s="54"/>
      <c r="DA269" s="105"/>
      <c r="DB269" s="455">
        <f t="shared" si="388"/>
        <v>0</v>
      </c>
      <c r="DC269" s="495"/>
      <c r="DD269" s="24" t="s">
        <v>375</v>
      </c>
      <c r="DF269" s="1133"/>
      <c r="DG269" s="674">
        <f t="shared" si="451"/>
        <v>0</v>
      </c>
      <c r="DH269" s="1119">
        <f t="shared" si="452"/>
        <v>0</v>
      </c>
      <c r="DI269" s="1119"/>
      <c r="DJ269" s="101">
        <f t="shared" si="415"/>
        <v>3.3333333333333335</v>
      </c>
      <c r="DK269" s="101"/>
      <c r="DL269" s="101">
        <f t="shared" si="405"/>
        <v>0</v>
      </c>
      <c r="DM269" s="101"/>
      <c r="DN269" s="112"/>
      <c r="DO269" s="112"/>
      <c r="DP269" s="112"/>
      <c r="DQ269" s="112"/>
      <c r="DS269" s="140"/>
      <c r="DT269" s="140"/>
      <c r="DU269" s="140"/>
      <c r="DV269" s="140"/>
      <c r="DW269" s="140"/>
      <c r="DX269" s="140"/>
      <c r="DY269" s="140"/>
      <c r="DZ269" s="140"/>
    </row>
    <row r="270" spans="1:130" s="139" customFormat="1" ht="34.5" customHeight="1" x14ac:dyDescent="0.25">
      <c r="A270" s="4"/>
      <c r="B270" s="4"/>
      <c r="C270" s="134" t="s">
        <v>142</v>
      </c>
      <c r="D270" s="182" t="s">
        <v>437</v>
      </c>
      <c r="E270" s="3" t="s">
        <v>404</v>
      </c>
      <c r="F270" s="135"/>
      <c r="G270" s="135"/>
      <c r="H270" s="135"/>
      <c r="I270" s="135"/>
      <c r="J270" s="135"/>
      <c r="K270" s="135"/>
      <c r="L270" s="183"/>
      <c r="M270" s="5"/>
      <c r="N270" s="41"/>
      <c r="O270" s="6"/>
      <c r="P270" s="7"/>
      <c r="Q270" s="7"/>
      <c r="R270" s="7"/>
      <c r="S270" s="7"/>
      <c r="T270" s="89"/>
      <c r="U270" s="89"/>
      <c r="V270" s="89">
        <f t="shared" si="455"/>
        <v>0</v>
      </c>
      <c r="W270" s="137"/>
      <c r="X270" s="137"/>
      <c r="Y270" s="90">
        <f t="shared" si="456"/>
        <v>0</v>
      </c>
      <c r="Z270" s="91"/>
      <c r="AA270" s="92"/>
      <c r="AB270" s="92"/>
      <c r="AC270" s="92">
        <f t="shared" si="457"/>
        <v>0</v>
      </c>
      <c r="AD270" s="93"/>
      <c r="AE270" s="93"/>
      <c r="AF270" s="94">
        <f t="shared" si="458"/>
        <v>0</v>
      </c>
      <c r="AG270" s="473"/>
      <c r="AH270" s="99"/>
      <c r="AI270" s="99"/>
      <c r="AJ270" s="138"/>
      <c r="AK270" s="138">
        <f t="shared" si="460"/>
        <v>0</v>
      </c>
      <c r="AL270" s="106"/>
      <c r="AM270" s="105"/>
      <c r="AN270" s="105">
        <f t="shared" si="461"/>
        <v>0</v>
      </c>
      <c r="AO270" s="106"/>
      <c r="AP270" s="105"/>
      <c r="AQ270" s="105">
        <f t="shared" si="439"/>
        <v>0</v>
      </c>
      <c r="AR270" s="106"/>
      <c r="AS270" s="97">
        <f t="shared" si="385"/>
        <v>0</v>
      </c>
      <c r="AT270" s="6"/>
      <c r="AU270" s="105"/>
      <c r="AV270" s="455">
        <f t="shared" si="410"/>
        <v>0</v>
      </c>
      <c r="AW270" s="496"/>
      <c r="AX270" s="508"/>
      <c r="AY270" s="498">
        <v>125</v>
      </c>
      <c r="AZ270" s="100">
        <f t="shared" si="462"/>
        <v>8.3333333333333339</v>
      </c>
      <c r="BA270" s="101"/>
      <c r="BB270" s="100"/>
      <c r="BC270" s="100">
        <f t="shared" si="463"/>
        <v>0</v>
      </c>
      <c r="BD270" s="101"/>
      <c r="BE270" s="105">
        <f t="shared" si="464"/>
        <v>8.3333333333333339</v>
      </c>
      <c r="BF270" s="106"/>
      <c r="BG270" s="100">
        <f t="shared" si="449"/>
        <v>0</v>
      </c>
      <c r="BH270" s="106"/>
      <c r="BI270" s="100">
        <f t="shared" si="450"/>
        <v>0</v>
      </c>
      <c r="BJ270" s="106"/>
      <c r="BK270" s="101">
        <f t="shared" si="386"/>
        <v>8.3333333333333339</v>
      </c>
      <c r="BL270" s="106"/>
      <c r="BM270" s="104">
        <v>425</v>
      </c>
      <c r="BN270" s="104">
        <f t="shared" si="465"/>
        <v>8.5</v>
      </c>
      <c r="BO270" s="105">
        <v>400</v>
      </c>
      <c r="BP270" s="105">
        <f t="shared" si="413"/>
        <v>8</v>
      </c>
      <c r="BQ270" s="106"/>
      <c r="BR270" s="105"/>
      <c r="BS270" s="105">
        <f t="shared" si="378"/>
        <v>0</v>
      </c>
      <c r="BT270" s="106"/>
      <c r="BU270" s="53"/>
      <c r="BV270" s="53">
        <f t="shared" si="466"/>
        <v>0</v>
      </c>
      <c r="BW270" s="54"/>
      <c r="BX270" s="350">
        <f t="shared" si="387"/>
        <v>8</v>
      </c>
      <c r="BY270" s="6"/>
      <c r="BZ270" s="6">
        <f t="shared" si="445"/>
        <v>0.33333333333333393</v>
      </c>
      <c r="CA270" s="508"/>
      <c r="CB270" s="7"/>
      <c r="CC270" s="7"/>
      <c r="CD270" s="7"/>
      <c r="CE270" s="504"/>
      <c r="CF270" s="105"/>
      <c r="CG270" s="105">
        <f t="shared" si="446"/>
        <v>0</v>
      </c>
      <c r="CH270" s="105"/>
      <c r="CI270" s="105"/>
      <c r="CJ270" s="105">
        <f t="shared" si="447"/>
        <v>0</v>
      </c>
      <c r="CK270" s="523"/>
      <c r="CL270" s="102">
        <f t="shared" si="467"/>
        <v>0</v>
      </c>
      <c r="CM270" s="103"/>
      <c r="CN270" s="100"/>
      <c r="CO270" s="100">
        <f t="shared" si="423"/>
        <v>0</v>
      </c>
      <c r="CP270" s="515"/>
      <c r="CQ270" s="441"/>
      <c r="CR270" s="504"/>
      <c r="CS270" s="105"/>
      <c r="CT270" s="105">
        <f t="shared" si="389"/>
        <v>0</v>
      </c>
      <c r="CU270" s="105"/>
      <c r="CV270" s="105"/>
      <c r="CW270" s="105">
        <f t="shared" si="390"/>
        <v>0</v>
      </c>
      <c r="CX270" s="53"/>
      <c r="CY270" s="109">
        <f t="shared" si="424"/>
        <v>0</v>
      </c>
      <c r="CZ270" s="54"/>
      <c r="DA270" s="105"/>
      <c r="DB270" s="455">
        <f t="shared" si="388"/>
        <v>0</v>
      </c>
      <c r="DC270" s="495"/>
      <c r="DD270" s="24" t="s">
        <v>501</v>
      </c>
      <c r="DF270" s="1133"/>
      <c r="DG270" s="674">
        <f t="shared" si="451"/>
        <v>0</v>
      </c>
      <c r="DH270" s="1119">
        <f t="shared" si="452"/>
        <v>0</v>
      </c>
      <c r="DI270" s="1119"/>
      <c r="DJ270" s="101">
        <f t="shared" si="415"/>
        <v>8.3333333333333339</v>
      </c>
      <c r="DK270" s="101"/>
      <c r="DL270" s="101">
        <f t="shared" si="405"/>
        <v>0</v>
      </c>
      <c r="DM270" s="101"/>
      <c r="DN270" s="112"/>
      <c r="DO270" s="112">
        <f>DJ270</f>
        <v>8.3333333333333339</v>
      </c>
      <c r="DP270" s="112"/>
      <c r="DQ270" s="112"/>
      <c r="DS270" s="140"/>
      <c r="DT270" s="140"/>
      <c r="DU270" s="140"/>
      <c r="DV270" s="140"/>
      <c r="DW270" s="140"/>
      <c r="DX270" s="140"/>
      <c r="DY270" s="140"/>
      <c r="DZ270" s="140"/>
    </row>
    <row r="271" spans="1:130" s="139" customFormat="1" ht="21.6" customHeight="1" x14ac:dyDescent="0.25">
      <c r="A271" s="4"/>
      <c r="B271" s="4"/>
      <c r="C271" s="134" t="s">
        <v>142</v>
      </c>
      <c r="D271" s="182" t="s">
        <v>437</v>
      </c>
      <c r="E271" s="3" t="s">
        <v>408</v>
      </c>
      <c r="F271" s="135"/>
      <c r="G271" s="135"/>
      <c r="H271" s="135"/>
      <c r="I271" s="135"/>
      <c r="J271" s="135"/>
      <c r="K271" s="135"/>
      <c r="L271" s="183"/>
      <c r="M271" s="5"/>
      <c r="N271" s="41"/>
      <c r="O271" s="6"/>
      <c r="P271" s="7"/>
      <c r="Q271" s="7"/>
      <c r="R271" s="7"/>
      <c r="S271" s="7"/>
      <c r="T271" s="89"/>
      <c r="U271" s="89"/>
      <c r="V271" s="89">
        <f t="shared" si="455"/>
        <v>0</v>
      </c>
      <c r="W271" s="137"/>
      <c r="X271" s="137"/>
      <c r="Y271" s="90">
        <f t="shared" si="456"/>
        <v>0</v>
      </c>
      <c r="Z271" s="91"/>
      <c r="AA271" s="92"/>
      <c r="AB271" s="92"/>
      <c r="AC271" s="92">
        <f t="shared" si="457"/>
        <v>0</v>
      </c>
      <c r="AD271" s="93"/>
      <c r="AE271" s="93"/>
      <c r="AF271" s="94">
        <f t="shared" si="458"/>
        <v>0</v>
      </c>
      <c r="AG271" s="473"/>
      <c r="AH271" s="99"/>
      <c r="AI271" s="99"/>
      <c r="AJ271" s="138"/>
      <c r="AK271" s="138">
        <f t="shared" si="460"/>
        <v>0</v>
      </c>
      <c r="AL271" s="106"/>
      <c r="AM271" s="105"/>
      <c r="AN271" s="105">
        <f t="shared" si="461"/>
        <v>0</v>
      </c>
      <c r="AO271" s="106"/>
      <c r="AP271" s="105"/>
      <c r="AQ271" s="105">
        <f t="shared" si="439"/>
        <v>0</v>
      </c>
      <c r="AR271" s="106"/>
      <c r="AS271" s="97">
        <f t="shared" si="385"/>
        <v>0</v>
      </c>
      <c r="AT271" s="6"/>
      <c r="AU271" s="105"/>
      <c r="AV271" s="455">
        <f t="shared" si="410"/>
        <v>0</v>
      </c>
      <c r="AW271" s="496"/>
      <c r="AX271" s="508"/>
      <c r="AY271" s="498">
        <v>525</v>
      </c>
      <c r="AZ271" s="100">
        <f t="shared" si="462"/>
        <v>35</v>
      </c>
      <c r="BA271" s="101"/>
      <c r="BB271" s="100"/>
      <c r="BC271" s="100">
        <f t="shared" si="463"/>
        <v>0</v>
      </c>
      <c r="BD271" s="101"/>
      <c r="BE271" s="105">
        <f t="shared" si="464"/>
        <v>35</v>
      </c>
      <c r="BF271" s="106"/>
      <c r="BG271" s="100">
        <f t="shared" si="449"/>
        <v>0</v>
      </c>
      <c r="BH271" s="106"/>
      <c r="BI271" s="100">
        <f t="shared" si="450"/>
        <v>0</v>
      </c>
      <c r="BJ271" s="106"/>
      <c r="BK271" s="101">
        <f t="shared" si="386"/>
        <v>35</v>
      </c>
      <c r="BL271" s="106"/>
      <c r="BM271" s="104">
        <v>1750</v>
      </c>
      <c r="BN271" s="104">
        <f t="shared" si="465"/>
        <v>35</v>
      </c>
      <c r="BO271" s="105">
        <v>1750</v>
      </c>
      <c r="BP271" s="105">
        <f t="shared" si="413"/>
        <v>35</v>
      </c>
      <c r="BQ271" s="106"/>
      <c r="BR271" s="105"/>
      <c r="BS271" s="105">
        <f t="shared" si="378"/>
        <v>0</v>
      </c>
      <c r="BT271" s="106"/>
      <c r="BU271" s="53"/>
      <c r="BV271" s="53">
        <f t="shared" si="466"/>
        <v>0</v>
      </c>
      <c r="BW271" s="54"/>
      <c r="BX271" s="350">
        <f t="shared" si="387"/>
        <v>35</v>
      </c>
      <c r="BY271" s="6"/>
      <c r="BZ271" s="6">
        <f t="shared" si="445"/>
        <v>0</v>
      </c>
      <c r="CA271" s="508"/>
      <c r="CB271" s="7"/>
      <c r="CC271" s="7"/>
      <c r="CD271" s="7"/>
      <c r="CE271" s="504"/>
      <c r="CF271" s="105"/>
      <c r="CG271" s="105">
        <f t="shared" si="446"/>
        <v>0</v>
      </c>
      <c r="CH271" s="105"/>
      <c r="CI271" s="105"/>
      <c r="CJ271" s="105">
        <f t="shared" si="447"/>
        <v>0</v>
      </c>
      <c r="CK271" s="523"/>
      <c r="CL271" s="102">
        <f t="shared" si="467"/>
        <v>0</v>
      </c>
      <c r="CM271" s="103"/>
      <c r="CN271" s="100"/>
      <c r="CO271" s="100">
        <f t="shared" si="423"/>
        <v>0</v>
      </c>
      <c r="CP271" s="515"/>
      <c r="CQ271" s="441"/>
      <c r="CR271" s="504"/>
      <c r="CS271" s="105"/>
      <c r="CT271" s="105">
        <f t="shared" si="389"/>
        <v>0</v>
      </c>
      <c r="CU271" s="105"/>
      <c r="CV271" s="105"/>
      <c r="CW271" s="105">
        <f t="shared" si="390"/>
        <v>0</v>
      </c>
      <c r="CX271" s="53"/>
      <c r="CY271" s="109">
        <f t="shared" si="424"/>
        <v>0</v>
      </c>
      <c r="CZ271" s="54"/>
      <c r="DA271" s="105"/>
      <c r="DB271" s="455">
        <f t="shared" si="388"/>
        <v>0</v>
      </c>
      <c r="DC271" s="495"/>
      <c r="DD271" s="24" t="s">
        <v>409</v>
      </c>
      <c r="DF271" s="1133"/>
      <c r="DG271" s="674">
        <f t="shared" si="451"/>
        <v>0</v>
      </c>
      <c r="DH271" s="1119">
        <f t="shared" si="452"/>
        <v>0</v>
      </c>
      <c r="DI271" s="1119"/>
      <c r="DJ271" s="101">
        <f t="shared" si="415"/>
        <v>35</v>
      </c>
      <c r="DK271" s="101"/>
      <c r="DL271" s="101">
        <f t="shared" si="405"/>
        <v>0</v>
      </c>
      <c r="DM271" s="101"/>
      <c r="DN271" s="112"/>
      <c r="DO271" s="112">
        <f>DJ271</f>
        <v>35</v>
      </c>
      <c r="DP271" s="112"/>
      <c r="DQ271" s="112"/>
      <c r="DS271" s="140"/>
      <c r="DT271" s="140"/>
      <c r="DU271" s="140"/>
      <c r="DV271" s="140"/>
      <c r="DW271" s="140"/>
      <c r="DX271" s="140"/>
      <c r="DY271" s="140"/>
      <c r="DZ271" s="140"/>
    </row>
    <row r="272" spans="1:130" s="139" customFormat="1" ht="21.6" customHeight="1" x14ac:dyDescent="0.25">
      <c r="A272" s="4" t="s">
        <v>130</v>
      </c>
      <c r="B272" s="4">
        <v>12</v>
      </c>
      <c r="C272" s="182" t="s">
        <v>142</v>
      </c>
      <c r="D272" s="182" t="s">
        <v>431</v>
      </c>
      <c r="E272" s="13" t="s">
        <v>149</v>
      </c>
      <c r="F272" s="135">
        <v>20</v>
      </c>
      <c r="G272" s="135">
        <v>10</v>
      </c>
      <c r="H272" s="135">
        <f t="shared" si="453"/>
        <v>30</v>
      </c>
      <c r="I272" s="135">
        <v>23.5</v>
      </c>
      <c r="J272" s="135"/>
      <c r="K272" s="135">
        <f t="shared" si="454"/>
        <v>23.5</v>
      </c>
      <c r="L272" s="183"/>
      <c r="M272" s="5"/>
      <c r="N272" s="41"/>
      <c r="O272" s="6"/>
      <c r="P272" s="7"/>
      <c r="Q272" s="7"/>
      <c r="R272" s="7"/>
      <c r="S272" s="7"/>
      <c r="T272" s="89"/>
      <c r="U272" s="89"/>
      <c r="V272" s="89">
        <f t="shared" si="455"/>
        <v>0</v>
      </c>
      <c r="W272" s="137"/>
      <c r="X272" s="137"/>
      <c r="Y272" s="90">
        <f t="shared" si="456"/>
        <v>0</v>
      </c>
      <c r="Z272" s="91"/>
      <c r="AA272" s="92"/>
      <c r="AB272" s="92"/>
      <c r="AC272" s="92">
        <f t="shared" si="457"/>
        <v>0</v>
      </c>
      <c r="AD272" s="93"/>
      <c r="AE272" s="93"/>
      <c r="AF272" s="261">
        <f t="shared" si="458"/>
        <v>0</v>
      </c>
      <c r="AG272" s="473"/>
      <c r="AH272" s="99"/>
      <c r="AI272" s="99">
        <f t="shared" si="459"/>
        <v>0</v>
      </c>
      <c r="AJ272" s="138"/>
      <c r="AK272" s="138">
        <f t="shared" si="460"/>
        <v>0</v>
      </c>
      <c r="AL272" s="106"/>
      <c r="AM272" s="105"/>
      <c r="AN272" s="105">
        <f t="shared" si="461"/>
        <v>0</v>
      </c>
      <c r="AO272" s="106"/>
      <c r="AP272" s="105"/>
      <c r="AQ272" s="105">
        <f t="shared" si="439"/>
        <v>0</v>
      </c>
      <c r="AR272" s="106"/>
      <c r="AS272" s="97">
        <f t="shared" si="385"/>
        <v>0</v>
      </c>
      <c r="AT272" s="6"/>
      <c r="AU272" s="105"/>
      <c r="AV272" s="455">
        <f t="shared" si="410"/>
        <v>0</v>
      </c>
      <c r="AW272" s="496"/>
      <c r="AX272" s="508"/>
      <c r="AY272" s="498">
        <v>485</v>
      </c>
      <c r="AZ272" s="100">
        <f t="shared" si="462"/>
        <v>32.333333333333336</v>
      </c>
      <c r="BA272" s="101"/>
      <c r="BB272" s="100"/>
      <c r="BC272" s="100">
        <f t="shared" si="463"/>
        <v>0</v>
      </c>
      <c r="BD272" s="101"/>
      <c r="BE272" s="105">
        <f t="shared" si="464"/>
        <v>32.333333333333336</v>
      </c>
      <c r="BF272" s="264"/>
      <c r="BG272" s="100">
        <f t="shared" si="449"/>
        <v>0</v>
      </c>
      <c r="BH272" s="264"/>
      <c r="BI272" s="100">
        <f t="shared" si="450"/>
        <v>0</v>
      </c>
      <c r="BJ272" s="264"/>
      <c r="BK272" s="101">
        <f t="shared" si="386"/>
        <v>32.333333333333336</v>
      </c>
      <c r="BL272" s="264"/>
      <c r="BM272" s="104">
        <v>872</v>
      </c>
      <c r="BN272" s="104">
        <f t="shared" si="465"/>
        <v>17.440000000000001</v>
      </c>
      <c r="BO272" s="105">
        <v>1600</v>
      </c>
      <c r="BP272" s="105">
        <f t="shared" si="413"/>
        <v>32</v>
      </c>
      <c r="BQ272" s="106"/>
      <c r="BR272" s="105"/>
      <c r="BS272" s="105">
        <f t="shared" ref="BS272:BS335" si="468">BR272/50</f>
        <v>0</v>
      </c>
      <c r="BT272" s="106"/>
      <c r="BU272" s="53"/>
      <c r="BV272" s="53">
        <f t="shared" si="466"/>
        <v>0</v>
      </c>
      <c r="BW272" s="54"/>
      <c r="BX272" s="350">
        <f t="shared" si="387"/>
        <v>32</v>
      </c>
      <c r="BY272" s="6"/>
      <c r="BZ272" s="6">
        <f t="shared" si="445"/>
        <v>0.3333333333333357</v>
      </c>
      <c r="CA272" s="508"/>
      <c r="CB272" s="7"/>
      <c r="CC272" s="7"/>
      <c r="CD272" s="7"/>
      <c r="CE272" s="504"/>
      <c r="CF272" s="105"/>
      <c r="CG272" s="105">
        <f t="shared" si="446"/>
        <v>0</v>
      </c>
      <c r="CH272" s="105"/>
      <c r="CI272" s="105"/>
      <c r="CJ272" s="105">
        <f t="shared" si="447"/>
        <v>0</v>
      </c>
      <c r="CK272" s="523"/>
      <c r="CL272" s="102">
        <f t="shared" si="467"/>
        <v>0</v>
      </c>
      <c r="CM272" s="103"/>
      <c r="CN272" s="100"/>
      <c r="CO272" s="100">
        <f t="shared" si="423"/>
        <v>0</v>
      </c>
      <c r="CP272" s="515"/>
      <c r="CQ272" s="441"/>
      <c r="CR272" s="504"/>
      <c r="CS272" s="105"/>
      <c r="CT272" s="105">
        <f t="shared" si="389"/>
        <v>0</v>
      </c>
      <c r="CU272" s="105"/>
      <c r="CV272" s="105"/>
      <c r="CW272" s="105">
        <f t="shared" si="390"/>
        <v>0</v>
      </c>
      <c r="CX272" s="53"/>
      <c r="CY272" s="109">
        <f t="shared" si="424"/>
        <v>0</v>
      </c>
      <c r="CZ272" s="54"/>
      <c r="DA272" s="105"/>
      <c r="DB272" s="455">
        <f t="shared" si="388"/>
        <v>0</v>
      </c>
      <c r="DC272" s="495"/>
      <c r="DD272" s="24"/>
      <c r="DE272" s="7" t="s">
        <v>502</v>
      </c>
      <c r="DF272" s="1133"/>
      <c r="DG272" s="674">
        <f t="shared" si="451"/>
        <v>0</v>
      </c>
      <c r="DH272" s="1119">
        <f t="shared" si="452"/>
        <v>0</v>
      </c>
      <c r="DI272" s="1119"/>
      <c r="DJ272" s="101">
        <f t="shared" si="415"/>
        <v>32.333333333333336</v>
      </c>
      <c r="DK272" s="101"/>
      <c r="DL272" s="101">
        <f t="shared" si="405"/>
        <v>0</v>
      </c>
      <c r="DM272" s="101"/>
      <c r="DN272" s="112"/>
      <c r="DO272" s="112"/>
      <c r="DP272" s="112"/>
      <c r="DQ272" s="112"/>
      <c r="DR272" s="58"/>
      <c r="DS272" s="140"/>
      <c r="DT272" s="140"/>
      <c r="DU272" s="140"/>
      <c r="DV272" s="140"/>
      <c r="DW272" s="140"/>
      <c r="DX272" s="140"/>
      <c r="DY272" s="140"/>
      <c r="DZ272" s="140"/>
    </row>
    <row r="273" spans="1:130" ht="29.25" customHeight="1" x14ac:dyDescent="0.25">
      <c r="A273" s="4" t="s">
        <v>130</v>
      </c>
      <c r="B273" s="4">
        <v>13</v>
      </c>
      <c r="C273" s="166" t="s">
        <v>142</v>
      </c>
      <c r="D273" s="167"/>
      <c r="E273" s="1" t="s">
        <v>150</v>
      </c>
      <c r="F273" s="162">
        <v>20</v>
      </c>
      <c r="G273" s="162">
        <v>2</v>
      </c>
      <c r="H273" s="162">
        <f t="shared" si="453"/>
        <v>22</v>
      </c>
      <c r="I273" s="162">
        <v>22</v>
      </c>
      <c r="J273" s="162"/>
      <c r="K273" s="162">
        <f t="shared" si="454"/>
        <v>22</v>
      </c>
      <c r="L273" s="168"/>
      <c r="M273" s="414"/>
      <c r="N273" s="46"/>
      <c r="O273" s="164"/>
      <c r="P273" s="165"/>
      <c r="Q273" s="165"/>
      <c r="R273" s="165"/>
      <c r="S273" s="165"/>
      <c r="T273" s="89"/>
      <c r="U273" s="89"/>
      <c r="V273" s="89">
        <f t="shared" si="455"/>
        <v>0</v>
      </c>
      <c r="W273" s="137"/>
      <c r="X273" s="137"/>
      <c r="Y273" s="90">
        <f t="shared" si="456"/>
        <v>0</v>
      </c>
      <c r="Z273" s="169"/>
      <c r="AA273" s="92"/>
      <c r="AB273" s="92"/>
      <c r="AC273" s="92">
        <f t="shared" si="457"/>
        <v>0</v>
      </c>
      <c r="AD273" s="93"/>
      <c r="AE273" s="93"/>
      <c r="AF273" s="94">
        <f t="shared" si="458"/>
        <v>0</v>
      </c>
      <c r="AG273" s="475"/>
      <c r="AH273" s="99"/>
      <c r="AI273" s="99">
        <f t="shared" si="459"/>
        <v>0</v>
      </c>
      <c r="AJ273" s="138"/>
      <c r="AK273" s="138">
        <f t="shared" si="460"/>
        <v>0</v>
      </c>
      <c r="AL273" s="106"/>
      <c r="AM273" s="105"/>
      <c r="AN273" s="105">
        <f t="shared" si="461"/>
        <v>0</v>
      </c>
      <c r="AO273" s="106"/>
      <c r="AP273" s="105"/>
      <c r="AQ273" s="105">
        <f t="shared" si="439"/>
        <v>0</v>
      </c>
      <c r="AR273" s="106"/>
      <c r="AS273" s="97">
        <f t="shared" si="385"/>
        <v>0</v>
      </c>
      <c r="AT273" s="6"/>
      <c r="AU273" s="105"/>
      <c r="AV273" s="455">
        <f t="shared" si="410"/>
        <v>0</v>
      </c>
      <c r="AW273" s="496"/>
      <c r="AX273" s="508"/>
      <c r="AY273" s="498"/>
      <c r="AZ273" s="100">
        <f t="shared" si="462"/>
        <v>0</v>
      </c>
      <c r="BA273" s="101"/>
      <c r="BB273" s="100"/>
      <c r="BC273" s="100">
        <f t="shared" si="463"/>
        <v>0</v>
      </c>
      <c r="BD273" s="101"/>
      <c r="BE273" s="105">
        <f t="shared" si="464"/>
        <v>0</v>
      </c>
      <c r="BF273" s="106"/>
      <c r="BG273" s="100">
        <f t="shared" si="449"/>
        <v>0</v>
      </c>
      <c r="BH273" s="106"/>
      <c r="BI273" s="100">
        <f t="shared" si="450"/>
        <v>0</v>
      </c>
      <c r="BJ273" s="106"/>
      <c r="BK273" s="101">
        <f t="shared" si="386"/>
        <v>0</v>
      </c>
      <c r="BL273" s="106"/>
      <c r="BM273" s="104"/>
      <c r="BN273" s="104" t="s">
        <v>426</v>
      </c>
      <c r="BO273" s="105"/>
      <c r="BP273" s="105">
        <f t="shared" si="413"/>
        <v>0</v>
      </c>
      <c r="BQ273" s="106"/>
      <c r="BR273" s="105"/>
      <c r="BS273" s="105">
        <f t="shared" si="468"/>
        <v>0</v>
      </c>
      <c r="BT273" s="106"/>
      <c r="BU273" s="53"/>
      <c r="BV273" s="53">
        <f t="shared" si="466"/>
        <v>0</v>
      </c>
      <c r="BW273" s="54"/>
      <c r="BX273" s="350">
        <f t="shared" si="387"/>
        <v>0</v>
      </c>
      <c r="BY273" s="6"/>
      <c r="BZ273" s="6">
        <f t="shared" si="445"/>
        <v>0</v>
      </c>
      <c r="CA273" s="508"/>
      <c r="CB273" s="165"/>
      <c r="CC273" s="165"/>
      <c r="CD273" s="165"/>
      <c r="CE273" s="504"/>
      <c r="CF273" s="105"/>
      <c r="CG273" s="105">
        <f t="shared" si="446"/>
        <v>0</v>
      </c>
      <c r="CH273" s="105"/>
      <c r="CI273" s="105"/>
      <c r="CJ273" s="105">
        <f t="shared" si="447"/>
        <v>0</v>
      </c>
      <c r="CK273" s="523"/>
      <c r="CL273" s="102">
        <f t="shared" si="467"/>
        <v>0</v>
      </c>
      <c r="CM273" s="103"/>
      <c r="CN273" s="100"/>
      <c r="CO273" s="100">
        <f t="shared" si="423"/>
        <v>0</v>
      </c>
      <c r="CP273" s="515"/>
      <c r="CQ273" s="441"/>
      <c r="CR273" s="504"/>
      <c r="CS273" s="105"/>
      <c r="CT273" s="105">
        <f t="shared" si="389"/>
        <v>0</v>
      </c>
      <c r="CU273" s="105"/>
      <c r="CV273" s="105"/>
      <c r="CW273" s="105">
        <f t="shared" si="390"/>
        <v>0</v>
      </c>
      <c r="CX273" s="53"/>
      <c r="CY273" s="109">
        <f t="shared" si="424"/>
        <v>0</v>
      </c>
      <c r="CZ273" s="54"/>
      <c r="DA273" s="105"/>
      <c r="DB273" s="455">
        <f t="shared" si="388"/>
        <v>0</v>
      </c>
      <c r="DC273" s="495"/>
      <c r="DD273" s="25"/>
      <c r="DF273" s="1133"/>
      <c r="DG273" s="674">
        <f t="shared" si="451"/>
        <v>0</v>
      </c>
      <c r="DH273" s="1119">
        <f t="shared" si="452"/>
        <v>0</v>
      </c>
      <c r="DI273" s="1119"/>
      <c r="DJ273" s="101">
        <f t="shared" si="415"/>
        <v>0</v>
      </c>
      <c r="DK273" s="101"/>
      <c r="DL273" s="101">
        <f t="shared" si="405"/>
        <v>0</v>
      </c>
      <c r="DM273" s="101"/>
      <c r="DN273" s="112"/>
      <c r="DO273" s="112"/>
      <c r="DP273" s="112"/>
      <c r="DQ273" s="112"/>
    </row>
    <row r="274" spans="1:130" s="222" customFormat="1" ht="21.6" customHeight="1" x14ac:dyDescent="0.25">
      <c r="A274" s="207"/>
      <c r="B274" s="207"/>
      <c r="C274" s="182" t="s">
        <v>142</v>
      </c>
      <c r="D274" s="182" t="s">
        <v>437</v>
      </c>
      <c r="E274" s="16" t="s">
        <v>346</v>
      </c>
      <c r="F274" s="208"/>
      <c r="G274" s="208"/>
      <c r="H274" s="208"/>
      <c r="I274" s="208"/>
      <c r="J274" s="208"/>
      <c r="K274" s="208"/>
      <c r="L274" s="278"/>
      <c r="M274" s="210"/>
      <c r="N274" s="177"/>
      <c r="O274" s="211"/>
      <c r="P274" s="212"/>
      <c r="Q274" s="212"/>
      <c r="R274" s="212"/>
      <c r="S274" s="212"/>
      <c r="T274" s="213"/>
      <c r="U274" s="213"/>
      <c r="V274" s="213">
        <f t="shared" si="455"/>
        <v>0</v>
      </c>
      <c r="W274" s="214"/>
      <c r="X274" s="214"/>
      <c r="Y274" s="215">
        <f t="shared" si="456"/>
        <v>0</v>
      </c>
      <c r="Z274" s="216"/>
      <c r="AA274" s="217"/>
      <c r="AB274" s="217"/>
      <c r="AC274" s="92">
        <f t="shared" si="457"/>
        <v>0</v>
      </c>
      <c r="AD274" s="218"/>
      <c r="AE274" s="218"/>
      <c r="AF274" s="94">
        <f t="shared" si="458"/>
        <v>0</v>
      </c>
      <c r="AG274" s="477"/>
      <c r="AH274" s="219">
        <v>45</v>
      </c>
      <c r="AI274" s="219">
        <f t="shared" si="459"/>
        <v>3</v>
      </c>
      <c r="AJ274" s="221"/>
      <c r="AK274" s="138">
        <f t="shared" si="460"/>
        <v>0</v>
      </c>
      <c r="AL274" s="106"/>
      <c r="AM274" s="105">
        <v>45</v>
      </c>
      <c r="AN274" s="105">
        <f t="shared" si="461"/>
        <v>3</v>
      </c>
      <c r="AO274" s="106"/>
      <c r="AP274" s="105"/>
      <c r="AQ274" s="105">
        <f t="shared" si="439"/>
        <v>0</v>
      </c>
      <c r="AR274" s="106"/>
      <c r="AS274" s="97">
        <f t="shared" si="385"/>
        <v>3</v>
      </c>
      <c r="AT274" s="6"/>
      <c r="AU274" s="105"/>
      <c r="AV274" s="455">
        <f t="shared" si="410"/>
        <v>0</v>
      </c>
      <c r="AW274" s="496"/>
      <c r="AX274" s="508"/>
      <c r="AY274" s="500"/>
      <c r="AZ274" s="100">
        <f t="shared" si="462"/>
        <v>0</v>
      </c>
      <c r="BA274" s="101"/>
      <c r="BB274" s="100"/>
      <c r="BC274" s="100">
        <f t="shared" si="463"/>
        <v>0</v>
      </c>
      <c r="BD274" s="101"/>
      <c r="BE274" s="105">
        <f t="shared" si="464"/>
        <v>0</v>
      </c>
      <c r="BF274" s="106"/>
      <c r="BG274" s="100">
        <f t="shared" si="449"/>
        <v>3</v>
      </c>
      <c r="BH274" s="106"/>
      <c r="BI274" s="100">
        <f t="shared" si="450"/>
        <v>0</v>
      </c>
      <c r="BJ274" s="106"/>
      <c r="BK274" s="101">
        <f t="shared" si="386"/>
        <v>3</v>
      </c>
      <c r="BL274" s="106"/>
      <c r="BM274" s="219">
        <v>350</v>
      </c>
      <c r="BN274" s="219">
        <f t="shared" si="465"/>
        <v>7</v>
      </c>
      <c r="BO274" s="221"/>
      <c r="BP274" s="105">
        <f t="shared" si="413"/>
        <v>0</v>
      </c>
      <c r="BQ274" s="106"/>
      <c r="BR274" s="105"/>
      <c r="BS274" s="105">
        <f t="shared" si="468"/>
        <v>0</v>
      </c>
      <c r="BT274" s="106"/>
      <c r="BU274" s="53">
        <v>150</v>
      </c>
      <c r="BV274" s="53">
        <f t="shared" si="466"/>
        <v>3</v>
      </c>
      <c r="BW274" s="54"/>
      <c r="BX274" s="350">
        <f t="shared" si="387"/>
        <v>3</v>
      </c>
      <c r="BY274" s="6"/>
      <c r="BZ274" s="6">
        <f t="shared" si="445"/>
        <v>0</v>
      </c>
      <c r="CA274" s="508"/>
      <c r="CB274" s="212"/>
      <c r="CC274" s="212"/>
      <c r="CD274" s="212"/>
      <c r="CE274" s="504"/>
      <c r="CF274" s="105"/>
      <c r="CG274" s="105">
        <f t="shared" si="446"/>
        <v>0</v>
      </c>
      <c r="CH274" s="105"/>
      <c r="CI274" s="105"/>
      <c r="CJ274" s="105">
        <f t="shared" si="447"/>
        <v>0</v>
      </c>
      <c r="CK274" s="523"/>
      <c r="CL274" s="102">
        <f t="shared" si="467"/>
        <v>0</v>
      </c>
      <c r="CM274" s="103"/>
      <c r="CN274" s="100"/>
      <c r="CO274" s="100">
        <f t="shared" si="423"/>
        <v>0</v>
      </c>
      <c r="CP274" s="515"/>
      <c r="CQ274" s="441"/>
      <c r="CR274" s="504"/>
      <c r="CS274" s="105"/>
      <c r="CT274" s="105">
        <f t="shared" si="389"/>
        <v>0</v>
      </c>
      <c r="CU274" s="105"/>
      <c r="CV274" s="105"/>
      <c r="CW274" s="105">
        <f t="shared" si="390"/>
        <v>0</v>
      </c>
      <c r="CX274" s="53"/>
      <c r="CY274" s="109">
        <f t="shared" si="424"/>
        <v>0</v>
      </c>
      <c r="CZ274" s="54"/>
      <c r="DA274" s="105"/>
      <c r="DB274" s="455">
        <f t="shared" si="388"/>
        <v>0</v>
      </c>
      <c r="DC274" s="495"/>
      <c r="DD274" s="32"/>
      <c r="DF274" s="1133"/>
      <c r="DG274" s="674">
        <f t="shared" si="451"/>
        <v>0</v>
      </c>
      <c r="DH274" s="1119">
        <f t="shared" si="452"/>
        <v>0</v>
      </c>
      <c r="DI274" s="1119"/>
      <c r="DJ274" s="101">
        <f t="shared" si="415"/>
        <v>3</v>
      </c>
      <c r="DK274" s="101"/>
      <c r="DL274" s="101">
        <f t="shared" si="405"/>
        <v>0</v>
      </c>
      <c r="DM274" s="101"/>
      <c r="DN274" s="112"/>
      <c r="DO274" s="112">
        <f>DJ274</f>
        <v>3</v>
      </c>
      <c r="DP274" s="112"/>
      <c r="DQ274" s="112"/>
      <c r="DS274" s="223"/>
      <c r="DT274" s="223"/>
      <c r="DU274" s="223"/>
      <c r="DV274" s="223"/>
      <c r="DW274" s="223"/>
      <c r="DX274" s="223"/>
      <c r="DY274" s="223"/>
      <c r="DZ274" s="223"/>
    </row>
    <row r="275" spans="1:130" s="139" customFormat="1" ht="21.6" customHeight="1" x14ac:dyDescent="0.25">
      <c r="A275" s="4" t="s">
        <v>130</v>
      </c>
      <c r="B275" s="4">
        <v>16</v>
      </c>
      <c r="C275" s="153" t="s">
        <v>142</v>
      </c>
      <c r="D275" s="182" t="s">
        <v>431</v>
      </c>
      <c r="E275" s="13" t="s">
        <v>151</v>
      </c>
      <c r="F275" s="135">
        <v>41</v>
      </c>
      <c r="G275" s="135">
        <v>25</v>
      </c>
      <c r="H275" s="135">
        <f t="shared" si="453"/>
        <v>66</v>
      </c>
      <c r="I275" s="135">
        <v>41</v>
      </c>
      <c r="J275" s="135"/>
      <c r="K275" s="135">
        <f t="shared" si="454"/>
        <v>41</v>
      </c>
      <c r="L275" s="183"/>
      <c r="M275" s="5"/>
      <c r="N275" s="41"/>
      <c r="O275" s="6"/>
      <c r="P275" s="7"/>
      <c r="Q275" s="7"/>
      <c r="R275" s="7"/>
      <c r="S275" s="7"/>
      <c r="T275" s="89"/>
      <c r="U275" s="89"/>
      <c r="V275" s="89">
        <f t="shared" si="455"/>
        <v>0</v>
      </c>
      <c r="W275" s="137"/>
      <c r="X275" s="137"/>
      <c r="Y275" s="90">
        <f t="shared" si="456"/>
        <v>0</v>
      </c>
      <c r="Z275" s="91"/>
      <c r="AA275" s="92"/>
      <c r="AB275" s="92"/>
      <c r="AC275" s="92">
        <f t="shared" si="457"/>
        <v>0</v>
      </c>
      <c r="AD275" s="93"/>
      <c r="AE275" s="93"/>
      <c r="AF275" s="94">
        <f t="shared" si="458"/>
        <v>0</v>
      </c>
      <c r="AG275" s="473"/>
      <c r="AH275" s="99">
        <f>45+75</f>
        <v>120</v>
      </c>
      <c r="AI275" s="99">
        <f t="shared" si="459"/>
        <v>8</v>
      </c>
      <c r="AJ275" s="138">
        <f>45</f>
        <v>45</v>
      </c>
      <c r="AK275" s="138">
        <f t="shared" si="460"/>
        <v>3</v>
      </c>
      <c r="AL275" s="106"/>
      <c r="AM275" s="105"/>
      <c r="AN275" s="105">
        <f t="shared" si="461"/>
        <v>0</v>
      </c>
      <c r="AO275" s="106"/>
      <c r="AP275" s="105"/>
      <c r="AQ275" s="105">
        <f t="shared" si="439"/>
        <v>0</v>
      </c>
      <c r="AR275" s="106"/>
      <c r="AS275" s="97">
        <f t="shared" si="385"/>
        <v>3</v>
      </c>
      <c r="AT275" s="6"/>
      <c r="AU275" s="105"/>
      <c r="AV275" s="455">
        <f t="shared" si="410"/>
        <v>0</v>
      </c>
      <c r="AW275" s="496"/>
      <c r="AX275" s="508"/>
      <c r="AY275" s="498">
        <f>30</f>
        <v>30</v>
      </c>
      <c r="AZ275" s="100">
        <f t="shared" si="462"/>
        <v>2</v>
      </c>
      <c r="BA275" s="101"/>
      <c r="BB275" s="100"/>
      <c r="BC275" s="100">
        <f t="shared" si="463"/>
        <v>0</v>
      </c>
      <c r="BD275" s="101"/>
      <c r="BE275" s="105">
        <f t="shared" si="464"/>
        <v>5</v>
      </c>
      <c r="BF275" s="106"/>
      <c r="BG275" s="100">
        <f t="shared" si="449"/>
        <v>0</v>
      </c>
      <c r="BH275" s="106"/>
      <c r="BI275" s="100">
        <f t="shared" si="450"/>
        <v>0</v>
      </c>
      <c r="BJ275" s="106"/>
      <c r="BK275" s="101">
        <f t="shared" si="386"/>
        <v>5</v>
      </c>
      <c r="BL275" s="106"/>
      <c r="BM275" s="104">
        <f>100+500</f>
        <v>600</v>
      </c>
      <c r="BN275" s="104">
        <f t="shared" si="465"/>
        <v>12</v>
      </c>
      <c r="BO275" s="105">
        <v>250</v>
      </c>
      <c r="BP275" s="105">
        <f t="shared" si="413"/>
        <v>5</v>
      </c>
      <c r="BQ275" s="106"/>
      <c r="BR275" s="105">
        <v>600</v>
      </c>
      <c r="BS275" s="105">
        <f t="shared" si="468"/>
        <v>12</v>
      </c>
      <c r="BT275" s="106"/>
      <c r="BU275" s="53"/>
      <c r="BV275" s="53">
        <f t="shared" si="466"/>
        <v>0</v>
      </c>
      <c r="BW275" s="54"/>
      <c r="BX275" s="350">
        <f t="shared" si="387"/>
        <v>17</v>
      </c>
      <c r="BY275" s="6"/>
      <c r="BZ275" s="6">
        <f t="shared" si="445"/>
        <v>-12</v>
      </c>
      <c r="CA275" s="508"/>
      <c r="CB275" s="7" t="s">
        <v>265</v>
      </c>
      <c r="CC275" s="7" t="s">
        <v>265</v>
      </c>
      <c r="CD275" s="165" t="s">
        <v>394</v>
      </c>
      <c r="CE275" s="504"/>
      <c r="CF275" s="105"/>
      <c r="CG275" s="105">
        <f t="shared" si="446"/>
        <v>0</v>
      </c>
      <c r="CH275" s="105"/>
      <c r="CI275" s="105"/>
      <c r="CJ275" s="105">
        <f t="shared" si="447"/>
        <v>0</v>
      </c>
      <c r="CK275" s="523"/>
      <c r="CL275" s="102">
        <f t="shared" si="467"/>
        <v>0</v>
      </c>
      <c r="CM275" s="103"/>
      <c r="CN275" s="100">
        <v>75</v>
      </c>
      <c r="CO275" s="100">
        <f t="shared" si="423"/>
        <v>5</v>
      </c>
      <c r="CP275" s="515"/>
      <c r="CQ275" s="441"/>
      <c r="CR275" s="504"/>
      <c r="CS275" s="105"/>
      <c r="CT275" s="105">
        <f t="shared" si="389"/>
        <v>0</v>
      </c>
      <c r="CU275" s="105"/>
      <c r="CV275" s="105"/>
      <c r="CW275" s="105">
        <f t="shared" si="390"/>
        <v>0</v>
      </c>
      <c r="CX275" s="53"/>
      <c r="CY275" s="109">
        <f t="shared" si="424"/>
        <v>0</v>
      </c>
      <c r="CZ275" s="54"/>
      <c r="DA275" s="105">
        <v>75</v>
      </c>
      <c r="DB275" s="455">
        <f t="shared" si="388"/>
        <v>5</v>
      </c>
      <c r="DC275" s="495"/>
      <c r="DD275" s="24"/>
      <c r="DE275" s="139" t="s">
        <v>503</v>
      </c>
      <c r="DF275" s="1133"/>
      <c r="DG275" s="674">
        <f t="shared" si="451"/>
        <v>5</v>
      </c>
      <c r="DH275" s="1119">
        <f t="shared" si="452"/>
        <v>5</v>
      </c>
      <c r="DI275" s="1119"/>
      <c r="DJ275" s="101">
        <f t="shared" si="415"/>
        <v>10</v>
      </c>
      <c r="DK275" s="101"/>
      <c r="DL275" s="101">
        <f t="shared" si="405"/>
        <v>0</v>
      </c>
      <c r="DM275" s="101"/>
      <c r="DN275" s="112"/>
      <c r="DO275" s="112"/>
      <c r="DP275" s="112"/>
      <c r="DQ275" s="112"/>
      <c r="DS275" s="140"/>
      <c r="DT275" s="140"/>
      <c r="DU275" s="140"/>
      <c r="DV275" s="140"/>
      <c r="DW275" s="140"/>
      <c r="DX275" s="140"/>
      <c r="DY275" s="140"/>
      <c r="DZ275" s="140"/>
    </row>
    <row r="276" spans="1:130" s="139" customFormat="1" ht="21.6" customHeight="1" x14ac:dyDescent="0.25">
      <c r="A276" s="4"/>
      <c r="B276" s="4"/>
      <c r="C276" s="134" t="s">
        <v>142</v>
      </c>
      <c r="D276" s="182" t="s">
        <v>431</v>
      </c>
      <c r="E276" s="3" t="s">
        <v>253</v>
      </c>
      <c r="F276" s="135"/>
      <c r="G276" s="135"/>
      <c r="H276" s="135"/>
      <c r="I276" s="135"/>
      <c r="J276" s="135"/>
      <c r="K276" s="135"/>
      <c r="L276" s="183"/>
      <c r="M276" s="5"/>
      <c r="N276" s="41"/>
      <c r="O276" s="6"/>
      <c r="P276" s="7"/>
      <c r="Q276" s="7"/>
      <c r="R276" s="7"/>
      <c r="S276" s="7"/>
      <c r="T276" s="89"/>
      <c r="U276" s="89"/>
      <c r="V276" s="89">
        <f t="shared" si="455"/>
        <v>0</v>
      </c>
      <c r="W276" s="137"/>
      <c r="X276" s="137"/>
      <c r="Y276" s="90">
        <f t="shared" si="456"/>
        <v>0</v>
      </c>
      <c r="Z276" s="91"/>
      <c r="AA276" s="92"/>
      <c r="AB276" s="92"/>
      <c r="AC276" s="92">
        <f t="shared" si="457"/>
        <v>0</v>
      </c>
      <c r="AD276" s="93"/>
      <c r="AE276" s="93"/>
      <c r="AF276" s="94">
        <f t="shared" si="458"/>
        <v>0</v>
      </c>
      <c r="AG276" s="473"/>
      <c r="AH276" s="99"/>
      <c r="AI276" s="99"/>
      <c r="AJ276" s="138"/>
      <c r="AK276" s="138">
        <f t="shared" si="460"/>
        <v>0</v>
      </c>
      <c r="AL276" s="106"/>
      <c r="AM276" s="105"/>
      <c r="AN276" s="105">
        <f t="shared" si="461"/>
        <v>0</v>
      </c>
      <c r="AO276" s="106"/>
      <c r="AP276" s="105"/>
      <c r="AQ276" s="105">
        <f t="shared" si="439"/>
        <v>0</v>
      </c>
      <c r="AR276" s="106"/>
      <c r="AS276" s="97">
        <f t="shared" ref="AS276:AS339" si="469">AN276+AK276+AQ276</f>
        <v>0</v>
      </c>
      <c r="AT276" s="6"/>
      <c r="AU276" s="105"/>
      <c r="AV276" s="455">
        <f t="shared" si="410"/>
        <v>0</v>
      </c>
      <c r="AW276" s="496"/>
      <c r="AX276" s="508"/>
      <c r="AY276" s="498">
        <v>60</v>
      </c>
      <c r="AZ276" s="100">
        <f t="shared" si="462"/>
        <v>4</v>
      </c>
      <c r="BA276" s="101"/>
      <c r="BB276" s="100"/>
      <c r="BC276" s="100">
        <f t="shared" si="463"/>
        <v>0</v>
      </c>
      <c r="BD276" s="101"/>
      <c r="BE276" s="105">
        <f t="shared" si="464"/>
        <v>4</v>
      </c>
      <c r="BF276" s="106"/>
      <c r="BG276" s="100">
        <f t="shared" si="449"/>
        <v>0</v>
      </c>
      <c r="BH276" s="106"/>
      <c r="BI276" s="100">
        <f t="shared" si="450"/>
        <v>0</v>
      </c>
      <c r="BJ276" s="106"/>
      <c r="BK276" s="101">
        <f t="shared" ref="BK276:BK339" si="470">BG276+BE276+BI276</f>
        <v>4</v>
      </c>
      <c r="BL276" s="106"/>
      <c r="BM276" s="104">
        <v>200</v>
      </c>
      <c r="BN276" s="104">
        <f t="shared" si="465"/>
        <v>4</v>
      </c>
      <c r="BO276" s="105">
        <v>200</v>
      </c>
      <c r="BP276" s="105">
        <f t="shared" si="413"/>
        <v>4</v>
      </c>
      <c r="BQ276" s="106"/>
      <c r="BR276" s="105"/>
      <c r="BS276" s="105">
        <f t="shared" si="468"/>
        <v>0</v>
      </c>
      <c r="BT276" s="106"/>
      <c r="BU276" s="53"/>
      <c r="BV276" s="53">
        <f t="shared" si="466"/>
        <v>0</v>
      </c>
      <c r="BW276" s="54"/>
      <c r="BX276" s="350">
        <f t="shared" ref="BX276:BX339" si="471">BP276+BS276+BV276</f>
        <v>4</v>
      </c>
      <c r="BY276" s="6"/>
      <c r="BZ276" s="6">
        <f t="shared" si="445"/>
        <v>0</v>
      </c>
      <c r="CA276" s="508"/>
      <c r="CB276" s="7"/>
      <c r="CC276" s="7"/>
      <c r="CD276" s="7"/>
      <c r="CE276" s="504"/>
      <c r="CF276" s="105"/>
      <c r="CG276" s="105">
        <f t="shared" si="446"/>
        <v>0</v>
      </c>
      <c r="CH276" s="105"/>
      <c r="CI276" s="105"/>
      <c r="CJ276" s="105">
        <f t="shared" si="447"/>
        <v>0</v>
      </c>
      <c r="CK276" s="523"/>
      <c r="CL276" s="102">
        <f t="shared" si="467"/>
        <v>0</v>
      </c>
      <c r="CM276" s="103"/>
      <c r="CN276" s="100"/>
      <c r="CO276" s="100">
        <f t="shared" si="423"/>
        <v>0</v>
      </c>
      <c r="CP276" s="515"/>
      <c r="CQ276" s="441"/>
      <c r="CR276" s="504"/>
      <c r="CS276" s="105"/>
      <c r="CT276" s="105">
        <f t="shared" si="389"/>
        <v>0</v>
      </c>
      <c r="CU276" s="105"/>
      <c r="CV276" s="105"/>
      <c r="CW276" s="105">
        <f t="shared" si="390"/>
        <v>0</v>
      </c>
      <c r="CX276" s="53"/>
      <c r="CY276" s="109">
        <f t="shared" si="424"/>
        <v>0</v>
      </c>
      <c r="CZ276" s="54"/>
      <c r="DA276" s="105"/>
      <c r="DB276" s="455">
        <f t="shared" si="388"/>
        <v>0</v>
      </c>
      <c r="DC276" s="495"/>
      <c r="DD276" s="24" t="s">
        <v>375</v>
      </c>
      <c r="DF276" s="1133"/>
      <c r="DG276" s="674">
        <f t="shared" si="451"/>
        <v>0</v>
      </c>
      <c r="DH276" s="1119">
        <f t="shared" si="452"/>
        <v>0</v>
      </c>
      <c r="DI276" s="1119"/>
      <c r="DJ276" s="101">
        <f t="shared" si="415"/>
        <v>4</v>
      </c>
      <c r="DK276" s="101"/>
      <c r="DL276" s="101">
        <f t="shared" si="405"/>
        <v>0</v>
      </c>
      <c r="DM276" s="101"/>
      <c r="DN276" s="112"/>
      <c r="DO276" s="112"/>
      <c r="DP276" s="112"/>
      <c r="DQ276" s="112"/>
      <c r="DS276" s="140"/>
      <c r="DT276" s="140"/>
      <c r="DU276" s="140"/>
      <c r="DV276" s="140"/>
      <c r="DW276" s="140"/>
      <c r="DX276" s="140"/>
      <c r="DY276" s="140"/>
      <c r="DZ276" s="140"/>
    </row>
    <row r="277" spans="1:130" ht="21.6" customHeight="1" x14ac:dyDescent="0.25">
      <c r="A277" s="4" t="s">
        <v>130</v>
      </c>
      <c r="B277" s="4">
        <v>18</v>
      </c>
      <c r="C277" s="174" t="s">
        <v>142</v>
      </c>
      <c r="D277" s="171" t="s">
        <v>437</v>
      </c>
      <c r="E277" s="13" t="s">
        <v>152</v>
      </c>
      <c r="F277" s="162">
        <v>24</v>
      </c>
      <c r="G277" s="162"/>
      <c r="H277" s="162">
        <f t="shared" si="453"/>
        <v>24</v>
      </c>
      <c r="I277" s="162">
        <v>26</v>
      </c>
      <c r="J277" s="162"/>
      <c r="K277" s="162">
        <f t="shared" si="454"/>
        <v>26</v>
      </c>
      <c r="L277" s="168"/>
      <c r="M277" s="414"/>
      <c r="N277" s="46"/>
      <c r="O277" s="164"/>
      <c r="P277" s="165"/>
      <c r="Q277" s="165"/>
      <c r="R277" s="165"/>
      <c r="S277" s="165"/>
      <c r="T277" s="89"/>
      <c r="U277" s="89"/>
      <c r="V277" s="89">
        <f t="shared" si="455"/>
        <v>0</v>
      </c>
      <c r="W277" s="137"/>
      <c r="X277" s="137"/>
      <c r="Y277" s="90">
        <f t="shared" si="456"/>
        <v>0</v>
      </c>
      <c r="Z277" s="169"/>
      <c r="AA277" s="92"/>
      <c r="AB277" s="92"/>
      <c r="AC277" s="92">
        <f t="shared" si="457"/>
        <v>0</v>
      </c>
      <c r="AD277" s="93"/>
      <c r="AE277" s="93"/>
      <c r="AF277" s="94">
        <f t="shared" si="458"/>
        <v>0</v>
      </c>
      <c r="AG277" s="475"/>
      <c r="AH277" s="99"/>
      <c r="AI277" s="99">
        <f t="shared" si="459"/>
        <v>0</v>
      </c>
      <c r="AJ277" s="138"/>
      <c r="AK277" s="138">
        <f t="shared" si="460"/>
        <v>0</v>
      </c>
      <c r="AL277" s="106"/>
      <c r="AM277" s="105"/>
      <c r="AN277" s="105">
        <f t="shared" si="461"/>
        <v>0</v>
      </c>
      <c r="AO277" s="106"/>
      <c r="AP277" s="105"/>
      <c r="AQ277" s="105">
        <f t="shared" si="439"/>
        <v>0</v>
      </c>
      <c r="AR277" s="106"/>
      <c r="AS277" s="97">
        <f t="shared" si="469"/>
        <v>0</v>
      </c>
      <c r="AT277" s="6"/>
      <c r="AU277" s="105"/>
      <c r="AV277" s="455">
        <f t="shared" si="410"/>
        <v>0</v>
      </c>
      <c r="AW277" s="496"/>
      <c r="AX277" s="508"/>
      <c r="AY277" s="498">
        <v>180</v>
      </c>
      <c r="AZ277" s="100">
        <f t="shared" si="462"/>
        <v>12</v>
      </c>
      <c r="BA277" s="101"/>
      <c r="BB277" s="100"/>
      <c r="BC277" s="100">
        <f t="shared" si="463"/>
        <v>0</v>
      </c>
      <c r="BD277" s="101"/>
      <c r="BE277" s="105">
        <f t="shared" si="464"/>
        <v>12</v>
      </c>
      <c r="BF277" s="106"/>
      <c r="BG277" s="100">
        <f t="shared" si="449"/>
        <v>0</v>
      </c>
      <c r="BH277" s="106"/>
      <c r="BI277" s="100">
        <f t="shared" si="450"/>
        <v>0</v>
      </c>
      <c r="BJ277" s="106"/>
      <c r="BK277" s="101">
        <f t="shared" si="470"/>
        <v>12</v>
      </c>
      <c r="BL277" s="106"/>
      <c r="BM277" s="104">
        <v>600</v>
      </c>
      <c r="BN277" s="104">
        <f t="shared" si="465"/>
        <v>12</v>
      </c>
      <c r="BO277" s="105">
        <v>600</v>
      </c>
      <c r="BP277" s="105">
        <f t="shared" si="413"/>
        <v>12</v>
      </c>
      <c r="BQ277" s="106"/>
      <c r="BR277" s="105"/>
      <c r="BS277" s="105">
        <f t="shared" si="468"/>
        <v>0</v>
      </c>
      <c r="BT277" s="106"/>
      <c r="BU277" s="53"/>
      <c r="BV277" s="53">
        <f t="shared" si="466"/>
        <v>0</v>
      </c>
      <c r="BW277" s="54"/>
      <c r="BX277" s="350">
        <f t="shared" si="471"/>
        <v>12</v>
      </c>
      <c r="BY277" s="6"/>
      <c r="BZ277" s="6">
        <f t="shared" si="445"/>
        <v>0</v>
      </c>
      <c r="CA277" s="508"/>
      <c r="CB277" s="165"/>
      <c r="CC277" s="165" t="s">
        <v>265</v>
      </c>
      <c r="CD277" s="165" t="s">
        <v>394</v>
      </c>
      <c r="CE277" s="504"/>
      <c r="CF277" s="105"/>
      <c r="CG277" s="105">
        <f t="shared" si="446"/>
        <v>0</v>
      </c>
      <c r="CH277" s="105"/>
      <c r="CI277" s="105"/>
      <c r="CJ277" s="105">
        <f t="shared" si="447"/>
        <v>0</v>
      </c>
      <c r="CK277" s="523"/>
      <c r="CL277" s="102">
        <f t="shared" si="467"/>
        <v>0</v>
      </c>
      <c r="CM277" s="103"/>
      <c r="CN277" s="100"/>
      <c r="CO277" s="100">
        <f t="shared" si="423"/>
        <v>0</v>
      </c>
      <c r="CP277" s="515"/>
      <c r="CQ277" s="441"/>
      <c r="CR277" s="504"/>
      <c r="CS277" s="105"/>
      <c r="CT277" s="105">
        <f t="shared" si="389"/>
        <v>0</v>
      </c>
      <c r="CU277" s="105"/>
      <c r="CV277" s="105"/>
      <c r="CW277" s="105">
        <f t="shared" si="390"/>
        <v>0</v>
      </c>
      <c r="CX277" s="53"/>
      <c r="CY277" s="109">
        <f t="shared" si="424"/>
        <v>0</v>
      </c>
      <c r="CZ277" s="54"/>
      <c r="DA277" s="105">
        <f>15*15</f>
        <v>225</v>
      </c>
      <c r="DB277" s="455">
        <f t="shared" si="388"/>
        <v>15</v>
      </c>
      <c r="DC277" s="495"/>
      <c r="DD277" s="25"/>
      <c r="DF277" s="1133"/>
      <c r="DG277" s="674">
        <f t="shared" si="451"/>
        <v>15</v>
      </c>
      <c r="DH277" s="1119">
        <f t="shared" si="452"/>
        <v>0</v>
      </c>
      <c r="DI277" s="1119"/>
      <c r="DJ277" s="101">
        <f t="shared" si="415"/>
        <v>12</v>
      </c>
      <c r="DK277" s="101"/>
      <c r="DL277" s="101">
        <f t="shared" si="405"/>
        <v>0</v>
      </c>
      <c r="DM277" s="101"/>
      <c r="DN277" s="112"/>
      <c r="DO277" s="112">
        <f>DJ277</f>
        <v>12</v>
      </c>
      <c r="DP277" s="112"/>
      <c r="DQ277" s="112"/>
    </row>
    <row r="278" spans="1:130" ht="21.6" customHeight="1" x14ac:dyDescent="0.25">
      <c r="A278" s="4" t="s">
        <v>130</v>
      </c>
      <c r="B278" s="4">
        <v>21</v>
      </c>
      <c r="C278" s="166" t="s">
        <v>142</v>
      </c>
      <c r="D278" s="167"/>
      <c r="E278" s="1" t="s">
        <v>153</v>
      </c>
      <c r="F278" s="162">
        <v>23</v>
      </c>
      <c r="G278" s="162">
        <v>3</v>
      </c>
      <c r="H278" s="162">
        <f t="shared" si="453"/>
        <v>26</v>
      </c>
      <c r="I278" s="162">
        <v>4</v>
      </c>
      <c r="J278" s="162">
        <v>13</v>
      </c>
      <c r="K278" s="162">
        <f t="shared" si="454"/>
        <v>17</v>
      </c>
      <c r="L278" s="168"/>
      <c r="M278" s="414"/>
      <c r="N278" s="46"/>
      <c r="O278" s="164"/>
      <c r="P278" s="165"/>
      <c r="Q278" s="165"/>
      <c r="R278" s="165"/>
      <c r="S278" s="165"/>
      <c r="T278" s="89"/>
      <c r="U278" s="89"/>
      <c r="V278" s="89">
        <f t="shared" si="455"/>
        <v>0</v>
      </c>
      <c r="W278" s="137"/>
      <c r="X278" s="137"/>
      <c r="Y278" s="90">
        <f t="shared" si="456"/>
        <v>0</v>
      </c>
      <c r="Z278" s="169"/>
      <c r="AA278" s="92"/>
      <c r="AB278" s="92"/>
      <c r="AC278" s="92">
        <f t="shared" si="457"/>
        <v>0</v>
      </c>
      <c r="AD278" s="93"/>
      <c r="AE278" s="93"/>
      <c r="AF278" s="94">
        <f t="shared" si="458"/>
        <v>0</v>
      </c>
      <c r="AG278" s="475"/>
      <c r="AH278" s="99"/>
      <c r="AI278" s="99">
        <f t="shared" si="459"/>
        <v>0</v>
      </c>
      <c r="AJ278" s="138"/>
      <c r="AK278" s="138">
        <f t="shared" si="460"/>
        <v>0</v>
      </c>
      <c r="AL278" s="106"/>
      <c r="AM278" s="105"/>
      <c r="AN278" s="105">
        <f t="shared" si="461"/>
        <v>0</v>
      </c>
      <c r="AO278" s="106"/>
      <c r="AP278" s="105"/>
      <c r="AQ278" s="105">
        <f t="shared" si="439"/>
        <v>0</v>
      </c>
      <c r="AR278" s="106"/>
      <c r="AS278" s="97">
        <f t="shared" si="469"/>
        <v>0</v>
      </c>
      <c r="AT278" s="6"/>
      <c r="AU278" s="105"/>
      <c r="AV278" s="455">
        <f t="shared" si="410"/>
        <v>0</v>
      </c>
      <c r="AW278" s="496"/>
      <c r="AX278" s="508"/>
      <c r="AY278" s="498"/>
      <c r="AZ278" s="100">
        <f t="shared" si="462"/>
        <v>0</v>
      </c>
      <c r="BA278" s="101"/>
      <c r="BB278" s="100"/>
      <c r="BC278" s="100">
        <f t="shared" si="463"/>
        <v>0</v>
      </c>
      <c r="BD278" s="101"/>
      <c r="BE278" s="105">
        <f t="shared" si="464"/>
        <v>0</v>
      </c>
      <c r="BF278" s="106"/>
      <c r="BG278" s="100">
        <f t="shared" si="449"/>
        <v>0</v>
      </c>
      <c r="BH278" s="106"/>
      <c r="BI278" s="100">
        <f t="shared" si="450"/>
        <v>0</v>
      </c>
      <c r="BJ278" s="106"/>
      <c r="BK278" s="101">
        <f t="shared" si="470"/>
        <v>0</v>
      </c>
      <c r="BL278" s="106"/>
      <c r="BM278" s="104"/>
      <c r="BN278" s="104">
        <f t="shared" si="465"/>
        <v>0</v>
      </c>
      <c r="BO278" s="105"/>
      <c r="BP278" s="105">
        <f t="shared" si="413"/>
        <v>0</v>
      </c>
      <c r="BQ278" s="106"/>
      <c r="BR278" s="105"/>
      <c r="BS278" s="105">
        <f t="shared" si="468"/>
        <v>0</v>
      </c>
      <c r="BT278" s="106"/>
      <c r="BU278" s="53"/>
      <c r="BV278" s="53">
        <f t="shared" si="466"/>
        <v>0</v>
      </c>
      <c r="BW278" s="54"/>
      <c r="BX278" s="350">
        <f t="shared" si="471"/>
        <v>0</v>
      </c>
      <c r="BY278" s="6"/>
      <c r="BZ278" s="6">
        <f t="shared" si="445"/>
        <v>0</v>
      </c>
      <c r="CA278" s="508"/>
      <c r="CB278" s="165"/>
      <c r="CC278" s="165"/>
      <c r="CD278" s="165"/>
      <c r="CE278" s="504"/>
      <c r="CF278" s="105"/>
      <c r="CG278" s="105">
        <f t="shared" si="446"/>
        <v>0</v>
      </c>
      <c r="CH278" s="105"/>
      <c r="CI278" s="105"/>
      <c r="CJ278" s="105">
        <f t="shared" si="447"/>
        <v>0</v>
      </c>
      <c r="CK278" s="523"/>
      <c r="CL278" s="102">
        <f t="shared" si="467"/>
        <v>0</v>
      </c>
      <c r="CM278" s="103"/>
      <c r="CN278" s="100"/>
      <c r="CO278" s="100">
        <f t="shared" si="423"/>
        <v>0</v>
      </c>
      <c r="CP278" s="515"/>
      <c r="CQ278" s="441"/>
      <c r="CR278" s="504"/>
      <c r="CS278" s="105"/>
      <c r="CT278" s="105">
        <f t="shared" si="389"/>
        <v>0</v>
      </c>
      <c r="CU278" s="105"/>
      <c r="CV278" s="105"/>
      <c r="CW278" s="105">
        <f t="shared" si="390"/>
        <v>0</v>
      </c>
      <c r="CX278" s="53"/>
      <c r="CY278" s="109">
        <f t="shared" si="424"/>
        <v>0</v>
      </c>
      <c r="CZ278" s="54"/>
      <c r="DA278" s="105"/>
      <c r="DB278" s="455">
        <f t="shared" ref="DB278:DB341" si="472">DA278/15</f>
        <v>0</v>
      </c>
      <c r="DC278" s="495"/>
      <c r="DD278" s="25"/>
      <c r="DF278" s="1133"/>
      <c r="DG278" s="674">
        <f t="shared" si="451"/>
        <v>0</v>
      </c>
      <c r="DH278" s="1119">
        <f t="shared" si="452"/>
        <v>0</v>
      </c>
      <c r="DI278" s="1119"/>
      <c r="DJ278" s="101">
        <f t="shared" si="415"/>
        <v>0</v>
      </c>
      <c r="DK278" s="101"/>
      <c r="DL278" s="101">
        <f t="shared" si="405"/>
        <v>0</v>
      </c>
      <c r="DM278" s="101"/>
      <c r="DN278" s="112"/>
      <c r="DO278" s="112"/>
      <c r="DP278" s="112"/>
      <c r="DQ278" s="112"/>
    </row>
    <row r="279" spans="1:130" s="139" customFormat="1" ht="21.6" customHeight="1" x14ac:dyDescent="0.25">
      <c r="A279" s="4"/>
      <c r="B279" s="4"/>
      <c r="C279" s="134" t="s">
        <v>142</v>
      </c>
      <c r="D279" s="182" t="s">
        <v>431</v>
      </c>
      <c r="E279" s="3" t="s">
        <v>410</v>
      </c>
      <c r="F279" s="135"/>
      <c r="G279" s="135"/>
      <c r="H279" s="135"/>
      <c r="I279" s="135"/>
      <c r="J279" s="135"/>
      <c r="K279" s="135"/>
      <c r="L279" s="183"/>
      <c r="M279" s="5"/>
      <c r="N279" s="41"/>
      <c r="O279" s="6"/>
      <c r="P279" s="7"/>
      <c r="Q279" s="7"/>
      <c r="R279" s="7"/>
      <c r="S279" s="7"/>
      <c r="T279" s="89"/>
      <c r="U279" s="89"/>
      <c r="V279" s="89">
        <f t="shared" si="455"/>
        <v>0</v>
      </c>
      <c r="W279" s="137"/>
      <c r="X279" s="137"/>
      <c r="Y279" s="90">
        <f t="shared" si="456"/>
        <v>0</v>
      </c>
      <c r="Z279" s="91"/>
      <c r="AA279" s="92"/>
      <c r="AB279" s="92"/>
      <c r="AC279" s="92">
        <f t="shared" si="457"/>
        <v>0</v>
      </c>
      <c r="AD279" s="93"/>
      <c r="AE279" s="93"/>
      <c r="AF279" s="94">
        <f t="shared" si="458"/>
        <v>0</v>
      </c>
      <c r="AG279" s="473"/>
      <c r="AH279" s="99"/>
      <c r="AI279" s="99"/>
      <c r="AJ279" s="138"/>
      <c r="AK279" s="138">
        <f t="shared" si="460"/>
        <v>0</v>
      </c>
      <c r="AL279" s="106"/>
      <c r="AM279" s="105"/>
      <c r="AN279" s="105">
        <f t="shared" si="461"/>
        <v>0</v>
      </c>
      <c r="AO279" s="106"/>
      <c r="AP279" s="105"/>
      <c r="AQ279" s="105">
        <f t="shared" si="439"/>
        <v>0</v>
      </c>
      <c r="AR279" s="106"/>
      <c r="AS279" s="97">
        <f t="shared" si="469"/>
        <v>0</v>
      </c>
      <c r="AT279" s="6"/>
      <c r="AU279" s="105"/>
      <c r="AV279" s="455">
        <f t="shared" si="410"/>
        <v>0</v>
      </c>
      <c r="AW279" s="496"/>
      <c r="AX279" s="508"/>
      <c r="AY279" s="498">
        <v>45</v>
      </c>
      <c r="AZ279" s="100">
        <f t="shared" si="462"/>
        <v>3</v>
      </c>
      <c r="BA279" s="101"/>
      <c r="BB279" s="100"/>
      <c r="BC279" s="100">
        <f t="shared" si="463"/>
        <v>0</v>
      </c>
      <c r="BD279" s="101"/>
      <c r="BE279" s="105">
        <f t="shared" si="464"/>
        <v>3</v>
      </c>
      <c r="BF279" s="106"/>
      <c r="BG279" s="100">
        <f t="shared" si="449"/>
        <v>0</v>
      </c>
      <c r="BH279" s="106"/>
      <c r="BI279" s="100">
        <f t="shared" si="450"/>
        <v>0</v>
      </c>
      <c r="BJ279" s="106"/>
      <c r="BK279" s="101">
        <f t="shared" si="470"/>
        <v>3</v>
      </c>
      <c r="BL279" s="106"/>
      <c r="BM279" s="104">
        <v>150</v>
      </c>
      <c r="BN279" s="104">
        <f t="shared" si="465"/>
        <v>3</v>
      </c>
      <c r="BO279" s="105">
        <v>150</v>
      </c>
      <c r="BP279" s="105">
        <f t="shared" si="413"/>
        <v>3</v>
      </c>
      <c r="BQ279" s="106"/>
      <c r="BR279" s="105"/>
      <c r="BS279" s="105">
        <f t="shared" si="468"/>
        <v>0</v>
      </c>
      <c r="BT279" s="106"/>
      <c r="BU279" s="53"/>
      <c r="BV279" s="53">
        <f t="shared" si="466"/>
        <v>0</v>
      </c>
      <c r="BW279" s="54"/>
      <c r="BX279" s="350">
        <f t="shared" si="471"/>
        <v>3</v>
      </c>
      <c r="BY279" s="6"/>
      <c r="BZ279" s="6">
        <f t="shared" si="445"/>
        <v>0</v>
      </c>
      <c r="CA279" s="508"/>
      <c r="CB279" s="7"/>
      <c r="CC279" s="7"/>
      <c r="CD279" s="7" t="s">
        <v>462</v>
      </c>
      <c r="CE279" s="504"/>
      <c r="CF279" s="105"/>
      <c r="CG279" s="105">
        <f t="shared" si="446"/>
        <v>0</v>
      </c>
      <c r="CH279" s="105"/>
      <c r="CI279" s="105"/>
      <c r="CJ279" s="105">
        <f t="shared" si="447"/>
        <v>0</v>
      </c>
      <c r="CK279" s="523"/>
      <c r="CL279" s="102">
        <f t="shared" si="467"/>
        <v>0</v>
      </c>
      <c r="CM279" s="103"/>
      <c r="CN279" s="100"/>
      <c r="CO279" s="100">
        <f t="shared" si="423"/>
        <v>0</v>
      </c>
      <c r="CP279" s="515"/>
      <c r="CQ279" s="441"/>
      <c r="CR279" s="504"/>
      <c r="CS279" s="105"/>
      <c r="CT279" s="105">
        <f t="shared" si="389"/>
        <v>0</v>
      </c>
      <c r="CU279" s="105"/>
      <c r="CV279" s="105"/>
      <c r="CW279" s="105">
        <f t="shared" si="390"/>
        <v>0</v>
      </c>
      <c r="CX279" s="53"/>
      <c r="CY279" s="109">
        <f t="shared" si="424"/>
        <v>0</v>
      </c>
      <c r="CZ279" s="54"/>
      <c r="DA279" s="105"/>
      <c r="DB279" s="455">
        <f t="shared" si="472"/>
        <v>0</v>
      </c>
      <c r="DC279" s="495"/>
      <c r="DD279" s="24" t="s">
        <v>375</v>
      </c>
      <c r="DE279" s="139" t="s">
        <v>504</v>
      </c>
      <c r="DF279" s="1133"/>
      <c r="DG279" s="674">
        <f t="shared" si="451"/>
        <v>0</v>
      </c>
      <c r="DH279" s="1119">
        <f t="shared" si="452"/>
        <v>0</v>
      </c>
      <c r="DI279" s="1119"/>
      <c r="DJ279" s="101">
        <f t="shared" si="415"/>
        <v>3</v>
      </c>
      <c r="DK279" s="101"/>
      <c r="DL279" s="101">
        <f t="shared" si="405"/>
        <v>0</v>
      </c>
      <c r="DM279" s="101"/>
      <c r="DN279" s="112"/>
      <c r="DO279" s="112"/>
      <c r="DP279" s="112"/>
      <c r="DQ279" s="112"/>
      <c r="DS279" s="140"/>
      <c r="DT279" s="140"/>
      <c r="DU279" s="140"/>
      <c r="DV279" s="140"/>
      <c r="DW279" s="140"/>
      <c r="DX279" s="140"/>
      <c r="DY279" s="140"/>
      <c r="DZ279" s="140"/>
    </row>
    <row r="280" spans="1:130" s="139" customFormat="1" ht="30" customHeight="1" x14ac:dyDescent="0.25">
      <c r="A280" s="4" t="s">
        <v>130</v>
      </c>
      <c r="B280" s="4">
        <v>23</v>
      </c>
      <c r="C280" s="153" t="s">
        <v>142</v>
      </c>
      <c r="D280" s="182" t="s">
        <v>437</v>
      </c>
      <c r="E280" s="13" t="s">
        <v>154</v>
      </c>
      <c r="F280" s="135">
        <v>13</v>
      </c>
      <c r="G280" s="135">
        <v>2</v>
      </c>
      <c r="H280" s="135">
        <f t="shared" si="453"/>
        <v>15</v>
      </c>
      <c r="I280" s="135">
        <v>16</v>
      </c>
      <c r="J280" s="135"/>
      <c r="K280" s="135">
        <f t="shared" si="454"/>
        <v>16</v>
      </c>
      <c r="L280" s="183"/>
      <c r="M280" s="5"/>
      <c r="N280" s="41"/>
      <c r="O280" s="6"/>
      <c r="P280" s="7"/>
      <c r="Q280" s="7"/>
      <c r="R280" s="7"/>
      <c r="S280" s="7"/>
      <c r="T280" s="89"/>
      <c r="U280" s="89"/>
      <c r="V280" s="89">
        <f t="shared" si="455"/>
        <v>0</v>
      </c>
      <c r="W280" s="137"/>
      <c r="X280" s="137"/>
      <c r="Y280" s="90">
        <f t="shared" si="456"/>
        <v>0</v>
      </c>
      <c r="Z280" s="91"/>
      <c r="AA280" s="92"/>
      <c r="AB280" s="92"/>
      <c r="AC280" s="92">
        <f t="shared" si="457"/>
        <v>0</v>
      </c>
      <c r="AD280" s="93"/>
      <c r="AE280" s="93"/>
      <c r="AF280" s="94">
        <f t="shared" si="458"/>
        <v>0</v>
      </c>
      <c r="AG280" s="473"/>
      <c r="AH280" s="99">
        <v>180</v>
      </c>
      <c r="AI280" s="99">
        <f t="shared" si="459"/>
        <v>12</v>
      </c>
      <c r="AJ280" s="138">
        <v>180</v>
      </c>
      <c r="AK280" s="138">
        <f t="shared" si="460"/>
        <v>12</v>
      </c>
      <c r="AL280" s="106"/>
      <c r="AM280" s="105"/>
      <c r="AN280" s="105">
        <f t="shared" si="461"/>
        <v>0</v>
      </c>
      <c r="AO280" s="106"/>
      <c r="AP280" s="105"/>
      <c r="AQ280" s="105">
        <f t="shared" si="439"/>
        <v>0</v>
      </c>
      <c r="AR280" s="106"/>
      <c r="AS280" s="97">
        <f t="shared" si="469"/>
        <v>12</v>
      </c>
      <c r="AT280" s="6"/>
      <c r="AU280" s="105"/>
      <c r="AV280" s="455">
        <f t="shared" si="410"/>
        <v>0</v>
      </c>
      <c r="AW280" s="496"/>
      <c r="AX280" s="508"/>
      <c r="AY280" s="498"/>
      <c r="AZ280" s="100">
        <f t="shared" si="462"/>
        <v>0</v>
      </c>
      <c r="BA280" s="101"/>
      <c r="BB280" s="100"/>
      <c r="BC280" s="100">
        <f t="shared" si="463"/>
        <v>0</v>
      </c>
      <c r="BD280" s="101"/>
      <c r="BE280" s="105">
        <f t="shared" si="464"/>
        <v>12</v>
      </c>
      <c r="BF280" s="106"/>
      <c r="BG280" s="100">
        <f t="shared" si="449"/>
        <v>0</v>
      </c>
      <c r="BH280" s="106"/>
      <c r="BI280" s="100">
        <f t="shared" si="450"/>
        <v>0</v>
      </c>
      <c r="BJ280" s="106"/>
      <c r="BK280" s="101">
        <f t="shared" si="470"/>
        <v>12</v>
      </c>
      <c r="BL280" s="106"/>
      <c r="BM280" s="104">
        <f>600+750</f>
        <v>1350</v>
      </c>
      <c r="BN280" s="104">
        <f t="shared" si="465"/>
        <v>27</v>
      </c>
      <c r="BO280" s="105">
        <v>600</v>
      </c>
      <c r="BP280" s="105">
        <f t="shared" si="413"/>
        <v>12</v>
      </c>
      <c r="BQ280" s="106"/>
      <c r="BR280" s="105"/>
      <c r="BS280" s="105">
        <f t="shared" si="468"/>
        <v>0</v>
      </c>
      <c r="BT280" s="106"/>
      <c r="BU280" s="53"/>
      <c r="BV280" s="53">
        <f t="shared" si="466"/>
        <v>0</v>
      </c>
      <c r="BW280" s="54"/>
      <c r="BX280" s="350">
        <f t="shared" si="471"/>
        <v>12</v>
      </c>
      <c r="BY280" s="6"/>
      <c r="BZ280" s="6">
        <f t="shared" si="445"/>
        <v>0</v>
      </c>
      <c r="CA280" s="508"/>
      <c r="CB280" s="7"/>
      <c r="CC280" s="7" t="s">
        <v>265</v>
      </c>
      <c r="CD280" s="7" t="s">
        <v>394</v>
      </c>
      <c r="CE280" s="504"/>
      <c r="CF280" s="105"/>
      <c r="CG280" s="105">
        <f t="shared" si="446"/>
        <v>0</v>
      </c>
      <c r="CH280" s="105"/>
      <c r="CI280" s="105"/>
      <c r="CJ280" s="105">
        <f t="shared" si="447"/>
        <v>0</v>
      </c>
      <c r="CK280" s="523"/>
      <c r="CL280" s="102">
        <f>CK280/15</f>
        <v>0</v>
      </c>
      <c r="CM280" s="103"/>
      <c r="CN280" s="100">
        <v>225</v>
      </c>
      <c r="CO280" s="100">
        <f t="shared" si="423"/>
        <v>15</v>
      </c>
      <c r="CP280" s="515"/>
      <c r="CQ280" s="441"/>
      <c r="CR280" s="504"/>
      <c r="CS280" s="105"/>
      <c r="CT280" s="105">
        <f t="shared" si="389"/>
        <v>0</v>
      </c>
      <c r="CU280" s="105"/>
      <c r="CV280" s="105"/>
      <c r="CW280" s="105">
        <f t="shared" si="390"/>
        <v>0</v>
      </c>
      <c r="CX280" s="53"/>
      <c r="CY280" s="109">
        <f t="shared" si="424"/>
        <v>0</v>
      </c>
      <c r="CZ280" s="54"/>
      <c r="DA280" s="105"/>
      <c r="DB280" s="455">
        <f t="shared" si="472"/>
        <v>0</v>
      </c>
      <c r="DC280" s="495"/>
      <c r="DD280" s="24"/>
      <c r="DE280" s="158" t="s">
        <v>528</v>
      </c>
      <c r="DF280" s="1133"/>
      <c r="DG280" s="674">
        <f t="shared" si="451"/>
        <v>0</v>
      </c>
      <c r="DH280" s="1119">
        <f t="shared" si="452"/>
        <v>15</v>
      </c>
      <c r="DI280" s="1119"/>
      <c r="DJ280" s="101">
        <f t="shared" si="415"/>
        <v>27</v>
      </c>
      <c r="DK280" s="101"/>
      <c r="DL280" s="101">
        <f t="shared" si="405"/>
        <v>0</v>
      </c>
      <c r="DM280" s="101"/>
      <c r="DN280" s="112"/>
      <c r="DO280" s="112">
        <f>DJ280</f>
        <v>27</v>
      </c>
      <c r="DP280" s="112"/>
      <c r="DQ280" s="112"/>
      <c r="DR280" s="251"/>
      <c r="DS280" s="140"/>
      <c r="DT280" s="140"/>
      <c r="DU280" s="140"/>
      <c r="DV280" s="140"/>
      <c r="DW280" s="140"/>
      <c r="DX280" s="140"/>
      <c r="DY280" s="140"/>
      <c r="DZ280" s="140"/>
    </row>
    <row r="281" spans="1:130" s="139" customFormat="1" ht="21.6" customHeight="1" x14ac:dyDescent="0.25">
      <c r="A281" s="4" t="s">
        <v>130</v>
      </c>
      <c r="B281" s="4">
        <v>24</v>
      </c>
      <c r="C281" s="134" t="s">
        <v>142</v>
      </c>
      <c r="D281" s="182" t="s">
        <v>431</v>
      </c>
      <c r="E281" s="13" t="s">
        <v>155</v>
      </c>
      <c r="F281" s="135">
        <v>25</v>
      </c>
      <c r="G281" s="135">
        <v>25</v>
      </c>
      <c r="H281" s="135">
        <f t="shared" si="453"/>
        <v>50</v>
      </c>
      <c r="I281" s="135">
        <v>41.6</v>
      </c>
      <c r="J281" s="135"/>
      <c r="K281" s="135">
        <f t="shared" si="454"/>
        <v>41.6</v>
      </c>
      <c r="L281" s="183"/>
      <c r="M281" s="5"/>
      <c r="N281" s="41"/>
      <c r="O281" s="6"/>
      <c r="P281" s="7"/>
      <c r="Q281" s="7"/>
      <c r="R281" s="7"/>
      <c r="S281" s="7"/>
      <c r="T281" s="89"/>
      <c r="U281" s="89"/>
      <c r="V281" s="89">
        <f t="shared" si="455"/>
        <v>0</v>
      </c>
      <c r="W281" s="137"/>
      <c r="X281" s="137"/>
      <c r="Y281" s="90">
        <f t="shared" si="456"/>
        <v>0</v>
      </c>
      <c r="Z281" s="91"/>
      <c r="AA281" s="92"/>
      <c r="AB281" s="92"/>
      <c r="AC281" s="92">
        <f t="shared" si="457"/>
        <v>0</v>
      </c>
      <c r="AD281" s="93"/>
      <c r="AE281" s="93"/>
      <c r="AF281" s="94">
        <f t="shared" si="458"/>
        <v>0</v>
      </c>
      <c r="AG281" s="473"/>
      <c r="AH281" s="99">
        <f>216+150</f>
        <v>366</v>
      </c>
      <c r="AI281" s="99">
        <f t="shared" si="459"/>
        <v>24.4</v>
      </c>
      <c r="AJ281" s="138">
        <v>210</v>
      </c>
      <c r="AK281" s="138">
        <f t="shared" si="460"/>
        <v>14</v>
      </c>
      <c r="AL281" s="106"/>
      <c r="AM281" s="105">
        <v>5</v>
      </c>
      <c r="AN281" s="105">
        <f t="shared" si="461"/>
        <v>0.33333333333333331</v>
      </c>
      <c r="AO281" s="106"/>
      <c r="AP281" s="105"/>
      <c r="AQ281" s="105">
        <f t="shared" si="439"/>
        <v>0</v>
      </c>
      <c r="AR281" s="106"/>
      <c r="AS281" s="97">
        <f t="shared" si="469"/>
        <v>14.333333333333334</v>
      </c>
      <c r="AT281" s="6"/>
      <c r="AU281" s="105"/>
      <c r="AV281" s="455">
        <f t="shared" si="410"/>
        <v>0</v>
      </c>
      <c r="AW281" s="496"/>
      <c r="AX281" s="508"/>
      <c r="AY281" s="498">
        <f>75</f>
        <v>75</v>
      </c>
      <c r="AZ281" s="100">
        <f t="shared" si="462"/>
        <v>5</v>
      </c>
      <c r="BA281" s="101"/>
      <c r="BB281" s="100"/>
      <c r="BC281" s="100">
        <f t="shared" si="463"/>
        <v>0</v>
      </c>
      <c r="BD281" s="101"/>
      <c r="BE281" s="105">
        <f t="shared" si="464"/>
        <v>19</v>
      </c>
      <c r="BF281" s="106"/>
      <c r="BG281" s="100">
        <f t="shared" si="449"/>
        <v>0.33333333333333331</v>
      </c>
      <c r="BH281" s="106"/>
      <c r="BI281" s="100">
        <f t="shared" si="450"/>
        <v>0</v>
      </c>
      <c r="BJ281" s="106"/>
      <c r="BK281" s="101">
        <f t="shared" si="470"/>
        <v>19.333333333333332</v>
      </c>
      <c r="BL281" s="106"/>
      <c r="BM281" s="104">
        <f>250+720+500</f>
        <v>1470</v>
      </c>
      <c r="BN281" s="104">
        <f t="shared" si="465"/>
        <v>29.4</v>
      </c>
      <c r="BO281" s="105">
        <v>950</v>
      </c>
      <c r="BP281" s="105">
        <f t="shared" si="413"/>
        <v>19</v>
      </c>
      <c r="BQ281" s="106"/>
      <c r="BR281" s="105"/>
      <c r="BS281" s="105">
        <f t="shared" si="468"/>
        <v>0</v>
      </c>
      <c r="BT281" s="106"/>
      <c r="BU281" s="53"/>
      <c r="BV281" s="53">
        <f t="shared" si="466"/>
        <v>0</v>
      </c>
      <c r="BW281" s="54"/>
      <c r="BX281" s="350">
        <f t="shared" si="471"/>
        <v>19</v>
      </c>
      <c r="BY281" s="6"/>
      <c r="BZ281" s="6">
        <f t="shared" si="445"/>
        <v>0.33333333333333215</v>
      </c>
      <c r="CA281" s="508"/>
      <c r="CB281" s="7" t="s">
        <v>498</v>
      </c>
      <c r="CC281" s="7" t="s">
        <v>498</v>
      </c>
      <c r="CD281" s="7" t="s">
        <v>400</v>
      </c>
      <c r="CE281" s="504"/>
      <c r="CF281" s="105"/>
      <c r="CG281" s="105">
        <f t="shared" si="446"/>
        <v>0</v>
      </c>
      <c r="CH281" s="105"/>
      <c r="CI281" s="105"/>
      <c r="CJ281" s="105">
        <f t="shared" si="447"/>
        <v>0</v>
      </c>
      <c r="CK281" s="523"/>
      <c r="CL281" s="102">
        <f t="shared" si="467"/>
        <v>0</v>
      </c>
      <c r="CM281" s="103"/>
      <c r="CN281" s="100">
        <v>150</v>
      </c>
      <c r="CO281" s="100">
        <f t="shared" si="423"/>
        <v>10</v>
      </c>
      <c r="CP281" s="515"/>
      <c r="CQ281" s="441"/>
      <c r="CR281" s="504"/>
      <c r="CS281" s="105"/>
      <c r="CT281" s="105">
        <f t="shared" si="389"/>
        <v>0</v>
      </c>
      <c r="CU281" s="105"/>
      <c r="CV281" s="105"/>
      <c r="CW281" s="105">
        <f t="shared" si="390"/>
        <v>0</v>
      </c>
      <c r="CX281" s="53"/>
      <c r="CY281" s="109">
        <f t="shared" si="424"/>
        <v>0</v>
      </c>
      <c r="CZ281" s="54"/>
      <c r="DA281" s="105">
        <v>150</v>
      </c>
      <c r="DB281" s="455">
        <f t="shared" si="472"/>
        <v>10</v>
      </c>
      <c r="DC281" s="495"/>
      <c r="DD281" s="24" t="s">
        <v>347</v>
      </c>
      <c r="DE281" s="139" t="s">
        <v>505</v>
      </c>
      <c r="DF281" s="1133"/>
      <c r="DG281" s="674">
        <f t="shared" si="451"/>
        <v>10</v>
      </c>
      <c r="DH281" s="1119">
        <f t="shared" si="452"/>
        <v>10</v>
      </c>
      <c r="DI281" s="1119"/>
      <c r="DJ281" s="101">
        <f t="shared" si="415"/>
        <v>29.333333333333336</v>
      </c>
      <c r="DK281" s="101"/>
      <c r="DL281" s="101">
        <f t="shared" si="405"/>
        <v>0</v>
      </c>
      <c r="DM281" s="101"/>
      <c r="DN281" s="112"/>
      <c r="DO281" s="112"/>
      <c r="DP281" s="112"/>
      <c r="DQ281" s="112"/>
      <c r="DS281" s="140"/>
      <c r="DT281" s="140"/>
      <c r="DU281" s="140"/>
      <c r="DV281" s="140"/>
      <c r="DW281" s="140"/>
      <c r="DX281" s="140"/>
      <c r="DY281" s="140"/>
      <c r="DZ281" s="140"/>
    </row>
    <row r="282" spans="1:130" s="139" customFormat="1" ht="19.5" customHeight="1" x14ac:dyDescent="0.25">
      <c r="A282" s="4" t="s">
        <v>130</v>
      </c>
      <c r="B282" s="4">
        <v>25</v>
      </c>
      <c r="C282" s="134" t="s">
        <v>142</v>
      </c>
      <c r="D282" s="182" t="s">
        <v>431</v>
      </c>
      <c r="E282" s="13" t="s">
        <v>156</v>
      </c>
      <c r="F282" s="135">
        <v>9</v>
      </c>
      <c r="G282" s="135">
        <v>1</v>
      </c>
      <c r="H282" s="135">
        <f t="shared" si="453"/>
        <v>10</v>
      </c>
      <c r="I282" s="135">
        <v>12</v>
      </c>
      <c r="J282" s="135"/>
      <c r="K282" s="135">
        <f t="shared" si="454"/>
        <v>12</v>
      </c>
      <c r="L282" s="183"/>
      <c r="M282" s="5"/>
      <c r="N282" s="41"/>
      <c r="O282" s="6"/>
      <c r="P282" s="7"/>
      <c r="Q282" s="7"/>
      <c r="R282" s="7"/>
      <c r="S282" s="7"/>
      <c r="T282" s="89"/>
      <c r="U282" s="89"/>
      <c r="V282" s="89">
        <f t="shared" si="455"/>
        <v>0</v>
      </c>
      <c r="W282" s="137"/>
      <c r="X282" s="137"/>
      <c r="Y282" s="90">
        <f t="shared" si="456"/>
        <v>0</v>
      </c>
      <c r="Z282" s="91"/>
      <c r="AA282" s="92"/>
      <c r="AB282" s="92"/>
      <c r="AC282" s="92">
        <f t="shared" si="457"/>
        <v>0</v>
      </c>
      <c r="AD282" s="93"/>
      <c r="AE282" s="93"/>
      <c r="AF282" s="94">
        <f t="shared" si="458"/>
        <v>0</v>
      </c>
      <c r="AG282" s="473"/>
      <c r="AH282" s="99">
        <v>125</v>
      </c>
      <c r="AI282" s="99">
        <f t="shared" si="459"/>
        <v>8.3333333333333339</v>
      </c>
      <c r="AJ282" s="138"/>
      <c r="AK282" s="138">
        <f t="shared" si="460"/>
        <v>0</v>
      </c>
      <c r="AL282" s="106"/>
      <c r="AM282" s="105">
        <v>125</v>
      </c>
      <c r="AN282" s="105">
        <f t="shared" si="461"/>
        <v>8.3333333333333339</v>
      </c>
      <c r="AO282" s="106"/>
      <c r="AP282" s="105"/>
      <c r="AQ282" s="105">
        <f t="shared" ref="AQ282:AQ313" si="473">AP282/15</f>
        <v>0</v>
      </c>
      <c r="AR282" s="106"/>
      <c r="AS282" s="97">
        <f t="shared" si="469"/>
        <v>8.3333333333333339</v>
      </c>
      <c r="AT282" s="6"/>
      <c r="AU282" s="105"/>
      <c r="AV282" s="455">
        <f t="shared" si="410"/>
        <v>0</v>
      </c>
      <c r="AW282" s="496"/>
      <c r="AX282" s="508"/>
      <c r="AY282" s="498">
        <v>15</v>
      </c>
      <c r="AZ282" s="100">
        <f t="shared" si="462"/>
        <v>1</v>
      </c>
      <c r="BA282" s="101"/>
      <c r="BB282" s="100"/>
      <c r="BC282" s="100">
        <f t="shared" si="463"/>
        <v>0</v>
      </c>
      <c r="BD282" s="101"/>
      <c r="BE282" s="105">
        <f t="shared" si="464"/>
        <v>1</v>
      </c>
      <c r="BF282" s="106"/>
      <c r="BG282" s="100">
        <f t="shared" si="449"/>
        <v>8.3333333333333339</v>
      </c>
      <c r="BH282" s="106"/>
      <c r="BI282" s="100">
        <f t="shared" si="450"/>
        <v>0</v>
      </c>
      <c r="BJ282" s="106"/>
      <c r="BK282" s="101">
        <f t="shared" si="470"/>
        <v>9.3333333333333339</v>
      </c>
      <c r="BL282" s="106"/>
      <c r="BM282" s="104">
        <v>417</v>
      </c>
      <c r="BN282" s="104">
        <f t="shared" si="465"/>
        <v>8.34</v>
      </c>
      <c r="BO282" s="105"/>
      <c r="BP282" s="105">
        <f t="shared" si="413"/>
        <v>0</v>
      </c>
      <c r="BQ282" s="106"/>
      <c r="BR282" s="105">
        <v>50</v>
      </c>
      <c r="BS282" s="105">
        <f t="shared" si="468"/>
        <v>1</v>
      </c>
      <c r="BT282" s="106"/>
      <c r="BU282" s="53">
        <v>400</v>
      </c>
      <c r="BV282" s="53">
        <f t="shared" si="466"/>
        <v>8</v>
      </c>
      <c r="BW282" s="54"/>
      <c r="BX282" s="350">
        <f t="shared" si="471"/>
        <v>9</v>
      </c>
      <c r="BY282" s="6"/>
      <c r="BZ282" s="6">
        <f t="shared" ref="BZ282:BZ313" si="474">BK282-BX282</f>
        <v>0.33333333333333393</v>
      </c>
      <c r="CA282" s="508"/>
      <c r="CB282" s="7"/>
      <c r="CC282" s="7"/>
      <c r="CD282" s="7"/>
      <c r="CE282" s="504"/>
      <c r="CF282" s="105"/>
      <c r="CG282" s="105">
        <f t="shared" si="446"/>
        <v>0</v>
      </c>
      <c r="CH282" s="105"/>
      <c r="CI282" s="105"/>
      <c r="CJ282" s="105">
        <f t="shared" si="447"/>
        <v>0</v>
      </c>
      <c r="CK282" s="523"/>
      <c r="CL282" s="102">
        <f t="shared" si="467"/>
        <v>0</v>
      </c>
      <c r="CM282" s="103"/>
      <c r="CN282" s="100"/>
      <c r="CO282" s="100">
        <f t="shared" si="423"/>
        <v>0</v>
      </c>
      <c r="CP282" s="515"/>
      <c r="CQ282" s="441"/>
      <c r="CR282" s="504"/>
      <c r="CS282" s="105"/>
      <c r="CT282" s="105">
        <f t="shared" si="389"/>
        <v>0</v>
      </c>
      <c r="CU282" s="105"/>
      <c r="CV282" s="105"/>
      <c r="CW282" s="105">
        <f t="shared" si="390"/>
        <v>0</v>
      </c>
      <c r="CX282" s="53"/>
      <c r="CY282" s="109">
        <f t="shared" si="424"/>
        <v>0</v>
      </c>
      <c r="CZ282" s="54"/>
      <c r="DA282" s="105"/>
      <c r="DB282" s="455">
        <f t="shared" si="472"/>
        <v>0</v>
      </c>
      <c r="DC282" s="495"/>
      <c r="DD282" s="24" t="s">
        <v>347</v>
      </c>
      <c r="DF282" s="1133"/>
      <c r="DG282" s="674">
        <f t="shared" si="451"/>
        <v>0</v>
      </c>
      <c r="DH282" s="1119">
        <f t="shared" si="452"/>
        <v>0</v>
      </c>
      <c r="DI282" s="1119"/>
      <c r="DJ282" s="101">
        <f t="shared" si="415"/>
        <v>9.3333333333333339</v>
      </c>
      <c r="DK282" s="101"/>
      <c r="DL282" s="101">
        <f t="shared" si="405"/>
        <v>0</v>
      </c>
      <c r="DM282" s="101"/>
      <c r="DN282" s="112"/>
      <c r="DO282" s="112"/>
      <c r="DP282" s="112"/>
      <c r="DQ282" s="112"/>
      <c r="DS282" s="140"/>
      <c r="DT282" s="140"/>
      <c r="DU282" s="140"/>
      <c r="DV282" s="140"/>
      <c r="DW282" s="140"/>
      <c r="DX282" s="140"/>
      <c r="DY282" s="140"/>
      <c r="DZ282" s="140"/>
    </row>
    <row r="283" spans="1:130" s="151" customFormat="1" ht="21.6" customHeight="1" x14ac:dyDescent="0.25">
      <c r="A283" s="141"/>
      <c r="B283" s="141"/>
      <c r="C283" s="142"/>
      <c r="D283" s="143"/>
      <c r="E283" s="22"/>
      <c r="F283" s="144"/>
      <c r="G283" s="144"/>
      <c r="H283" s="144"/>
      <c r="I283" s="144"/>
      <c r="J283" s="144"/>
      <c r="K283" s="144"/>
      <c r="L283" s="145"/>
      <c r="M283" s="146"/>
      <c r="N283" s="147"/>
      <c r="O283" s="179"/>
      <c r="P283" s="148"/>
      <c r="Q283" s="148"/>
      <c r="R283" s="148"/>
      <c r="S283" s="148"/>
      <c r="T283" s="123"/>
      <c r="U283" s="123"/>
      <c r="V283" s="123"/>
      <c r="W283" s="149"/>
      <c r="X283" s="149"/>
      <c r="Y283" s="124"/>
      <c r="Z283" s="125"/>
      <c r="AA283" s="123"/>
      <c r="AB283" s="123"/>
      <c r="AC283" s="123"/>
      <c r="AD283" s="124"/>
      <c r="AE283" s="124"/>
      <c r="AF283" s="126"/>
      <c r="AG283" s="474"/>
      <c r="AH283" s="129"/>
      <c r="AI283" s="129"/>
      <c r="AJ283" s="138"/>
      <c r="AK283" s="138"/>
      <c r="AL283" s="106"/>
      <c r="AM283" s="105"/>
      <c r="AN283" s="105"/>
      <c r="AO283" s="106"/>
      <c r="AP283" s="105"/>
      <c r="AQ283" s="105">
        <f t="shared" si="473"/>
        <v>0</v>
      </c>
      <c r="AR283" s="106"/>
      <c r="AS283" s="97">
        <f t="shared" si="469"/>
        <v>0</v>
      </c>
      <c r="AT283" s="6"/>
      <c r="AU283" s="105"/>
      <c r="AV283" s="455">
        <f t="shared" si="410"/>
        <v>0</v>
      </c>
      <c r="AW283" s="496"/>
      <c r="AX283" s="508"/>
      <c r="AY283" s="498"/>
      <c r="AZ283" s="100"/>
      <c r="BA283" s="101"/>
      <c r="BB283" s="100"/>
      <c r="BC283" s="100"/>
      <c r="BD283" s="101"/>
      <c r="BE283" s="105"/>
      <c r="BF283" s="106"/>
      <c r="BG283" s="100">
        <f t="shared" si="449"/>
        <v>0</v>
      </c>
      <c r="BH283" s="106"/>
      <c r="BI283" s="100">
        <f t="shared" si="450"/>
        <v>0</v>
      </c>
      <c r="BJ283" s="106"/>
      <c r="BK283" s="101">
        <f t="shared" si="470"/>
        <v>0</v>
      </c>
      <c r="BL283" s="106"/>
      <c r="BM283" s="130"/>
      <c r="BN283" s="130"/>
      <c r="BO283" s="105"/>
      <c r="BP283" s="105">
        <f t="shared" si="413"/>
        <v>0</v>
      </c>
      <c r="BQ283" s="106"/>
      <c r="BR283" s="105"/>
      <c r="BS283" s="105"/>
      <c r="BT283" s="106"/>
      <c r="BU283" s="53"/>
      <c r="BV283" s="53"/>
      <c r="BW283" s="54"/>
      <c r="BX283" s="350">
        <f t="shared" si="471"/>
        <v>0</v>
      </c>
      <c r="BY283" s="131"/>
      <c r="BZ283" s="131">
        <f t="shared" si="474"/>
        <v>0</v>
      </c>
      <c r="CA283" s="536"/>
      <c r="CB283" s="148"/>
      <c r="CC283" s="148"/>
      <c r="CD283" s="148"/>
      <c r="CE283" s="504"/>
      <c r="CF283" s="105"/>
      <c r="CG283" s="105">
        <f t="shared" si="446"/>
        <v>0</v>
      </c>
      <c r="CH283" s="105"/>
      <c r="CI283" s="105"/>
      <c r="CJ283" s="105">
        <f t="shared" si="447"/>
        <v>0</v>
      </c>
      <c r="CK283" s="523"/>
      <c r="CL283" s="102"/>
      <c r="CM283" s="103"/>
      <c r="CN283" s="100"/>
      <c r="CO283" s="100">
        <f t="shared" si="423"/>
        <v>0</v>
      </c>
      <c r="CP283" s="515"/>
      <c r="CQ283" s="441"/>
      <c r="CR283" s="504"/>
      <c r="CS283" s="105"/>
      <c r="CT283" s="105">
        <f t="shared" si="389"/>
        <v>0</v>
      </c>
      <c r="CU283" s="105"/>
      <c r="CV283" s="105"/>
      <c r="CW283" s="105">
        <f t="shared" si="390"/>
        <v>0</v>
      </c>
      <c r="CX283" s="53"/>
      <c r="CY283" s="109">
        <f t="shared" si="424"/>
        <v>0</v>
      </c>
      <c r="CZ283" s="54"/>
      <c r="DA283" s="105"/>
      <c r="DB283" s="455">
        <f t="shared" si="472"/>
        <v>0</v>
      </c>
      <c r="DC283" s="495"/>
      <c r="DD283" s="31"/>
      <c r="DF283" s="1133"/>
      <c r="DG283" s="674">
        <f t="shared" si="451"/>
        <v>0</v>
      </c>
      <c r="DH283" s="1119">
        <f t="shared" si="452"/>
        <v>0</v>
      </c>
      <c r="DI283" s="1119"/>
      <c r="DJ283" s="101">
        <f t="shared" si="415"/>
        <v>0</v>
      </c>
      <c r="DK283" s="101"/>
      <c r="DL283" s="101">
        <f t="shared" si="405"/>
        <v>0</v>
      </c>
      <c r="DM283" s="101"/>
      <c r="DN283" s="112"/>
      <c r="DO283" s="112"/>
      <c r="DP283" s="112"/>
      <c r="DQ283" s="112"/>
      <c r="DS283" s="152"/>
      <c r="DT283" s="152"/>
      <c r="DU283" s="152"/>
      <c r="DV283" s="152"/>
      <c r="DW283" s="152"/>
      <c r="DX283" s="152"/>
      <c r="DY283" s="152"/>
      <c r="DZ283" s="152"/>
    </row>
    <row r="284" spans="1:130" s="139" customFormat="1" ht="21.6" customHeight="1" x14ac:dyDescent="0.25">
      <c r="A284" s="4" t="s">
        <v>130</v>
      </c>
      <c r="B284" s="4">
        <v>1</v>
      </c>
      <c r="C284" s="134" t="s">
        <v>157</v>
      </c>
      <c r="D284" s="182" t="s">
        <v>431</v>
      </c>
      <c r="E284" s="13" t="s">
        <v>360</v>
      </c>
      <c r="F284" s="135">
        <v>106</v>
      </c>
      <c r="G284" s="135">
        <v>18</v>
      </c>
      <c r="H284" s="135">
        <f t="shared" ref="H284:H300" si="475">F284+G284</f>
        <v>124</v>
      </c>
      <c r="I284" s="135">
        <v>25</v>
      </c>
      <c r="J284" s="135">
        <v>35</v>
      </c>
      <c r="K284" s="135">
        <f t="shared" ref="K284:K300" si="476">I284+J284</f>
        <v>60</v>
      </c>
      <c r="L284" s="183"/>
      <c r="M284" s="5"/>
      <c r="N284" s="41"/>
      <c r="O284" s="5"/>
      <c r="P284" s="7"/>
      <c r="Q284" s="7"/>
      <c r="R284" s="7"/>
      <c r="S284" s="7"/>
      <c r="T284" s="89"/>
      <c r="U284" s="89"/>
      <c r="V284" s="89">
        <f t="shared" ref="V284:V300" si="477">T284+U284</f>
        <v>0</v>
      </c>
      <c r="W284" s="137"/>
      <c r="X284" s="137"/>
      <c r="Y284" s="90">
        <f t="shared" ref="Y284:Y300" si="478">W284+X284</f>
        <v>0</v>
      </c>
      <c r="Z284" s="91"/>
      <c r="AA284" s="92"/>
      <c r="AB284" s="92"/>
      <c r="AC284" s="92">
        <f t="shared" ref="AC284:AC304" si="479">AA284+AB284</f>
        <v>0</v>
      </c>
      <c r="AD284" s="93"/>
      <c r="AE284" s="93"/>
      <c r="AF284" s="94">
        <f t="shared" ref="AF284:AF304" si="480">AD284+AE284</f>
        <v>0</v>
      </c>
      <c r="AG284" s="473"/>
      <c r="AH284" s="99">
        <v>90</v>
      </c>
      <c r="AI284" s="99">
        <f t="shared" ref="AI284:AI373" si="481">AH284/15</f>
        <v>6</v>
      </c>
      <c r="AJ284" s="138">
        <v>135</v>
      </c>
      <c r="AK284" s="138">
        <f t="shared" ref="AK284:AK304" si="482">AJ284/15</f>
        <v>9</v>
      </c>
      <c r="AL284" s="106">
        <f>SUM(AK284:AK304)</f>
        <v>338.00000000000006</v>
      </c>
      <c r="AM284" s="105"/>
      <c r="AN284" s="105">
        <f t="shared" ref="AN284:AN304" si="483">AM284/15</f>
        <v>0</v>
      </c>
      <c r="AO284" s="106">
        <f>SUM(AN284:AN304)</f>
        <v>17.333333333333332</v>
      </c>
      <c r="AP284" s="105"/>
      <c r="AQ284" s="105">
        <f t="shared" si="473"/>
        <v>0</v>
      </c>
      <c r="AR284" s="106">
        <f>SUM(AQ284:AQ304)</f>
        <v>0</v>
      </c>
      <c r="AS284" s="97">
        <f t="shared" si="469"/>
        <v>9</v>
      </c>
      <c r="AT284" s="6">
        <f>SUM(AS284:AS304)</f>
        <v>355.33333333333337</v>
      </c>
      <c r="AU284" s="105"/>
      <c r="AV284" s="455">
        <f t="shared" si="410"/>
        <v>0</v>
      </c>
      <c r="AW284" s="496">
        <f>SUM(AV284:AV304)</f>
        <v>0</v>
      </c>
      <c r="AX284" s="508"/>
      <c r="AY284" s="498"/>
      <c r="AZ284" s="100">
        <f t="shared" ref="AZ284:AZ304" si="484">AY284/15</f>
        <v>0</v>
      </c>
      <c r="BA284" s="106">
        <f>SUM(AZ284:AZ304)</f>
        <v>118</v>
      </c>
      <c r="BB284" s="105"/>
      <c r="BC284" s="105">
        <f t="shared" ref="BC284:BC304" si="485">BB284/15</f>
        <v>0</v>
      </c>
      <c r="BD284" s="106">
        <f>SUM(BC284:BC304)</f>
        <v>0</v>
      </c>
      <c r="BE284" s="105">
        <f t="shared" ref="BE284:BE304" si="486">AK284+AZ284</f>
        <v>9</v>
      </c>
      <c r="BF284" s="106">
        <f>SUM(BE284:BE304)</f>
        <v>456.00000000000006</v>
      </c>
      <c r="BG284" s="100">
        <f t="shared" si="449"/>
        <v>0</v>
      </c>
      <c r="BH284" s="106">
        <f>SUM(BG284:BG304)</f>
        <v>17.333333333333332</v>
      </c>
      <c r="BI284" s="100">
        <f t="shared" si="450"/>
        <v>0</v>
      </c>
      <c r="BJ284" s="106">
        <f>SUM(BI284:BI304)</f>
        <v>0</v>
      </c>
      <c r="BK284" s="101">
        <f t="shared" si="470"/>
        <v>9</v>
      </c>
      <c r="BL284" s="106">
        <f>SUM(BK284:BK304)</f>
        <v>473.33333333333337</v>
      </c>
      <c r="BM284" s="104">
        <v>500</v>
      </c>
      <c r="BN284" s="104">
        <f t="shared" ref="BN284:BN300" si="487">BM284/50</f>
        <v>10</v>
      </c>
      <c r="BO284" s="105"/>
      <c r="BP284" s="105">
        <f t="shared" si="413"/>
        <v>0</v>
      </c>
      <c r="BQ284" s="106">
        <f>SUM(BP284:BP304)</f>
        <v>115</v>
      </c>
      <c r="BR284" s="105"/>
      <c r="BS284" s="105">
        <f t="shared" si="468"/>
        <v>0</v>
      </c>
      <c r="BT284" s="106">
        <f>SUM(BS284:BS304)</f>
        <v>37.1</v>
      </c>
      <c r="BU284" s="53">
        <v>450</v>
      </c>
      <c r="BV284" s="53">
        <f t="shared" ref="BV284:BV304" si="488">BU284/50</f>
        <v>9</v>
      </c>
      <c r="BW284" s="54">
        <f>SUM(BV284:BV304)</f>
        <v>320</v>
      </c>
      <c r="BX284" s="350">
        <f t="shared" si="471"/>
        <v>9</v>
      </c>
      <c r="BY284" s="6">
        <f>SUM(BX284:BX304)</f>
        <v>472.1</v>
      </c>
      <c r="BZ284" s="6">
        <f t="shared" si="474"/>
        <v>0</v>
      </c>
      <c r="CA284" s="508"/>
      <c r="CB284" s="7"/>
      <c r="CC284" s="7"/>
      <c r="CD284" s="7" t="s">
        <v>457</v>
      </c>
      <c r="CE284" s="504"/>
      <c r="CF284" s="105"/>
      <c r="CG284" s="105">
        <f t="shared" si="446"/>
        <v>0</v>
      </c>
      <c r="CH284" s="105"/>
      <c r="CI284" s="105"/>
      <c r="CJ284" s="105">
        <f t="shared" si="447"/>
        <v>0</v>
      </c>
      <c r="CK284" s="524"/>
      <c r="CL284" s="53">
        <f t="shared" ref="CL284:CL304" si="489">CK284/15</f>
        <v>0</v>
      </c>
      <c r="CM284" s="54">
        <f>SUM(CL284:CL304)</f>
        <v>0</v>
      </c>
      <c r="CN284" s="105"/>
      <c r="CO284" s="100">
        <f t="shared" si="423"/>
        <v>0</v>
      </c>
      <c r="CP284" s="496">
        <f>SUM(CO284:CO304)</f>
        <v>0</v>
      </c>
      <c r="CQ284" s="439"/>
      <c r="CR284" s="504"/>
      <c r="CS284" s="105"/>
      <c r="CT284" s="105">
        <f t="shared" si="389"/>
        <v>0</v>
      </c>
      <c r="CU284" s="105"/>
      <c r="CV284" s="105"/>
      <c r="CW284" s="105">
        <f t="shared" si="390"/>
        <v>0</v>
      </c>
      <c r="CX284" s="53"/>
      <c r="CY284" s="109">
        <f t="shared" si="424"/>
        <v>0</v>
      </c>
      <c r="CZ284" s="54">
        <f>SUM(CY284:CY304)</f>
        <v>0</v>
      </c>
      <c r="DA284" s="105"/>
      <c r="DB284" s="455">
        <f t="shared" si="472"/>
        <v>0</v>
      </c>
      <c r="DC284" s="495">
        <f>SUM(DB284:DB304)</f>
        <v>0</v>
      </c>
      <c r="DD284" s="24" t="s">
        <v>459</v>
      </c>
      <c r="DF284" s="1133"/>
      <c r="DG284" s="674">
        <f t="shared" si="451"/>
        <v>0</v>
      </c>
      <c r="DH284" s="1119">
        <f t="shared" si="452"/>
        <v>0</v>
      </c>
      <c r="DI284" s="1119"/>
      <c r="DJ284" s="101">
        <f t="shared" si="415"/>
        <v>9</v>
      </c>
      <c r="DK284" s="101">
        <f>SUM(DJ284:DJ304)</f>
        <v>473.33333333333337</v>
      </c>
      <c r="DL284" s="101">
        <f t="shared" si="405"/>
        <v>0</v>
      </c>
      <c r="DM284" s="101"/>
      <c r="DN284" s="112"/>
      <c r="DO284" s="112"/>
      <c r="DP284" s="112"/>
      <c r="DQ284" s="112"/>
      <c r="DS284" s="140"/>
      <c r="DT284" s="140"/>
      <c r="DU284" s="140"/>
      <c r="DV284" s="140"/>
      <c r="DW284" s="140"/>
      <c r="DX284" s="140"/>
      <c r="DY284" s="140"/>
      <c r="DZ284" s="140"/>
    </row>
    <row r="285" spans="1:130" s="139" customFormat="1" ht="21.6" customHeight="1" x14ac:dyDescent="0.25">
      <c r="A285" s="4" t="s">
        <v>130</v>
      </c>
      <c r="B285" s="4">
        <v>2</v>
      </c>
      <c r="C285" s="134" t="s">
        <v>157</v>
      </c>
      <c r="D285" s="182" t="s">
        <v>431</v>
      </c>
      <c r="E285" s="13" t="s">
        <v>158</v>
      </c>
      <c r="F285" s="135">
        <v>143</v>
      </c>
      <c r="G285" s="135">
        <v>23</v>
      </c>
      <c r="H285" s="135">
        <f t="shared" si="475"/>
        <v>166</v>
      </c>
      <c r="I285" s="135">
        <v>54.15</v>
      </c>
      <c r="J285" s="135">
        <v>44.75</v>
      </c>
      <c r="K285" s="135">
        <f t="shared" si="476"/>
        <v>98.9</v>
      </c>
      <c r="L285" s="183"/>
      <c r="M285" s="5"/>
      <c r="N285" s="41"/>
      <c r="O285" s="1216"/>
      <c r="P285" s="7"/>
      <c r="Q285" s="7"/>
      <c r="R285" s="7"/>
      <c r="S285" s="7"/>
      <c r="T285" s="89"/>
      <c r="U285" s="89"/>
      <c r="V285" s="89">
        <f t="shared" si="477"/>
        <v>0</v>
      </c>
      <c r="W285" s="137"/>
      <c r="X285" s="137"/>
      <c r="Y285" s="90">
        <f t="shared" si="478"/>
        <v>0</v>
      </c>
      <c r="Z285" s="91"/>
      <c r="AA285" s="92"/>
      <c r="AB285" s="92"/>
      <c r="AC285" s="92">
        <f t="shared" si="479"/>
        <v>0</v>
      </c>
      <c r="AD285" s="93"/>
      <c r="AE285" s="93"/>
      <c r="AF285" s="94">
        <f t="shared" si="480"/>
        <v>0</v>
      </c>
      <c r="AG285" s="473"/>
      <c r="AH285" s="99">
        <v>150</v>
      </c>
      <c r="AI285" s="99">
        <f t="shared" si="481"/>
        <v>10</v>
      </c>
      <c r="AJ285" s="138">
        <v>75</v>
      </c>
      <c r="AK285" s="138">
        <f t="shared" si="482"/>
        <v>5</v>
      </c>
      <c r="AL285" s="106"/>
      <c r="AM285" s="105"/>
      <c r="AN285" s="105">
        <f t="shared" si="483"/>
        <v>0</v>
      </c>
      <c r="AO285" s="106"/>
      <c r="AP285" s="105"/>
      <c r="AQ285" s="105">
        <f t="shared" si="473"/>
        <v>0</v>
      </c>
      <c r="AR285" s="106"/>
      <c r="AS285" s="97">
        <f t="shared" si="469"/>
        <v>5</v>
      </c>
      <c r="AT285" s="6"/>
      <c r="AU285" s="105"/>
      <c r="AV285" s="455">
        <f t="shared" si="410"/>
        <v>0</v>
      </c>
      <c r="AW285" s="496"/>
      <c r="AX285" s="508"/>
      <c r="AY285" s="498"/>
      <c r="AZ285" s="100">
        <f t="shared" si="484"/>
        <v>0</v>
      </c>
      <c r="BA285" s="101"/>
      <c r="BB285" s="100"/>
      <c r="BC285" s="100">
        <f t="shared" si="485"/>
        <v>0</v>
      </c>
      <c r="BD285" s="101"/>
      <c r="BE285" s="105">
        <f t="shared" si="486"/>
        <v>5</v>
      </c>
      <c r="BF285" s="106"/>
      <c r="BG285" s="100">
        <f t="shared" si="449"/>
        <v>0</v>
      </c>
      <c r="BH285" s="106"/>
      <c r="BI285" s="100">
        <f t="shared" si="450"/>
        <v>0</v>
      </c>
      <c r="BJ285" s="106"/>
      <c r="BK285" s="101">
        <f t="shared" si="470"/>
        <v>5</v>
      </c>
      <c r="BL285" s="106"/>
      <c r="BM285" s="104">
        <v>1300</v>
      </c>
      <c r="BN285" s="104">
        <f t="shared" si="487"/>
        <v>26</v>
      </c>
      <c r="BO285" s="105"/>
      <c r="BP285" s="105">
        <f t="shared" si="413"/>
        <v>0</v>
      </c>
      <c r="BQ285" s="106"/>
      <c r="BR285" s="105"/>
      <c r="BS285" s="105">
        <f t="shared" si="468"/>
        <v>0</v>
      </c>
      <c r="BT285" s="106"/>
      <c r="BU285" s="53">
        <v>250</v>
      </c>
      <c r="BV285" s="53">
        <f t="shared" si="488"/>
        <v>5</v>
      </c>
      <c r="BW285" s="54"/>
      <c r="BX285" s="350">
        <f t="shared" si="471"/>
        <v>5</v>
      </c>
      <c r="BY285" s="6"/>
      <c r="BZ285" s="6">
        <f t="shared" si="474"/>
        <v>0</v>
      </c>
      <c r="CA285" s="508"/>
      <c r="CB285" s="7"/>
      <c r="CC285" s="7"/>
      <c r="CD285" s="7"/>
      <c r="CE285" s="504"/>
      <c r="CF285" s="105"/>
      <c r="CG285" s="105">
        <f t="shared" si="446"/>
        <v>0</v>
      </c>
      <c r="CH285" s="105"/>
      <c r="CI285" s="105"/>
      <c r="CJ285" s="105">
        <f t="shared" si="447"/>
        <v>0</v>
      </c>
      <c r="CK285" s="523"/>
      <c r="CL285" s="102">
        <f t="shared" si="489"/>
        <v>0</v>
      </c>
      <c r="CM285" s="103"/>
      <c r="CN285" s="100"/>
      <c r="CO285" s="100">
        <f t="shared" si="423"/>
        <v>0</v>
      </c>
      <c r="CP285" s="515"/>
      <c r="CQ285" s="441"/>
      <c r="CR285" s="504"/>
      <c r="CS285" s="105"/>
      <c r="CT285" s="105">
        <f t="shared" ref="CT285:CT348" si="490">CR285+CS285</f>
        <v>0</v>
      </c>
      <c r="CU285" s="105"/>
      <c r="CV285" s="105"/>
      <c r="CW285" s="105">
        <f t="shared" ref="CW285:CW348" si="491">CU285+CV285</f>
        <v>0</v>
      </c>
      <c r="CX285" s="53"/>
      <c r="CY285" s="109">
        <f t="shared" si="424"/>
        <v>0</v>
      </c>
      <c r="CZ285" s="54"/>
      <c r="DA285" s="105"/>
      <c r="DB285" s="455">
        <f t="shared" si="472"/>
        <v>0</v>
      </c>
      <c r="DC285" s="495"/>
      <c r="DD285" s="24" t="s">
        <v>459</v>
      </c>
      <c r="DF285" s="1133"/>
      <c r="DG285" s="674">
        <f t="shared" si="451"/>
        <v>0</v>
      </c>
      <c r="DH285" s="1119">
        <f t="shared" si="452"/>
        <v>0</v>
      </c>
      <c r="DI285" s="1119"/>
      <c r="DJ285" s="101">
        <f t="shared" si="415"/>
        <v>5</v>
      </c>
      <c r="DK285" s="101"/>
      <c r="DL285" s="101">
        <f t="shared" si="405"/>
        <v>0</v>
      </c>
      <c r="DM285" s="101"/>
      <c r="DN285" s="112"/>
      <c r="DO285" s="112"/>
      <c r="DP285" s="112"/>
      <c r="DQ285" s="112"/>
      <c r="DS285" s="140"/>
      <c r="DT285" s="140"/>
      <c r="DU285" s="140"/>
      <c r="DV285" s="140"/>
      <c r="DW285" s="140"/>
      <c r="DX285" s="140"/>
      <c r="DY285" s="140"/>
      <c r="DZ285" s="140"/>
    </row>
    <row r="286" spans="1:130" s="139" customFormat="1" ht="21.6" customHeight="1" x14ac:dyDescent="0.25">
      <c r="A286" s="4" t="s">
        <v>130</v>
      </c>
      <c r="B286" s="4">
        <v>3</v>
      </c>
      <c r="C286" s="134" t="s">
        <v>157</v>
      </c>
      <c r="D286" s="182" t="s">
        <v>431</v>
      </c>
      <c r="E286" s="13" t="s">
        <v>159</v>
      </c>
      <c r="F286" s="135">
        <v>162</v>
      </c>
      <c r="G286" s="135">
        <v>21</v>
      </c>
      <c r="H286" s="135">
        <f t="shared" si="475"/>
        <v>183</v>
      </c>
      <c r="I286" s="135">
        <v>51.2</v>
      </c>
      <c r="J286" s="135">
        <v>34.01</v>
      </c>
      <c r="K286" s="135">
        <f t="shared" si="476"/>
        <v>85.210000000000008</v>
      </c>
      <c r="L286" s="183"/>
      <c r="M286" s="5"/>
      <c r="N286" s="41"/>
      <c r="O286" s="1216"/>
      <c r="P286" s="7"/>
      <c r="Q286" s="7"/>
      <c r="R286" s="7"/>
      <c r="S286" s="7"/>
      <c r="T286" s="89"/>
      <c r="U286" s="89"/>
      <c r="V286" s="89">
        <f t="shared" si="477"/>
        <v>0</v>
      </c>
      <c r="W286" s="137"/>
      <c r="X286" s="137"/>
      <c r="Y286" s="90">
        <f t="shared" si="478"/>
        <v>0</v>
      </c>
      <c r="Z286" s="91"/>
      <c r="AA286" s="92"/>
      <c r="AB286" s="92"/>
      <c r="AC286" s="92">
        <f t="shared" si="479"/>
        <v>0</v>
      </c>
      <c r="AD286" s="93"/>
      <c r="AE286" s="93"/>
      <c r="AF286" s="94">
        <f t="shared" si="480"/>
        <v>0</v>
      </c>
      <c r="AG286" s="473"/>
      <c r="AH286" s="99">
        <v>240</v>
      </c>
      <c r="AI286" s="99">
        <f t="shared" si="481"/>
        <v>16</v>
      </c>
      <c r="AJ286" s="138">
        <v>310</v>
      </c>
      <c r="AK286" s="138">
        <f t="shared" si="482"/>
        <v>20.666666666666668</v>
      </c>
      <c r="AL286" s="106"/>
      <c r="AM286" s="105"/>
      <c r="AN286" s="105">
        <f t="shared" si="483"/>
        <v>0</v>
      </c>
      <c r="AO286" s="106"/>
      <c r="AP286" s="105"/>
      <c r="AQ286" s="105">
        <f t="shared" si="473"/>
        <v>0</v>
      </c>
      <c r="AR286" s="106"/>
      <c r="AS286" s="97">
        <f t="shared" si="469"/>
        <v>20.666666666666668</v>
      </c>
      <c r="AT286" s="6"/>
      <c r="AU286" s="105"/>
      <c r="AV286" s="455">
        <f t="shared" si="410"/>
        <v>0</v>
      </c>
      <c r="AW286" s="496"/>
      <c r="AX286" s="508"/>
      <c r="AY286" s="498">
        <v>40</v>
      </c>
      <c r="AZ286" s="100">
        <f t="shared" si="484"/>
        <v>2.6666666666666665</v>
      </c>
      <c r="BA286" s="101"/>
      <c r="BB286" s="100"/>
      <c r="BC286" s="100">
        <f t="shared" si="485"/>
        <v>0</v>
      </c>
      <c r="BD286" s="101"/>
      <c r="BE286" s="105">
        <f t="shared" si="486"/>
        <v>23.333333333333336</v>
      </c>
      <c r="BF286" s="106"/>
      <c r="BG286" s="100">
        <f t="shared" si="449"/>
        <v>0</v>
      </c>
      <c r="BH286" s="106"/>
      <c r="BI286" s="100">
        <f t="shared" si="450"/>
        <v>0</v>
      </c>
      <c r="BJ286" s="106"/>
      <c r="BK286" s="101">
        <f t="shared" si="470"/>
        <v>23.333333333333336</v>
      </c>
      <c r="BL286" s="106"/>
      <c r="BM286" s="104">
        <v>1250</v>
      </c>
      <c r="BN286" s="104">
        <f t="shared" si="487"/>
        <v>25</v>
      </c>
      <c r="BO286" s="105"/>
      <c r="BP286" s="105">
        <f t="shared" si="413"/>
        <v>0</v>
      </c>
      <c r="BQ286" s="106"/>
      <c r="BR286" s="105"/>
      <c r="BS286" s="105">
        <f t="shared" si="468"/>
        <v>0</v>
      </c>
      <c r="BT286" s="106"/>
      <c r="BU286" s="53">
        <v>1150</v>
      </c>
      <c r="BV286" s="53">
        <f t="shared" si="488"/>
        <v>23</v>
      </c>
      <c r="BW286" s="54"/>
      <c r="BX286" s="350">
        <f t="shared" si="471"/>
        <v>23</v>
      </c>
      <c r="BY286" s="6"/>
      <c r="BZ286" s="6">
        <f t="shared" si="474"/>
        <v>0.3333333333333357</v>
      </c>
      <c r="CA286" s="508"/>
      <c r="CB286" s="7"/>
      <c r="CC286" s="7"/>
      <c r="CD286" s="7"/>
      <c r="CE286" s="504"/>
      <c r="CF286" s="105"/>
      <c r="CG286" s="105">
        <f t="shared" si="446"/>
        <v>0</v>
      </c>
      <c r="CH286" s="105"/>
      <c r="CI286" s="105"/>
      <c r="CJ286" s="105">
        <f t="shared" si="447"/>
        <v>0</v>
      </c>
      <c r="CK286" s="523"/>
      <c r="CL286" s="102">
        <f t="shared" si="489"/>
        <v>0</v>
      </c>
      <c r="CM286" s="103"/>
      <c r="CN286" s="100"/>
      <c r="CO286" s="100">
        <f t="shared" si="423"/>
        <v>0</v>
      </c>
      <c r="CP286" s="515"/>
      <c r="CQ286" s="441"/>
      <c r="CR286" s="504"/>
      <c r="CS286" s="105"/>
      <c r="CT286" s="105">
        <f t="shared" si="490"/>
        <v>0</v>
      </c>
      <c r="CU286" s="105"/>
      <c r="CV286" s="105"/>
      <c r="CW286" s="105">
        <f t="shared" si="491"/>
        <v>0</v>
      </c>
      <c r="CX286" s="53"/>
      <c r="CY286" s="109">
        <f t="shared" si="424"/>
        <v>0</v>
      </c>
      <c r="CZ286" s="54"/>
      <c r="DA286" s="105"/>
      <c r="DB286" s="455">
        <f t="shared" si="472"/>
        <v>0</v>
      </c>
      <c r="DC286" s="495"/>
      <c r="DD286" s="24" t="s">
        <v>459</v>
      </c>
      <c r="DF286" s="1133"/>
      <c r="DG286" s="674">
        <f t="shared" si="451"/>
        <v>0</v>
      </c>
      <c r="DH286" s="1119">
        <f t="shared" si="452"/>
        <v>0</v>
      </c>
      <c r="DI286" s="1119"/>
      <c r="DJ286" s="101">
        <f t="shared" si="415"/>
        <v>23.333333333333336</v>
      </c>
      <c r="DK286" s="101"/>
      <c r="DL286" s="101">
        <f t="shared" si="405"/>
        <v>0</v>
      </c>
      <c r="DM286" s="101"/>
      <c r="DN286" s="112"/>
      <c r="DO286" s="112"/>
      <c r="DP286" s="112"/>
      <c r="DQ286" s="112"/>
      <c r="DS286" s="140"/>
      <c r="DT286" s="140"/>
      <c r="DU286" s="140"/>
      <c r="DV286" s="140"/>
      <c r="DW286" s="140"/>
      <c r="DX286" s="140"/>
      <c r="DY286" s="140"/>
      <c r="DZ286" s="140"/>
    </row>
    <row r="287" spans="1:130" s="291" customFormat="1" ht="21.6" customHeight="1" x14ac:dyDescent="0.25">
      <c r="A287" s="279" t="s">
        <v>130</v>
      </c>
      <c r="B287" s="279">
        <v>4</v>
      </c>
      <c r="C287" s="280" t="s">
        <v>157</v>
      </c>
      <c r="D287" s="280" t="s">
        <v>431</v>
      </c>
      <c r="E287" s="42" t="s">
        <v>425</v>
      </c>
      <c r="F287" s="224"/>
      <c r="G287" s="224"/>
      <c r="H287" s="224"/>
      <c r="I287" s="224"/>
      <c r="J287" s="224"/>
      <c r="K287" s="224"/>
      <c r="L287" s="278"/>
      <c r="M287" s="210"/>
      <c r="N287" s="177"/>
      <c r="O287" s="210"/>
      <c r="P287" s="212"/>
      <c r="Q287" s="212"/>
      <c r="R287" s="212"/>
      <c r="S287" s="212"/>
      <c r="T287" s="282"/>
      <c r="U287" s="282"/>
      <c r="V287" s="282">
        <f t="shared" si="477"/>
        <v>0</v>
      </c>
      <c r="W287" s="283"/>
      <c r="X287" s="283"/>
      <c r="Y287" s="284">
        <f t="shared" si="478"/>
        <v>0</v>
      </c>
      <c r="Z287" s="285"/>
      <c r="AA287" s="282"/>
      <c r="AB287" s="282"/>
      <c r="AC287" s="282">
        <f t="shared" si="479"/>
        <v>0</v>
      </c>
      <c r="AD287" s="284"/>
      <c r="AE287" s="284"/>
      <c r="AF287" s="286">
        <f t="shared" si="480"/>
        <v>0</v>
      </c>
      <c r="AG287" s="482"/>
      <c r="AH287" s="258">
        <v>448</v>
      </c>
      <c r="AI287" s="258">
        <f t="shared" si="481"/>
        <v>29.866666666666667</v>
      </c>
      <c r="AJ287" s="221"/>
      <c r="AK287" s="221">
        <f t="shared" si="482"/>
        <v>0</v>
      </c>
      <c r="AL287" s="264"/>
      <c r="AM287" s="221"/>
      <c r="AN287" s="221">
        <f t="shared" si="483"/>
        <v>0</v>
      </c>
      <c r="AO287" s="264"/>
      <c r="AP287" s="221"/>
      <c r="AQ287" s="221">
        <f t="shared" si="473"/>
        <v>0</v>
      </c>
      <c r="AR287" s="264"/>
      <c r="AS287" s="97">
        <f t="shared" si="469"/>
        <v>0</v>
      </c>
      <c r="AT287" s="211"/>
      <c r="AU287" s="221"/>
      <c r="AV287" s="455">
        <f t="shared" si="410"/>
        <v>0</v>
      </c>
      <c r="AW287" s="490"/>
      <c r="AX287" s="511"/>
      <c r="AY287" s="500"/>
      <c r="AZ287" s="263">
        <f t="shared" si="484"/>
        <v>0</v>
      </c>
      <c r="BA287" s="493"/>
      <c r="BB287" s="263"/>
      <c r="BC287" s="263">
        <f t="shared" si="485"/>
        <v>0</v>
      </c>
      <c r="BD287" s="493"/>
      <c r="BE287" s="221">
        <f t="shared" si="486"/>
        <v>0</v>
      </c>
      <c r="BF287" s="264"/>
      <c r="BG287" s="100">
        <f t="shared" si="449"/>
        <v>0</v>
      </c>
      <c r="BH287" s="264"/>
      <c r="BI287" s="100">
        <f t="shared" si="450"/>
        <v>0</v>
      </c>
      <c r="BJ287" s="264"/>
      <c r="BK287" s="101">
        <f t="shared" si="470"/>
        <v>0</v>
      </c>
      <c r="BL287" s="264"/>
      <c r="BM287" s="258"/>
      <c r="BN287" s="258">
        <f t="shared" si="487"/>
        <v>0</v>
      </c>
      <c r="BO287" s="221"/>
      <c r="BP287" s="221">
        <f t="shared" si="413"/>
        <v>0</v>
      </c>
      <c r="BQ287" s="264"/>
      <c r="BR287" s="221"/>
      <c r="BS287" s="221">
        <f t="shared" si="468"/>
        <v>0</v>
      </c>
      <c r="BT287" s="264"/>
      <c r="BU287" s="258"/>
      <c r="BV287" s="258">
        <f t="shared" si="488"/>
        <v>0</v>
      </c>
      <c r="BW287" s="287"/>
      <c r="BX287" s="350">
        <f t="shared" si="471"/>
        <v>0</v>
      </c>
      <c r="BY287" s="287"/>
      <c r="BZ287" s="287">
        <f t="shared" si="474"/>
        <v>0</v>
      </c>
      <c r="CA287" s="539"/>
      <c r="CB287" s="281"/>
      <c r="CC287" s="281"/>
      <c r="CD287" s="281" t="s">
        <v>588</v>
      </c>
      <c r="CE287" s="500"/>
      <c r="CF287" s="221"/>
      <c r="CG287" s="221">
        <f t="shared" si="446"/>
        <v>0</v>
      </c>
      <c r="CH287" s="221"/>
      <c r="CI287" s="221"/>
      <c r="CJ287" s="221">
        <f t="shared" si="447"/>
        <v>0</v>
      </c>
      <c r="CK287" s="531"/>
      <c r="CL287" s="289">
        <f t="shared" si="489"/>
        <v>0</v>
      </c>
      <c r="CM287" s="290"/>
      <c r="CN287" s="263"/>
      <c r="CO287" s="100">
        <f t="shared" si="423"/>
        <v>0</v>
      </c>
      <c r="CP287" s="540"/>
      <c r="CQ287" s="543"/>
      <c r="CR287" s="500"/>
      <c r="CS287" s="221"/>
      <c r="CT287" s="221">
        <f t="shared" si="490"/>
        <v>0</v>
      </c>
      <c r="CU287" s="221"/>
      <c r="CV287" s="221"/>
      <c r="CW287" s="221">
        <f t="shared" si="491"/>
        <v>0</v>
      </c>
      <c r="CX287" s="256"/>
      <c r="CY287" s="109">
        <f t="shared" si="424"/>
        <v>0</v>
      </c>
      <c r="CZ287" s="265"/>
      <c r="DA287" s="221"/>
      <c r="DB287" s="455">
        <f t="shared" si="472"/>
        <v>0</v>
      </c>
      <c r="DC287" s="495"/>
      <c r="DD287" s="577"/>
      <c r="DF287" s="1133"/>
      <c r="DG287" s="674">
        <f t="shared" si="451"/>
        <v>0</v>
      </c>
      <c r="DH287" s="1119">
        <f t="shared" si="452"/>
        <v>0</v>
      </c>
      <c r="DI287" s="1119"/>
      <c r="DJ287" s="101">
        <f t="shared" si="415"/>
        <v>0</v>
      </c>
      <c r="DK287" s="101"/>
      <c r="DL287" s="101">
        <f t="shared" si="405"/>
        <v>0</v>
      </c>
      <c r="DM287" s="101"/>
      <c r="DN287" s="112"/>
      <c r="DO287" s="112"/>
      <c r="DP287" s="112"/>
      <c r="DQ287" s="112"/>
      <c r="DS287" s="292"/>
      <c r="DT287" s="292"/>
      <c r="DU287" s="292"/>
      <c r="DV287" s="292"/>
      <c r="DW287" s="292"/>
      <c r="DX287" s="292"/>
      <c r="DY287" s="292"/>
      <c r="DZ287" s="292"/>
    </row>
    <row r="288" spans="1:130" s="139" customFormat="1" ht="21.6" customHeight="1" x14ac:dyDescent="0.25">
      <c r="A288" s="4" t="s">
        <v>130</v>
      </c>
      <c r="B288" s="4">
        <v>4</v>
      </c>
      <c r="C288" s="134" t="s">
        <v>157</v>
      </c>
      <c r="D288" s="182" t="s">
        <v>431</v>
      </c>
      <c r="E288" s="13" t="s">
        <v>160</v>
      </c>
      <c r="F288" s="135">
        <v>149</v>
      </c>
      <c r="G288" s="135">
        <v>32</v>
      </c>
      <c r="H288" s="135">
        <f t="shared" si="475"/>
        <v>181</v>
      </c>
      <c r="I288" s="135">
        <v>90</v>
      </c>
      <c r="J288" s="135">
        <v>10</v>
      </c>
      <c r="K288" s="135">
        <f t="shared" si="476"/>
        <v>100</v>
      </c>
      <c r="L288" s="183"/>
      <c r="M288" s="5"/>
      <c r="N288" s="41"/>
      <c r="O288" s="1216"/>
      <c r="P288" s="7"/>
      <c r="Q288" s="7"/>
      <c r="R288" s="7"/>
      <c r="S288" s="7"/>
      <c r="T288" s="89"/>
      <c r="U288" s="89"/>
      <c r="V288" s="89">
        <f t="shared" si="477"/>
        <v>0</v>
      </c>
      <c r="W288" s="137"/>
      <c r="X288" s="137"/>
      <c r="Y288" s="90">
        <f t="shared" si="478"/>
        <v>0</v>
      </c>
      <c r="Z288" s="91"/>
      <c r="AA288" s="92"/>
      <c r="AB288" s="92"/>
      <c r="AC288" s="92">
        <f t="shared" si="479"/>
        <v>0</v>
      </c>
      <c r="AD288" s="93"/>
      <c r="AE288" s="93"/>
      <c r="AF288" s="94">
        <f t="shared" si="480"/>
        <v>0</v>
      </c>
      <c r="AG288" s="473"/>
      <c r="AH288" s="99">
        <v>345</v>
      </c>
      <c r="AI288" s="99">
        <f t="shared" si="481"/>
        <v>23</v>
      </c>
      <c r="AJ288" s="138">
        <v>460</v>
      </c>
      <c r="AK288" s="138">
        <f t="shared" si="482"/>
        <v>30.666666666666668</v>
      </c>
      <c r="AL288" s="106"/>
      <c r="AM288" s="105"/>
      <c r="AN288" s="105">
        <f t="shared" si="483"/>
        <v>0</v>
      </c>
      <c r="AO288" s="106"/>
      <c r="AP288" s="105"/>
      <c r="AQ288" s="105">
        <f t="shared" si="473"/>
        <v>0</v>
      </c>
      <c r="AR288" s="106"/>
      <c r="AS288" s="97">
        <f t="shared" si="469"/>
        <v>30.666666666666668</v>
      </c>
      <c r="AT288" s="6"/>
      <c r="AU288" s="105"/>
      <c r="AV288" s="455">
        <f t="shared" si="410"/>
        <v>0</v>
      </c>
      <c r="AW288" s="496"/>
      <c r="AX288" s="508"/>
      <c r="AY288" s="498">
        <v>165</v>
      </c>
      <c r="AZ288" s="100">
        <f t="shared" si="484"/>
        <v>11</v>
      </c>
      <c r="BA288" s="101"/>
      <c r="BB288" s="100"/>
      <c r="BC288" s="100">
        <f t="shared" si="485"/>
        <v>0</v>
      </c>
      <c r="BD288" s="101"/>
      <c r="BE288" s="105">
        <f t="shared" si="486"/>
        <v>41.666666666666671</v>
      </c>
      <c r="BF288" s="106"/>
      <c r="BG288" s="100">
        <f t="shared" si="449"/>
        <v>0</v>
      </c>
      <c r="BH288" s="106"/>
      <c r="BI288" s="100">
        <f t="shared" si="450"/>
        <v>0</v>
      </c>
      <c r="BJ288" s="106"/>
      <c r="BK288" s="101">
        <f t="shared" si="470"/>
        <v>41.666666666666671</v>
      </c>
      <c r="BL288" s="106"/>
      <c r="BM288" s="104">
        <v>3000</v>
      </c>
      <c r="BN288" s="104">
        <f t="shared" si="487"/>
        <v>60</v>
      </c>
      <c r="BO288" s="105"/>
      <c r="BP288" s="105">
        <f t="shared" si="413"/>
        <v>0</v>
      </c>
      <c r="BQ288" s="106"/>
      <c r="BR288" s="105"/>
      <c r="BS288" s="105">
        <f t="shared" si="468"/>
        <v>0</v>
      </c>
      <c r="BT288" s="106"/>
      <c r="BU288" s="53">
        <v>2050</v>
      </c>
      <c r="BV288" s="53">
        <f t="shared" si="488"/>
        <v>41</v>
      </c>
      <c r="BW288" s="54"/>
      <c r="BX288" s="350">
        <f t="shared" si="471"/>
        <v>41</v>
      </c>
      <c r="BY288" s="6"/>
      <c r="BZ288" s="6">
        <f t="shared" si="474"/>
        <v>0.6666666666666714</v>
      </c>
      <c r="CA288" s="508"/>
      <c r="CB288" s="7"/>
      <c r="CC288" s="7"/>
      <c r="CD288" s="7"/>
      <c r="CE288" s="504"/>
      <c r="CF288" s="105"/>
      <c r="CG288" s="105">
        <f t="shared" si="446"/>
        <v>0</v>
      </c>
      <c r="CH288" s="105"/>
      <c r="CI288" s="105"/>
      <c r="CJ288" s="105">
        <f t="shared" si="447"/>
        <v>0</v>
      </c>
      <c r="CK288" s="523"/>
      <c r="CL288" s="102">
        <f t="shared" si="489"/>
        <v>0</v>
      </c>
      <c r="CM288" s="103"/>
      <c r="CN288" s="100"/>
      <c r="CO288" s="100">
        <f t="shared" si="423"/>
        <v>0</v>
      </c>
      <c r="CP288" s="515"/>
      <c r="CQ288" s="441"/>
      <c r="CR288" s="504"/>
      <c r="CS288" s="105"/>
      <c r="CT288" s="105">
        <f t="shared" si="490"/>
        <v>0</v>
      </c>
      <c r="CU288" s="105"/>
      <c r="CV288" s="105"/>
      <c r="CW288" s="105">
        <f t="shared" si="491"/>
        <v>0</v>
      </c>
      <c r="CX288" s="53"/>
      <c r="CY288" s="109">
        <f t="shared" si="424"/>
        <v>0</v>
      </c>
      <c r="CZ288" s="54"/>
      <c r="DA288" s="105"/>
      <c r="DB288" s="455">
        <f t="shared" si="472"/>
        <v>0</v>
      </c>
      <c r="DC288" s="495"/>
      <c r="DD288" s="24" t="s">
        <v>459</v>
      </c>
      <c r="DF288" s="1133"/>
      <c r="DG288" s="674">
        <f t="shared" si="451"/>
        <v>0</v>
      </c>
      <c r="DH288" s="1119">
        <f t="shared" si="452"/>
        <v>0</v>
      </c>
      <c r="DI288" s="1119"/>
      <c r="DJ288" s="101">
        <f t="shared" si="415"/>
        <v>41.666666666666671</v>
      </c>
      <c r="DK288" s="101"/>
      <c r="DL288" s="101">
        <f t="shared" si="405"/>
        <v>0</v>
      </c>
      <c r="DM288" s="101"/>
      <c r="DN288" s="112"/>
      <c r="DO288" s="112"/>
      <c r="DP288" s="112"/>
      <c r="DQ288" s="112"/>
      <c r="DS288" s="140"/>
      <c r="DT288" s="140"/>
      <c r="DU288" s="140"/>
      <c r="DV288" s="140"/>
      <c r="DW288" s="140"/>
      <c r="DX288" s="140"/>
      <c r="DY288" s="140"/>
      <c r="DZ288" s="140"/>
    </row>
    <row r="289" spans="1:130" s="139" customFormat="1" ht="21.6" customHeight="1" x14ac:dyDescent="0.25">
      <c r="A289" s="4" t="s">
        <v>130</v>
      </c>
      <c r="B289" s="4">
        <v>5</v>
      </c>
      <c r="C289" s="134" t="s">
        <v>157</v>
      </c>
      <c r="D289" s="182" t="s">
        <v>431</v>
      </c>
      <c r="E289" s="13" t="s">
        <v>161</v>
      </c>
      <c r="F289" s="135">
        <v>37</v>
      </c>
      <c r="G289" s="135">
        <v>5</v>
      </c>
      <c r="H289" s="135">
        <f t="shared" si="475"/>
        <v>42</v>
      </c>
      <c r="I289" s="135">
        <v>11</v>
      </c>
      <c r="J289" s="135">
        <v>1</v>
      </c>
      <c r="K289" s="135">
        <f t="shared" si="476"/>
        <v>12</v>
      </c>
      <c r="L289" s="183"/>
      <c r="M289" s="5"/>
      <c r="N289" s="41"/>
      <c r="O289" s="1216"/>
      <c r="P289" s="7"/>
      <c r="Q289" s="7"/>
      <c r="R289" s="7"/>
      <c r="S289" s="7"/>
      <c r="T289" s="89"/>
      <c r="U289" s="89"/>
      <c r="V289" s="89">
        <f t="shared" si="477"/>
        <v>0</v>
      </c>
      <c r="W289" s="137"/>
      <c r="X289" s="137"/>
      <c r="Y289" s="90">
        <f t="shared" si="478"/>
        <v>0</v>
      </c>
      <c r="Z289" s="91"/>
      <c r="AA289" s="92"/>
      <c r="AB289" s="92"/>
      <c r="AC289" s="92">
        <f t="shared" si="479"/>
        <v>0</v>
      </c>
      <c r="AD289" s="93"/>
      <c r="AE289" s="93"/>
      <c r="AF289" s="94">
        <f t="shared" si="480"/>
        <v>0</v>
      </c>
      <c r="AG289" s="473"/>
      <c r="AH289" s="99">
        <v>30</v>
      </c>
      <c r="AI289" s="99">
        <f t="shared" si="481"/>
        <v>2</v>
      </c>
      <c r="AJ289" s="138">
        <v>60</v>
      </c>
      <c r="AK289" s="138">
        <f t="shared" si="482"/>
        <v>4</v>
      </c>
      <c r="AL289" s="106"/>
      <c r="AM289" s="105"/>
      <c r="AN289" s="105">
        <f t="shared" si="483"/>
        <v>0</v>
      </c>
      <c r="AO289" s="106"/>
      <c r="AP289" s="105"/>
      <c r="AQ289" s="105">
        <f t="shared" si="473"/>
        <v>0</v>
      </c>
      <c r="AR289" s="106"/>
      <c r="AS289" s="97">
        <f t="shared" si="469"/>
        <v>4</v>
      </c>
      <c r="AT289" s="6"/>
      <c r="AU289" s="105"/>
      <c r="AV289" s="455">
        <f t="shared" si="410"/>
        <v>0</v>
      </c>
      <c r="AW289" s="496"/>
      <c r="AX289" s="508"/>
      <c r="AY289" s="498"/>
      <c r="AZ289" s="100">
        <f t="shared" si="484"/>
        <v>0</v>
      </c>
      <c r="BA289" s="101"/>
      <c r="BB289" s="100"/>
      <c r="BC289" s="100">
        <f t="shared" si="485"/>
        <v>0</v>
      </c>
      <c r="BD289" s="101"/>
      <c r="BE289" s="105">
        <f t="shared" si="486"/>
        <v>4</v>
      </c>
      <c r="BF289" s="106"/>
      <c r="BG289" s="100">
        <f t="shared" si="449"/>
        <v>0</v>
      </c>
      <c r="BH289" s="106"/>
      <c r="BI289" s="100">
        <f t="shared" si="450"/>
        <v>0</v>
      </c>
      <c r="BJ289" s="106"/>
      <c r="BK289" s="101">
        <f t="shared" si="470"/>
        <v>4</v>
      </c>
      <c r="BL289" s="106"/>
      <c r="BM289" s="104">
        <v>200</v>
      </c>
      <c r="BN289" s="104">
        <f t="shared" si="487"/>
        <v>4</v>
      </c>
      <c r="BO289" s="105"/>
      <c r="BP289" s="105">
        <f t="shared" si="413"/>
        <v>0</v>
      </c>
      <c r="BQ289" s="106"/>
      <c r="BR289" s="105"/>
      <c r="BS289" s="105">
        <f t="shared" si="468"/>
        <v>0</v>
      </c>
      <c r="BT289" s="106"/>
      <c r="BU289" s="53">
        <v>200</v>
      </c>
      <c r="BV289" s="53">
        <f t="shared" si="488"/>
        <v>4</v>
      </c>
      <c r="BW289" s="54"/>
      <c r="BX289" s="350">
        <f t="shared" si="471"/>
        <v>4</v>
      </c>
      <c r="BY289" s="6"/>
      <c r="BZ289" s="6">
        <f t="shared" si="474"/>
        <v>0</v>
      </c>
      <c r="CA289" s="508"/>
      <c r="CB289" s="7"/>
      <c r="CC289" s="7"/>
      <c r="CD289" s="7"/>
      <c r="CE289" s="504"/>
      <c r="CF289" s="105"/>
      <c r="CG289" s="105">
        <f t="shared" si="446"/>
        <v>0</v>
      </c>
      <c r="CH289" s="105"/>
      <c r="CI289" s="105"/>
      <c r="CJ289" s="105">
        <f t="shared" si="447"/>
        <v>0</v>
      </c>
      <c r="CK289" s="523"/>
      <c r="CL289" s="102">
        <f t="shared" si="489"/>
        <v>0</v>
      </c>
      <c r="CM289" s="103"/>
      <c r="CN289" s="100"/>
      <c r="CO289" s="100">
        <f t="shared" si="423"/>
        <v>0</v>
      </c>
      <c r="CP289" s="515"/>
      <c r="CQ289" s="441"/>
      <c r="CR289" s="504"/>
      <c r="CS289" s="105"/>
      <c r="CT289" s="105">
        <f t="shared" si="490"/>
        <v>0</v>
      </c>
      <c r="CU289" s="105"/>
      <c r="CV289" s="105"/>
      <c r="CW289" s="105">
        <f t="shared" si="491"/>
        <v>0</v>
      </c>
      <c r="CX289" s="53"/>
      <c r="CY289" s="109">
        <f t="shared" si="424"/>
        <v>0</v>
      </c>
      <c r="CZ289" s="54"/>
      <c r="DA289" s="105"/>
      <c r="DB289" s="455">
        <f t="shared" si="472"/>
        <v>0</v>
      </c>
      <c r="DC289" s="495"/>
      <c r="DD289" s="24" t="s">
        <v>459</v>
      </c>
      <c r="DF289" s="1133"/>
      <c r="DG289" s="674">
        <f t="shared" si="451"/>
        <v>0</v>
      </c>
      <c r="DH289" s="1119">
        <f t="shared" si="452"/>
        <v>0</v>
      </c>
      <c r="DI289" s="1119"/>
      <c r="DJ289" s="101">
        <f t="shared" si="415"/>
        <v>4</v>
      </c>
      <c r="DK289" s="101"/>
      <c r="DL289" s="101">
        <f t="shared" si="405"/>
        <v>0</v>
      </c>
      <c r="DM289" s="101"/>
      <c r="DN289" s="112"/>
      <c r="DO289" s="112"/>
      <c r="DP289" s="112"/>
      <c r="DQ289" s="112"/>
      <c r="DS289" s="140"/>
      <c r="DT289" s="140"/>
      <c r="DU289" s="140"/>
      <c r="DV289" s="140"/>
      <c r="DW289" s="140"/>
      <c r="DX289" s="140"/>
      <c r="DY289" s="140"/>
      <c r="DZ289" s="140"/>
    </row>
    <row r="290" spans="1:130" s="139" customFormat="1" ht="21.6" customHeight="1" x14ac:dyDescent="0.25">
      <c r="A290" s="4" t="s">
        <v>130</v>
      </c>
      <c r="B290" s="4">
        <v>6</v>
      </c>
      <c r="C290" s="134" t="s">
        <v>157</v>
      </c>
      <c r="D290" s="182" t="s">
        <v>431</v>
      </c>
      <c r="E290" s="13" t="s">
        <v>162</v>
      </c>
      <c r="F290" s="135">
        <v>156</v>
      </c>
      <c r="G290" s="135">
        <v>48</v>
      </c>
      <c r="H290" s="135">
        <f t="shared" si="475"/>
        <v>204</v>
      </c>
      <c r="I290" s="135">
        <v>110.25</v>
      </c>
      <c r="J290" s="135"/>
      <c r="K290" s="135">
        <f t="shared" si="476"/>
        <v>110.25</v>
      </c>
      <c r="L290" s="183"/>
      <c r="M290" s="5"/>
      <c r="N290" s="41"/>
      <c r="O290" s="1216"/>
      <c r="P290" s="7"/>
      <c r="Q290" s="7"/>
      <c r="R290" s="7"/>
      <c r="S290" s="7"/>
      <c r="T290" s="89"/>
      <c r="U290" s="89"/>
      <c r="V290" s="89">
        <f t="shared" si="477"/>
        <v>0</v>
      </c>
      <c r="W290" s="137"/>
      <c r="X290" s="137"/>
      <c r="Y290" s="90">
        <f t="shared" si="478"/>
        <v>0</v>
      </c>
      <c r="Z290" s="91"/>
      <c r="AA290" s="92"/>
      <c r="AB290" s="92"/>
      <c r="AC290" s="92">
        <f>AA290+AB290</f>
        <v>0</v>
      </c>
      <c r="AD290" s="93"/>
      <c r="AE290" s="93"/>
      <c r="AF290" s="94">
        <f t="shared" si="480"/>
        <v>0</v>
      </c>
      <c r="AG290" s="473"/>
      <c r="AH290" s="99">
        <v>300</v>
      </c>
      <c r="AI290" s="99">
        <f t="shared" si="481"/>
        <v>20</v>
      </c>
      <c r="AJ290" s="138">
        <v>95</v>
      </c>
      <c r="AK290" s="138">
        <f t="shared" si="482"/>
        <v>6.333333333333333</v>
      </c>
      <c r="AL290" s="106"/>
      <c r="AM290" s="105">
        <v>110</v>
      </c>
      <c r="AN290" s="105">
        <f t="shared" si="483"/>
        <v>7.333333333333333</v>
      </c>
      <c r="AO290" s="106"/>
      <c r="AP290" s="105"/>
      <c r="AQ290" s="105">
        <f t="shared" si="473"/>
        <v>0</v>
      </c>
      <c r="AR290" s="106"/>
      <c r="AS290" s="97">
        <f t="shared" si="469"/>
        <v>13.666666666666666</v>
      </c>
      <c r="AT290" s="6"/>
      <c r="AU290" s="105"/>
      <c r="AV290" s="455">
        <f t="shared" si="410"/>
        <v>0</v>
      </c>
      <c r="AW290" s="496"/>
      <c r="AX290" s="508"/>
      <c r="AY290" s="498">
        <v>195</v>
      </c>
      <c r="AZ290" s="100">
        <f t="shared" si="484"/>
        <v>13</v>
      </c>
      <c r="BA290" s="101"/>
      <c r="BB290" s="100"/>
      <c r="BC290" s="100">
        <f t="shared" si="485"/>
        <v>0</v>
      </c>
      <c r="BD290" s="101"/>
      <c r="BE290" s="105">
        <f t="shared" si="486"/>
        <v>19.333333333333332</v>
      </c>
      <c r="BF290" s="106"/>
      <c r="BG290" s="100">
        <f t="shared" si="449"/>
        <v>7.333333333333333</v>
      </c>
      <c r="BH290" s="106"/>
      <c r="BI290" s="100">
        <f t="shared" si="450"/>
        <v>0</v>
      </c>
      <c r="BJ290" s="106"/>
      <c r="BK290" s="101">
        <f t="shared" si="470"/>
        <v>26.666666666666664</v>
      </c>
      <c r="BL290" s="106"/>
      <c r="BM290" s="104">
        <v>2000</v>
      </c>
      <c r="BN290" s="104">
        <f t="shared" si="487"/>
        <v>40</v>
      </c>
      <c r="BO290" s="105"/>
      <c r="BP290" s="105">
        <f t="shared" si="413"/>
        <v>0</v>
      </c>
      <c r="BQ290" s="106"/>
      <c r="BR290" s="105">
        <f>350+350</f>
        <v>700</v>
      </c>
      <c r="BS290" s="105">
        <f t="shared" si="468"/>
        <v>14</v>
      </c>
      <c r="BT290" s="106"/>
      <c r="BU290" s="53">
        <v>600</v>
      </c>
      <c r="BV290" s="53">
        <f t="shared" si="488"/>
        <v>12</v>
      </c>
      <c r="BW290" s="54"/>
      <c r="BX290" s="350">
        <f t="shared" si="471"/>
        <v>26</v>
      </c>
      <c r="BY290" s="6"/>
      <c r="BZ290" s="6">
        <f t="shared" si="474"/>
        <v>0.6666666666666643</v>
      </c>
      <c r="CA290" s="508"/>
      <c r="CB290" s="7"/>
      <c r="CC290" s="7"/>
      <c r="CD290" s="7" t="s">
        <v>606</v>
      </c>
      <c r="CE290" s="504"/>
      <c r="CF290" s="105"/>
      <c r="CG290" s="105">
        <f t="shared" si="446"/>
        <v>0</v>
      </c>
      <c r="CH290" s="105"/>
      <c r="CI290" s="105"/>
      <c r="CJ290" s="105">
        <f t="shared" si="447"/>
        <v>0</v>
      </c>
      <c r="CK290" s="523"/>
      <c r="CL290" s="102">
        <f t="shared" si="489"/>
        <v>0</v>
      </c>
      <c r="CM290" s="103"/>
      <c r="CN290" s="100"/>
      <c r="CO290" s="100">
        <f t="shared" si="423"/>
        <v>0</v>
      </c>
      <c r="CP290" s="515"/>
      <c r="CQ290" s="441"/>
      <c r="CR290" s="504"/>
      <c r="CS290" s="105"/>
      <c r="CT290" s="105">
        <f t="shared" si="490"/>
        <v>0</v>
      </c>
      <c r="CU290" s="105"/>
      <c r="CV290" s="105"/>
      <c r="CW290" s="105">
        <f t="shared" si="491"/>
        <v>0</v>
      </c>
      <c r="CX290" s="53"/>
      <c r="CY290" s="109">
        <f t="shared" si="424"/>
        <v>0</v>
      </c>
      <c r="CZ290" s="54"/>
      <c r="DA290" s="105"/>
      <c r="DB290" s="455">
        <f t="shared" si="472"/>
        <v>0</v>
      </c>
      <c r="DC290" s="495"/>
      <c r="DD290" s="24" t="s">
        <v>459</v>
      </c>
      <c r="DF290" s="1133"/>
      <c r="DG290" s="674">
        <f t="shared" si="451"/>
        <v>0</v>
      </c>
      <c r="DH290" s="1119">
        <f t="shared" si="452"/>
        <v>0</v>
      </c>
      <c r="DI290" s="1119"/>
      <c r="DJ290" s="101">
        <f t="shared" si="415"/>
        <v>26.666666666666664</v>
      </c>
      <c r="DK290" s="101"/>
      <c r="DL290" s="101">
        <f t="shared" si="405"/>
        <v>0</v>
      </c>
      <c r="DM290" s="101"/>
      <c r="DN290" s="112"/>
      <c r="DO290" s="112"/>
      <c r="DP290" s="112"/>
      <c r="DQ290" s="112"/>
      <c r="DS290" s="140"/>
      <c r="DT290" s="140"/>
      <c r="DU290" s="140"/>
      <c r="DV290" s="140"/>
      <c r="DW290" s="140"/>
      <c r="DX290" s="140"/>
      <c r="DY290" s="140"/>
      <c r="DZ290" s="140"/>
    </row>
    <row r="291" spans="1:130" s="139" customFormat="1" ht="21.6" customHeight="1" x14ac:dyDescent="0.25">
      <c r="A291" s="4" t="s">
        <v>130</v>
      </c>
      <c r="B291" s="4">
        <v>7</v>
      </c>
      <c r="C291" s="175" t="s">
        <v>157</v>
      </c>
      <c r="D291" s="176" t="s">
        <v>431</v>
      </c>
      <c r="E291" s="13" t="s">
        <v>163</v>
      </c>
      <c r="F291" s="135">
        <v>227</v>
      </c>
      <c r="G291" s="135">
        <v>41</v>
      </c>
      <c r="H291" s="135">
        <f t="shared" si="475"/>
        <v>268</v>
      </c>
      <c r="I291" s="135">
        <v>64.5</v>
      </c>
      <c r="J291" s="135">
        <v>56.247999999999998</v>
      </c>
      <c r="K291" s="135">
        <f t="shared" si="476"/>
        <v>120.74799999999999</v>
      </c>
      <c r="L291" s="183"/>
      <c r="M291" s="5"/>
      <c r="N291" s="41"/>
      <c r="O291" s="1216"/>
      <c r="P291" s="7"/>
      <c r="Q291" s="7"/>
      <c r="R291" s="7"/>
      <c r="S291" s="7"/>
      <c r="T291" s="89"/>
      <c r="U291" s="89"/>
      <c r="V291" s="89">
        <f t="shared" si="477"/>
        <v>0</v>
      </c>
      <c r="W291" s="137"/>
      <c r="X291" s="137"/>
      <c r="Y291" s="90">
        <f t="shared" si="478"/>
        <v>0</v>
      </c>
      <c r="Z291" s="91"/>
      <c r="AA291" s="92"/>
      <c r="AB291" s="92"/>
      <c r="AC291" s="92">
        <f t="shared" si="479"/>
        <v>0</v>
      </c>
      <c r="AD291" s="93"/>
      <c r="AE291" s="93"/>
      <c r="AF291" s="94">
        <f t="shared" si="480"/>
        <v>0</v>
      </c>
      <c r="AG291" s="473"/>
      <c r="AH291" s="99">
        <v>255</v>
      </c>
      <c r="AI291" s="99">
        <f t="shared" si="481"/>
        <v>17</v>
      </c>
      <c r="AJ291" s="138">
        <v>580</v>
      </c>
      <c r="AK291" s="138">
        <f t="shared" si="482"/>
        <v>38.666666666666664</v>
      </c>
      <c r="AL291" s="106"/>
      <c r="AM291" s="105"/>
      <c r="AN291" s="105">
        <f t="shared" si="483"/>
        <v>0</v>
      </c>
      <c r="AO291" s="106"/>
      <c r="AP291" s="105"/>
      <c r="AQ291" s="105">
        <f t="shared" si="473"/>
        <v>0</v>
      </c>
      <c r="AR291" s="106"/>
      <c r="AS291" s="97">
        <f t="shared" si="469"/>
        <v>38.666666666666664</v>
      </c>
      <c r="AT291" s="6"/>
      <c r="AU291" s="105"/>
      <c r="AV291" s="455">
        <f t="shared" si="410"/>
        <v>0</v>
      </c>
      <c r="AW291" s="496"/>
      <c r="AX291" s="508"/>
      <c r="AY291" s="498">
        <v>555</v>
      </c>
      <c r="AZ291" s="100">
        <f t="shared" si="484"/>
        <v>37</v>
      </c>
      <c r="BA291" s="101"/>
      <c r="BB291" s="100"/>
      <c r="BC291" s="100">
        <f t="shared" si="485"/>
        <v>0</v>
      </c>
      <c r="BD291" s="101"/>
      <c r="BE291" s="105">
        <f t="shared" si="486"/>
        <v>75.666666666666657</v>
      </c>
      <c r="BF291" s="106"/>
      <c r="BG291" s="100">
        <f t="shared" ref="BG291:BG322" si="492">BC291+AQ291+AN291</f>
        <v>0</v>
      </c>
      <c r="BH291" s="106"/>
      <c r="BI291" s="100">
        <f t="shared" ref="BI291:BI322" si="493">AV291</f>
        <v>0</v>
      </c>
      <c r="BJ291" s="106"/>
      <c r="BK291" s="101">
        <f t="shared" si="470"/>
        <v>75.666666666666657</v>
      </c>
      <c r="BL291" s="106"/>
      <c r="BM291" s="104">
        <v>1800</v>
      </c>
      <c r="BN291" s="104">
        <f t="shared" si="487"/>
        <v>36</v>
      </c>
      <c r="BO291" s="105"/>
      <c r="BP291" s="105">
        <f t="shared" si="413"/>
        <v>0</v>
      </c>
      <c r="BQ291" s="106"/>
      <c r="BR291" s="105"/>
      <c r="BS291" s="105">
        <f t="shared" si="468"/>
        <v>0</v>
      </c>
      <c r="BT291" s="106"/>
      <c r="BU291" s="53">
        <v>3750</v>
      </c>
      <c r="BV291" s="53">
        <f t="shared" si="488"/>
        <v>75</v>
      </c>
      <c r="BW291" s="54"/>
      <c r="BX291" s="350">
        <f t="shared" si="471"/>
        <v>75</v>
      </c>
      <c r="BY291" s="6"/>
      <c r="BZ291" s="6">
        <f t="shared" si="474"/>
        <v>0.66666666666665719</v>
      </c>
      <c r="CA291" s="508"/>
      <c r="CB291" s="7"/>
      <c r="CC291" s="7"/>
      <c r="CD291" s="7"/>
      <c r="CE291" s="504"/>
      <c r="CF291" s="105"/>
      <c r="CG291" s="105">
        <f t="shared" si="446"/>
        <v>0</v>
      </c>
      <c r="CH291" s="105"/>
      <c r="CI291" s="105"/>
      <c r="CJ291" s="105">
        <f t="shared" si="447"/>
        <v>0</v>
      </c>
      <c r="CK291" s="523"/>
      <c r="CL291" s="102">
        <f t="shared" si="489"/>
        <v>0</v>
      </c>
      <c r="CM291" s="103"/>
      <c r="CN291" s="100"/>
      <c r="CO291" s="100">
        <f t="shared" si="423"/>
        <v>0</v>
      </c>
      <c r="CP291" s="515"/>
      <c r="CQ291" s="441"/>
      <c r="CR291" s="504"/>
      <c r="CS291" s="105"/>
      <c r="CT291" s="105">
        <f t="shared" si="490"/>
        <v>0</v>
      </c>
      <c r="CU291" s="105"/>
      <c r="CV291" s="105"/>
      <c r="CW291" s="105">
        <f t="shared" si="491"/>
        <v>0</v>
      </c>
      <c r="CX291" s="53"/>
      <c r="CY291" s="109">
        <f t="shared" si="424"/>
        <v>0</v>
      </c>
      <c r="CZ291" s="54"/>
      <c r="DA291" s="105"/>
      <c r="DB291" s="455">
        <f t="shared" si="472"/>
        <v>0</v>
      </c>
      <c r="DC291" s="495"/>
      <c r="DD291" s="24" t="s">
        <v>460</v>
      </c>
      <c r="DF291" s="1133"/>
      <c r="DG291" s="674">
        <f t="shared" ref="DG291:DG322" si="494">AV291+CY291+DB291</f>
        <v>0</v>
      </c>
      <c r="DH291" s="1119">
        <f t="shared" ref="DH291:DH322" si="495">BC291+CL291+CO291</f>
        <v>0</v>
      </c>
      <c r="DI291" s="1119"/>
      <c r="DJ291" s="101">
        <f t="shared" si="415"/>
        <v>75.666666666666657</v>
      </c>
      <c r="DK291" s="101"/>
      <c r="DL291" s="101">
        <f t="shared" ref="DL291:DL354" si="496">CT291+CG291+AC291</f>
        <v>0</v>
      </c>
      <c r="DM291" s="101"/>
      <c r="DN291" s="112"/>
      <c r="DO291" s="112"/>
      <c r="DP291" s="112"/>
      <c r="DQ291" s="112"/>
      <c r="DS291" s="140"/>
      <c r="DT291" s="140"/>
      <c r="DU291" s="140"/>
      <c r="DV291" s="140"/>
      <c r="DW291" s="140"/>
      <c r="DX291" s="140"/>
      <c r="DY291" s="140"/>
      <c r="DZ291" s="140"/>
    </row>
    <row r="292" spans="1:130" s="139" customFormat="1" ht="21.6" customHeight="1" x14ac:dyDescent="0.25">
      <c r="A292" s="4" t="s">
        <v>130</v>
      </c>
      <c r="B292" s="4">
        <v>8</v>
      </c>
      <c r="C292" s="134" t="s">
        <v>157</v>
      </c>
      <c r="D292" s="182" t="s">
        <v>431</v>
      </c>
      <c r="E292" s="13" t="s">
        <v>164</v>
      </c>
      <c r="F292" s="135">
        <v>108</v>
      </c>
      <c r="G292" s="135">
        <v>33</v>
      </c>
      <c r="H292" s="135">
        <f t="shared" si="475"/>
        <v>141</v>
      </c>
      <c r="I292" s="135">
        <v>71</v>
      </c>
      <c r="J292" s="135">
        <v>15</v>
      </c>
      <c r="K292" s="135">
        <f t="shared" si="476"/>
        <v>86</v>
      </c>
      <c r="L292" s="183"/>
      <c r="M292" s="5"/>
      <c r="N292" s="41"/>
      <c r="O292" s="1216"/>
      <c r="P292" s="7"/>
      <c r="Q292" s="7"/>
      <c r="R292" s="7"/>
      <c r="S292" s="7"/>
      <c r="T292" s="89"/>
      <c r="U292" s="89"/>
      <c r="V292" s="89">
        <f t="shared" si="477"/>
        <v>0</v>
      </c>
      <c r="W292" s="137"/>
      <c r="X292" s="137"/>
      <c r="Y292" s="90">
        <f t="shared" si="478"/>
        <v>0</v>
      </c>
      <c r="Z292" s="91"/>
      <c r="AA292" s="92"/>
      <c r="AB292" s="92"/>
      <c r="AC292" s="92">
        <f t="shared" si="479"/>
        <v>0</v>
      </c>
      <c r="AD292" s="93"/>
      <c r="AE292" s="93"/>
      <c r="AF292" s="94">
        <f t="shared" si="480"/>
        <v>0</v>
      </c>
      <c r="AG292" s="473"/>
      <c r="AH292" s="99">
        <v>240</v>
      </c>
      <c r="AI292" s="99">
        <f t="shared" si="481"/>
        <v>16</v>
      </c>
      <c r="AJ292" s="138">
        <v>325</v>
      </c>
      <c r="AK292" s="138">
        <f t="shared" si="482"/>
        <v>21.666666666666668</v>
      </c>
      <c r="AL292" s="106"/>
      <c r="AM292" s="105"/>
      <c r="AN292" s="105">
        <f t="shared" si="483"/>
        <v>0</v>
      </c>
      <c r="AO292" s="106"/>
      <c r="AP292" s="105"/>
      <c r="AQ292" s="105">
        <f t="shared" si="473"/>
        <v>0</v>
      </c>
      <c r="AR292" s="106"/>
      <c r="AS292" s="97">
        <f t="shared" si="469"/>
        <v>21.666666666666668</v>
      </c>
      <c r="AT292" s="6"/>
      <c r="AU292" s="105"/>
      <c r="AV292" s="455">
        <f t="shared" si="410"/>
        <v>0</v>
      </c>
      <c r="AW292" s="496"/>
      <c r="AX292" s="508"/>
      <c r="AY292" s="498">
        <v>75</v>
      </c>
      <c r="AZ292" s="100">
        <f t="shared" si="484"/>
        <v>5</v>
      </c>
      <c r="BA292" s="101"/>
      <c r="BB292" s="100"/>
      <c r="BC292" s="100">
        <f t="shared" si="485"/>
        <v>0</v>
      </c>
      <c r="BD292" s="101"/>
      <c r="BE292" s="254">
        <f t="shared" si="486"/>
        <v>26.666666666666668</v>
      </c>
      <c r="BF292" s="255"/>
      <c r="BG292" s="100">
        <f t="shared" si="492"/>
        <v>0</v>
      </c>
      <c r="BH292" s="264"/>
      <c r="BI292" s="100">
        <f t="shared" si="493"/>
        <v>0</v>
      </c>
      <c r="BJ292" s="264"/>
      <c r="BK292" s="101">
        <f t="shared" si="470"/>
        <v>26.666666666666668</v>
      </c>
      <c r="BL292" s="264"/>
      <c r="BM292" s="220">
        <v>1350</v>
      </c>
      <c r="BN292" s="220">
        <f t="shared" si="487"/>
        <v>27</v>
      </c>
      <c r="BO292" s="254">
        <v>1400</v>
      </c>
      <c r="BP292" s="254">
        <f t="shared" si="413"/>
        <v>28</v>
      </c>
      <c r="BQ292" s="106"/>
      <c r="BR292" s="105"/>
      <c r="BS292" s="105">
        <f t="shared" si="468"/>
        <v>0</v>
      </c>
      <c r="BT292" s="106"/>
      <c r="BU292" s="53"/>
      <c r="BV292" s="53">
        <f t="shared" si="488"/>
        <v>0</v>
      </c>
      <c r="BW292" s="54"/>
      <c r="BX292" s="350">
        <f t="shared" si="471"/>
        <v>28</v>
      </c>
      <c r="BY292" s="6"/>
      <c r="BZ292" s="6">
        <f t="shared" si="474"/>
        <v>-1.3333333333333321</v>
      </c>
      <c r="CA292" s="508"/>
      <c r="CB292" s="7"/>
      <c r="CC292" s="7"/>
      <c r="CD292" s="7"/>
      <c r="CE292" s="504"/>
      <c r="CF292" s="105"/>
      <c r="CG292" s="105">
        <f t="shared" si="446"/>
        <v>0</v>
      </c>
      <c r="CH292" s="105"/>
      <c r="CI292" s="105"/>
      <c r="CJ292" s="105">
        <f t="shared" si="447"/>
        <v>0</v>
      </c>
      <c r="CK292" s="523"/>
      <c r="CL292" s="102">
        <f t="shared" si="489"/>
        <v>0</v>
      </c>
      <c r="CM292" s="103"/>
      <c r="CN292" s="100"/>
      <c r="CO292" s="100">
        <f t="shared" si="423"/>
        <v>0</v>
      </c>
      <c r="CP292" s="515"/>
      <c r="CQ292" s="441"/>
      <c r="CR292" s="504"/>
      <c r="CS292" s="105"/>
      <c r="CT292" s="105">
        <f t="shared" si="490"/>
        <v>0</v>
      </c>
      <c r="CU292" s="105"/>
      <c r="CV292" s="105"/>
      <c r="CW292" s="105">
        <f t="shared" si="491"/>
        <v>0</v>
      </c>
      <c r="CX292" s="53"/>
      <c r="CY292" s="109">
        <f t="shared" si="424"/>
        <v>0</v>
      </c>
      <c r="CZ292" s="54"/>
      <c r="DA292" s="105"/>
      <c r="DB292" s="455">
        <f t="shared" si="472"/>
        <v>0</v>
      </c>
      <c r="DC292" s="495"/>
      <c r="DD292" s="24" t="s">
        <v>458</v>
      </c>
      <c r="DF292" s="1133"/>
      <c r="DG292" s="674">
        <f t="shared" si="494"/>
        <v>0</v>
      </c>
      <c r="DH292" s="1119">
        <f t="shared" si="495"/>
        <v>0</v>
      </c>
      <c r="DI292" s="1119"/>
      <c r="DJ292" s="101">
        <f t="shared" ref="DJ292:DJ355" si="497">DC292+CO292+CL292+BC292+AZ292+AV292+AS292</f>
        <v>26.666666666666668</v>
      </c>
      <c r="DK292" s="101"/>
      <c r="DL292" s="101">
        <f t="shared" si="496"/>
        <v>0</v>
      </c>
      <c r="DM292" s="101"/>
      <c r="DN292" s="112"/>
      <c r="DO292" s="112"/>
      <c r="DP292" s="112"/>
      <c r="DQ292" s="112"/>
      <c r="DS292" s="140"/>
      <c r="DT292" s="140"/>
      <c r="DU292" s="140"/>
      <c r="DV292" s="140"/>
      <c r="DW292" s="140"/>
      <c r="DX292" s="140"/>
      <c r="DY292" s="140"/>
      <c r="DZ292" s="140"/>
    </row>
    <row r="293" spans="1:130" s="139" customFormat="1" ht="21.6" customHeight="1" x14ac:dyDescent="0.25">
      <c r="A293" s="4" t="s">
        <v>130</v>
      </c>
      <c r="B293" s="4">
        <v>9</v>
      </c>
      <c r="C293" s="134" t="s">
        <v>157</v>
      </c>
      <c r="D293" s="182" t="s">
        <v>431</v>
      </c>
      <c r="E293" s="13" t="s">
        <v>165</v>
      </c>
      <c r="F293" s="135">
        <v>100</v>
      </c>
      <c r="G293" s="135">
        <v>20</v>
      </c>
      <c r="H293" s="135">
        <f t="shared" si="475"/>
        <v>120</v>
      </c>
      <c r="I293" s="135">
        <v>42</v>
      </c>
      <c r="J293" s="135">
        <v>15</v>
      </c>
      <c r="K293" s="135">
        <f t="shared" si="476"/>
        <v>57</v>
      </c>
      <c r="L293" s="183"/>
      <c r="M293" s="5"/>
      <c r="N293" s="41"/>
      <c r="O293" s="1216"/>
      <c r="P293" s="7"/>
      <c r="Q293" s="7"/>
      <c r="R293" s="7"/>
      <c r="S293" s="7"/>
      <c r="T293" s="89"/>
      <c r="U293" s="89"/>
      <c r="V293" s="89">
        <f t="shared" si="477"/>
        <v>0</v>
      </c>
      <c r="W293" s="137"/>
      <c r="X293" s="137"/>
      <c r="Y293" s="90">
        <f t="shared" si="478"/>
        <v>0</v>
      </c>
      <c r="Z293" s="91"/>
      <c r="AA293" s="92"/>
      <c r="AB293" s="92"/>
      <c r="AC293" s="92">
        <f t="shared" si="479"/>
        <v>0</v>
      </c>
      <c r="AD293" s="93"/>
      <c r="AE293" s="93"/>
      <c r="AF293" s="94">
        <f t="shared" si="480"/>
        <v>0</v>
      </c>
      <c r="AG293" s="473"/>
      <c r="AH293" s="99">
        <v>120</v>
      </c>
      <c r="AI293" s="99">
        <f t="shared" si="481"/>
        <v>8</v>
      </c>
      <c r="AJ293" s="138">
        <v>75</v>
      </c>
      <c r="AK293" s="138">
        <f t="shared" si="482"/>
        <v>5</v>
      </c>
      <c r="AL293" s="106"/>
      <c r="AM293" s="105"/>
      <c r="AN293" s="105">
        <f t="shared" si="483"/>
        <v>0</v>
      </c>
      <c r="AO293" s="106"/>
      <c r="AP293" s="105"/>
      <c r="AQ293" s="105">
        <f t="shared" si="473"/>
        <v>0</v>
      </c>
      <c r="AR293" s="106"/>
      <c r="AS293" s="97">
        <f t="shared" si="469"/>
        <v>5</v>
      </c>
      <c r="AT293" s="6"/>
      <c r="AU293" s="105"/>
      <c r="AV293" s="455">
        <f t="shared" si="410"/>
        <v>0</v>
      </c>
      <c r="AW293" s="496"/>
      <c r="AX293" s="508"/>
      <c r="AY293" s="498"/>
      <c r="AZ293" s="100">
        <f t="shared" si="484"/>
        <v>0</v>
      </c>
      <c r="BA293" s="101"/>
      <c r="BB293" s="100"/>
      <c r="BC293" s="100">
        <f t="shared" si="485"/>
        <v>0</v>
      </c>
      <c r="BD293" s="101"/>
      <c r="BE293" s="105">
        <f t="shared" si="486"/>
        <v>5</v>
      </c>
      <c r="BF293" s="106"/>
      <c r="BG293" s="100">
        <f t="shared" si="492"/>
        <v>0</v>
      </c>
      <c r="BH293" s="106"/>
      <c r="BI293" s="100">
        <f t="shared" si="493"/>
        <v>0</v>
      </c>
      <c r="BJ293" s="106"/>
      <c r="BK293" s="101">
        <f t="shared" si="470"/>
        <v>5</v>
      </c>
      <c r="BL293" s="106"/>
      <c r="BM293" s="104">
        <v>750</v>
      </c>
      <c r="BN293" s="104">
        <f t="shared" si="487"/>
        <v>15</v>
      </c>
      <c r="BO293" s="105"/>
      <c r="BP293" s="105">
        <f t="shared" si="413"/>
        <v>0</v>
      </c>
      <c r="BQ293" s="106"/>
      <c r="BR293" s="105"/>
      <c r="BS293" s="105">
        <f t="shared" si="468"/>
        <v>0</v>
      </c>
      <c r="BT293" s="106"/>
      <c r="BU293" s="53">
        <v>250</v>
      </c>
      <c r="BV293" s="53">
        <f t="shared" si="488"/>
        <v>5</v>
      </c>
      <c r="BW293" s="54"/>
      <c r="BX293" s="350">
        <f t="shared" si="471"/>
        <v>5</v>
      </c>
      <c r="BY293" s="6"/>
      <c r="BZ293" s="6">
        <f t="shared" si="474"/>
        <v>0</v>
      </c>
      <c r="CA293" s="508"/>
      <c r="CB293" s="7"/>
      <c r="CC293" s="7"/>
      <c r="CD293" s="7"/>
      <c r="CE293" s="504"/>
      <c r="CF293" s="105"/>
      <c r="CG293" s="105">
        <f t="shared" si="446"/>
        <v>0</v>
      </c>
      <c r="CH293" s="105"/>
      <c r="CI293" s="105"/>
      <c r="CJ293" s="105">
        <f t="shared" si="447"/>
        <v>0</v>
      </c>
      <c r="CK293" s="523"/>
      <c r="CL293" s="102">
        <f t="shared" si="489"/>
        <v>0</v>
      </c>
      <c r="CM293" s="103"/>
      <c r="CN293" s="100"/>
      <c r="CO293" s="100">
        <f t="shared" ref="CO293:CO356" si="498">CN293/15</f>
        <v>0</v>
      </c>
      <c r="CP293" s="515"/>
      <c r="CQ293" s="441"/>
      <c r="CR293" s="504"/>
      <c r="CS293" s="105"/>
      <c r="CT293" s="105">
        <f t="shared" si="490"/>
        <v>0</v>
      </c>
      <c r="CU293" s="105"/>
      <c r="CV293" s="105"/>
      <c r="CW293" s="105">
        <f t="shared" si="491"/>
        <v>0</v>
      </c>
      <c r="CX293" s="53"/>
      <c r="CY293" s="109">
        <f t="shared" ref="CY293:CY356" si="499">CX293/15</f>
        <v>0</v>
      </c>
      <c r="CZ293" s="54"/>
      <c r="DA293" s="105"/>
      <c r="DB293" s="455">
        <f t="shared" si="472"/>
        <v>0</v>
      </c>
      <c r="DC293" s="495"/>
      <c r="DD293" s="24" t="s">
        <v>459</v>
      </c>
      <c r="DF293" s="1133"/>
      <c r="DG293" s="674">
        <f t="shared" si="494"/>
        <v>0</v>
      </c>
      <c r="DH293" s="1119">
        <f t="shared" si="495"/>
        <v>0</v>
      </c>
      <c r="DI293" s="1119"/>
      <c r="DJ293" s="101">
        <f t="shared" si="497"/>
        <v>5</v>
      </c>
      <c r="DK293" s="101"/>
      <c r="DL293" s="101">
        <f t="shared" si="496"/>
        <v>0</v>
      </c>
      <c r="DM293" s="101"/>
      <c r="DN293" s="112"/>
      <c r="DO293" s="112"/>
      <c r="DP293" s="112"/>
      <c r="DQ293" s="112"/>
      <c r="DS293" s="140"/>
      <c r="DT293" s="140"/>
      <c r="DU293" s="140"/>
      <c r="DV293" s="140"/>
      <c r="DW293" s="140"/>
      <c r="DX293" s="140"/>
      <c r="DY293" s="140"/>
      <c r="DZ293" s="140"/>
    </row>
    <row r="294" spans="1:130" s="139" customFormat="1" ht="21.6" customHeight="1" x14ac:dyDescent="0.25">
      <c r="A294" s="4" t="s">
        <v>130</v>
      </c>
      <c r="B294" s="4">
        <v>10</v>
      </c>
      <c r="C294" s="134" t="s">
        <v>157</v>
      </c>
      <c r="D294" s="182" t="s">
        <v>431</v>
      </c>
      <c r="E294" s="13" t="s">
        <v>166</v>
      </c>
      <c r="F294" s="135">
        <v>115</v>
      </c>
      <c r="G294" s="135">
        <v>32</v>
      </c>
      <c r="H294" s="135">
        <f t="shared" si="475"/>
        <v>147</v>
      </c>
      <c r="I294" s="135">
        <v>79.8</v>
      </c>
      <c r="J294" s="135">
        <v>5</v>
      </c>
      <c r="K294" s="135">
        <f t="shared" si="476"/>
        <v>84.8</v>
      </c>
      <c r="L294" s="183"/>
      <c r="M294" s="5"/>
      <c r="N294" s="41"/>
      <c r="O294" s="1216"/>
      <c r="P294" s="7"/>
      <c r="Q294" s="7"/>
      <c r="R294" s="7"/>
      <c r="S294" s="7"/>
      <c r="T294" s="89"/>
      <c r="U294" s="89"/>
      <c r="V294" s="89">
        <f t="shared" si="477"/>
        <v>0</v>
      </c>
      <c r="W294" s="137"/>
      <c r="X294" s="137"/>
      <c r="Y294" s="90">
        <f t="shared" si="478"/>
        <v>0</v>
      </c>
      <c r="Z294" s="91"/>
      <c r="AA294" s="92"/>
      <c r="AB294" s="92"/>
      <c r="AC294" s="92">
        <f t="shared" si="479"/>
        <v>0</v>
      </c>
      <c r="AD294" s="93"/>
      <c r="AE294" s="93"/>
      <c r="AF294" s="94">
        <f t="shared" si="480"/>
        <v>0</v>
      </c>
      <c r="AG294" s="473"/>
      <c r="AH294" s="99">
        <v>240</v>
      </c>
      <c r="AI294" s="99">
        <f t="shared" si="481"/>
        <v>16</v>
      </c>
      <c r="AJ294" s="138">
        <v>335</v>
      </c>
      <c r="AK294" s="138">
        <f t="shared" si="482"/>
        <v>22.333333333333332</v>
      </c>
      <c r="AL294" s="106"/>
      <c r="AM294" s="105"/>
      <c r="AN294" s="105">
        <f t="shared" si="483"/>
        <v>0</v>
      </c>
      <c r="AO294" s="106"/>
      <c r="AP294" s="105"/>
      <c r="AQ294" s="105">
        <f t="shared" si="473"/>
        <v>0</v>
      </c>
      <c r="AR294" s="106"/>
      <c r="AS294" s="97">
        <f t="shared" si="469"/>
        <v>22.333333333333332</v>
      </c>
      <c r="AT294" s="6"/>
      <c r="AU294" s="105"/>
      <c r="AV294" s="455">
        <f t="shared" ref="AV294:AV357" si="500">AU294/15</f>
        <v>0</v>
      </c>
      <c r="AW294" s="496"/>
      <c r="AX294" s="508"/>
      <c r="AY294" s="498">
        <v>75</v>
      </c>
      <c r="AZ294" s="100">
        <f t="shared" si="484"/>
        <v>5</v>
      </c>
      <c r="BA294" s="101"/>
      <c r="BB294" s="100"/>
      <c r="BC294" s="100">
        <f t="shared" si="485"/>
        <v>0</v>
      </c>
      <c r="BD294" s="101"/>
      <c r="BE294" s="105">
        <f t="shared" si="486"/>
        <v>27.333333333333332</v>
      </c>
      <c r="BF294" s="106"/>
      <c r="BG294" s="100">
        <f t="shared" si="492"/>
        <v>0</v>
      </c>
      <c r="BH294" s="106"/>
      <c r="BI294" s="100">
        <f t="shared" si="493"/>
        <v>0</v>
      </c>
      <c r="BJ294" s="106"/>
      <c r="BK294" s="101">
        <f t="shared" si="470"/>
        <v>27.333333333333332</v>
      </c>
      <c r="BL294" s="106"/>
      <c r="BM294" s="104">
        <v>1350</v>
      </c>
      <c r="BN294" s="104">
        <f t="shared" si="487"/>
        <v>27</v>
      </c>
      <c r="BO294" s="105">
        <v>1000</v>
      </c>
      <c r="BP294" s="105">
        <f t="shared" ref="BP294:BP357" si="501">BO294/50</f>
        <v>20</v>
      </c>
      <c r="BQ294" s="106"/>
      <c r="BR294" s="105"/>
      <c r="BS294" s="105">
        <f t="shared" si="468"/>
        <v>0</v>
      </c>
      <c r="BT294" s="106"/>
      <c r="BU294" s="53">
        <v>350</v>
      </c>
      <c r="BV294" s="53">
        <f t="shared" si="488"/>
        <v>7</v>
      </c>
      <c r="BW294" s="54"/>
      <c r="BX294" s="350">
        <f t="shared" si="471"/>
        <v>27</v>
      </c>
      <c r="BY294" s="6"/>
      <c r="BZ294" s="6">
        <f t="shared" si="474"/>
        <v>0.33333333333333215</v>
      </c>
      <c r="CA294" s="508"/>
      <c r="CB294" s="7"/>
      <c r="CC294" s="7"/>
      <c r="CD294" s="7"/>
      <c r="CE294" s="504"/>
      <c r="CF294" s="105"/>
      <c r="CG294" s="105">
        <f t="shared" si="446"/>
        <v>0</v>
      </c>
      <c r="CH294" s="105"/>
      <c r="CI294" s="105"/>
      <c r="CJ294" s="105">
        <f t="shared" si="447"/>
        <v>0</v>
      </c>
      <c r="CK294" s="523"/>
      <c r="CL294" s="102">
        <f t="shared" si="489"/>
        <v>0</v>
      </c>
      <c r="CM294" s="103"/>
      <c r="CN294" s="100"/>
      <c r="CO294" s="100">
        <f t="shared" si="498"/>
        <v>0</v>
      </c>
      <c r="CP294" s="515"/>
      <c r="CQ294" s="441"/>
      <c r="CR294" s="504"/>
      <c r="CS294" s="105"/>
      <c r="CT294" s="105">
        <f t="shared" si="490"/>
        <v>0</v>
      </c>
      <c r="CU294" s="105"/>
      <c r="CV294" s="105"/>
      <c r="CW294" s="105">
        <f t="shared" si="491"/>
        <v>0</v>
      </c>
      <c r="CX294" s="53"/>
      <c r="CY294" s="109">
        <f t="shared" si="499"/>
        <v>0</v>
      </c>
      <c r="CZ294" s="54"/>
      <c r="DA294" s="105"/>
      <c r="DB294" s="455">
        <f t="shared" si="472"/>
        <v>0</v>
      </c>
      <c r="DC294" s="495"/>
      <c r="DD294" s="24" t="s">
        <v>458</v>
      </c>
      <c r="DF294" s="1133"/>
      <c r="DG294" s="674">
        <f t="shared" si="494"/>
        <v>0</v>
      </c>
      <c r="DH294" s="1119">
        <f t="shared" si="495"/>
        <v>0</v>
      </c>
      <c r="DI294" s="1119"/>
      <c r="DJ294" s="101">
        <f t="shared" si="497"/>
        <v>27.333333333333332</v>
      </c>
      <c r="DK294" s="101"/>
      <c r="DL294" s="101">
        <f t="shared" si="496"/>
        <v>0</v>
      </c>
      <c r="DM294" s="101"/>
      <c r="DN294" s="112"/>
      <c r="DO294" s="112"/>
      <c r="DP294" s="112"/>
      <c r="DQ294" s="112"/>
      <c r="DS294" s="140"/>
      <c r="DT294" s="140"/>
      <c r="DU294" s="140"/>
      <c r="DV294" s="140"/>
      <c r="DW294" s="140"/>
      <c r="DX294" s="140"/>
      <c r="DY294" s="140"/>
      <c r="DZ294" s="140"/>
    </row>
    <row r="295" spans="1:130" s="139" customFormat="1" ht="21.6" customHeight="1" x14ac:dyDescent="0.25">
      <c r="A295" s="4" t="s">
        <v>130</v>
      </c>
      <c r="B295" s="4">
        <v>11</v>
      </c>
      <c r="C295" s="134" t="s">
        <v>157</v>
      </c>
      <c r="D295" s="182" t="s">
        <v>437</v>
      </c>
      <c r="E295" s="13" t="s">
        <v>167</v>
      </c>
      <c r="F295" s="135">
        <v>199</v>
      </c>
      <c r="G295" s="135">
        <v>46</v>
      </c>
      <c r="H295" s="135">
        <f t="shared" si="475"/>
        <v>245</v>
      </c>
      <c r="I295" s="135">
        <v>88.99</v>
      </c>
      <c r="J295" s="135">
        <v>3.75</v>
      </c>
      <c r="K295" s="135">
        <f t="shared" si="476"/>
        <v>92.74</v>
      </c>
      <c r="L295" s="183"/>
      <c r="M295" s="5"/>
      <c r="N295" s="41"/>
      <c r="O295" s="1216"/>
      <c r="P295" s="7"/>
      <c r="Q295" s="7"/>
      <c r="R295" s="7"/>
      <c r="S295" s="7"/>
      <c r="T295" s="89"/>
      <c r="U295" s="89"/>
      <c r="V295" s="89">
        <f t="shared" si="477"/>
        <v>0</v>
      </c>
      <c r="W295" s="137"/>
      <c r="X295" s="137"/>
      <c r="Y295" s="90">
        <f t="shared" si="478"/>
        <v>0</v>
      </c>
      <c r="Z295" s="91"/>
      <c r="AA295" s="92"/>
      <c r="AB295" s="92"/>
      <c r="AC295" s="92">
        <f t="shared" si="479"/>
        <v>0</v>
      </c>
      <c r="AD295" s="93"/>
      <c r="AE295" s="93"/>
      <c r="AF295" s="94">
        <f t="shared" si="480"/>
        <v>0</v>
      </c>
      <c r="AG295" s="473"/>
      <c r="AH295" s="99">
        <v>225</v>
      </c>
      <c r="AI295" s="99">
        <f t="shared" si="481"/>
        <v>15</v>
      </c>
      <c r="AJ295" s="138">
        <v>185</v>
      </c>
      <c r="AK295" s="138">
        <f t="shared" si="482"/>
        <v>12.333333333333334</v>
      </c>
      <c r="AL295" s="106"/>
      <c r="AM295" s="105"/>
      <c r="AN295" s="105">
        <f t="shared" si="483"/>
        <v>0</v>
      </c>
      <c r="AO295" s="106"/>
      <c r="AP295" s="105"/>
      <c r="AQ295" s="105">
        <f t="shared" si="473"/>
        <v>0</v>
      </c>
      <c r="AR295" s="106"/>
      <c r="AS295" s="97">
        <f t="shared" si="469"/>
        <v>12.333333333333334</v>
      </c>
      <c r="AT295" s="6"/>
      <c r="AU295" s="105"/>
      <c r="AV295" s="455">
        <f t="shared" si="500"/>
        <v>0</v>
      </c>
      <c r="AW295" s="496"/>
      <c r="AX295" s="508"/>
      <c r="AY295" s="498">
        <v>70</v>
      </c>
      <c r="AZ295" s="100">
        <f t="shared" si="484"/>
        <v>4.666666666666667</v>
      </c>
      <c r="BA295" s="101"/>
      <c r="BB295" s="100"/>
      <c r="BC295" s="100">
        <f t="shared" si="485"/>
        <v>0</v>
      </c>
      <c r="BD295" s="101"/>
      <c r="BE295" s="105">
        <f t="shared" si="486"/>
        <v>17</v>
      </c>
      <c r="BF295" s="106"/>
      <c r="BG295" s="100">
        <f t="shared" si="492"/>
        <v>0</v>
      </c>
      <c r="BH295" s="106"/>
      <c r="BI295" s="100">
        <f t="shared" si="493"/>
        <v>0</v>
      </c>
      <c r="BJ295" s="106"/>
      <c r="BK295" s="101">
        <f t="shared" si="470"/>
        <v>17</v>
      </c>
      <c r="BL295" s="106"/>
      <c r="BM295" s="104">
        <v>1450</v>
      </c>
      <c r="BN295" s="104">
        <f t="shared" si="487"/>
        <v>29</v>
      </c>
      <c r="BO295" s="105"/>
      <c r="BP295" s="105">
        <f t="shared" si="501"/>
        <v>0</v>
      </c>
      <c r="BQ295" s="106"/>
      <c r="BR295" s="105">
        <v>100</v>
      </c>
      <c r="BS295" s="105">
        <f t="shared" si="468"/>
        <v>2</v>
      </c>
      <c r="BT295" s="106"/>
      <c r="BU295" s="53">
        <v>750</v>
      </c>
      <c r="BV295" s="53">
        <f t="shared" si="488"/>
        <v>15</v>
      </c>
      <c r="BW295" s="54"/>
      <c r="BX295" s="350">
        <f t="shared" si="471"/>
        <v>17</v>
      </c>
      <c r="BY295" s="6"/>
      <c r="BZ295" s="6">
        <f t="shared" si="474"/>
        <v>0</v>
      </c>
      <c r="CA295" s="508"/>
      <c r="CB295" s="7"/>
      <c r="CC295" s="7"/>
      <c r="CD295" s="7"/>
      <c r="CE295" s="504"/>
      <c r="CF295" s="105"/>
      <c r="CG295" s="105">
        <f t="shared" si="446"/>
        <v>0</v>
      </c>
      <c r="CH295" s="105"/>
      <c r="CI295" s="105"/>
      <c r="CJ295" s="105">
        <f t="shared" si="447"/>
        <v>0</v>
      </c>
      <c r="CK295" s="523"/>
      <c r="CL295" s="102">
        <f t="shared" si="489"/>
        <v>0</v>
      </c>
      <c r="CM295" s="103"/>
      <c r="CN295" s="100"/>
      <c r="CO295" s="100">
        <f t="shared" si="498"/>
        <v>0</v>
      </c>
      <c r="CP295" s="515"/>
      <c r="CQ295" s="441"/>
      <c r="CR295" s="504"/>
      <c r="CS295" s="105"/>
      <c r="CT295" s="105">
        <f t="shared" si="490"/>
        <v>0</v>
      </c>
      <c r="CU295" s="105"/>
      <c r="CV295" s="105"/>
      <c r="CW295" s="105">
        <f t="shared" si="491"/>
        <v>0</v>
      </c>
      <c r="CX295" s="53"/>
      <c r="CY295" s="109">
        <f t="shared" si="499"/>
        <v>0</v>
      </c>
      <c r="CZ295" s="54"/>
      <c r="DA295" s="105"/>
      <c r="DB295" s="455">
        <f t="shared" si="472"/>
        <v>0</v>
      </c>
      <c r="DC295" s="495"/>
      <c r="DD295" s="24" t="s">
        <v>459</v>
      </c>
      <c r="DF295" s="1133"/>
      <c r="DG295" s="674">
        <f t="shared" si="494"/>
        <v>0</v>
      </c>
      <c r="DH295" s="1119">
        <f t="shared" si="495"/>
        <v>0</v>
      </c>
      <c r="DI295" s="1119"/>
      <c r="DJ295" s="101">
        <f t="shared" si="497"/>
        <v>17</v>
      </c>
      <c r="DK295" s="101"/>
      <c r="DL295" s="101">
        <f t="shared" si="496"/>
        <v>0</v>
      </c>
      <c r="DM295" s="101"/>
      <c r="DN295" s="112"/>
      <c r="DO295" s="112">
        <f>DJ295</f>
        <v>17</v>
      </c>
      <c r="DP295" s="112"/>
      <c r="DQ295" s="112"/>
      <c r="DS295" s="140"/>
      <c r="DT295" s="140"/>
      <c r="DU295" s="140"/>
      <c r="DV295" s="140"/>
      <c r="DW295" s="140"/>
      <c r="DX295" s="140"/>
      <c r="DY295" s="140"/>
      <c r="DZ295" s="140"/>
    </row>
    <row r="296" spans="1:130" ht="21.6" customHeight="1" x14ac:dyDescent="0.25">
      <c r="A296" s="4" t="s">
        <v>130</v>
      </c>
      <c r="B296" s="4">
        <v>13</v>
      </c>
      <c r="C296" s="166" t="s">
        <v>157</v>
      </c>
      <c r="D296" s="167" t="s">
        <v>431</v>
      </c>
      <c r="E296" s="1" t="s">
        <v>168</v>
      </c>
      <c r="F296" s="162">
        <v>183</v>
      </c>
      <c r="G296" s="162">
        <v>42</v>
      </c>
      <c r="H296" s="162">
        <f t="shared" si="475"/>
        <v>225</v>
      </c>
      <c r="I296" s="162">
        <v>105</v>
      </c>
      <c r="J296" s="162">
        <v>5</v>
      </c>
      <c r="K296" s="162">
        <f t="shared" si="476"/>
        <v>110</v>
      </c>
      <c r="L296" s="168"/>
      <c r="M296" s="414"/>
      <c r="N296" s="46"/>
      <c r="O296" s="6"/>
      <c r="P296" s="165"/>
      <c r="Q296" s="165"/>
      <c r="R296" s="165"/>
      <c r="S296" s="165"/>
      <c r="T296" s="89"/>
      <c r="U296" s="89"/>
      <c r="V296" s="89">
        <f t="shared" si="477"/>
        <v>0</v>
      </c>
      <c r="W296" s="137"/>
      <c r="X296" s="137"/>
      <c r="Y296" s="90">
        <f t="shared" si="478"/>
        <v>0</v>
      </c>
      <c r="Z296" s="169"/>
      <c r="AA296" s="92"/>
      <c r="AB296" s="92"/>
      <c r="AC296" s="92">
        <f t="shared" si="479"/>
        <v>0</v>
      </c>
      <c r="AD296" s="93"/>
      <c r="AE296" s="93"/>
      <c r="AF296" s="94">
        <f t="shared" si="480"/>
        <v>0</v>
      </c>
      <c r="AG296" s="475"/>
      <c r="AH296" s="99"/>
      <c r="AI296" s="99">
        <f t="shared" si="481"/>
        <v>0</v>
      </c>
      <c r="AJ296" s="138">
        <v>170</v>
      </c>
      <c r="AK296" s="138">
        <f t="shared" si="482"/>
        <v>11.333333333333334</v>
      </c>
      <c r="AL296" s="106"/>
      <c r="AM296" s="105"/>
      <c r="AN296" s="105">
        <f t="shared" si="483"/>
        <v>0</v>
      </c>
      <c r="AO296" s="106"/>
      <c r="AP296" s="105"/>
      <c r="AQ296" s="105">
        <f t="shared" si="473"/>
        <v>0</v>
      </c>
      <c r="AR296" s="106"/>
      <c r="AS296" s="97">
        <f t="shared" si="469"/>
        <v>11.333333333333334</v>
      </c>
      <c r="AT296" s="6"/>
      <c r="AU296" s="105"/>
      <c r="AV296" s="455">
        <f t="shared" si="500"/>
        <v>0</v>
      </c>
      <c r="AW296" s="496"/>
      <c r="AX296" s="508"/>
      <c r="AY296" s="498"/>
      <c r="AZ296" s="100">
        <f t="shared" si="484"/>
        <v>0</v>
      </c>
      <c r="BA296" s="101"/>
      <c r="BB296" s="100"/>
      <c r="BC296" s="100">
        <f t="shared" si="485"/>
        <v>0</v>
      </c>
      <c r="BD296" s="101"/>
      <c r="BE296" s="105">
        <f t="shared" si="486"/>
        <v>11.333333333333334</v>
      </c>
      <c r="BF296" s="106"/>
      <c r="BG296" s="100">
        <f t="shared" si="492"/>
        <v>0</v>
      </c>
      <c r="BH296" s="106"/>
      <c r="BI296" s="100">
        <f t="shared" si="493"/>
        <v>0</v>
      </c>
      <c r="BJ296" s="106"/>
      <c r="BK296" s="101">
        <f t="shared" si="470"/>
        <v>11.333333333333334</v>
      </c>
      <c r="BL296" s="106"/>
      <c r="BM296" s="104"/>
      <c r="BN296" s="104">
        <f t="shared" si="487"/>
        <v>0</v>
      </c>
      <c r="BO296" s="105"/>
      <c r="BP296" s="105">
        <f t="shared" si="501"/>
        <v>0</v>
      </c>
      <c r="BQ296" s="106"/>
      <c r="BR296" s="105">
        <v>555</v>
      </c>
      <c r="BS296" s="105">
        <f t="shared" si="468"/>
        <v>11.1</v>
      </c>
      <c r="BT296" s="106"/>
      <c r="BU296" s="53"/>
      <c r="BV296" s="53">
        <f t="shared" si="488"/>
        <v>0</v>
      </c>
      <c r="BW296" s="54"/>
      <c r="BX296" s="350">
        <f t="shared" si="471"/>
        <v>11.1</v>
      </c>
      <c r="BY296" s="6"/>
      <c r="BZ296" s="6">
        <f t="shared" si="474"/>
        <v>0.23333333333333428</v>
      </c>
      <c r="CA296" s="508"/>
      <c r="CB296" s="165"/>
      <c r="CC296" s="165"/>
      <c r="CD296" s="165"/>
      <c r="CE296" s="504"/>
      <c r="CF296" s="105"/>
      <c r="CG296" s="105">
        <f t="shared" si="446"/>
        <v>0</v>
      </c>
      <c r="CH296" s="105"/>
      <c r="CI296" s="105"/>
      <c r="CJ296" s="105">
        <f t="shared" si="447"/>
        <v>0</v>
      </c>
      <c r="CK296" s="523"/>
      <c r="CL296" s="102">
        <f t="shared" si="489"/>
        <v>0</v>
      </c>
      <c r="CM296" s="103"/>
      <c r="CN296" s="100"/>
      <c r="CO296" s="100">
        <f t="shared" si="498"/>
        <v>0</v>
      </c>
      <c r="CP296" s="515"/>
      <c r="CQ296" s="441"/>
      <c r="CR296" s="504"/>
      <c r="CS296" s="105"/>
      <c r="CT296" s="105">
        <f t="shared" si="490"/>
        <v>0</v>
      </c>
      <c r="CU296" s="105"/>
      <c r="CV296" s="105"/>
      <c r="CW296" s="105">
        <f t="shared" si="491"/>
        <v>0</v>
      </c>
      <c r="CX296" s="53"/>
      <c r="CY296" s="109">
        <f t="shared" si="499"/>
        <v>0</v>
      </c>
      <c r="CZ296" s="54"/>
      <c r="DA296" s="105"/>
      <c r="DB296" s="455">
        <f t="shared" si="472"/>
        <v>0</v>
      </c>
      <c r="DC296" s="495"/>
      <c r="DD296" s="25"/>
      <c r="DF296" s="1133"/>
      <c r="DG296" s="674">
        <f t="shared" si="494"/>
        <v>0</v>
      </c>
      <c r="DH296" s="1119">
        <f t="shared" si="495"/>
        <v>0</v>
      </c>
      <c r="DI296" s="1119"/>
      <c r="DJ296" s="101">
        <f t="shared" si="497"/>
        <v>11.333333333333334</v>
      </c>
      <c r="DK296" s="101"/>
      <c r="DL296" s="101">
        <f t="shared" si="496"/>
        <v>0</v>
      </c>
      <c r="DM296" s="101"/>
      <c r="DN296" s="112"/>
      <c r="DO296" s="112"/>
      <c r="DP296" s="112"/>
      <c r="DQ296" s="112"/>
    </row>
    <row r="297" spans="1:130" s="139" customFormat="1" ht="21.6" customHeight="1" x14ac:dyDescent="0.25">
      <c r="A297" s="4" t="s">
        <v>130</v>
      </c>
      <c r="B297" s="4">
        <v>14</v>
      </c>
      <c r="C297" s="134" t="s">
        <v>157</v>
      </c>
      <c r="D297" s="182" t="s">
        <v>431</v>
      </c>
      <c r="E297" s="13" t="s">
        <v>169</v>
      </c>
      <c r="F297" s="135">
        <v>68</v>
      </c>
      <c r="G297" s="135">
        <v>14</v>
      </c>
      <c r="H297" s="135">
        <f t="shared" si="475"/>
        <v>82</v>
      </c>
      <c r="I297" s="135">
        <v>39</v>
      </c>
      <c r="J297" s="135">
        <v>10.5</v>
      </c>
      <c r="K297" s="135">
        <f t="shared" si="476"/>
        <v>49.5</v>
      </c>
      <c r="L297" s="183"/>
      <c r="M297" s="5"/>
      <c r="N297" s="41"/>
      <c r="O297" s="1216"/>
      <c r="P297" s="7"/>
      <c r="Q297" s="7"/>
      <c r="R297" s="7"/>
      <c r="S297" s="7"/>
      <c r="T297" s="89"/>
      <c r="U297" s="89"/>
      <c r="V297" s="89">
        <f t="shared" si="477"/>
        <v>0</v>
      </c>
      <c r="W297" s="137"/>
      <c r="X297" s="137"/>
      <c r="Y297" s="90">
        <f t="shared" si="478"/>
        <v>0</v>
      </c>
      <c r="Z297" s="91"/>
      <c r="AA297" s="92"/>
      <c r="AB297" s="92"/>
      <c r="AC297" s="92">
        <f t="shared" si="479"/>
        <v>0</v>
      </c>
      <c r="AD297" s="93"/>
      <c r="AE297" s="93"/>
      <c r="AF297" s="94">
        <f t="shared" si="480"/>
        <v>0</v>
      </c>
      <c r="AG297" s="473"/>
      <c r="AH297" s="99">
        <v>135</v>
      </c>
      <c r="AI297" s="99">
        <f t="shared" si="481"/>
        <v>9</v>
      </c>
      <c r="AJ297" s="138">
        <v>195</v>
      </c>
      <c r="AK297" s="138">
        <f t="shared" si="482"/>
        <v>13</v>
      </c>
      <c r="AL297" s="106"/>
      <c r="AM297" s="105"/>
      <c r="AN297" s="105">
        <f t="shared" si="483"/>
        <v>0</v>
      </c>
      <c r="AO297" s="106"/>
      <c r="AP297" s="105"/>
      <c r="AQ297" s="105">
        <f t="shared" si="473"/>
        <v>0</v>
      </c>
      <c r="AR297" s="106"/>
      <c r="AS297" s="97">
        <f t="shared" si="469"/>
        <v>13</v>
      </c>
      <c r="AT297" s="6"/>
      <c r="AU297" s="105"/>
      <c r="AV297" s="455">
        <f t="shared" si="500"/>
        <v>0</v>
      </c>
      <c r="AW297" s="496"/>
      <c r="AX297" s="508"/>
      <c r="AY297" s="498">
        <v>90</v>
      </c>
      <c r="AZ297" s="100">
        <f t="shared" si="484"/>
        <v>6</v>
      </c>
      <c r="BA297" s="101"/>
      <c r="BB297" s="100"/>
      <c r="BC297" s="100">
        <f t="shared" si="485"/>
        <v>0</v>
      </c>
      <c r="BD297" s="101"/>
      <c r="BE297" s="254">
        <f t="shared" si="486"/>
        <v>19</v>
      </c>
      <c r="BF297" s="255"/>
      <c r="BG297" s="100">
        <f t="shared" si="492"/>
        <v>0</v>
      </c>
      <c r="BH297" s="264"/>
      <c r="BI297" s="100">
        <f t="shared" si="493"/>
        <v>0</v>
      </c>
      <c r="BJ297" s="264"/>
      <c r="BK297" s="101">
        <f t="shared" si="470"/>
        <v>19</v>
      </c>
      <c r="BL297" s="264"/>
      <c r="BM297" s="219">
        <v>900</v>
      </c>
      <c r="BN297" s="219">
        <f t="shared" si="487"/>
        <v>18</v>
      </c>
      <c r="BO297" s="254">
        <v>1100</v>
      </c>
      <c r="BP297" s="254">
        <f t="shared" si="501"/>
        <v>22</v>
      </c>
      <c r="BQ297" s="106"/>
      <c r="BR297" s="105"/>
      <c r="BS297" s="105">
        <f t="shared" si="468"/>
        <v>0</v>
      </c>
      <c r="BT297" s="106"/>
      <c r="BU297" s="53"/>
      <c r="BV297" s="53">
        <f t="shared" si="488"/>
        <v>0</v>
      </c>
      <c r="BW297" s="54"/>
      <c r="BX297" s="350">
        <f t="shared" si="471"/>
        <v>22</v>
      </c>
      <c r="BY297" s="6"/>
      <c r="BZ297" s="202">
        <f t="shared" si="474"/>
        <v>-3</v>
      </c>
      <c r="CA297" s="508"/>
      <c r="CB297" s="7"/>
      <c r="CC297" s="7"/>
      <c r="CD297" s="7"/>
      <c r="CE297" s="504"/>
      <c r="CF297" s="105"/>
      <c r="CG297" s="105">
        <f t="shared" si="446"/>
        <v>0</v>
      </c>
      <c r="CH297" s="105"/>
      <c r="CI297" s="105"/>
      <c r="CJ297" s="105">
        <f t="shared" si="447"/>
        <v>0</v>
      </c>
      <c r="CK297" s="523"/>
      <c r="CL297" s="102">
        <f t="shared" si="489"/>
        <v>0</v>
      </c>
      <c r="CM297" s="103"/>
      <c r="CN297" s="100"/>
      <c r="CO297" s="100">
        <f t="shared" si="498"/>
        <v>0</v>
      </c>
      <c r="CP297" s="515"/>
      <c r="CQ297" s="441"/>
      <c r="CR297" s="504"/>
      <c r="CS297" s="105"/>
      <c r="CT297" s="105">
        <f t="shared" si="490"/>
        <v>0</v>
      </c>
      <c r="CU297" s="105"/>
      <c r="CV297" s="105"/>
      <c r="CW297" s="105">
        <f t="shared" si="491"/>
        <v>0</v>
      </c>
      <c r="CX297" s="53"/>
      <c r="CY297" s="109">
        <f t="shared" si="499"/>
        <v>0</v>
      </c>
      <c r="CZ297" s="54"/>
      <c r="DA297" s="105"/>
      <c r="DB297" s="455">
        <f t="shared" si="472"/>
        <v>0</v>
      </c>
      <c r="DC297" s="495"/>
      <c r="DD297" s="24" t="s">
        <v>458</v>
      </c>
      <c r="DF297" s="1133"/>
      <c r="DG297" s="674">
        <f t="shared" si="494"/>
        <v>0</v>
      </c>
      <c r="DH297" s="1119">
        <f t="shared" si="495"/>
        <v>0</v>
      </c>
      <c r="DI297" s="1119"/>
      <c r="DJ297" s="101">
        <f t="shared" si="497"/>
        <v>19</v>
      </c>
      <c r="DK297" s="101"/>
      <c r="DL297" s="101">
        <f t="shared" si="496"/>
        <v>0</v>
      </c>
      <c r="DM297" s="101"/>
      <c r="DN297" s="112"/>
      <c r="DO297" s="112"/>
      <c r="DP297" s="112"/>
      <c r="DQ297" s="112"/>
      <c r="DS297" s="140"/>
      <c r="DT297" s="140"/>
      <c r="DU297" s="140"/>
      <c r="DV297" s="140"/>
      <c r="DW297" s="140"/>
      <c r="DX297" s="140"/>
      <c r="DY297" s="140"/>
      <c r="DZ297" s="140"/>
    </row>
    <row r="298" spans="1:130" s="139" customFormat="1" ht="21.6" customHeight="1" x14ac:dyDescent="0.25">
      <c r="A298" s="4" t="s">
        <v>130</v>
      </c>
      <c r="B298" s="4">
        <v>15</v>
      </c>
      <c r="C298" s="134" t="s">
        <v>157</v>
      </c>
      <c r="D298" s="182" t="s">
        <v>431</v>
      </c>
      <c r="E298" s="13" t="s">
        <v>170</v>
      </c>
      <c r="F298" s="135">
        <v>11</v>
      </c>
      <c r="G298" s="135">
        <v>20</v>
      </c>
      <c r="H298" s="135">
        <f t="shared" si="475"/>
        <v>31</v>
      </c>
      <c r="I298" s="135">
        <v>10</v>
      </c>
      <c r="J298" s="135">
        <v>40.799999999999997</v>
      </c>
      <c r="K298" s="135">
        <f t="shared" si="476"/>
        <v>50.8</v>
      </c>
      <c r="L298" s="183"/>
      <c r="M298" s="5"/>
      <c r="N298" s="41"/>
      <c r="O298" s="1216"/>
      <c r="P298" s="7"/>
      <c r="Q298" s="7"/>
      <c r="R298" s="7"/>
      <c r="S298" s="7"/>
      <c r="T298" s="89"/>
      <c r="U298" s="89"/>
      <c r="V298" s="89">
        <f t="shared" si="477"/>
        <v>0</v>
      </c>
      <c r="W298" s="137"/>
      <c r="X298" s="137"/>
      <c r="Y298" s="90">
        <f t="shared" si="478"/>
        <v>0</v>
      </c>
      <c r="Z298" s="91"/>
      <c r="AA298" s="92"/>
      <c r="AB298" s="92"/>
      <c r="AC298" s="92">
        <f t="shared" si="479"/>
        <v>0</v>
      </c>
      <c r="AD298" s="93"/>
      <c r="AE298" s="93"/>
      <c r="AF298" s="94">
        <f t="shared" si="480"/>
        <v>0</v>
      </c>
      <c r="AG298" s="473"/>
      <c r="AH298" s="99">
        <v>105</v>
      </c>
      <c r="AI298" s="99">
        <f t="shared" si="481"/>
        <v>7</v>
      </c>
      <c r="AJ298" s="138">
        <v>225</v>
      </c>
      <c r="AK298" s="138">
        <f t="shared" si="482"/>
        <v>15</v>
      </c>
      <c r="AL298" s="106"/>
      <c r="AM298" s="105"/>
      <c r="AN298" s="105">
        <f t="shared" si="483"/>
        <v>0</v>
      </c>
      <c r="AO298" s="106"/>
      <c r="AP298" s="105"/>
      <c r="AQ298" s="105">
        <f t="shared" si="473"/>
        <v>0</v>
      </c>
      <c r="AR298" s="106"/>
      <c r="AS298" s="97">
        <f t="shared" si="469"/>
        <v>15</v>
      </c>
      <c r="AT298" s="6"/>
      <c r="AU298" s="105"/>
      <c r="AV298" s="455">
        <f t="shared" si="500"/>
        <v>0</v>
      </c>
      <c r="AW298" s="496"/>
      <c r="AX298" s="508"/>
      <c r="AY298" s="498">
        <v>30</v>
      </c>
      <c r="AZ298" s="100">
        <f t="shared" si="484"/>
        <v>2</v>
      </c>
      <c r="BA298" s="101"/>
      <c r="BB298" s="100"/>
      <c r="BC298" s="100">
        <f t="shared" si="485"/>
        <v>0</v>
      </c>
      <c r="BD298" s="101"/>
      <c r="BE298" s="105">
        <f t="shared" si="486"/>
        <v>17</v>
      </c>
      <c r="BF298" s="106"/>
      <c r="BG298" s="100">
        <f t="shared" si="492"/>
        <v>0</v>
      </c>
      <c r="BH298" s="106"/>
      <c r="BI298" s="100">
        <f t="shared" si="493"/>
        <v>0</v>
      </c>
      <c r="BJ298" s="106"/>
      <c r="BK298" s="101">
        <f t="shared" si="470"/>
        <v>17</v>
      </c>
      <c r="BL298" s="106"/>
      <c r="BM298" s="104">
        <v>850</v>
      </c>
      <c r="BN298" s="104">
        <f t="shared" si="487"/>
        <v>17</v>
      </c>
      <c r="BO298" s="105">
        <v>500</v>
      </c>
      <c r="BP298" s="105">
        <f t="shared" si="501"/>
        <v>10</v>
      </c>
      <c r="BQ298" s="106"/>
      <c r="BR298" s="105">
        <v>350</v>
      </c>
      <c r="BS298" s="105">
        <f t="shared" si="468"/>
        <v>7</v>
      </c>
      <c r="BT298" s="106"/>
      <c r="BU298" s="231"/>
      <c r="BV298" s="231"/>
      <c r="BW298" s="54"/>
      <c r="BX298" s="350">
        <f t="shared" si="471"/>
        <v>17</v>
      </c>
      <c r="BY298" s="6"/>
      <c r="BZ298" s="6">
        <f t="shared" si="474"/>
        <v>0</v>
      </c>
      <c r="CA298" s="508"/>
      <c r="CB298" s="7"/>
      <c r="CC298" s="7"/>
      <c r="CD298" s="7"/>
      <c r="CE298" s="504"/>
      <c r="CF298" s="105"/>
      <c r="CG298" s="105">
        <f t="shared" si="446"/>
        <v>0</v>
      </c>
      <c r="CH298" s="105"/>
      <c r="CI298" s="105"/>
      <c r="CJ298" s="105">
        <f t="shared" si="447"/>
        <v>0</v>
      </c>
      <c r="CK298" s="523"/>
      <c r="CL298" s="102">
        <f t="shared" si="489"/>
        <v>0</v>
      </c>
      <c r="CM298" s="103"/>
      <c r="CN298" s="100"/>
      <c r="CO298" s="100">
        <f t="shared" si="498"/>
        <v>0</v>
      </c>
      <c r="CP298" s="515"/>
      <c r="CQ298" s="441"/>
      <c r="CR298" s="504"/>
      <c r="CS298" s="105"/>
      <c r="CT298" s="105">
        <f t="shared" si="490"/>
        <v>0</v>
      </c>
      <c r="CU298" s="105"/>
      <c r="CV298" s="105"/>
      <c r="CW298" s="105">
        <f t="shared" si="491"/>
        <v>0</v>
      </c>
      <c r="CX298" s="53"/>
      <c r="CY298" s="109">
        <f t="shared" si="499"/>
        <v>0</v>
      </c>
      <c r="CZ298" s="54"/>
      <c r="DA298" s="105"/>
      <c r="DB298" s="455">
        <f t="shared" si="472"/>
        <v>0</v>
      </c>
      <c r="DC298" s="495"/>
      <c r="DD298" s="24" t="s">
        <v>458</v>
      </c>
      <c r="DF298" s="1133"/>
      <c r="DG298" s="674">
        <f t="shared" si="494"/>
        <v>0</v>
      </c>
      <c r="DH298" s="1119">
        <f t="shared" si="495"/>
        <v>0</v>
      </c>
      <c r="DI298" s="1119"/>
      <c r="DJ298" s="101">
        <f t="shared" si="497"/>
        <v>17</v>
      </c>
      <c r="DK298" s="101"/>
      <c r="DL298" s="101">
        <f t="shared" si="496"/>
        <v>0</v>
      </c>
      <c r="DM298" s="101"/>
      <c r="DN298" s="112"/>
      <c r="DO298" s="112"/>
      <c r="DP298" s="112"/>
      <c r="DQ298" s="112"/>
      <c r="DS298" s="140"/>
      <c r="DT298" s="140"/>
      <c r="DU298" s="140"/>
      <c r="DV298" s="140"/>
      <c r="DW298" s="140"/>
      <c r="DX298" s="140"/>
      <c r="DY298" s="140"/>
      <c r="DZ298" s="140"/>
    </row>
    <row r="299" spans="1:130" s="139" customFormat="1" ht="21.6" customHeight="1" x14ac:dyDescent="0.25">
      <c r="A299" s="4" t="s">
        <v>130</v>
      </c>
      <c r="B299" s="4">
        <v>16</v>
      </c>
      <c r="C299" s="134" t="s">
        <v>157</v>
      </c>
      <c r="D299" s="182" t="s">
        <v>431</v>
      </c>
      <c r="E299" s="13" t="s">
        <v>171</v>
      </c>
      <c r="F299" s="135">
        <v>234</v>
      </c>
      <c r="G299" s="135">
        <v>36</v>
      </c>
      <c r="H299" s="135">
        <f t="shared" si="475"/>
        <v>270</v>
      </c>
      <c r="I299" s="135">
        <v>90.75</v>
      </c>
      <c r="J299" s="135">
        <v>25</v>
      </c>
      <c r="K299" s="135">
        <f t="shared" si="476"/>
        <v>115.75</v>
      </c>
      <c r="L299" s="183"/>
      <c r="M299" s="5"/>
      <c r="N299" s="41"/>
      <c r="O299" s="1216"/>
      <c r="P299" s="7"/>
      <c r="Q299" s="7"/>
      <c r="R299" s="7"/>
      <c r="S299" s="7"/>
      <c r="T299" s="89"/>
      <c r="U299" s="89"/>
      <c r="V299" s="89">
        <f t="shared" si="477"/>
        <v>0</v>
      </c>
      <c r="W299" s="137"/>
      <c r="X299" s="137"/>
      <c r="Y299" s="90">
        <f t="shared" si="478"/>
        <v>0</v>
      </c>
      <c r="Z299" s="91"/>
      <c r="AA299" s="92"/>
      <c r="AB299" s="92"/>
      <c r="AC299" s="92">
        <f t="shared" si="479"/>
        <v>0</v>
      </c>
      <c r="AD299" s="93"/>
      <c r="AE299" s="93"/>
      <c r="AF299" s="94">
        <f t="shared" si="480"/>
        <v>0</v>
      </c>
      <c r="AG299" s="473"/>
      <c r="AH299" s="99">
        <v>315</v>
      </c>
      <c r="AI299" s="99">
        <f t="shared" si="481"/>
        <v>21</v>
      </c>
      <c r="AJ299" s="138">
        <v>170</v>
      </c>
      <c r="AK299" s="138">
        <f t="shared" si="482"/>
        <v>11.333333333333334</v>
      </c>
      <c r="AL299" s="106"/>
      <c r="AM299" s="105"/>
      <c r="AN299" s="105">
        <f t="shared" si="483"/>
        <v>0</v>
      </c>
      <c r="AO299" s="106"/>
      <c r="AP299" s="105"/>
      <c r="AQ299" s="105">
        <f t="shared" si="473"/>
        <v>0</v>
      </c>
      <c r="AR299" s="106"/>
      <c r="AS299" s="97">
        <f t="shared" si="469"/>
        <v>11.333333333333334</v>
      </c>
      <c r="AT299" s="6"/>
      <c r="AU299" s="105"/>
      <c r="AV299" s="455">
        <f t="shared" si="500"/>
        <v>0</v>
      </c>
      <c r="AW299" s="496"/>
      <c r="AX299" s="508"/>
      <c r="AY299" s="498">
        <v>175</v>
      </c>
      <c r="AZ299" s="100">
        <f t="shared" si="484"/>
        <v>11.666666666666666</v>
      </c>
      <c r="BA299" s="101"/>
      <c r="BB299" s="100"/>
      <c r="BC299" s="100">
        <f t="shared" si="485"/>
        <v>0</v>
      </c>
      <c r="BD299" s="101"/>
      <c r="BE299" s="105">
        <f t="shared" si="486"/>
        <v>23</v>
      </c>
      <c r="BF299" s="106"/>
      <c r="BG299" s="100">
        <f t="shared" si="492"/>
        <v>0</v>
      </c>
      <c r="BH299" s="106"/>
      <c r="BI299" s="100">
        <f t="shared" si="493"/>
        <v>0</v>
      </c>
      <c r="BJ299" s="106"/>
      <c r="BK299" s="101">
        <f t="shared" si="470"/>
        <v>23</v>
      </c>
      <c r="BL299" s="106"/>
      <c r="BM299" s="104">
        <v>2150</v>
      </c>
      <c r="BN299" s="104">
        <f t="shared" si="487"/>
        <v>43</v>
      </c>
      <c r="BO299" s="105"/>
      <c r="BP299" s="105">
        <f t="shared" si="501"/>
        <v>0</v>
      </c>
      <c r="BQ299" s="106"/>
      <c r="BR299" s="105">
        <v>150</v>
      </c>
      <c r="BS299" s="105">
        <f t="shared" si="468"/>
        <v>3</v>
      </c>
      <c r="BT299" s="106"/>
      <c r="BU299" s="53">
        <v>1000</v>
      </c>
      <c r="BV299" s="53">
        <f t="shared" si="488"/>
        <v>20</v>
      </c>
      <c r="BW299" s="54"/>
      <c r="BX299" s="350">
        <f t="shared" si="471"/>
        <v>23</v>
      </c>
      <c r="BY299" s="6"/>
      <c r="BZ299" s="6">
        <f t="shared" si="474"/>
        <v>0</v>
      </c>
      <c r="CA299" s="508"/>
      <c r="CB299" s="7"/>
      <c r="CC299" s="7"/>
      <c r="CD299" s="7"/>
      <c r="CE299" s="504"/>
      <c r="CF299" s="105"/>
      <c r="CG299" s="105">
        <f t="shared" si="446"/>
        <v>0</v>
      </c>
      <c r="CH299" s="105"/>
      <c r="CI299" s="105"/>
      <c r="CJ299" s="105">
        <f t="shared" si="447"/>
        <v>0</v>
      </c>
      <c r="CK299" s="523"/>
      <c r="CL299" s="102">
        <f t="shared" si="489"/>
        <v>0</v>
      </c>
      <c r="CM299" s="103"/>
      <c r="CN299" s="100"/>
      <c r="CO299" s="100">
        <f t="shared" si="498"/>
        <v>0</v>
      </c>
      <c r="CP299" s="515"/>
      <c r="CQ299" s="441"/>
      <c r="CR299" s="504"/>
      <c r="CS299" s="105"/>
      <c r="CT299" s="105">
        <f t="shared" si="490"/>
        <v>0</v>
      </c>
      <c r="CU299" s="105"/>
      <c r="CV299" s="105"/>
      <c r="CW299" s="105">
        <f t="shared" si="491"/>
        <v>0</v>
      </c>
      <c r="CX299" s="53"/>
      <c r="CY299" s="109">
        <f t="shared" si="499"/>
        <v>0</v>
      </c>
      <c r="CZ299" s="54"/>
      <c r="DA299" s="105"/>
      <c r="DB299" s="455">
        <f t="shared" si="472"/>
        <v>0</v>
      </c>
      <c r="DC299" s="495"/>
      <c r="DD299" s="24" t="s">
        <v>459</v>
      </c>
      <c r="DF299" s="1133"/>
      <c r="DG299" s="674">
        <f t="shared" si="494"/>
        <v>0</v>
      </c>
      <c r="DH299" s="1119">
        <f t="shared" si="495"/>
        <v>0</v>
      </c>
      <c r="DI299" s="1119"/>
      <c r="DJ299" s="101">
        <f t="shared" si="497"/>
        <v>23</v>
      </c>
      <c r="DK299" s="101"/>
      <c r="DL299" s="101">
        <f t="shared" si="496"/>
        <v>0</v>
      </c>
      <c r="DM299" s="101"/>
      <c r="DN299" s="112"/>
      <c r="DO299" s="112"/>
      <c r="DP299" s="112"/>
      <c r="DQ299" s="112"/>
      <c r="DS299" s="140"/>
      <c r="DT299" s="140"/>
      <c r="DU299" s="140"/>
      <c r="DV299" s="140"/>
      <c r="DW299" s="140"/>
      <c r="DX299" s="140"/>
      <c r="DY299" s="140"/>
      <c r="DZ299" s="140"/>
    </row>
    <row r="300" spans="1:130" s="139" customFormat="1" ht="21.6" customHeight="1" x14ac:dyDescent="0.25">
      <c r="A300" s="4" t="s">
        <v>130</v>
      </c>
      <c r="B300" s="4">
        <v>17</v>
      </c>
      <c r="C300" s="134" t="s">
        <v>157</v>
      </c>
      <c r="D300" s="182" t="s">
        <v>431</v>
      </c>
      <c r="E300" s="13" t="s">
        <v>172</v>
      </c>
      <c r="F300" s="135">
        <v>77</v>
      </c>
      <c r="G300" s="135">
        <v>36</v>
      </c>
      <c r="H300" s="135">
        <f t="shared" si="475"/>
        <v>113</v>
      </c>
      <c r="I300" s="135">
        <v>58</v>
      </c>
      <c r="J300" s="135">
        <v>2</v>
      </c>
      <c r="K300" s="135">
        <f t="shared" si="476"/>
        <v>60</v>
      </c>
      <c r="L300" s="183"/>
      <c r="M300" s="5"/>
      <c r="N300" s="41"/>
      <c r="O300" s="1216"/>
      <c r="P300" s="7"/>
      <c r="Q300" s="7"/>
      <c r="R300" s="7"/>
      <c r="S300" s="7"/>
      <c r="T300" s="89"/>
      <c r="U300" s="89"/>
      <c r="V300" s="89">
        <f t="shared" si="477"/>
        <v>0</v>
      </c>
      <c r="W300" s="137"/>
      <c r="X300" s="137"/>
      <c r="Y300" s="90">
        <f t="shared" si="478"/>
        <v>0</v>
      </c>
      <c r="Z300" s="91"/>
      <c r="AA300" s="92"/>
      <c r="AB300" s="92"/>
      <c r="AC300" s="92">
        <f t="shared" si="479"/>
        <v>0</v>
      </c>
      <c r="AD300" s="93"/>
      <c r="AE300" s="93"/>
      <c r="AF300" s="94">
        <f t="shared" si="480"/>
        <v>0</v>
      </c>
      <c r="AG300" s="473"/>
      <c r="AH300" s="99">
        <v>225</v>
      </c>
      <c r="AI300" s="99">
        <f t="shared" si="481"/>
        <v>15</v>
      </c>
      <c r="AJ300" s="138">
        <v>460</v>
      </c>
      <c r="AK300" s="138">
        <f t="shared" si="482"/>
        <v>30.666666666666668</v>
      </c>
      <c r="AL300" s="106"/>
      <c r="AM300" s="105"/>
      <c r="AN300" s="105">
        <f t="shared" si="483"/>
        <v>0</v>
      </c>
      <c r="AO300" s="106"/>
      <c r="AP300" s="105"/>
      <c r="AQ300" s="105">
        <f t="shared" si="473"/>
        <v>0</v>
      </c>
      <c r="AR300" s="106"/>
      <c r="AS300" s="97">
        <f t="shared" si="469"/>
        <v>30.666666666666668</v>
      </c>
      <c r="AT300" s="6"/>
      <c r="AU300" s="105"/>
      <c r="AV300" s="455">
        <f t="shared" si="500"/>
        <v>0</v>
      </c>
      <c r="AW300" s="496"/>
      <c r="AX300" s="508"/>
      <c r="AY300" s="498">
        <v>105</v>
      </c>
      <c r="AZ300" s="100">
        <f t="shared" si="484"/>
        <v>7</v>
      </c>
      <c r="BA300" s="101"/>
      <c r="BB300" s="100"/>
      <c r="BC300" s="100">
        <f t="shared" si="485"/>
        <v>0</v>
      </c>
      <c r="BD300" s="101"/>
      <c r="BE300" s="105">
        <f t="shared" si="486"/>
        <v>37.666666666666671</v>
      </c>
      <c r="BF300" s="106"/>
      <c r="BG300" s="100">
        <f t="shared" si="492"/>
        <v>0</v>
      </c>
      <c r="BH300" s="106"/>
      <c r="BI300" s="100">
        <f t="shared" si="493"/>
        <v>0</v>
      </c>
      <c r="BJ300" s="106"/>
      <c r="BK300" s="101">
        <f t="shared" si="470"/>
        <v>37.666666666666671</v>
      </c>
      <c r="BL300" s="106"/>
      <c r="BM300" s="104">
        <v>1850</v>
      </c>
      <c r="BN300" s="104">
        <f t="shared" si="487"/>
        <v>37</v>
      </c>
      <c r="BO300" s="105"/>
      <c r="BP300" s="105">
        <f t="shared" si="501"/>
        <v>0</v>
      </c>
      <c r="BQ300" s="106"/>
      <c r="BR300" s="105"/>
      <c r="BS300" s="105">
        <f t="shared" si="468"/>
        <v>0</v>
      </c>
      <c r="BT300" s="106"/>
      <c r="BU300" s="53">
        <v>1850</v>
      </c>
      <c r="BV300" s="53">
        <f t="shared" si="488"/>
        <v>37</v>
      </c>
      <c r="BW300" s="54"/>
      <c r="BX300" s="350">
        <f t="shared" si="471"/>
        <v>37</v>
      </c>
      <c r="BY300" s="6"/>
      <c r="BZ300" s="6">
        <f t="shared" si="474"/>
        <v>0.6666666666666714</v>
      </c>
      <c r="CA300" s="508"/>
      <c r="CB300" s="7"/>
      <c r="CC300" s="7"/>
      <c r="CD300" s="7"/>
      <c r="CE300" s="504"/>
      <c r="CF300" s="105"/>
      <c r="CG300" s="105">
        <f t="shared" si="446"/>
        <v>0</v>
      </c>
      <c r="CH300" s="105"/>
      <c r="CI300" s="105"/>
      <c r="CJ300" s="105">
        <f t="shared" si="447"/>
        <v>0</v>
      </c>
      <c r="CK300" s="523"/>
      <c r="CL300" s="102">
        <f t="shared" si="489"/>
        <v>0</v>
      </c>
      <c r="CM300" s="103"/>
      <c r="CN300" s="100"/>
      <c r="CO300" s="100">
        <f t="shared" si="498"/>
        <v>0</v>
      </c>
      <c r="CP300" s="515"/>
      <c r="CQ300" s="441"/>
      <c r="CR300" s="504"/>
      <c r="CS300" s="105"/>
      <c r="CT300" s="105">
        <f t="shared" si="490"/>
        <v>0</v>
      </c>
      <c r="CU300" s="105"/>
      <c r="CV300" s="105"/>
      <c r="CW300" s="105">
        <f t="shared" si="491"/>
        <v>0</v>
      </c>
      <c r="CX300" s="53"/>
      <c r="CY300" s="109">
        <f t="shared" si="499"/>
        <v>0</v>
      </c>
      <c r="CZ300" s="54"/>
      <c r="DA300" s="105"/>
      <c r="DB300" s="455">
        <f t="shared" si="472"/>
        <v>0</v>
      </c>
      <c r="DC300" s="495"/>
      <c r="DD300" s="24" t="s">
        <v>459</v>
      </c>
      <c r="DF300" s="1133"/>
      <c r="DG300" s="674">
        <f t="shared" si="494"/>
        <v>0</v>
      </c>
      <c r="DH300" s="1119">
        <f t="shared" si="495"/>
        <v>0</v>
      </c>
      <c r="DI300" s="1119"/>
      <c r="DJ300" s="101">
        <f t="shared" si="497"/>
        <v>37.666666666666671</v>
      </c>
      <c r="DK300" s="101"/>
      <c r="DL300" s="101">
        <f t="shared" si="496"/>
        <v>0</v>
      </c>
      <c r="DM300" s="101"/>
      <c r="DN300" s="112"/>
      <c r="DO300" s="112"/>
      <c r="DP300" s="112"/>
      <c r="DQ300" s="112"/>
      <c r="DS300" s="140"/>
      <c r="DT300" s="140"/>
      <c r="DU300" s="140"/>
      <c r="DV300" s="140"/>
      <c r="DW300" s="140"/>
      <c r="DX300" s="140"/>
      <c r="DY300" s="140"/>
      <c r="DZ300" s="140"/>
    </row>
    <row r="301" spans="1:130" s="139" customFormat="1" ht="21.6" customHeight="1" x14ac:dyDescent="0.25">
      <c r="A301" s="4"/>
      <c r="B301" s="4"/>
      <c r="C301" s="134" t="s">
        <v>157</v>
      </c>
      <c r="D301" s="182" t="s">
        <v>431</v>
      </c>
      <c r="E301" s="3" t="s">
        <v>359</v>
      </c>
      <c r="F301" s="135"/>
      <c r="G301" s="135"/>
      <c r="H301" s="135"/>
      <c r="I301" s="135"/>
      <c r="J301" s="135"/>
      <c r="K301" s="135"/>
      <c r="L301" s="183"/>
      <c r="M301" s="5"/>
      <c r="N301" s="41"/>
      <c r="O301" s="1216"/>
      <c r="P301" s="7"/>
      <c r="Q301" s="7"/>
      <c r="R301" s="7"/>
      <c r="S301" s="7"/>
      <c r="T301" s="89"/>
      <c r="U301" s="89"/>
      <c r="V301" s="89"/>
      <c r="W301" s="137"/>
      <c r="X301" s="137"/>
      <c r="Y301" s="90"/>
      <c r="Z301" s="91"/>
      <c r="AA301" s="92"/>
      <c r="AB301" s="92"/>
      <c r="AC301" s="92">
        <f t="shared" si="479"/>
        <v>0</v>
      </c>
      <c r="AD301" s="93"/>
      <c r="AE301" s="93"/>
      <c r="AF301" s="94">
        <f t="shared" si="480"/>
        <v>0</v>
      </c>
      <c r="AG301" s="473"/>
      <c r="AH301" s="99">
        <v>300</v>
      </c>
      <c r="AI301" s="99">
        <f t="shared" si="481"/>
        <v>20</v>
      </c>
      <c r="AJ301" s="138">
        <v>165</v>
      </c>
      <c r="AK301" s="138">
        <f t="shared" si="482"/>
        <v>11</v>
      </c>
      <c r="AL301" s="106"/>
      <c r="AM301" s="105"/>
      <c r="AN301" s="105">
        <f t="shared" si="483"/>
        <v>0</v>
      </c>
      <c r="AO301" s="106"/>
      <c r="AP301" s="105"/>
      <c r="AQ301" s="105">
        <f t="shared" si="473"/>
        <v>0</v>
      </c>
      <c r="AR301" s="106"/>
      <c r="AS301" s="97">
        <f t="shared" si="469"/>
        <v>11</v>
      </c>
      <c r="AT301" s="6"/>
      <c r="AU301" s="105"/>
      <c r="AV301" s="455">
        <f t="shared" si="500"/>
        <v>0</v>
      </c>
      <c r="AW301" s="496"/>
      <c r="AX301" s="508"/>
      <c r="AY301" s="498"/>
      <c r="AZ301" s="100">
        <f t="shared" si="484"/>
        <v>0</v>
      </c>
      <c r="BA301" s="101"/>
      <c r="BB301" s="100"/>
      <c r="BC301" s="100">
        <f t="shared" si="485"/>
        <v>0</v>
      </c>
      <c r="BD301" s="101"/>
      <c r="BE301" s="254">
        <f t="shared" si="486"/>
        <v>11</v>
      </c>
      <c r="BF301" s="255"/>
      <c r="BG301" s="100">
        <f t="shared" si="492"/>
        <v>0</v>
      </c>
      <c r="BH301" s="264"/>
      <c r="BI301" s="100">
        <f t="shared" si="493"/>
        <v>0</v>
      </c>
      <c r="BJ301" s="264"/>
      <c r="BK301" s="101">
        <f t="shared" si="470"/>
        <v>11</v>
      </c>
      <c r="BL301" s="264"/>
      <c r="BM301" s="219">
        <v>1900</v>
      </c>
      <c r="BN301" s="293"/>
      <c r="BO301" s="254">
        <v>1350</v>
      </c>
      <c r="BP301" s="254">
        <f t="shared" si="501"/>
        <v>27</v>
      </c>
      <c r="BQ301" s="106"/>
      <c r="BR301" s="105"/>
      <c r="BS301" s="105">
        <f t="shared" si="468"/>
        <v>0</v>
      </c>
      <c r="BT301" s="106"/>
      <c r="BU301" s="53"/>
      <c r="BV301" s="53">
        <f t="shared" si="488"/>
        <v>0</v>
      </c>
      <c r="BW301" s="54"/>
      <c r="BX301" s="350">
        <f t="shared" si="471"/>
        <v>27</v>
      </c>
      <c r="BY301" s="6"/>
      <c r="BZ301" s="202">
        <f t="shared" si="474"/>
        <v>-16</v>
      </c>
      <c r="CA301" s="508"/>
      <c r="CB301" s="7"/>
      <c r="CC301" s="7"/>
      <c r="CD301" s="7"/>
      <c r="CE301" s="504"/>
      <c r="CF301" s="105"/>
      <c r="CG301" s="105">
        <f t="shared" si="446"/>
        <v>0</v>
      </c>
      <c r="CH301" s="105"/>
      <c r="CI301" s="105"/>
      <c r="CJ301" s="105">
        <f t="shared" si="447"/>
        <v>0</v>
      </c>
      <c r="CK301" s="523"/>
      <c r="CL301" s="102">
        <f t="shared" si="489"/>
        <v>0</v>
      </c>
      <c r="CM301" s="103"/>
      <c r="CN301" s="100"/>
      <c r="CO301" s="100">
        <f t="shared" si="498"/>
        <v>0</v>
      </c>
      <c r="CP301" s="515"/>
      <c r="CQ301" s="441"/>
      <c r="CR301" s="504"/>
      <c r="CS301" s="105"/>
      <c r="CT301" s="105">
        <f t="shared" si="490"/>
        <v>0</v>
      </c>
      <c r="CU301" s="105"/>
      <c r="CV301" s="105"/>
      <c r="CW301" s="105">
        <f t="shared" si="491"/>
        <v>0</v>
      </c>
      <c r="CX301" s="53"/>
      <c r="CY301" s="109">
        <f t="shared" si="499"/>
        <v>0</v>
      </c>
      <c r="CZ301" s="54"/>
      <c r="DA301" s="105"/>
      <c r="DB301" s="455">
        <f t="shared" si="472"/>
        <v>0</v>
      </c>
      <c r="DC301" s="495"/>
      <c r="DD301" s="24" t="s">
        <v>459</v>
      </c>
      <c r="DF301" s="1133"/>
      <c r="DG301" s="674">
        <f t="shared" si="494"/>
        <v>0</v>
      </c>
      <c r="DH301" s="1119">
        <f t="shared" si="495"/>
        <v>0</v>
      </c>
      <c r="DI301" s="1119"/>
      <c r="DJ301" s="101">
        <f t="shared" si="497"/>
        <v>11</v>
      </c>
      <c r="DK301" s="101"/>
      <c r="DL301" s="101">
        <f t="shared" si="496"/>
        <v>0</v>
      </c>
      <c r="DM301" s="101"/>
      <c r="DN301" s="112"/>
      <c r="DO301" s="112"/>
      <c r="DP301" s="112"/>
      <c r="DQ301" s="112"/>
      <c r="DS301" s="140"/>
      <c r="DT301" s="140"/>
      <c r="DU301" s="140"/>
      <c r="DV301" s="140"/>
      <c r="DW301" s="140"/>
      <c r="DX301" s="140"/>
      <c r="DY301" s="140"/>
      <c r="DZ301" s="140"/>
    </row>
    <row r="302" spans="1:130" s="139" customFormat="1" ht="21.6" customHeight="1" x14ac:dyDescent="0.25">
      <c r="A302" s="4" t="s">
        <v>130</v>
      </c>
      <c r="B302" s="4">
        <v>18</v>
      </c>
      <c r="C302" s="134" t="s">
        <v>157</v>
      </c>
      <c r="D302" s="182" t="s">
        <v>431</v>
      </c>
      <c r="E302" s="13" t="s">
        <v>173</v>
      </c>
      <c r="F302" s="135">
        <v>78</v>
      </c>
      <c r="G302" s="135">
        <v>19</v>
      </c>
      <c r="H302" s="135">
        <f>F302+G302</f>
        <v>97</v>
      </c>
      <c r="I302" s="135">
        <v>8</v>
      </c>
      <c r="J302" s="135">
        <v>35.799999999999997</v>
      </c>
      <c r="K302" s="135">
        <f>I302+J302</f>
        <v>43.8</v>
      </c>
      <c r="L302" s="183"/>
      <c r="M302" s="5"/>
      <c r="N302" s="41"/>
      <c r="O302" s="1216"/>
      <c r="P302" s="7"/>
      <c r="Q302" s="7"/>
      <c r="R302" s="7"/>
      <c r="S302" s="7"/>
      <c r="T302" s="89"/>
      <c r="U302" s="89"/>
      <c r="V302" s="89">
        <f>T302+U302</f>
        <v>0</v>
      </c>
      <c r="W302" s="137"/>
      <c r="X302" s="137"/>
      <c r="Y302" s="90">
        <f>W302+X302</f>
        <v>0</v>
      </c>
      <c r="Z302" s="91"/>
      <c r="AA302" s="92"/>
      <c r="AB302" s="92"/>
      <c r="AC302" s="92">
        <f t="shared" si="479"/>
        <v>0</v>
      </c>
      <c r="AD302" s="93"/>
      <c r="AE302" s="93"/>
      <c r="AF302" s="94">
        <f t="shared" si="480"/>
        <v>0</v>
      </c>
      <c r="AG302" s="473"/>
      <c r="AH302" s="99">
        <v>120</v>
      </c>
      <c r="AI302" s="99">
        <f t="shared" si="481"/>
        <v>8</v>
      </c>
      <c r="AJ302" s="138">
        <v>240</v>
      </c>
      <c r="AK302" s="138">
        <f t="shared" si="482"/>
        <v>16</v>
      </c>
      <c r="AL302" s="106"/>
      <c r="AM302" s="105"/>
      <c r="AN302" s="105">
        <f t="shared" si="483"/>
        <v>0</v>
      </c>
      <c r="AO302" s="106"/>
      <c r="AP302" s="105"/>
      <c r="AQ302" s="105">
        <f t="shared" si="473"/>
        <v>0</v>
      </c>
      <c r="AR302" s="106"/>
      <c r="AS302" s="97">
        <f t="shared" si="469"/>
        <v>16</v>
      </c>
      <c r="AT302" s="6"/>
      <c r="AU302" s="105"/>
      <c r="AV302" s="455">
        <f t="shared" si="500"/>
        <v>0</v>
      </c>
      <c r="AW302" s="496"/>
      <c r="AX302" s="508"/>
      <c r="AY302" s="498">
        <v>25</v>
      </c>
      <c r="AZ302" s="100">
        <f t="shared" si="484"/>
        <v>1.6666666666666667</v>
      </c>
      <c r="BA302" s="101"/>
      <c r="BB302" s="100"/>
      <c r="BC302" s="100">
        <f t="shared" si="485"/>
        <v>0</v>
      </c>
      <c r="BD302" s="101"/>
      <c r="BE302" s="105">
        <f t="shared" si="486"/>
        <v>17.666666666666668</v>
      </c>
      <c r="BF302" s="106"/>
      <c r="BG302" s="100">
        <f t="shared" si="492"/>
        <v>0</v>
      </c>
      <c r="BH302" s="106"/>
      <c r="BI302" s="100">
        <f t="shared" si="493"/>
        <v>0</v>
      </c>
      <c r="BJ302" s="106"/>
      <c r="BK302" s="101">
        <f t="shared" si="470"/>
        <v>17.666666666666668</v>
      </c>
      <c r="BL302" s="106"/>
      <c r="BM302" s="104">
        <v>650</v>
      </c>
      <c r="BN302" s="104">
        <f>BM302/50</f>
        <v>13</v>
      </c>
      <c r="BO302" s="105"/>
      <c r="BP302" s="105">
        <f t="shared" si="501"/>
        <v>0</v>
      </c>
      <c r="BQ302" s="106"/>
      <c r="BR302" s="105"/>
      <c r="BS302" s="105">
        <f t="shared" si="468"/>
        <v>0</v>
      </c>
      <c r="BT302" s="106"/>
      <c r="BU302" s="231">
        <v>900</v>
      </c>
      <c r="BV302" s="231">
        <v>1</v>
      </c>
      <c r="BW302" s="202"/>
      <c r="BX302" s="350">
        <f t="shared" si="471"/>
        <v>1</v>
      </c>
      <c r="BY302" s="6"/>
      <c r="BZ302" s="6">
        <f t="shared" si="474"/>
        <v>16.666666666666668</v>
      </c>
      <c r="CA302" s="508"/>
      <c r="CB302" s="7"/>
      <c r="CC302" s="7"/>
      <c r="CD302" s="7"/>
      <c r="CE302" s="504"/>
      <c r="CF302" s="105"/>
      <c r="CG302" s="105">
        <f t="shared" si="446"/>
        <v>0</v>
      </c>
      <c r="CH302" s="105"/>
      <c r="CI302" s="105"/>
      <c r="CJ302" s="105">
        <f t="shared" si="447"/>
        <v>0</v>
      </c>
      <c r="CK302" s="523"/>
      <c r="CL302" s="102">
        <f t="shared" si="489"/>
        <v>0</v>
      </c>
      <c r="CM302" s="103"/>
      <c r="CN302" s="100"/>
      <c r="CO302" s="100">
        <f t="shared" si="498"/>
        <v>0</v>
      </c>
      <c r="CP302" s="515"/>
      <c r="CQ302" s="441"/>
      <c r="CR302" s="504"/>
      <c r="CS302" s="105"/>
      <c r="CT302" s="105">
        <f t="shared" si="490"/>
        <v>0</v>
      </c>
      <c r="CU302" s="105"/>
      <c r="CV302" s="105"/>
      <c r="CW302" s="105">
        <f t="shared" si="491"/>
        <v>0</v>
      </c>
      <c r="CX302" s="53"/>
      <c r="CY302" s="109">
        <f t="shared" si="499"/>
        <v>0</v>
      </c>
      <c r="CZ302" s="54"/>
      <c r="DA302" s="105"/>
      <c r="DB302" s="455">
        <f t="shared" si="472"/>
        <v>0</v>
      </c>
      <c r="DC302" s="495"/>
      <c r="DD302" s="24" t="s">
        <v>459</v>
      </c>
      <c r="DF302" s="1133"/>
      <c r="DG302" s="674">
        <f t="shared" si="494"/>
        <v>0</v>
      </c>
      <c r="DH302" s="1119">
        <f t="shared" si="495"/>
        <v>0</v>
      </c>
      <c r="DI302" s="1119"/>
      <c r="DJ302" s="101">
        <f t="shared" si="497"/>
        <v>17.666666666666668</v>
      </c>
      <c r="DK302" s="101"/>
      <c r="DL302" s="101">
        <f t="shared" si="496"/>
        <v>0</v>
      </c>
      <c r="DM302" s="101"/>
      <c r="DN302" s="112"/>
      <c r="DO302" s="112"/>
      <c r="DP302" s="112"/>
      <c r="DQ302" s="112"/>
      <c r="DS302" s="140"/>
      <c r="DT302" s="140"/>
      <c r="DU302" s="140"/>
      <c r="DV302" s="140"/>
      <c r="DW302" s="140"/>
      <c r="DX302" s="140"/>
      <c r="DY302" s="140"/>
      <c r="DZ302" s="140"/>
    </row>
    <row r="303" spans="1:130" s="139" customFormat="1" ht="21.6" customHeight="1" x14ac:dyDescent="0.25">
      <c r="A303" s="4" t="s">
        <v>130</v>
      </c>
      <c r="B303" s="4">
        <v>19</v>
      </c>
      <c r="C303" s="175" t="s">
        <v>157</v>
      </c>
      <c r="D303" s="176" t="s">
        <v>431</v>
      </c>
      <c r="E303" s="13" t="s">
        <v>174</v>
      </c>
      <c r="F303" s="135">
        <v>81</v>
      </c>
      <c r="G303" s="135">
        <v>34</v>
      </c>
      <c r="H303" s="135">
        <f>F303+G303</f>
        <v>115</v>
      </c>
      <c r="I303" s="135">
        <v>59</v>
      </c>
      <c r="J303" s="135">
        <v>20</v>
      </c>
      <c r="K303" s="135">
        <f>I303+J303</f>
        <v>79</v>
      </c>
      <c r="L303" s="183"/>
      <c r="M303" s="5"/>
      <c r="N303" s="41"/>
      <c r="O303" s="1216"/>
      <c r="P303" s="7"/>
      <c r="Q303" s="7"/>
      <c r="R303" s="7"/>
      <c r="S303" s="7"/>
      <c r="T303" s="89"/>
      <c r="U303" s="89"/>
      <c r="V303" s="89">
        <f>T303+U303</f>
        <v>0</v>
      </c>
      <c r="W303" s="137"/>
      <c r="X303" s="137"/>
      <c r="Y303" s="90">
        <f>W303+X303</f>
        <v>0</v>
      </c>
      <c r="Z303" s="91"/>
      <c r="AA303" s="92"/>
      <c r="AB303" s="92"/>
      <c r="AC303" s="92">
        <f t="shared" si="479"/>
        <v>0</v>
      </c>
      <c r="AD303" s="93"/>
      <c r="AE303" s="93"/>
      <c r="AF303" s="94">
        <f t="shared" si="480"/>
        <v>0</v>
      </c>
      <c r="AG303" s="473"/>
      <c r="AH303" s="99">
        <v>150</v>
      </c>
      <c r="AI303" s="99">
        <f t="shared" si="481"/>
        <v>10</v>
      </c>
      <c r="AJ303" s="138">
        <v>160</v>
      </c>
      <c r="AK303" s="138">
        <f t="shared" si="482"/>
        <v>10.666666666666666</v>
      </c>
      <c r="AL303" s="106"/>
      <c r="AM303" s="105"/>
      <c r="AN303" s="105">
        <f t="shared" si="483"/>
        <v>0</v>
      </c>
      <c r="AO303" s="106"/>
      <c r="AP303" s="105"/>
      <c r="AQ303" s="105">
        <f t="shared" si="473"/>
        <v>0</v>
      </c>
      <c r="AR303" s="106"/>
      <c r="AS303" s="97">
        <f t="shared" si="469"/>
        <v>10.666666666666666</v>
      </c>
      <c r="AT303" s="6"/>
      <c r="AU303" s="105"/>
      <c r="AV303" s="455">
        <f t="shared" si="500"/>
        <v>0</v>
      </c>
      <c r="AW303" s="496"/>
      <c r="AX303" s="508"/>
      <c r="AY303" s="498"/>
      <c r="AZ303" s="100">
        <f t="shared" si="484"/>
        <v>0</v>
      </c>
      <c r="BA303" s="101"/>
      <c r="BB303" s="100"/>
      <c r="BC303" s="100">
        <f t="shared" si="485"/>
        <v>0</v>
      </c>
      <c r="BD303" s="101"/>
      <c r="BE303" s="105">
        <f t="shared" si="486"/>
        <v>10.666666666666666</v>
      </c>
      <c r="BF303" s="106"/>
      <c r="BG303" s="100">
        <f t="shared" si="492"/>
        <v>0</v>
      </c>
      <c r="BH303" s="106"/>
      <c r="BI303" s="100">
        <f t="shared" si="493"/>
        <v>0</v>
      </c>
      <c r="BJ303" s="106"/>
      <c r="BK303" s="101">
        <f t="shared" si="470"/>
        <v>10.666666666666666</v>
      </c>
      <c r="BL303" s="106"/>
      <c r="BM303" s="104">
        <v>1000</v>
      </c>
      <c r="BN303" s="104">
        <f>BM303/50</f>
        <v>20</v>
      </c>
      <c r="BO303" s="105">
        <v>400</v>
      </c>
      <c r="BP303" s="105">
        <f t="shared" si="501"/>
        <v>8</v>
      </c>
      <c r="BQ303" s="106"/>
      <c r="BR303" s="105"/>
      <c r="BS303" s="105">
        <f t="shared" si="468"/>
        <v>0</v>
      </c>
      <c r="BT303" s="106"/>
      <c r="BU303" s="53">
        <v>100</v>
      </c>
      <c r="BV303" s="53">
        <f t="shared" si="488"/>
        <v>2</v>
      </c>
      <c r="BW303" s="54"/>
      <c r="BX303" s="350">
        <f t="shared" si="471"/>
        <v>10</v>
      </c>
      <c r="BY303" s="6"/>
      <c r="BZ303" s="6">
        <f t="shared" si="474"/>
        <v>0.66666666666666607</v>
      </c>
      <c r="CA303" s="508"/>
      <c r="CB303" s="7"/>
      <c r="CC303" s="7"/>
      <c r="CD303" s="7"/>
      <c r="CE303" s="504"/>
      <c r="CF303" s="105"/>
      <c r="CG303" s="105">
        <f t="shared" si="446"/>
        <v>0</v>
      </c>
      <c r="CH303" s="105"/>
      <c r="CI303" s="105"/>
      <c r="CJ303" s="105">
        <f t="shared" si="447"/>
        <v>0</v>
      </c>
      <c r="CK303" s="523"/>
      <c r="CL303" s="102">
        <f t="shared" si="489"/>
        <v>0</v>
      </c>
      <c r="CM303" s="103"/>
      <c r="CN303" s="100"/>
      <c r="CO303" s="100">
        <f t="shared" si="498"/>
        <v>0</v>
      </c>
      <c r="CP303" s="515"/>
      <c r="CQ303" s="441"/>
      <c r="CR303" s="504"/>
      <c r="CS303" s="105"/>
      <c r="CT303" s="105">
        <f t="shared" si="490"/>
        <v>0</v>
      </c>
      <c r="CU303" s="105"/>
      <c r="CV303" s="105"/>
      <c r="CW303" s="105">
        <f t="shared" si="491"/>
        <v>0</v>
      </c>
      <c r="CX303" s="53"/>
      <c r="CY303" s="109">
        <f t="shared" si="499"/>
        <v>0</v>
      </c>
      <c r="CZ303" s="54"/>
      <c r="DA303" s="105"/>
      <c r="DB303" s="455">
        <f t="shared" si="472"/>
        <v>0</v>
      </c>
      <c r="DC303" s="495"/>
      <c r="DD303" s="24" t="s">
        <v>458</v>
      </c>
      <c r="DF303" s="1133"/>
      <c r="DG303" s="674">
        <f t="shared" si="494"/>
        <v>0</v>
      </c>
      <c r="DH303" s="1119">
        <f t="shared" si="495"/>
        <v>0</v>
      </c>
      <c r="DI303" s="1119"/>
      <c r="DJ303" s="101">
        <f t="shared" si="497"/>
        <v>10.666666666666666</v>
      </c>
      <c r="DK303" s="101"/>
      <c r="DL303" s="101">
        <f t="shared" si="496"/>
        <v>0</v>
      </c>
      <c r="DM303" s="101"/>
      <c r="DN303" s="112"/>
      <c r="DO303" s="112"/>
      <c r="DP303" s="112"/>
      <c r="DQ303" s="112"/>
      <c r="DS303" s="140"/>
      <c r="DT303" s="140"/>
      <c r="DU303" s="140"/>
      <c r="DV303" s="140"/>
      <c r="DW303" s="140"/>
      <c r="DX303" s="140"/>
      <c r="DY303" s="140"/>
      <c r="DZ303" s="140"/>
    </row>
    <row r="304" spans="1:130" s="139" customFormat="1" ht="21.6" customHeight="1" x14ac:dyDescent="0.25">
      <c r="A304" s="4" t="s">
        <v>130</v>
      </c>
      <c r="B304" s="4">
        <v>20</v>
      </c>
      <c r="C304" s="134" t="s">
        <v>157</v>
      </c>
      <c r="D304" s="182" t="s">
        <v>431</v>
      </c>
      <c r="E304" s="13" t="s">
        <v>175</v>
      </c>
      <c r="F304" s="135">
        <v>351</v>
      </c>
      <c r="G304" s="135">
        <v>34</v>
      </c>
      <c r="H304" s="135">
        <f>F304+G304</f>
        <v>385</v>
      </c>
      <c r="I304" s="135">
        <v>234.59</v>
      </c>
      <c r="J304" s="135"/>
      <c r="K304" s="135">
        <f>I304+J304</f>
        <v>234.59</v>
      </c>
      <c r="L304" s="183"/>
      <c r="M304" s="5"/>
      <c r="N304" s="41"/>
      <c r="O304" s="1216"/>
      <c r="P304" s="7"/>
      <c r="Q304" s="7"/>
      <c r="R304" s="7"/>
      <c r="S304" s="7"/>
      <c r="T304" s="89"/>
      <c r="U304" s="89"/>
      <c r="V304" s="89">
        <f>T304+U304</f>
        <v>0</v>
      </c>
      <c r="W304" s="137"/>
      <c r="X304" s="137"/>
      <c r="Y304" s="90">
        <f>W304+X304</f>
        <v>0</v>
      </c>
      <c r="Z304" s="91"/>
      <c r="AA304" s="92"/>
      <c r="AB304" s="92"/>
      <c r="AC304" s="92">
        <f t="shared" si="479"/>
        <v>0</v>
      </c>
      <c r="AD304" s="93"/>
      <c r="AE304" s="93"/>
      <c r="AF304" s="94">
        <f t="shared" si="480"/>
        <v>0</v>
      </c>
      <c r="AG304" s="473"/>
      <c r="AH304" s="99">
        <v>660</v>
      </c>
      <c r="AI304" s="99">
        <f t="shared" si="481"/>
        <v>44</v>
      </c>
      <c r="AJ304" s="138">
        <v>650</v>
      </c>
      <c r="AK304" s="138">
        <f t="shared" si="482"/>
        <v>43.333333333333336</v>
      </c>
      <c r="AL304" s="106"/>
      <c r="AM304" s="105">
        <v>150</v>
      </c>
      <c r="AN304" s="105">
        <f t="shared" si="483"/>
        <v>10</v>
      </c>
      <c r="AO304" s="106"/>
      <c r="AP304" s="105"/>
      <c r="AQ304" s="105">
        <f t="shared" si="473"/>
        <v>0</v>
      </c>
      <c r="AR304" s="106"/>
      <c r="AS304" s="97">
        <f t="shared" si="469"/>
        <v>53.333333333333336</v>
      </c>
      <c r="AT304" s="6"/>
      <c r="AU304" s="105"/>
      <c r="AV304" s="455">
        <f t="shared" si="500"/>
        <v>0</v>
      </c>
      <c r="AW304" s="496"/>
      <c r="AX304" s="508"/>
      <c r="AY304" s="498">
        <v>170</v>
      </c>
      <c r="AZ304" s="100">
        <f t="shared" si="484"/>
        <v>11.333333333333334</v>
      </c>
      <c r="BA304" s="101"/>
      <c r="BB304" s="100"/>
      <c r="BC304" s="100">
        <f t="shared" si="485"/>
        <v>0</v>
      </c>
      <c r="BD304" s="101"/>
      <c r="BE304" s="105">
        <f t="shared" si="486"/>
        <v>54.666666666666671</v>
      </c>
      <c r="BF304" s="106"/>
      <c r="BG304" s="100">
        <f t="shared" si="492"/>
        <v>10</v>
      </c>
      <c r="BH304" s="106"/>
      <c r="BI304" s="100">
        <f t="shared" si="493"/>
        <v>0</v>
      </c>
      <c r="BJ304" s="106"/>
      <c r="BK304" s="101">
        <f t="shared" si="470"/>
        <v>64.666666666666671</v>
      </c>
      <c r="BL304" s="106"/>
      <c r="BM304" s="104">
        <v>4050</v>
      </c>
      <c r="BN304" s="104">
        <f>BM304/50</f>
        <v>81</v>
      </c>
      <c r="BO304" s="105"/>
      <c r="BP304" s="105">
        <f t="shared" si="501"/>
        <v>0</v>
      </c>
      <c r="BQ304" s="106"/>
      <c r="BR304" s="105"/>
      <c r="BS304" s="105">
        <f t="shared" si="468"/>
        <v>0</v>
      </c>
      <c r="BT304" s="106"/>
      <c r="BU304" s="53">
        <f>2700+500</f>
        <v>3200</v>
      </c>
      <c r="BV304" s="53">
        <f t="shared" si="488"/>
        <v>64</v>
      </c>
      <c r="BW304" s="54"/>
      <c r="BX304" s="350">
        <f t="shared" si="471"/>
        <v>64</v>
      </c>
      <c r="BY304" s="6"/>
      <c r="BZ304" s="6">
        <f t="shared" si="474"/>
        <v>0.6666666666666714</v>
      </c>
      <c r="CA304" s="508"/>
      <c r="CB304" s="7"/>
      <c r="CC304" s="7"/>
      <c r="CD304" s="7"/>
      <c r="CE304" s="504"/>
      <c r="CF304" s="105"/>
      <c r="CG304" s="105">
        <f t="shared" si="446"/>
        <v>0</v>
      </c>
      <c r="CH304" s="105"/>
      <c r="CI304" s="105"/>
      <c r="CJ304" s="105">
        <f t="shared" si="447"/>
        <v>0</v>
      </c>
      <c r="CK304" s="523"/>
      <c r="CL304" s="102">
        <f t="shared" si="489"/>
        <v>0</v>
      </c>
      <c r="CM304" s="103"/>
      <c r="CN304" s="100"/>
      <c r="CO304" s="100">
        <f t="shared" si="498"/>
        <v>0</v>
      </c>
      <c r="CP304" s="515"/>
      <c r="CQ304" s="441"/>
      <c r="CR304" s="504"/>
      <c r="CS304" s="105"/>
      <c r="CT304" s="105">
        <f t="shared" si="490"/>
        <v>0</v>
      </c>
      <c r="CU304" s="105"/>
      <c r="CV304" s="105"/>
      <c r="CW304" s="105">
        <f t="shared" si="491"/>
        <v>0</v>
      </c>
      <c r="CX304" s="53"/>
      <c r="CY304" s="109">
        <f t="shared" si="499"/>
        <v>0</v>
      </c>
      <c r="CZ304" s="54"/>
      <c r="DA304" s="105"/>
      <c r="DB304" s="455">
        <f t="shared" si="472"/>
        <v>0</v>
      </c>
      <c r="DC304" s="495"/>
      <c r="DD304" s="24" t="s">
        <v>458</v>
      </c>
      <c r="DF304" s="1133"/>
      <c r="DG304" s="674">
        <f t="shared" si="494"/>
        <v>0</v>
      </c>
      <c r="DH304" s="1119">
        <f t="shared" si="495"/>
        <v>0</v>
      </c>
      <c r="DI304" s="1119"/>
      <c r="DJ304" s="101">
        <f t="shared" si="497"/>
        <v>64.666666666666671</v>
      </c>
      <c r="DK304" s="101"/>
      <c r="DL304" s="101">
        <f t="shared" si="496"/>
        <v>0</v>
      </c>
      <c r="DM304" s="101"/>
      <c r="DN304" s="112"/>
      <c r="DO304" s="112"/>
      <c r="DP304" s="112"/>
      <c r="DQ304" s="112"/>
      <c r="DS304" s="140"/>
      <c r="DT304" s="140"/>
      <c r="DU304" s="140"/>
      <c r="DV304" s="140"/>
      <c r="DW304" s="140"/>
      <c r="DX304" s="140"/>
      <c r="DY304" s="140"/>
      <c r="DZ304" s="140"/>
    </row>
    <row r="305" spans="1:130" s="151" customFormat="1" ht="21.6" customHeight="1" x14ac:dyDescent="0.25">
      <c r="A305" s="141"/>
      <c r="B305" s="141"/>
      <c r="C305" s="142"/>
      <c r="D305" s="143"/>
      <c r="E305" s="22"/>
      <c r="F305" s="144"/>
      <c r="G305" s="144"/>
      <c r="H305" s="144"/>
      <c r="I305" s="144"/>
      <c r="J305" s="144"/>
      <c r="K305" s="144"/>
      <c r="L305" s="145"/>
      <c r="M305" s="146"/>
      <c r="N305" s="147"/>
      <c r="O305" s="161"/>
      <c r="P305" s="148"/>
      <c r="Q305" s="148"/>
      <c r="R305" s="148"/>
      <c r="S305" s="148"/>
      <c r="T305" s="123"/>
      <c r="U305" s="123"/>
      <c r="V305" s="123"/>
      <c r="W305" s="149"/>
      <c r="X305" s="149"/>
      <c r="Y305" s="124"/>
      <c r="Z305" s="125"/>
      <c r="AA305" s="123"/>
      <c r="AB305" s="123"/>
      <c r="AC305" s="123"/>
      <c r="AD305" s="124"/>
      <c r="AE305" s="124"/>
      <c r="AF305" s="126"/>
      <c r="AG305" s="474"/>
      <c r="AH305" s="129"/>
      <c r="AI305" s="129"/>
      <c r="AJ305" s="138"/>
      <c r="AK305" s="138"/>
      <c r="AL305" s="106"/>
      <c r="AM305" s="105"/>
      <c r="AN305" s="105"/>
      <c r="AO305" s="106"/>
      <c r="AP305" s="105"/>
      <c r="AQ305" s="105">
        <f t="shared" si="473"/>
        <v>0</v>
      </c>
      <c r="AR305" s="106"/>
      <c r="AS305" s="97">
        <f t="shared" si="469"/>
        <v>0</v>
      </c>
      <c r="AT305" s="6"/>
      <c r="AU305" s="105"/>
      <c r="AV305" s="455">
        <f t="shared" si="500"/>
        <v>0</v>
      </c>
      <c r="AW305" s="496"/>
      <c r="AX305" s="508"/>
      <c r="AY305" s="498"/>
      <c r="AZ305" s="100"/>
      <c r="BA305" s="101"/>
      <c r="BB305" s="100"/>
      <c r="BC305" s="100"/>
      <c r="BD305" s="101"/>
      <c r="BE305" s="105"/>
      <c r="BF305" s="106"/>
      <c r="BG305" s="100">
        <f t="shared" si="492"/>
        <v>0</v>
      </c>
      <c r="BH305" s="106"/>
      <c r="BI305" s="100">
        <f t="shared" si="493"/>
        <v>0</v>
      </c>
      <c r="BJ305" s="106"/>
      <c r="BK305" s="101">
        <f t="shared" si="470"/>
        <v>0</v>
      </c>
      <c r="BL305" s="106"/>
      <c r="BM305" s="130"/>
      <c r="BN305" s="130"/>
      <c r="BO305" s="105"/>
      <c r="BP305" s="105">
        <f t="shared" si="501"/>
        <v>0</v>
      </c>
      <c r="BQ305" s="106"/>
      <c r="BR305" s="105"/>
      <c r="BS305" s="105"/>
      <c r="BT305" s="106"/>
      <c r="BU305" s="53"/>
      <c r="BV305" s="53"/>
      <c r="BW305" s="54"/>
      <c r="BX305" s="350">
        <f t="shared" si="471"/>
        <v>0</v>
      </c>
      <c r="BY305" s="131"/>
      <c r="BZ305" s="131">
        <f t="shared" si="474"/>
        <v>0</v>
      </c>
      <c r="CA305" s="536"/>
      <c r="CB305" s="148"/>
      <c r="CC305" s="148"/>
      <c r="CD305" s="148"/>
      <c r="CE305" s="504"/>
      <c r="CF305" s="105"/>
      <c r="CG305" s="105">
        <f t="shared" si="446"/>
        <v>0</v>
      </c>
      <c r="CH305" s="105"/>
      <c r="CI305" s="105"/>
      <c r="CJ305" s="105">
        <f t="shared" si="447"/>
        <v>0</v>
      </c>
      <c r="CK305" s="523"/>
      <c r="CL305" s="102"/>
      <c r="CM305" s="103"/>
      <c r="CN305" s="100"/>
      <c r="CO305" s="100">
        <f t="shared" si="498"/>
        <v>0</v>
      </c>
      <c r="CP305" s="515"/>
      <c r="CQ305" s="441"/>
      <c r="CR305" s="504"/>
      <c r="CS305" s="105"/>
      <c r="CT305" s="105">
        <f t="shared" si="490"/>
        <v>0</v>
      </c>
      <c r="CU305" s="105"/>
      <c r="CV305" s="105"/>
      <c r="CW305" s="105">
        <f t="shared" si="491"/>
        <v>0</v>
      </c>
      <c r="CX305" s="53"/>
      <c r="CY305" s="109">
        <f t="shared" si="499"/>
        <v>0</v>
      </c>
      <c r="CZ305" s="54"/>
      <c r="DA305" s="105"/>
      <c r="DB305" s="455">
        <f t="shared" si="472"/>
        <v>0</v>
      </c>
      <c r="DC305" s="495"/>
      <c r="DD305" s="31"/>
      <c r="DF305" s="1133"/>
      <c r="DG305" s="674">
        <f t="shared" si="494"/>
        <v>0</v>
      </c>
      <c r="DH305" s="1119">
        <f t="shared" si="495"/>
        <v>0</v>
      </c>
      <c r="DI305" s="1119"/>
      <c r="DJ305" s="101">
        <f t="shared" si="497"/>
        <v>0</v>
      </c>
      <c r="DK305" s="101"/>
      <c r="DL305" s="101">
        <f t="shared" si="496"/>
        <v>0</v>
      </c>
      <c r="DM305" s="101"/>
      <c r="DN305" s="112"/>
      <c r="DO305" s="112"/>
      <c r="DP305" s="112"/>
      <c r="DQ305" s="112"/>
      <c r="DS305" s="152"/>
      <c r="DT305" s="152"/>
      <c r="DU305" s="152"/>
      <c r="DV305" s="152"/>
      <c r="DW305" s="152"/>
      <c r="DX305" s="152"/>
      <c r="DY305" s="152"/>
      <c r="DZ305" s="152"/>
    </row>
    <row r="306" spans="1:130" s="139" customFormat="1" ht="41.25" customHeight="1" x14ac:dyDescent="0.25">
      <c r="A306" s="4"/>
      <c r="B306" s="4"/>
      <c r="C306" s="134" t="s">
        <v>176</v>
      </c>
      <c r="D306" s="182" t="s">
        <v>431</v>
      </c>
      <c r="E306" s="3" t="s">
        <v>506</v>
      </c>
      <c r="F306" s="135"/>
      <c r="G306" s="135"/>
      <c r="H306" s="135"/>
      <c r="I306" s="135"/>
      <c r="J306" s="135"/>
      <c r="K306" s="135"/>
      <c r="L306" s="183"/>
      <c r="M306" s="1216"/>
      <c r="N306" s="41"/>
      <c r="O306" s="156"/>
      <c r="P306" s="7"/>
      <c r="Q306" s="7"/>
      <c r="R306" s="7"/>
      <c r="S306" s="7"/>
      <c r="T306" s="89"/>
      <c r="U306" s="89"/>
      <c r="V306" s="89"/>
      <c r="W306" s="137"/>
      <c r="X306" s="137"/>
      <c r="Y306" s="90"/>
      <c r="Z306" s="91"/>
      <c r="AA306" s="92"/>
      <c r="AB306" s="92"/>
      <c r="AC306" s="92">
        <f t="shared" ref="AC306:AC329" si="502">AA306+AB306</f>
        <v>0</v>
      </c>
      <c r="AD306" s="93"/>
      <c r="AE306" s="93"/>
      <c r="AF306" s="94">
        <f t="shared" ref="AF306:AF329" si="503">AD306+AE306</f>
        <v>0</v>
      </c>
      <c r="AG306" s="473"/>
      <c r="AH306" s="99"/>
      <c r="AI306" s="99"/>
      <c r="AJ306" s="138">
        <v>240</v>
      </c>
      <c r="AK306" s="138">
        <f t="shared" ref="AK306:AK317" si="504">AJ306/15</f>
        <v>16</v>
      </c>
      <c r="AL306" s="106">
        <f>SUM(AK306:AK329)</f>
        <v>103</v>
      </c>
      <c r="AM306" s="105"/>
      <c r="AN306" s="105">
        <f t="shared" ref="AN306:AN317" si="505">AM306/15</f>
        <v>0</v>
      </c>
      <c r="AO306" s="106">
        <f>SUM(AN306:AN329)</f>
        <v>48</v>
      </c>
      <c r="AP306" s="105"/>
      <c r="AQ306" s="105">
        <f t="shared" si="473"/>
        <v>0</v>
      </c>
      <c r="AR306" s="106">
        <f>SUM(AQ306:AQ329)</f>
        <v>0</v>
      </c>
      <c r="AS306" s="97">
        <f t="shared" si="469"/>
        <v>16</v>
      </c>
      <c r="AT306" s="6">
        <f>SUM(AS306:AS329)</f>
        <v>151</v>
      </c>
      <c r="AU306" s="105"/>
      <c r="AV306" s="455">
        <f t="shared" si="500"/>
        <v>0</v>
      </c>
      <c r="AW306" s="496">
        <f>SUM(AV306:AV329)</f>
        <v>12.333333333333334</v>
      </c>
      <c r="AX306" s="508"/>
      <c r="AY306" s="498">
        <v>115</v>
      </c>
      <c r="AZ306" s="100">
        <f t="shared" ref="AZ306:AZ311" si="506">AY306/15</f>
        <v>7.666666666666667</v>
      </c>
      <c r="BA306" s="106">
        <f>SUM(AZ306:AZ329)</f>
        <v>177.33333333333334</v>
      </c>
      <c r="BB306" s="105"/>
      <c r="BC306" s="105">
        <f t="shared" ref="BC306:BC317" si="507">BB306/15</f>
        <v>0</v>
      </c>
      <c r="BD306" s="106">
        <f>SUM(BC306:BC329)</f>
        <v>0</v>
      </c>
      <c r="BE306" s="105">
        <f t="shared" ref="BE306:BE329" si="508">AK306+AZ306</f>
        <v>23.666666666666668</v>
      </c>
      <c r="BF306" s="106">
        <f>SUM(BE306:BE329)</f>
        <v>280.33333333333331</v>
      </c>
      <c r="BG306" s="100">
        <f t="shared" si="492"/>
        <v>0</v>
      </c>
      <c r="BH306" s="106">
        <f>SUM(BG306:BG329)</f>
        <v>48</v>
      </c>
      <c r="BI306" s="100">
        <f t="shared" si="493"/>
        <v>0</v>
      </c>
      <c r="BJ306" s="106">
        <f>SUM(BI306:BI329)</f>
        <v>12.333333333333334</v>
      </c>
      <c r="BK306" s="101">
        <f t="shared" si="470"/>
        <v>23.666666666666668</v>
      </c>
      <c r="BL306" s="106">
        <f>SUM(BK306:BK329)</f>
        <v>340.66666666666669</v>
      </c>
      <c r="BM306" s="104"/>
      <c r="BN306" s="104"/>
      <c r="BO306" s="105">
        <v>1200</v>
      </c>
      <c r="BP306" s="105">
        <f t="shared" si="501"/>
        <v>24</v>
      </c>
      <c r="BQ306" s="106">
        <f>SUM(BP306:BP329)</f>
        <v>234</v>
      </c>
      <c r="BR306" s="105"/>
      <c r="BS306" s="105">
        <f t="shared" si="468"/>
        <v>0</v>
      </c>
      <c r="BT306" s="106">
        <f>SUM(BS306:BS329)</f>
        <v>78</v>
      </c>
      <c r="BU306" s="53"/>
      <c r="BV306" s="53">
        <f t="shared" ref="BV306:BV329" si="509">BU306/50</f>
        <v>0</v>
      </c>
      <c r="BW306" s="54">
        <f>SUM(BV306:BV329)</f>
        <v>23</v>
      </c>
      <c r="BX306" s="350">
        <f t="shared" si="471"/>
        <v>24</v>
      </c>
      <c r="BY306" s="6">
        <f>SUM(BX306:BX329)</f>
        <v>335</v>
      </c>
      <c r="BZ306" s="6">
        <f t="shared" si="474"/>
        <v>-0.33333333333333215</v>
      </c>
      <c r="CA306" s="508"/>
      <c r="CB306" s="7"/>
      <c r="CC306" s="7"/>
      <c r="CD306" s="7"/>
      <c r="CE306" s="504"/>
      <c r="CF306" s="105"/>
      <c r="CG306" s="105">
        <f t="shared" si="446"/>
        <v>0</v>
      </c>
      <c r="CH306" s="105"/>
      <c r="CI306" s="105"/>
      <c r="CJ306" s="105">
        <f t="shared" si="447"/>
        <v>0</v>
      </c>
      <c r="CK306" s="524"/>
      <c r="CL306" s="53">
        <f t="shared" ref="CL306:CL317" si="510">CK306/15</f>
        <v>0</v>
      </c>
      <c r="CM306" s="54">
        <f>SUM(CL306:CL329)</f>
        <v>0</v>
      </c>
      <c r="CN306" s="105"/>
      <c r="CO306" s="100">
        <f t="shared" si="498"/>
        <v>0</v>
      </c>
      <c r="CP306" s="496">
        <f>SUM(CO306:CO329)</f>
        <v>0</v>
      </c>
      <c r="CQ306" s="439"/>
      <c r="CR306" s="504"/>
      <c r="CS306" s="105"/>
      <c r="CT306" s="105">
        <f t="shared" si="490"/>
        <v>0</v>
      </c>
      <c r="CU306" s="105"/>
      <c r="CV306" s="105"/>
      <c r="CW306" s="105">
        <f t="shared" si="491"/>
        <v>0</v>
      </c>
      <c r="CX306" s="53"/>
      <c r="CY306" s="109">
        <f t="shared" si="499"/>
        <v>0</v>
      </c>
      <c r="CZ306" s="54">
        <f>SUM(CY306:CY329)</f>
        <v>0</v>
      </c>
      <c r="DA306" s="105"/>
      <c r="DB306" s="455">
        <f t="shared" si="472"/>
        <v>0</v>
      </c>
      <c r="DC306" s="495">
        <f>SUM(DB306:DB329)</f>
        <v>0</v>
      </c>
      <c r="DD306" s="24"/>
      <c r="DE306" s="158" t="s">
        <v>507</v>
      </c>
      <c r="DF306" s="1133"/>
      <c r="DG306" s="674">
        <f t="shared" si="494"/>
        <v>0</v>
      </c>
      <c r="DH306" s="1119">
        <f t="shared" si="495"/>
        <v>0</v>
      </c>
      <c r="DI306" s="1119"/>
      <c r="DJ306" s="101">
        <f t="shared" si="497"/>
        <v>23.666666666666668</v>
      </c>
      <c r="DK306" s="101">
        <f>SUM(DJ306:DJ329)</f>
        <v>340.66666666666669</v>
      </c>
      <c r="DL306" s="101">
        <f t="shared" si="496"/>
        <v>0</v>
      </c>
      <c r="DM306" s="101"/>
      <c r="DN306" s="112"/>
      <c r="DO306" s="112"/>
      <c r="DP306" s="112"/>
      <c r="DQ306" s="112"/>
      <c r="DR306" s="251"/>
      <c r="DS306" s="140"/>
      <c r="DT306" s="140"/>
      <c r="DU306" s="140"/>
      <c r="DV306" s="140"/>
      <c r="DW306" s="140"/>
      <c r="DX306" s="140"/>
      <c r="DY306" s="140"/>
      <c r="DZ306" s="140"/>
    </row>
    <row r="307" spans="1:130" s="139" customFormat="1" ht="33" customHeight="1" x14ac:dyDescent="0.25">
      <c r="A307" s="4" t="s">
        <v>130</v>
      </c>
      <c r="B307" s="4">
        <v>2</v>
      </c>
      <c r="C307" s="134" t="s">
        <v>176</v>
      </c>
      <c r="D307" s="182" t="s">
        <v>431</v>
      </c>
      <c r="E307" s="13" t="s">
        <v>319</v>
      </c>
      <c r="F307" s="135">
        <v>74</v>
      </c>
      <c r="G307" s="135">
        <v>1</v>
      </c>
      <c r="H307" s="135">
        <f t="shared" ref="H307:H322" si="511">F307+G307</f>
        <v>75</v>
      </c>
      <c r="I307" s="135">
        <v>14.63</v>
      </c>
      <c r="J307" s="135">
        <v>20.23</v>
      </c>
      <c r="K307" s="135">
        <f t="shared" ref="K307:K322" si="512">I307+J307</f>
        <v>34.86</v>
      </c>
      <c r="L307" s="183"/>
      <c r="M307" s="1216"/>
      <c r="N307" s="41"/>
      <c r="O307" s="6"/>
      <c r="P307" s="7"/>
      <c r="Q307" s="7"/>
      <c r="R307" s="7"/>
      <c r="S307" s="7"/>
      <c r="T307" s="89"/>
      <c r="U307" s="89"/>
      <c r="V307" s="89">
        <f t="shared" ref="V307:V327" si="513">T307+U307</f>
        <v>0</v>
      </c>
      <c r="W307" s="137"/>
      <c r="X307" s="137"/>
      <c r="Y307" s="90">
        <f t="shared" ref="Y307:Y324" si="514">W307+X307</f>
        <v>0</v>
      </c>
      <c r="Z307" s="91"/>
      <c r="AA307" s="92"/>
      <c r="AB307" s="92"/>
      <c r="AC307" s="92">
        <f t="shared" si="502"/>
        <v>0</v>
      </c>
      <c r="AD307" s="93"/>
      <c r="AE307" s="93"/>
      <c r="AF307" s="94">
        <f t="shared" si="503"/>
        <v>0</v>
      </c>
      <c r="AG307" s="473"/>
      <c r="AH307" s="99">
        <v>60</v>
      </c>
      <c r="AI307" s="99">
        <f t="shared" ref="AI307:AI329" si="515">AH307/15</f>
        <v>4</v>
      </c>
      <c r="AJ307" s="138"/>
      <c r="AK307" s="138">
        <f t="shared" si="504"/>
        <v>0</v>
      </c>
      <c r="AL307" s="106"/>
      <c r="AM307" s="105">
        <v>60</v>
      </c>
      <c r="AN307" s="105">
        <f t="shared" si="505"/>
        <v>4</v>
      </c>
      <c r="AO307" s="106"/>
      <c r="AP307" s="105"/>
      <c r="AQ307" s="105">
        <f t="shared" si="473"/>
        <v>0</v>
      </c>
      <c r="AR307" s="106"/>
      <c r="AS307" s="97">
        <f t="shared" si="469"/>
        <v>4</v>
      </c>
      <c r="AT307" s="6"/>
      <c r="AU307" s="105"/>
      <c r="AV307" s="455">
        <f t="shared" si="500"/>
        <v>0</v>
      </c>
      <c r="AW307" s="496"/>
      <c r="AX307" s="508"/>
      <c r="AY307" s="498">
        <v>85</v>
      </c>
      <c r="AZ307" s="100">
        <f t="shared" si="506"/>
        <v>5.666666666666667</v>
      </c>
      <c r="BA307" s="101"/>
      <c r="BB307" s="100"/>
      <c r="BC307" s="100">
        <f t="shared" si="507"/>
        <v>0</v>
      </c>
      <c r="BD307" s="101"/>
      <c r="BE307" s="105">
        <f t="shared" si="508"/>
        <v>5.666666666666667</v>
      </c>
      <c r="BF307" s="106"/>
      <c r="BG307" s="100">
        <f t="shared" si="492"/>
        <v>4</v>
      </c>
      <c r="BH307" s="106"/>
      <c r="BI307" s="100">
        <f t="shared" si="493"/>
        <v>0</v>
      </c>
      <c r="BJ307" s="106"/>
      <c r="BK307" s="101">
        <f t="shared" si="470"/>
        <v>9.6666666666666679</v>
      </c>
      <c r="BL307" s="106"/>
      <c r="BM307" s="104">
        <v>542.5</v>
      </c>
      <c r="BN307" s="104">
        <f t="shared" ref="BN307:BN329" si="516">BM307/50</f>
        <v>10.85</v>
      </c>
      <c r="BO307" s="105"/>
      <c r="BP307" s="105">
        <f t="shared" si="501"/>
        <v>0</v>
      </c>
      <c r="BQ307" s="106"/>
      <c r="BR307" s="105">
        <v>450</v>
      </c>
      <c r="BS307" s="105">
        <f t="shared" si="468"/>
        <v>9</v>
      </c>
      <c r="BT307" s="106"/>
      <c r="BU307" s="53"/>
      <c r="BV307" s="53">
        <f t="shared" si="509"/>
        <v>0</v>
      </c>
      <c r="BW307" s="54"/>
      <c r="BX307" s="350">
        <f t="shared" si="471"/>
        <v>9</v>
      </c>
      <c r="BY307" s="6"/>
      <c r="BZ307" s="6">
        <f t="shared" si="474"/>
        <v>0.66666666666666785</v>
      </c>
      <c r="CA307" s="508"/>
      <c r="CB307" s="7"/>
      <c r="CC307" s="7"/>
      <c r="CD307" s="7"/>
      <c r="CE307" s="504"/>
      <c r="CF307" s="105"/>
      <c r="CG307" s="105">
        <f t="shared" si="446"/>
        <v>0</v>
      </c>
      <c r="CH307" s="105"/>
      <c r="CI307" s="105"/>
      <c r="CJ307" s="105">
        <f t="shared" si="447"/>
        <v>0</v>
      </c>
      <c r="CK307" s="523"/>
      <c r="CL307" s="102">
        <f t="shared" si="510"/>
        <v>0</v>
      </c>
      <c r="CM307" s="103"/>
      <c r="CN307" s="100"/>
      <c r="CO307" s="100">
        <f t="shared" si="498"/>
        <v>0</v>
      </c>
      <c r="CP307" s="515"/>
      <c r="CQ307" s="441"/>
      <c r="CR307" s="504"/>
      <c r="CS307" s="105"/>
      <c r="CT307" s="105">
        <f t="shared" si="490"/>
        <v>0</v>
      </c>
      <c r="CU307" s="105"/>
      <c r="CV307" s="105"/>
      <c r="CW307" s="105">
        <f t="shared" si="491"/>
        <v>0</v>
      </c>
      <c r="CX307" s="53"/>
      <c r="CY307" s="109">
        <f t="shared" si="499"/>
        <v>0</v>
      </c>
      <c r="CZ307" s="54"/>
      <c r="DA307" s="105"/>
      <c r="DB307" s="455">
        <f t="shared" si="472"/>
        <v>0</v>
      </c>
      <c r="DC307" s="495"/>
      <c r="DD307" s="24" t="s">
        <v>321</v>
      </c>
      <c r="DF307" s="1133"/>
      <c r="DG307" s="674">
        <f t="shared" si="494"/>
        <v>0</v>
      </c>
      <c r="DH307" s="1119">
        <f t="shared" si="495"/>
        <v>0</v>
      </c>
      <c r="DI307" s="1119"/>
      <c r="DJ307" s="101">
        <f t="shared" si="497"/>
        <v>9.6666666666666679</v>
      </c>
      <c r="DK307" s="101"/>
      <c r="DL307" s="101">
        <f t="shared" si="496"/>
        <v>0</v>
      </c>
      <c r="DM307" s="101"/>
      <c r="DN307" s="112"/>
      <c r="DO307" s="112"/>
      <c r="DP307" s="112"/>
      <c r="DQ307" s="112"/>
      <c r="DS307" s="140"/>
      <c r="DT307" s="140"/>
      <c r="DU307" s="140"/>
      <c r="DV307" s="140"/>
      <c r="DW307" s="140"/>
      <c r="DX307" s="140"/>
      <c r="DY307" s="140"/>
      <c r="DZ307" s="140"/>
    </row>
    <row r="308" spans="1:130" ht="21.6" customHeight="1" x14ac:dyDescent="0.25">
      <c r="A308" s="4" t="s">
        <v>130</v>
      </c>
      <c r="B308" s="4">
        <v>3</v>
      </c>
      <c r="C308" s="166" t="s">
        <v>176</v>
      </c>
      <c r="D308" s="167"/>
      <c r="E308" s="1" t="s">
        <v>178</v>
      </c>
      <c r="F308" s="162">
        <v>16</v>
      </c>
      <c r="G308" s="162">
        <v>9</v>
      </c>
      <c r="H308" s="162">
        <f t="shared" si="511"/>
        <v>25</v>
      </c>
      <c r="I308" s="162">
        <v>18.5</v>
      </c>
      <c r="J308" s="162"/>
      <c r="K308" s="162">
        <f t="shared" si="512"/>
        <v>18.5</v>
      </c>
      <c r="L308" s="168"/>
      <c r="M308" s="1216"/>
      <c r="N308" s="41"/>
      <c r="O308" s="6"/>
      <c r="P308" s="7"/>
      <c r="Q308" s="7"/>
      <c r="R308" s="7"/>
      <c r="S308" s="7"/>
      <c r="T308" s="89"/>
      <c r="U308" s="89"/>
      <c r="V308" s="89">
        <f t="shared" si="513"/>
        <v>0</v>
      </c>
      <c r="W308" s="137"/>
      <c r="X308" s="137"/>
      <c r="Y308" s="90">
        <f t="shared" si="514"/>
        <v>0</v>
      </c>
      <c r="Z308" s="169"/>
      <c r="AA308" s="92"/>
      <c r="AB308" s="92"/>
      <c r="AC308" s="92">
        <f t="shared" si="502"/>
        <v>0</v>
      </c>
      <c r="AD308" s="93"/>
      <c r="AE308" s="93"/>
      <c r="AF308" s="94">
        <f t="shared" si="503"/>
        <v>0</v>
      </c>
      <c r="AG308" s="475"/>
      <c r="AH308" s="99"/>
      <c r="AI308" s="99">
        <f t="shared" si="515"/>
        <v>0</v>
      </c>
      <c r="AJ308" s="138"/>
      <c r="AK308" s="138">
        <f t="shared" si="504"/>
        <v>0</v>
      </c>
      <c r="AL308" s="106"/>
      <c r="AM308" s="105"/>
      <c r="AN308" s="105">
        <f t="shared" si="505"/>
        <v>0</v>
      </c>
      <c r="AO308" s="106"/>
      <c r="AP308" s="105"/>
      <c r="AQ308" s="105">
        <f t="shared" si="473"/>
        <v>0</v>
      </c>
      <c r="AR308" s="106"/>
      <c r="AS308" s="97">
        <f t="shared" si="469"/>
        <v>0</v>
      </c>
      <c r="AT308" s="6"/>
      <c r="AU308" s="105"/>
      <c r="AV308" s="455">
        <f t="shared" si="500"/>
        <v>0</v>
      </c>
      <c r="AW308" s="496"/>
      <c r="AX308" s="508"/>
      <c r="AY308" s="498"/>
      <c r="AZ308" s="100">
        <f t="shared" si="506"/>
        <v>0</v>
      </c>
      <c r="BA308" s="101"/>
      <c r="BB308" s="100"/>
      <c r="BC308" s="100">
        <f t="shared" si="507"/>
        <v>0</v>
      </c>
      <c r="BD308" s="101"/>
      <c r="BE308" s="105">
        <f t="shared" si="508"/>
        <v>0</v>
      </c>
      <c r="BF308" s="106"/>
      <c r="BG308" s="100">
        <f t="shared" si="492"/>
        <v>0</v>
      </c>
      <c r="BH308" s="106"/>
      <c r="BI308" s="100">
        <f t="shared" si="493"/>
        <v>0</v>
      </c>
      <c r="BJ308" s="106"/>
      <c r="BK308" s="101">
        <f t="shared" si="470"/>
        <v>0</v>
      </c>
      <c r="BL308" s="106"/>
      <c r="BM308" s="104"/>
      <c r="BN308" s="104">
        <f t="shared" si="516"/>
        <v>0</v>
      </c>
      <c r="BO308" s="105"/>
      <c r="BP308" s="105">
        <f t="shared" si="501"/>
        <v>0</v>
      </c>
      <c r="BQ308" s="106"/>
      <c r="BR308" s="105"/>
      <c r="BS308" s="105">
        <f t="shared" si="468"/>
        <v>0</v>
      </c>
      <c r="BT308" s="106"/>
      <c r="BU308" s="53"/>
      <c r="BV308" s="53">
        <f t="shared" si="509"/>
        <v>0</v>
      </c>
      <c r="BW308" s="54"/>
      <c r="BX308" s="350">
        <f t="shared" si="471"/>
        <v>0</v>
      </c>
      <c r="BY308" s="6"/>
      <c r="BZ308" s="6">
        <f t="shared" si="474"/>
        <v>0</v>
      </c>
      <c r="CA308" s="508"/>
      <c r="CB308" s="165"/>
      <c r="CC308" s="165"/>
      <c r="CD308" s="165"/>
      <c r="CE308" s="504"/>
      <c r="CF308" s="105"/>
      <c r="CG308" s="105">
        <f t="shared" si="446"/>
        <v>0</v>
      </c>
      <c r="CH308" s="105"/>
      <c r="CI308" s="105"/>
      <c r="CJ308" s="105">
        <f t="shared" si="447"/>
        <v>0</v>
      </c>
      <c r="CK308" s="523"/>
      <c r="CL308" s="102">
        <f t="shared" si="510"/>
        <v>0</v>
      </c>
      <c r="CM308" s="103"/>
      <c r="CN308" s="100"/>
      <c r="CO308" s="100">
        <f t="shared" si="498"/>
        <v>0</v>
      </c>
      <c r="CP308" s="515"/>
      <c r="CQ308" s="441"/>
      <c r="CR308" s="504"/>
      <c r="CS308" s="105"/>
      <c r="CT308" s="105">
        <f t="shared" si="490"/>
        <v>0</v>
      </c>
      <c r="CU308" s="105"/>
      <c r="CV308" s="105"/>
      <c r="CW308" s="105">
        <f t="shared" si="491"/>
        <v>0</v>
      </c>
      <c r="CX308" s="53"/>
      <c r="CY308" s="109">
        <f t="shared" si="499"/>
        <v>0</v>
      </c>
      <c r="CZ308" s="54"/>
      <c r="DA308" s="105"/>
      <c r="DB308" s="455">
        <f t="shared" si="472"/>
        <v>0</v>
      </c>
      <c r="DC308" s="495"/>
      <c r="DD308" s="25"/>
      <c r="DF308" s="1133"/>
      <c r="DG308" s="674">
        <f t="shared" si="494"/>
        <v>0</v>
      </c>
      <c r="DH308" s="1119">
        <f t="shared" si="495"/>
        <v>0</v>
      </c>
      <c r="DI308" s="1119"/>
      <c r="DJ308" s="101">
        <f t="shared" si="497"/>
        <v>0</v>
      </c>
      <c r="DK308" s="101"/>
      <c r="DL308" s="101">
        <f t="shared" si="496"/>
        <v>0</v>
      </c>
      <c r="DM308" s="101"/>
      <c r="DN308" s="112"/>
      <c r="DO308" s="112"/>
      <c r="DP308" s="112"/>
      <c r="DQ308" s="112"/>
    </row>
    <row r="309" spans="1:130" s="139" customFormat="1" ht="21.6" customHeight="1" x14ac:dyDescent="0.25">
      <c r="A309" s="4" t="s">
        <v>130</v>
      </c>
      <c r="B309" s="4">
        <v>4</v>
      </c>
      <c r="C309" s="134" t="s">
        <v>176</v>
      </c>
      <c r="D309" s="182" t="s">
        <v>431</v>
      </c>
      <c r="E309" s="13" t="s">
        <v>179</v>
      </c>
      <c r="F309" s="135">
        <v>48</v>
      </c>
      <c r="G309" s="135">
        <v>2</v>
      </c>
      <c r="H309" s="135">
        <f t="shared" si="511"/>
        <v>50</v>
      </c>
      <c r="I309" s="135">
        <v>13</v>
      </c>
      <c r="J309" s="135">
        <v>5</v>
      </c>
      <c r="K309" s="135">
        <f t="shared" si="512"/>
        <v>18</v>
      </c>
      <c r="L309" s="183"/>
      <c r="M309" s="1216"/>
      <c r="N309" s="41"/>
      <c r="O309" s="6"/>
      <c r="P309" s="7"/>
      <c r="Q309" s="7"/>
      <c r="R309" s="7"/>
      <c r="S309" s="7"/>
      <c r="T309" s="89"/>
      <c r="U309" s="89"/>
      <c r="V309" s="89">
        <f t="shared" si="513"/>
        <v>0</v>
      </c>
      <c r="W309" s="137"/>
      <c r="X309" s="137"/>
      <c r="Y309" s="90">
        <f t="shared" si="514"/>
        <v>0</v>
      </c>
      <c r="Z309" s="91"/>
      <c r="AA309" s="92"/>
      <c r="AB309" s="92"/>
      <c r="AC309" s="92">
        <f t="shared" si="502"/>
        <v>0</v>
      </c>
      <c r="AD309" s="93"/>
      <c r="AE309" s="93"/>
      <c r="AF309" s="94">
        <f t="shared" si="503"/>
        <v>0</v>
      </c>
      <c r="AG309" s="473"/>
      <c r="AH309" s="99">
        <v>60</v>
      </c>
      <c r="AI309" s="99">
        <f t="shared" si="515"/>
        <v>4</v>
      </c>
      <c r="AJ309" s="138"/>
      <c r="AK309" s="138">
        <f t="shared" si="504"/>
        <v>0</v>
      </c>
      <c r="AL309" s="106"/>
      <c r="AM309" s="105">
        <v>60</v>
      </c>
      <c r="AN309" s="105">
        <f t="shared" si="505"/>
        <v>4</v>
      </c>
      <c r="AO309" s="106"/>
      <c r="AP309" s="105"/>
      <c r="AQ309" s="105">
        <f t="shared" si="473"/>
        <v>0</v>
      </c>
      <c r="AR309" s="106"/>
      <c r="AS309" s="97">
        <f t="shared" si="469"/>
        <v>4</v>
      </c>
      <c r="AT309" s="6"/>
      <c r="AU309" s="105"/>
      <c r="AV309" s="455">
        <f t="shared" si="500"/>
        <v>0</v>
      </c>
      <c r="AW309" s="496"/>
      <c r="AX309" s="508"/>
      <c r="AY309" s="498">
        <v>30</v>
      </c>
      <c r="AZ309" s="100">
        <f t="shared" si="506"/>
        <v>2</v>
      </c>
      <c r="BA309" s="101"/>
      <c r="BB309" s="100"/>
      <c r="BC309" s="100">
        <f t="shared" si="507"/>
        <v>0</v>
      </c>
      <c r="BD309" s="101"/>
      <c r="BE309" s="105">
        <f t="shared" si="508"/>
        <v>2</v>
      </c>
      <c r="BF309" s="106"/>
      <c r="BG309" s="100">
        <f t="shared" si="492"/>
        <v>4</v>
      </c>
      <c r="BH309" s="106"/>
      <c r="BI309" s="100">
        <f t="shared" si="493"/>
        <v>0</v>
      </c>
      <c r="BJ309" s="106"/>
      <c r="BK309" s="101">
        <f t="shared" si="470"/>
        <v>6</v>
      </c>
      <c r="BL309" s="106"/>
      <c r="BM309" s="104">
        <v>575</v>
      </c>
      <c r="BN309" s="104">
        <f t="shared" si="516"/>
        <v>11.5</v>
      </c>
      <c r="BO309" s="105"/>
      <c r="BP309" s="105">
        <f t="shared" si="501"/>
        <v>0</v>
      </c>
      <c r="BQ309" s="106"/>
      <c r="BR309" s="105">
        <f>200+100</f>
        <v>300</v>
      </c>
      <c r="BS309" s="105">
        <f t="shared" si="468"/>
        <v>6</v>
      </c>
      <c r="BT309" s="106"/>
      <c r="BU309" s="53"/>
      <c r="BV309" s="53">
        <f t="shared" si="509"/>
        <v>0</v>
      </c>
      <c r="BW309" s="54"/>
      <c r="BX309" s="350">
        <f t="shared" si="471"/>
        <v>6</v>
      </c>
      <c r="BY309" s="6"/>
      <c r="BZ309" s="6">
        <f t="shared" si="474"/>
        <v>0</v>
      </c>
      <c r="CA309" s="508"/>
      <c r="CB309" s="7"/>
      <c r="CC309" s="7"/>
      <c r="CD309" s="7"/>
      <c r="CE309" s="504"/>
      <c r="CF309" s="105"/>
      <c r="CG309" s="105">
        <f t="shared" si="446"/>
        <v>0</v>
      </c>
      <c r="CH309" s="105"/>
      <c r="CI309" s="105"/>
      <c r="CJ309" s="105">
        <f t="shared" si="447"/>
        <v>0</v>
      </c>
      <c r="CK309" s="523"/>
      <c r="CL309" s="102">
        <f t="shared" si="510"/>
        <v>0</v>
      </c>
      <c r="CM309" s="103"/>
      <c r="CN309" s="100"/>
      <c r="CO309" s="100">
        <f t="shared" si="498"/>
        <v>0</v>
      </c>
      <c r="CP309" s="515"/>
      <c r="CQ309" s="441"/>
      <c r="CR309" s="504"/>
      <c r="CS309" s="105"/>
      <c r="CT309" s="105">
        <f t="shared" si="490"/>
        <v>0</v>
      </c>
      <c r="CU309" s="105"/>
      <c r="CV309" s="105"/>
      <c r="CW309" s="105">
        <f t="shared" si="491"/>
        <v>0</v>
      </c>
      <c r="CX309" s="53"/>
      <c r="CY309" s="109">
        <f t="shared" si="499"/>
        <v>0</v>
      </c>
      <c r="CZ309" s="54"/>
      <c r="DA309" s="105"/>
      <c r="DB309" s="455">
        <f t="shared" si="472"/>
        <v>0</v>
      </c>
      <c r="DC309" s="495"/>
      <c r="DD309" s="24" t="s">
        <v>321</v>
      </c>
      <c r="DF309" s="1133"/>
      <c r="DG309" s="674">
        <f t="shared" si="494"/>
        <v>0</v>
      </c>
      <c r="DH309" s="1119">
        <f t="shared" si="495"/>
        <v>0</v>
      </c>
      <c r="DI309" s="1119"/>
      <c r="DJ309" s="101">
        <f t="shared" si="497"/>
        <v>6</v>
      </c>
      <c r="DK309" s="101"/>
      <c r="DL309" s="101">
        <f t="shared" si="496"/>
        <v>0</v>
      </c>
      <c r="DM309" s="101"/>
      <c r="DN309" s="112"/>
      <c r="DO309" s="112"/>
      <c r="DP309" s="112"/>
      <c r="DQ309" s="112"/>
      <c r="DS309" s="140"/>
      <c r="DT309" s="140"/>
      <c r="DU309" s="140"/>
      <c r="DV309" s="140"/>
      <c r="DW309" s="140"/>
      <c r="DX309" s="140"/>
      <c r="DY309" s="140"/>
      <c r="DZ309" s="140"/>
    </row>
    <row r="310" spans="1:130" s="139" customFormat="1" ht="21.6" customHeight="1" x14ac:dyDescent="0.25">
      <c r="A310" s="4" t="s">
        <v>130</v>
      </c>
      <c r="B310" s="4">
        <v>5</v>
      </c>
      <c r="C310" s="134" t="s">
        <v>176</v>
      </c>
      <c r="D310" s="182" t="s">
        <v>431</v>
      </c>
      <c r="E310" s="13" t="s">
        <v>180</v>
      </c>
      <c r="F310" s="135">
        <v>32</v>
      </c>
      <c r="G310" s="135">
        <v>18</v>
      </c>
      <c r="H310" s="135">
        <f t="shared" si="511"/>
        <v>50</v>
      </c>
      <c r="I310" s="135">
        <v>12.2</v>
      </c>
      <c r="J310" s="135">
        <v>10.225</v>
      </c>
      <c r="K310" s="135">
        <f t="shared" si="512"/>
        <v>22.424999999999997</v>
      </c>
      <c r="L310" s="183"/>
      <c r="M310" s="1216"/>
      <c r="N310" s="41"/>
      <c r="O310" s="6"/>
      <c r="P310" s="7"/>
      <c r="Q310" s="7"/>
      <c r="R310" s="7"/>
      <c r="S310" s="7"/>
      <c r="T310" s="89"/>
      <c r="U310" s="89"/>
      <c r="V310" s="89">
        <f t="shared" si="513"/>
        <v>0</v>
      </c>
      <c r="W310" s="137"/>
      <c r="X310" s="137"/>
      <c r="Y310" s="90">
        <f t="shared" si="514"/>
        <v>0</v>
      </c>
      <c r="Z310" s="91"/>
      <c r="AA310" s="92"/>
      <c r="AB310" s="92"/>
      <c r="AC310" s="92">
        <f t="shared" si="502"/>
        <v>0</v>
      </c>
      <c r="AD310" s="93"/>
      <c r="AE310" s="93"/>
      <c r="AF310" s="94">
        <f t="shared" si="503"/>
        <v>0</v>
      </c>
      <c r="AG310" s="473"/>
      <c r="AH310" s="99">
        <v>75</v>
      </c>
      <c r="AI310" s="99">
        <f t="shared" si="515"/>
        <v>5</v>
      </c>
      <c r="AJ310" s="138"/>
      <c r="AK310" s="138">
        <f t="shared" si="504"/>
        <v>0</v>
      </c>
      <c r="AL310" s="106"/>
      <c r="AM310" s="105">
        <v>75</v>
      </c>
      <c r="AN310" s="105">
        <f t="shared" si="505"/>
        <v>5</v>
      </c>
      <c r="AO310" s="106"/>
      <c r="AP310" s="105"/>
      <c r="AQ310" s="105">
        <f t="shared" si="473"/>
        <v>0</v>
      </c>
      <c r="AR310" s="106"/>
      <c r="AS310" s="97">
        <f t="shared" si="469"/>
        <v>5</v>
      </c>
      <c r="AT310" s="6"/>
      <c r="AU310" s="105"/>
      <c r="AV310" s="455">
        <f t="shared" si="500"/>
        <v>0</v>
      </c>
      <c r="AW310" s="496"/>
      <c r="AX310" s="508"/>
      <c r="AY310" s="498">
        <v>45</v>
      </c>
      <c r="AZ310" s="100">
        <f t="shared" si="506"/>
        <v>3</v>
      </c>
      <c r="BA310" s="101"/>
      <c r="BB310" s="100"/>
      <c r="BC310" s="100">
        <f t="shared" si="507"/>
        <v>0</v>
      </c>
      <c r="BD310" s="101"/>
      <c r="BE310" s="105">
        <f t="shared" si="508"/>
        <v>3</v>
      </c>
      <c r="BF310" s="106"/>
      <c r="BG310" s="100">
        <f t="shared" si="492"/>
        <v>5</v>
      </c>
      <c r="BH310" s="106"/>
      <c r="BI310" s="100">
        <f t="shared" si="493"/>
        <v>0</v>
      </c>
      <c r="BJ310" s="106"/>
      <c r="BK310" s="101">
        <f t="shared" si="470"/>
        <v>8</v>
      </c>
      <c r="BL310" s="106"/>
      <c r="BM310" s="104">
        <v>697.5</v>
      </c>
      <c r="BN310" s="104">
        <f t="shared" si="516"/>
        <v>13.95</v>
      </c>
      <c r="BO310" s="105"/>
      <c r="BP310" s="105">
        <f t="shared" si="501"/>
        <v>0</v>
      </c>
      <c r="BQ310" s="106"/>
      <c r="BR310" s="105">
        <f>250+100</f>
        <v>350</v>
      </c>
      <c r="BS310" s="105">
        <f t="shared" si="468"/>
        <v>7</v>
      </c>
      <c r="BT310" s="106"/>
      <c r="BU310" s="53"/>
      <c r="BV310" s="53">
        <f t="shared" si="509"/>
        <v>0</v>
      </c>
      <c r="BW310" s="54"/>
      <c r="BX310" s="350">
        <f t="shared" si="471"/>
        <v>7</v>
      </c>
      <c r="BY310" s="6"/>
      <c r="BZ310" s="6">
        <f t="shared" si="474"/>
        <v>1</v>
      </c>
      <c r="CA310" s="508"/>
      <c r="CB310" s="7"/>
      <c r="CC310" s="7"/>
      <c r="CD310" s="7"/>
      <c r="CE310" s="504"/>
      <c r="CF310" s="105"/>
      <c r="CG310" s="105">
        <f t="shared" si="446"/>
        <v>0</v>
      </c>
      <c r="CH310" s="105"/>
      <c r="CI310" s="105"/>
      <c r="CJ310" s="105">
        <f t="shared" si="447"/>
        <v>0</v>
      </c>
      <c r="CK310" s="523"/>
      <c r="CL310" s="102">
        <f t="shared" si="510"/>
        <v>0</v>
      </c>
      <c r="CM310" s="103"/>
      <c r="CN310" s="100"/>
      <c r="CO310" s="100">
        <f t="shared" si="498"/>
        <v>0</v>
      </c>
      <c r="CP310" s="515"/>
      <c r="CQ310" s="441"/>
      <c r="CR310" s="504"/>
      <c r="CS310" s="105"/>
      <c r="CT310" s="105">
        <f t="shared" si="490"/>
        <v>0</v>
      </c>
      <c r="CU310" s="105"/>
      <c r="CV310" s="105"/>
      <c r="CW310" s="105">
        <f t="shared" si="491"/>
        <v>0</v>
      </c>
      <c r="CX310" s="53"/>
      <c r="CY310" s="109">
        <f t="shared" si="499"/>
        <v>0</v>
      </c>
      <c r="CZ310" s="54"/>
      <c r="DA310" s="105"/>
      <c r="DB310" s="455">
        <f t="shared" si="472"/>
        <v>0</v>
      </c>
      <c r="DC310" s="495"/>
      <c r="DD310" s="24" t="s">
        <v>321</v>
      </c>
      <c r="DF310" s="1133"/>
      <c r="DG310" s="674">
        <f t="shared" si="494"/>
        <v>0</v>
      </c>
      <c r="DH310" s="1119">
        <f t="shared" si="495"/>
        <v>0</v>
      </c>
      <c r="DI310" s="1119"/>
      <c r="DJ310" s="101">
        <f t="shared" si="497"/>
        <v>8</v>
      </c>
      <c r="DK310" s="101"/>
      <c r="DL310" s="101">
        <f t="shared" si="496"/>
        <v>0</v>
      </c>
      <c r="DM310" s="101"/>
      <c r="DN310" s="112"/>
      <c r="DO310" s="112"/>
      <c r="DP310" s="112"/>
      <c r="DQ310" s="112"/>
      <c r="DS310" s="140"/>
      <c r="DT310" s="140"/>
      <c r="DU310" s="140"/>
      <c r="DV310" s="140"/>
      <c r="DW310" s="140"/>
      <c r="DX310" s="140"/>
      <c r="DY310" s="140"/>
      <c r="DZ310" s="140"/>
    </row>
    <row r="311" spans="1:130" ht="21.6" customHeight="1" x14ac:dyDescent="0.25">
      <c r="A311" s="4" t="s">
        <v>130</v>
      </c>
      <c r="B311" s="4">
        <v>6</v>
      </c>
      <c r="C311" s="166" t="s">
        <v>176</v>
      </c>
      <c r="D311" s="167"/>
      <c r="E311" s="1" t="s">
        <v>181</v>
      </c>
      <c r="F311" s="162">
        <v>95</v>
      </c>
      <c r="G311" s="162">
        <v>5</v>
      </c>
      <c r="H311" s="162">
        <f t="shared" si="511"/>
        <v>100</v>
      </c>
      <c r="I311" s="162">
        <v>33.049999999999997</v>
      </c>
      <c r="J311" s="162">
        <v>10.7</v>
      </c>
      <c r="K311" s="162">
        <f t="shared" si="512"/>
        <v>43.75</v>
      </c>
      <c r="L311" s="168"/>
      <c r="M311" s="1216"/>
      <c r="N311" s="41"/>
      <c r="O311" s="6"/>
      <c r="P311" s="7"/>
      <c r="Q311" s="7"/>
      <c r="R311" s="7"/>
      <c r="S311" s="7"/>
      <c r="T311" s="89"/>
      <c r="U311" s="89"/>
      <c r="V311" s="89">
        <f t="shared" si="513"/>
        <v>0</v>
      </c>
      <c r="W311" s="137"/>
      <c r="X311" s="137"/>
      <c r="Y311" s="90">
        <f t="shared" si="514"/>
        <v>0</v>
      </c>
      <c r="Z311" s="169"/>
      <c r="AA311" s="92"/>
      <c r="AB311" s="92"/>
      <c r="AC311" s="92">
        <f t="shared" si="502"/>
        <v>0</v>
      </c>
      <c r="AD311" s="93"/>
      <c r="AE311" s="93"/>
      <c r="AF311" s="94">
        <f t="shared" si="503"/>
        <v>0</v>
      </c>
      <c r="AG311" s="475"/>
      <c r="AH311" s="99"/>
      <c r="AI311" s="99">
        <f t="shared" si="515"/>
        <v>0</v>
      </c>
      <c r="AJ311" s="138"/>
      <c r="AK311" s="138">
        <f t="shared" si="504"/>
        <v>0</v>
      </c>
      <c r="AL311" s="106"/>
      <c r="AM311" s="105"/>
      <c r="AN311" s="105">
        <f t="shared" si="505"/>
        <v>0</v>
      </c>
      <c r="AO311" s="106"/>
      <c r="AP311" s="105"/>
      <c r="AQ311" s="105">
        <f t="shared" si="473"/>
        <v>0</v>
      </c>
      <c r="AR311" s="106"/>
      <c r="AS311" s="97">
        <f t="shared" si="469"/>
        <v>0</v>
      </c>
      <c r="AT311" s="6"/>
      <c r="AU311" s="105"/>
      <c r="AV311" s="455">
        <f t="shared" si="500"/>
        <v>0</v>
      </c>
      <c r="AW311" s="496"/>
      <c r="AX311" s="508"/>
      <c r="AY311" s="498"/>
      <c r="AZ311" s="100">
        <f t="shared" si="506"/>
        <v>0</v>
      </c>
      <c r="BA311" s="101"/>
      <c r="BB311" s="100"/>
      <c r="BC311" s="100">
        <f t="shared" si="507"/>
        <v>0</v>
      </c>
      <c r="BD311" s="101"/>
      <c r="BE311" s="105">
        <f t="shared" si="508"/>
        <v>0</v>
      </c>
      <c r="BF311" s="106"/>
      <c r="BG311" s="100">
        <f t="shared" si="492"/>
        <v>0</v>
      </c>
      <c r="BH311" s="106"/>
      <c r="BI311" s="100">
        <f t="shared" si="493"/>
        <v>0</v>
      </c>
      <c r="BJ311" s="106"/>
      <c r="BK311" s="101">
        <f t="shared" si="470"/>
        <v>0</v>
      </c>
      <c r="BL311" s="106"/>
      <c r="BM311" s="104"/>
      <c r="BN311" s="104">
        <f t="shared" si="516"/>
        <v>0</v>
      </c>
      <c r="BO311" s="105"/>
      <c r="BP311" s="105">
        <f t="shared" si="501"/>
        <v>0</v>
      </c>
      <c r="BQ311" s="106"/>
      <c r="BR311" s="105"/>
      <c r="BS311" s="105">
        <f t="shared" si="468"/>
        <v>0</v>
      </c>
      <c r="BT311" s="106"/>
      <c r="BU311" s="53"/>
      <c r="BV311" s="53">
        <f t="shared" si="509"/>
        <v>0</v>
      </c>
      <c r="BW311" s="54"/>
      <c r="BX311" s="350">
        <f t="shared" si="471"/>
        <v>0</v>
      </c>
      <c r="BY311" s="6"/>
      <c r="BZ311" s="6">
        <f t="shared" si="474"/>
        <v>0</v>
      </c>
      <c r="CA311" s="508"/>
      <c r="CB311" s="165"/>
      <c r="CC311" s="165"/>
      <c r="CD311" s="165"/>
      <c r="CE311" s="504"/>
      <c r="CF311" s="105"/>
      <c r="CG311" s="105">
        <f t="shared" si="446"/>
        <v>0</v>
      </c>
      <c r="CH311" s="105"/>
      <c r="CI311" s="105"/>
      <c r="CJ311" s="105">
        <f t="shared" si="447"/>
        <v>0</v>
      </c>
      <c r="CK311" s="523"/>
      <c r="CL311" s="102">
        <f t="shared" si="510"/>
        <v>0</v>
      </c>
      <c r="CM311" s="103"/>
      <c r="CN311" s="100"/>
      <c r="CO311" s="100">
        <f t="shared" si="498"/>
        <v>0</v>
      </c>
      <c r="CP311" s="515"/>
      <c r="CQ311" s="441"/>
      <c r="CR311" s="504"/>
      <c r="CS311" s="105"/>
      <c r="CT311" s="105">
        <f t="shared" si="490"/>
        <v>0</v>
      </c>
      <c r="CU311" s="105"/>
      <c r="CV311" s="105"/>
      <c r="CW311" s="105">
        <f t="shared" si="491"/>
        <v>0</v>
      </c>
      <c r="CX311" s="53"/>
      <c r="CY311" s="109">
        <f t="shared" si="499"/>
        <v>0</v>
      </c>
      <c r="CZ311" s="54"/>
      <c r="DA311" s="105"/>
      <c r="DB311" s="455">
        <f t="shared" si="472"/>
        <v>0</v>
      </c>
      <c r="DC311" s="495"/>
      <c r="DD311" s="25"/>
      <c r="DF311" s="1133"/>
      <c r="DG311" s="674">
        <f t="shared" si="494"/>
        <v>0</v>
      </c>
      <c r="DH311" s="1119">
        <f t="shared" si="495"/>
        <v>0</v>
      </c>
      <c r="DI311" s="1119"/>
      <c r="DJ311" s="101">
        <f t="shared" si="497"/>
        <v>0</v>
      </c>
      <c r="DK311" s="101"/>
      <c r="DL311" s="101">
        <f t="shared" si="496"/>
        <v>0</v>
      </c>
      <c r="DM311" s="101"/>
      <c r="DN311" s="112"/>
      <c r="DO311" s="112"/>
      <c r="DP311" s="112"/>
      <c r="DQ311" s="112"/>
    </row>
    <row r="312" spans="1:130" ht="21.6" customHeight="1" x14ac:dyDescent="0.25">
      <c r="A312" s="4"/>
      <c r="B312" s="4"/>
      <c r="C312" s="134" t="s">
        <v>176</v>
      </c>
      <c r="D312" s="167" t="s">
        <v>431</v>
      </c>
      <c r="E312" s="21" t="s">
        <v>721</v>
      </c>
      <c r="F312" s="162"/>
      <c r="G312" s="162"/>
      <c r="H312" s="162"/>
      <c r="I312" s="162"/>
      <c r="J312" s="162"/>
      <c r="K312" s="162"/>
      <c r="L312" s="168"/>
      <c r="M312" s="1216"/>
      <c r="N312" s="177"/>
      <c r="O312" s="211"/>
      <c r="P312" s="7"/>
      <c r="Q312" s="7"/>
      <c r="R312" s="7"/>
      <c r="S312" s="7"/>
      <c r="T312" s="89"/>
      <c r="U312" s="89"/>
      <c r="V312" s="89"/>
      <c r="W312" s="137"/>
      <c r="X312" s="137"/>
      <c r="Y312" s="90"/>
      <c r="Z312" s="169"/>
      <c r="AA312" s="92"/>
      <c r="AB312" s="92"/>
      <c r="AC312" s="92">
        <f t="shared" si="502"/>
        <v>0</v>
      </c>
      <c r="AD312" s="93"/>
      <c r="AE312" s="93"/>
      <c r="AF312" s="94">
        <f t="shared" si="503"/>
        <v>0</v>
      </c>
      <c r="AG312" s="475"/>
      <c r="AH312" s="99"/>
      <c r="AI312" s="99"/>
      <c r="AJ312" s="138">
        <v>325</v>
      </c>
      <c r="AK312" s="138">
        <f t="shared" si="504"/>
        <v>21.666666666666668</v>
      </c>
      <c r="AL312" s="106"/>
      <c r="AM312" s="105"/>
      <c r="AN312" s="105">
        <f t="shared" si="505"/>
        <v>0</v>
      </c>
      <c r="AO312" s="106"/>
      <c r="AP312" s="105"/>
      <c r="AQ312" s="105">
        <f t="shared" si="473"/>
        <v>0</v>
      </c>
      <c r="AR312" s="106"/>
      <c r="AS312" s="97">
        <f t="shared" si="469"/>
        <v>21.666666666666668</v>
      </c>
      <c r="AT312" s="6"/>
      <c r="AU312" s="105"/>
      <c r="AV312" s="455">
        <f t="shared" si="500"/>
        <v>0</v>
      </c>
      <c r="AW312" s="496"/>
      <c r="AX312" s="508"/>
      <c r="AY312" s="498"/>
      <c r="AZ312" s="100"/>
      <c r="BA312" s="101"/>
      <c r="BB312" s="100"/>
      <c r="BC312" s="100">
        <f t="shared" si="507"/>
        <v>0</v>
      </c>
      <c r="BD312" s="101"/>
      <c r="BE312" s="105">
        <f t="shared" si="508"/>
        <v>21.666666666666668</v>
      </c>
      <c r="BF312" s="106"/>
      <c r="BG312" s="100">
        <f t="shared" si="492"/>
        <v>0</v>
      </c>
      <c r="BH312" s="106"/>
      <c r="BI312" s="100">
        <f t="shared" si="493"/>
        <v>0</v>
      </c>
      <c r="BJ312" s="106"/>
      <c r="BK312" s="101">
        <f t="shared" si="470"/>
        <v>21.666666666666668</v>
      </c>
      <c r="BL312" s="106"/>
      <c r="BM312" s="104"/>
      <c r="BN312" s="104">
        <f t="shared" si="516"/>
        <v>0</v>
      </c>
      <c r="BO312" s="105">
        <v>1050</v>
      </c>
      <c r="BP312" s="105">
        <f t="shared" si="501"/>
        <v>21</v>
      </c>
      <c r="BQ312" s="106"/>
      <c r="BR312" s="105"/>
      <c r="BS312" s="105">
        <f t="shared" si="468"/>
        <v>0</v>
      </c>
      <c r="BT312" s="106"/>
      <c r="BU312" s="53"/>
      <c r="BV312" s="53">
        <f t="shared" si="509"/>
        <v>0</v>
      </c>
      <c r="BW312" s="54"/>
      <c r="BX312" s="350">
        <f t="shared" si="471"/>
        <v>21</v>
      </c>
      <c r="BY312" s="6"/>
      <c r="BZ312" s="6">
        <f t="shared" si="474"/>
        <v>0.66666666666666785</v>
      </c>
      <c r="CA312" s="508"/>
      <c r="CB312" s="165"/>
      <c r="CC312" s="165"/>
      <c r="CD312" s="165"/>
      <c r="CE312" s="504"/>
      <c r="CF312" s="105"/>
      <c r="CG312" s="105">
        <f t="shared" si="446"/>
        <v>0</v>
      </c>
      <c r="CH312" s="105"/>
      <c r="CI312" s="105"/>
      <c r="CJ312" s="105">
        <f t="shared" si="447"/>
        <v>0</v>
      </c>
      <c r="CK312" s="523"/>
      <c r="CL312" s="102">
        <f t="shared" si="510"/>
        <v>0</v>
      </c>
      <c r="CM312" s="103"/>
      <c r="CN312" s="100"/>
      <c r="CO312" s="100">
        <f t="shared" si="498"/>
        <v>0</v>
      </c>
      <c r="CP312" s="515"/>
      <c r="CQ312" s="441"/>
      <c r="CR312" s="504"/>
      <c r="CS312" s="105"/>
      <c r="CT312" s="105">
        <f t="shared" si="490"/>
        <v>0</v>
      </c>
      <c r="CU312" s="105"/>
      <c r="CV312" s="105"/>
      <c r="CW312" s="105">
        <f t="shared" si="491"/>
        <v>0</v>
      </c>
      <c r="CX312" s="53"/>
      <c r="CY312" s="109">
        <f t="shared" si="499"/>
        <v>0</v>
      </c>
      <c r="CZ312" s="54"/>
      <c r="DA312" s="105"/>
      <c r="DB312" s="455">
        <f t="shared" si="472"/>
        <v>0</v>
      </c>
      <c r="DC312" s="495"/>
      <c r="DD312" s="25"/>
      <c r="DE312" s="44" t="s">
        <v>508</v>
      </c>
      <c r="DF312" s="1133"/>
      <c r="DG312" s="674">
        <f t="shared" si="494"/>
        <v>0</v>
      </c>
      <c r="DH312" s="1119">
        <f t="shared" si="495"/>
        <v>0</v>
      </c>
      <c r="DI312" s="1119"/>
      <c r="DJ312" s="101">
        <f t="shared" si="497"/>
        <v>21.666666666666668</v>
      </c>
      <c r="DK312" s="101"/>
      <c r="DL312" s="101">
        <f t="shared" si="496"/>
        <v>0</v>
      </c>
      <c r="DM312" s="101"/>
      <c r="DN312" s="112"/>
      <c r="DO312" s="112"/>
      <c r="DP312" s="112"/>
      <c r="DQ312" s="112"/>
    </row>
    <row r="313" spans="1:130" s="139" customFormat="1" ht="21.6" customHeight="1" x14ac:dyDescent="0.25">
      <c r="A313" s="4" t="s">
        <v>130</v>
      </c>
      <c r="B313" s="4">
        <v>7</v>
      </c>
      <c r="C313" s="134" t="s">
        <v>176</v>
      </c>
      <c r="D313" s="182" t="s">
        <v>431</v>
      </c>
      <c r="E313" s="13" t="s">
        <v>182</v>
      </c>
      <c r="F313" s="135">
        <v>93</v>
      </c>
      <c r="G313" s="135">
        <v>7</v>
      </c>
      <c r="H313" s="135">
        <f t="shared" si="511"/>
        <v>100</v>
      </c>
      <c r="I313" s="135">
        <v>25.5</v>
      </c>
      <c r="J313" s="135">
        <v>42.6</v>
      </c>
      <c r="K313" s="135">
        <f t="shared" si="512"/>
        <v>68.099999999999994</v>
      </c>
      <c r="L313" s="183"/>
      <c r="M313" s="1216"/>
      <c r="N313" s="41"/>
      <c r="O313" s="6"/>
      <c r="P313" s="7"/>
      <c r="Q313" s="7"/>
      <c r="R313" s="7"/>
      <c r="S313" s="7"/>
      <c r="T313" s="89"/>
      <c r="U313" s="89"/>
      <c r="V313" s="89">
        <f t="shared" si="513"/>
        <v>0</v>
      </c>
      <c r="W313" s="137"/>
      <c r="X313" s="137"/>
      <c r="Y313" s="90">
        <f t="shared" si="514"/>
        <v>0</v>
      </c>
      <c r="Z313" s="91"/>
      <c r="AA313" s="92"/>
      <c r="AB313" s="92"/>
      <c r="AC313" s="92">
        <f t="shared" si="502"/>
        <v>0</v>
      </c>
      <c r="AD313" s="93"/>
      <c r="AE313" s="93"/>
      <c r="AF313" s="94">
        <f t="shared" si="503"/>
        <v>0</v>
      </c>
      <c r="AG313" s="473"/>
      <c r="AH313" s="99">
        <v>240</v>
      </c>
      <c r="AI313" s="99">
        <f t="shared" si="515"/>
        <v>16</v>
      </c>
      <c r="AJ313" s="138"/>
      <c r="AK313" s="138">
        <f t="shared" si="504"/>
        <v>0</v>
      </c>
      <c r="AL313" s="106"/>
      <c r="AM313" s="105">
        <v>240</v>
      </c>
      <c r="AN313" s="105">
        <f t="shared" si="505"/>
        <v>16</v>
      </c>
      <c r="AO313" s="106"/>
      <c r="AP313" s="105"/>
      <c r="AQ313" s="105">
        <f t="shared" si="473"/>
        <v>0</v>
      </c>
      <c r="AR313" s="106"/>
      <c r="AS313" s="97">
        <f t="shared" si="469"/>
        <v>16</v>
      </c>
      <c r="AT313" s="6"/>
      <c r="AU313" s="105"/>
      <c r="AV313" s="455">
        <f t="shared" si="500"/>
        <v>0</v>
      </c>
      <c r="AW313" s="496"/>
      <c r="AX313" s="508"/>
      <c r="AY313" s="498">
        <v>135</v>
      </c>
      <c r="AZ313" s="100">
        <f t="shared" ref="AZ313:AZ328" si="517">AY313/15</f>
        <v>9</v>
      </c>
      <c r="BA313" s="101"/>
      <c r="BB313" s="100"/>
      <c r="BC313" s="100">
        <f t="shared" si="507"/>
        <v>0</v>
      </c>
      <c r="BD313" s="101"/>
      <c r="BE313" s="105">
        <f t="shared" si="508"/>
        <v>9</v>
      </c>
      <c r="BF313" s="106"/>
      <c r="BG313" s="100">
        <f t="shared" si="492"/>
        <v>16</v>
      </c>
      <c r="BH313" s="106"/>
      <c r="BI313" s="100">
        <f t="shared" si="493"/>
        <v>0</v>
      </c>
      <c r="BJ313" s="106"/>
      <c r="BK313" s="101">
        <f t="shared" si="470"/>
        <v>25</v>
      </c>
      <c r="BL313" s="106"/>
      <c r="BM313" s="104">
        <v>2255</v>
      </c>
      <c r="BN313" s="104">
        <f t="shared" si="516"/>
        <v>45.1</v>
      </c>
      <c r="BO313" s="105"/>
      <c r="BP313" s="105">
        <f t="shared" si="501"/>
        <v>0</v>
      </c>
      <c r="BQ313" s="106"/>
      <c r="BR313" s="105">
        <v>1200</v>
      </c>
      <c r="BS313" s="105">
        <f t="shared" si="468"/>
        <v>24</v>
      </c>
      <c r="BT313" s="106"/>
      <c r="BU313" s="53"/>
      <c r="BV313" s="53">
        <f t="shared" si="509"/>
        <v>0</v>
      </c>
      <c r="BW313" s="54"/>
      <c r="BX313" s="350">
        <f t="shared" si="471"/>
        <v>24</v>
      </c>
      <c r="BY313" s="6"/>
      <c r="BZ313" s="6">
        <f t="shared" si="474"/>
        <v>1</v>
      </c>
      <c r="CA313" s="508"/>
      <c r="CB313" s="7"/>
      <c r="CC313" s="7"/>
      <c r="CD313" s="7"/>
      <c r="CE313" s="504"/>
      <c r="CF313" s="105"/>
      <c r="CG313" s="105">
        <f t="shared" si="446"/>
        <v>0</v>
      </c>
      <c r="CH313" s="105"/>
      <c r="CI313" s="105"/>
      <c r="CJ313" s="105">
        <f t="shared" si="447"/>
        <v>0</v>
      </c>
      <c r="CK313" s="523"/>
      <c r="CL313" s="102">
        <f t="shared" si="510"/>
        <v>0</v>
      </c>
      <c r="CM313" s="103"/>
      <c r="CN313" s="100"/>
      <c r="CO313" s="100">
        <f t="shared" si="498"/>
        <v>0</v>
      </c>
      <c r="CP313" s="515"/>
      <c r="CQ313" s="441"/>
      <c r="CR313" s="504"/>
      <c r="CS313" s="105"/>
      <c r="CT313" s="105">
        <f t="shared" si="490"/>
        <v>0</v>
      </c>
      <c r="CU313" s="105"/>
      <c r="CV313" s="105"/>
      <c r="CW313" s="105">
        <f t="shared" si="491"/>
        <v>0</v>
      </c>
      <c r="CX313" s="53"/>
      <c r="CY313" s="109">
        <f t="shared" si="499"/>
        <v>0</v>
      </c>
      <c r="CZ313" s="54"/>
      <c r="DA313" s="105"/>
      <c r="DB313" s="455">
        <f t="shared" si="472"/>
        <v>0</v>
      </c>
      <c r="DC313" s="495"/>
      <c r="DD313" s="24" t="s">
        <v>321</v>
      </c>
      <c r="DF313" s="1133"/>
      <c r="DG313" s="674">
        <f t="shared" si="494"/>
        <v>0</v>
      </c>
      <c r="DH313" s="1119">
        <f t="shared" si="495"/>
        <v>0</v>
      </c>
      <c r="DI313" s="1119"/>
      <c r="DJ313" s="101">
        <f t="shared" si="497"/>
        <v>25</v>
      </c>
      <c r="DK313" s="101"/>
      <c r="DL313" s="101">
        <f t="shared" si="496"/>
        <v>0</v>
      </c>
      <c r="DM313" s="101"/>
      <c r="DN313" s="112"/>
      <c r="DO313" s="112"/>
      <c r="DP313" s="112"/>
      <c r="DQ313" s="112"/>
      <c r="DS313" s="140"/>
      <c r="DT313" s="140"/>
      <c r="DU313" s="140"/>
      <c r="DV313" s="140"/>
      <c r="DW313" s="140"/>
      <c r="DX313" s="140"/>
      <c r="DY313" s="140"/>
      <c r="DZ313" s="140"/>
    </row>
    <row r="314" spans="1:130" ht="21.6" customHeight="1" x14ac:dyDescent="0.25">
      <c r="A314" s="4" t="s">
        <v>130</v>
      </c>
      <c r="B314" s="4">
        <v>8</v>
      </c>
      <c r="C314" s="166" t="s">
        <v>176</v>
      </c>
      <c r="D314" s="167"/>
      <c r="E314" s="1" t="s">
        <v>183</v>
      </c>
      <c r="F314" s="162">
        <v>42</v>
      </c>
      <c r="G314" s="162">
        <v>8</v>
      </c>
      <c r="H314" s="162">
        <f t="shared" si="511"/>
        <v>50</v>
      </c>
      <c r="I314" s="162">
        <v>16.25</v>
      </c>
      <c r="J314" s="162">
        <v>4.75</v>
      </c>
      <c r="K314" s="162">
        <f t="shared" si="512"/>
        <v>21</v>
      </c>
      <c r="L314" s="168"/>
      <c r="M314" s="1216"/>
      <c r="N314" s="41"/>
      <c r="O314" s="6"/>
      <c r="P314" s="7"/>
      <c r="Q314" s="7"/>
      <c r="R314" s="7"/>
      <c r="S314" s="7"/>
      <c r="T314" s="89"/>
      <c r="U314" s="89"/>
      <c r="V314" s="89">
        <f t="shared" si="513"/>
        <v>0</v>
      </c>
      <c r="W314" s="137"/>
      <c r="X314" s="137"/>
      <c r="Y314" s="90">
        <f t="shared" si="514"/>
        <v>0</v>
      </c>
      <c r="Z314" s="169"/>
      <c r="AA314" s="92"/>
      <c r="AB314" s="92"/>
      <c r="AC314" s="92">
        <f t="shared" si="502"/>
        <v>0</v>
      </c>
      <c r="AD314" s="93"/>
      <c r="AE314" s="93"/>
      <c r="AF314" s="94">
        <f t="shared" si="503"/>
        <v>0</v>
      </c>
      <c r="AG314" s="475"/>
      <c r="AH314" s="99"/>
      <c r="AI314" s="99">
        <f t="shared" si="515"/>
        <v>0</v>
      </c>
      <c r="AJ314" s="138"/>
      <c r="AK314" s="138">
        <f t="shared" si="504"/>
        <v>0</v>
      </c>
      <c r="AL314" s="106"/>
      <c r="AM314" s="105"/>
      <c r="AN314" s="105">
        <f t="shared" si="505"/>
        <v>0</v>
      </c>
      <c r="AO314" s="106"/>
      <c r="AP314" s="105"/>
      <c r="AQ314" s="105">
        <f t="shared" ref="AQ314:AQ345" si="518">AP314/15</f>
        <v>0</v>
      </c>
      <c r="AR314" s="106"/>
      <c r="AS314" s="97">
        <f t="shared" si="469"/>
        <v>0</v>
      </c>
      <c r="AT314" s="6"/>
      <c r="AU314" s="105"/>
      <c r="AV314" s="455">
        <f t="shared" si="500"/>
        <v>0</v>
      </c>
      <c r="AW314" s="496"/>
      <c r="AX314" s="508"/>
      <c r="AY314" s="498"/>
      <c r="AZ314" s="100">
        <f t="shared" si="517"/>
        <v>0</v>
      </c>
      <c r="BA314" s="101"/>
      <c r="BB314" s="100"/>
      <c r="BC314" s="100">
        <f t="shared" si="507"/>
        <v>0</v>
      </c>
      <c r="BD314" s="101"/>
      <c r="BE314" s="105">
        <f t="shared" si="508"/>
        <v>0</v>
      </c>
      <c r="BF314" s="106"/>
      <c r="BG314" s="100">
        <f t="shared" si="492"/>
        <v>0</v>
      </c>
      <c r="BH314" s="106"/>
      <c r="BI314" s="100">
        <f t="shared" si="493"/>
        <v>0</v>
      </c>
      <c r="BJ314" s="106"/>
      <c r="BK314" s="101">
        <f t="shared" si="470"/>
        <v>0</v>
      </c>
      <c r="BL314" s="106"/>
      <c r="BM314" s="104"/>
      <c r="BN314" s="104">
        <f t="shared" si="516"/>
        <v>0</v>
      </c>
      <c r="BO314" s="105"/>
      <c r="BP314" s="105">
        <f t="shared" si="501"/>
        <v>0</v>
      </c>
      <c r="BQ314" s="106"/>
      <c r="BR314" s="105"/>
      <c r="BS314" s="105">
        <f t="shared" si="468"/>
        <v>0</v>
      </c>
      <c r="BT314" s="106"/>
      <c r="BU314" s="53"/>
      <c r="BV314" s="53">
        <f t="shared" si="509"/>
        <v>0</v>
      </c>
      <c r="BW314" s="54"/>
      <c r="BX314" s="350">
        <f t="shared" si="471"/>
        <v>0</v>
      </c>
      <c r="BY314" s="6"/>
      <c r="BZ314" s="6">
        <f t="shared" ref="BZ314:BZ345" si="519">BK314-BX314</f>
        <v>0</v>
      </c>
      <c r="CA314" s="508"/>
      <c r="CB314" s="165"/>
      <c r="CC314" s="165"/>
      <c r="CD314" s="165"/>
      <c r="CE314" s="504"/>
      <c r="CF314" s="105"/>
      <c r="CG314" s="105">
        <f t="shared" si="446"/>
        <v>0</v>
      </c>
      <c r="CH314" s="105"/>
      <c r="CI314" s="105"/>
      <c r="CJ314" s="105">
        <f t="shared" si="447"/>
        <v>0</v>
      </c>
      <c r="CK314" s="523"/>
      <c r="CL314" s="102">
        <f t="shared" si="510"/>
        <v>0</v>
      </c>
      <c r="CM314" s="103"/>
      <c r="CN314" s="100"/>
      <c r="CO314" s="100">
        <f t="shared" si="498"/>
        <v>0</v>
      </c>
      <c r="CP314" s="515"/>
      <c r="CQ314" s="441"/>
      <c r="CR314" s="504"/>
      <c r="CS314" s="105"/>
      <c r="CT314" s="105">
        <f t="shared" si="490"/>
        <v>0</v>
      </c>
      <c r="CU314" s="105"/>
      <c r="CV314" s="105"/>
      <c r="CW314" s="105">
        <f t="shared" si="491"/>
        <v>0</v>
      </c>
      <c r="CX314" s="53"/>
      <c r="CY314" s="109">
        <f t="shared" si="499"/>
        <v>0</v>
      </c>
      <c r="CZ314" s="54"/>
      <c r="DA314" s="105"/>
      <c r="DB314" s="455">
        <f t="shared" si="472"/>
        <v>0</v>
      </c>
      <c r="DC314" s="495"/>
      <c r="DD314" s="25"/>
      <c r="DF314" s="1133"/>
      <c r="DG314" s="674">
        <f t="shared" si="494"/>
        <v>0</v>
      </c>
      <c r="DH314" s="1119">
        <f t="shared" si="495"/>
        <v>0</v>
      </c>
      <c r="DI314" s="1119"/>
      <c r="DJ314" s="101">
        <f t="shared" si="497"/>
        <v>0</v>
      </c>
      <c r="DK314" s="101"/>
      <c r="DL314" s="101">
        <f t="shared" si="496"/>
        <v>0</v>
      </c>
      <c r="DM314" s="101"/>
      <c r="DN314" s="112"/>
      <c r="DO314" s="112"/>
      <c r="DP314" s="112"/>
      <c r="DQ314" s="112"/>
    </row>
    <row r="315" spans="1:130" s="139" customFormat="1" ht="21.6" customHeight="1" x14ac:dyDescent="0.25">
      <c r="A315" s="4" t="s">
        <v>130</v>
      </c>
      <c r="B315" s="4">
        <v>10</v>
      </c>
      <c r="C315" s="153" t="s">
        <v>176</v>
      </c>
      <c r="D315" s="182" t="s">
        <v>431</v>
      </c>
      <c r="E315" s="13" t="s">
        <v>184</v>
      </c>
      <c r="F315" s="135">
        <v>66</v>
      </c>
      <c r="G315" s="135">
        <v>6</v>
      </c>
      <c r="H315" s="135">
        <f t="shared" si="511"/>
        <v>72</v>
      </c>
      <c r="I315" s="135">
        <v>4.5999999999999996</v>
      </c>
      <c r="J315" s="135">
        <v>9.8000000000000007</v>
      </c>
      <c r="K315" s="135">
        <f t="shared" si="512"/>
        <v>14.4</v>
      </c>
      <c r="L315" s="183"/>
      <c r="M315" s="1216"/>
      <c r="N315" s="41"/>
      <c r="O315" s="1216"/>
      <c r="P315" s="7"/>
      <c r="Q315" s="7"/>
      <c r="R315" s="7"/>
      <c r="S315" s="7"/>
      <c r="T315" s="89"/>
      <c r="U315" s="89"/>
      <c r="V315" s="89">
        <f t="shared" si="513"/>
        <v>0</v>
      </c>
      <c r="W315" s="137"/>
      <c r="X315" s="137"/>
      <c r="Y315" s="90">
        <f t="shared" si="514"/>
        <v>0</v>
      </c>
      <c r="Z315" s="91"/>
      <c r="AA315" s="92"/>
      <c r="AB315" s="92"/>
      <c r="AC315" s="92">
        <f t="shared" si="502"/>
        <v>0</v>
      </c>
      <c r="AD315" s="93"/>
      <c r="AE315" s="93"/>
      <c r="AF315" s="94">
        <f t="shared" si="503"/>
        <v>0</v>
      </c>
      <c r="AG315" s="473"/>
      <c r="AH315" s="99">
        <v>60</v>
      </c>
      <c r="AI315" s="99">
        <f t="shared" si="515"/>
        <v>4</v>
      </c>
      <c r="AJ315" s="138"/>
      <c r="AK315" s="138">
        <f t="shared" si="504"/>
        <v>0</v>
      </c>
      <c r="AL315" s="106"/>
      <c r="AM315" s="105">
        <v>60</v>
      </c>
      <c r="AN315" s="105">
        <f t="shared" si="505"/>
        <v>4</v>
      </c>
      <c r="AO315" s="106"/>
      <c r="AP315" s="105"/>
      <c r="AQ315" s="105">
        <f t="shared" si="518"/>
        <v>0</v>
      </c>
      <c r="AR315" s="106"/>
      <c r="AS315" s="97">
        <f t="shared" si="469"/>
        <v>4</v>
      </c>
      <c r="AT315" s="6"/>
      <c r="AU315" s="105"/>
      <c r="AV315" s="455">
        <f t="shared" si="500"/>
        <v>0</v>
      </c>
      <c r="AW315" s="496"/>
      <c r="AX315" s="508"/>
      <c r="AY315" s="498">
        <v>30</v>
      </c>
      <c r="AZ315" s="100">
        <f t="shared" si="517"/>
        <v>2</v>
      </c>
      <c r="BA315" s="101"/>
      <c r="BB315" s="100"/>
      <c r="BC315" s="100">
        <f t="shared" si="507"/>
        <v>0</v>
      </c>
      <c r="BD315" s="101"/>
      <c r="BE315" s="105">
        <f t="shared" si="508"/>
        <v>2</v>
      </c>
      <c r="BF315" s="106"/>
      <c r="BG315" s="100">
        <f t="shared" si="492"/>
        <v>4</v>
      </c>
      <c r="BH315" s="106"/>
      <c r="BI315" s="100">
        <f t="shared" si="493"/>
        <v>0</v>
      </c>
      <c r="BJ315" s="106"/>
      <c r="BK315" s="101">
        <f t="shared" si="470"/>
        <v>6</v>
      </c>
      <c r="BL315" s="106"/>
      <c r="BM315" s="104">
        <v>500</v>
      </c>
      <c r="BN315" s="104">
        <f t="shared" si="516"/>
        <v>10</v>
      </c>
      <c r="BO315" s="105"/>
      <c r="BP315" s="105">
        <f t="shared" si="501"/>
        <v>0</v>
      </c>
      <c r="BQ315" s="106"/>
      <c r="BR315" s="105">
        <f>200+100</f>
        <v>300</v>
      </c>
      <c r="BS315" s="105">
        <f t="shared" si="468"/>
        <v>6</v>
      </c>
      <c r="BT315" s="106"/>
      <c r="BU315" s="53"/>
      <c r="BV315" s="53">
        <f t="shared" si="509"/>
        <v>0</v>
      </c>
      <c r="BW315" s="54"/>
      <c r="BX315" s="350">
        <f t="shared" si="471"/>
        <v>6</v>
      </c>
      <c r="BY315" s="6"/>
      <c r="BZ315" s="6">
        <f t="shared" si="519"/>
        <v>0</v>
      </c>
      <c r="CA315" s="508"/>
      <c r="CB315" s="7"/>
      <c r="CC315" s="7"/>
      <c r="CD315" s="7"/>
      <c r="CE315" s="504"/>
      <c r="CF315" s="105"/>
      <c r="CG315" s="105">
        <f t="shared" si="446"/>
        <v>0</v>
      </c>
      <c r="CH315" s="105"/>
      <c r="CI315" s="105"/>
      <c r="CJ315" s="105">
        <f t="shared" si="447"/>
        <v>0</v>
      </c>
      <c r="CK315" s="523"/>
      <c r="CL315" s="102">
        <f t="shared" si="510"/>
        <v>0</v>
      </c>
      <c r="CM315" s="103"/>
      <c r="CN315" s="100"/>
      <c r="CO315" s="100">
        <f t="shared" si="498"/>
        <v>0</v>
      </c>
      <c r="CP315" s="515"/>
      <c r="CQ315" s="441"/>
      <c r="CR315" s="504"/>
      <c r="CS315" s="105"/>
      <c r="CT315" s="105">
        <f t="shared" si="490"/>
        <v>0</v>
      </c>
      <c r="CU315" s="105"/>
      <c r="CV315" s="105"/>
      <c r="CW315" s="105">
        <f t="shared" si="491"/>
        <v>0</v>
      </c>
      <c r="CX315" s="53"/>
      <c r="CY315" s="109">
        <f t="shared" si="499"/>
        <v>0</v>
      </c>
      <c r="CZ315" s="54"/>
      <c r="DA315" s="105"/>
      <c r="DB315" s="455">
        <f t="shared" si="472"/>
        <v>0</v>
      </c>
      <c r="DC315" s="495"/>
      <c r="DD315" s="24"/>
      <c r="DF315" s="1133"/>
      <c r="DG315" s="674">
        <f t="shared" si="494"/>
        <v>0</v>
      </c>
      <c r="DH315" s="1119">
        <f t="shared" si="495"/>
        <v>0</v>
      </c>
      <c r="DI315" s="1119"/>
      <c r="DJ315" s="101">
        <f t="shared" si="497"/>
        <v>6</v>
      </c>
      <c r="DK315" s="101"/>
      <c r="DL315" s="101">
        <f t="shared" si="496"/>
        <v>0</v>
      </c>
      <c r="DM315" s="101"/>
      <c r="DN315" s="112"/>
      <c r="DO315" s="112"/>
      <c r="DP315" s="112"/>
      <c r="DQ315" s="112"/>
      <c r="DS315" s="140"/>
      <c r="DT315" s="140"/>
      <c r="DU315" s="140"/>
      <c r="DV315" s="140"/>
      <c r="DW315" s="140"/>
      <c r="DX315" s="140"/>
      <c r="DY315" s="140"/>
      <c r="DZ315" s="140"/>
    </row>
    <row r="316" spans="1:130" ht="21.6" customHeight="1" x14ac:dyDescent="0.25">
      <c r="A316" s="4" t="s">
        <v>130</v>
      </c>
      <c r="B316" s="4">
        <v>11</v>
      </c>
      <c r="C316" s="166" t="s">
        <v>176</v>
      </c>
      <c r="D316" s="167"/>
      <c r="E316" s="1" t="s">
        <v>185</v>
      </c>
      <c r="F316" s="162">
        <v>74</v>
      </c>
      <c r="G316" s="162">
        <v>1</v>
      </c>
      <c r="H316" s="162">
        <f t="shared" si="511"/>
        <v>75</v>
      </c>
      <c r="I316" s="162">
        <v>22</v>
      </c>
      <c r="J316" s="162">
        <v>10.25</v>
      </c>
      <c r="K316" s="162">
        <f t="shared" si="512"/>
        <v>32.25</v>
      </c>
      <c r="L316" s="168"/>
      <c r="M316" s="1216"/>
      <c r="N316" s="41"/>
      <c r="O316" s="6"/>
      <c r="P316" s="7"/>
      <c r="Q316" s="7"/>
      <c r="R316" s="7"/>
      <c r="S316" s="7"/>
      <c r="T316" s="89"/>
      <c r="U316" s="89"/>
      <c r="V316" s="89">
        <f t="shared" si="513"/>
        <v>0</v>
      </c>
      <c r="W316" s="137"/>
      <c r="X316" s="137"/>
      <c r="Y316" s="90">
        <f t="shared" si="514"/>
        <v>0</v>
      </c>
      <c r="Z316" s="169"/>
      <c r="AA316" s="92"/>
      <c r="AB316" s="92"/>
      <c r="AC316" s="92">
        <f t="shared" si="502"/>
        <v>0</v>
      </c>
      <c r="AD316" s="93"/>
      <c r="AE316" s="93"/>
      <c r="AF316" s="94">
        <f t="shared" si="503"/>
        <v>0</v>
      </c>
      <c r="AG316" s="475"/>
      <c r="AH316" s="99"/>
      <c r="AI316" s="99">
        <f t="shared" si="515"/>
        <v>0</v>
      </c>
      <c r="AJ316" s="138"/>
      <c r="AK316" s="138">
        <f t="shared" si="504"/>
        <v>0</v>
      </c>
      <c r="AL316" s="106"/>
      <c r="AM316" s="105"/>
      <c r="AN316" s="105">
        <f t="shared" si="505"/>
        <v>0</v>
      </c>
      <c r="AO316" s="106"/>
      <c r="AP316" s="105"/>
      <c r="AQ316" s="105">
        <f t="shared" si="518"/>
        <v>0</v>
      </c>
      <c r="AR316" s="106"/>
      <c r="AS316" s="97">
        <f t="shared" si="469"/>
        <v>0</v>
      </c>
      <c r="AT316" s="6"/>
      <c r="AU316" s="105"/>
      <c r="AV316" s="455">
        <f t="shared" si="500"/>
        <v>0</v>
      </c>
      <c r="AW316" s="496"/>
      <c r="AX316" s="508"/>
      <c r="AY316" s="498"/>
      <c r="AZ316" s="100">
        <f t="shared" si="517"/>
        <v>0</v>
      </c>
      <c r="BA316" s="101"/>
      <c r="BB316" s="100"/>
      <c r="BC316" s="100">
        <f t="shared" si="507"/>
        <v>0</v>
      </c>
      <c r="BD316" s="101"/>
      <c r="BE316" s="105">
        <f t="shared" si="508"/>
        <v>0</v>
      </c>
      <c r="BF316" s="106"/>
      <c r="BG316" s="100">
        <f t="shared" si="492"/>
        <v>0</v>
      </c>
      <c r="BH316" s="106"/>
      <c r="BI316" s="100">
        <f t="shared" si="493"/>
        <v>0</v>
      </c>
      <c r="BJ316" s="106"/>
      <c r="BK316" s="101">
        <f t="shared" si="470"/>
        <v>0</v>
      </c>
      <c r="BL316" s="106"/>
      <c r="BM316" s="104"/>
      <c r="BN316" s="104">
        <f t="shared" si="516"/>
        <v>0</v>
      </c>
      <c r="BO316" s="105"/>
      <c r="BP316" s="105">
        <f t="shared" si="501"/>
        <v>0</v>
      </c>
      <c r="BQ316" s="106"/>
      <c r="BR316" s="105"/>
      <c r="BS316" s="105">
        <f t="shared" si="468"/>
        <v>0</v>
      </c>
      <c r="BT316" s="106"/>
      <c r="BU316" s="53"/>
      <c r="BV316" s="53">
        <f t="shared" si="509"/>
        <v>0</v>
      </c>
      <c r="BW316" s="54"/>
      <c r="BX316" s="350">
        <f t="shared" si="471"/>
        <v>0</v>
      </c>
      <c r="BY316" s="6"/>
      <c r="BZ316" s="6">
        <f t="shared" si="519"/>
        <v>0</v>
      </c>
      <c r="CA316" s="508"/>
      <c r="CB316" s="165"/>
      <c r="CC316" s="165"/>
      <c r="CD316" s="165"/>
      <c r="CE316" s="504"/>
      <c r="CF316" s="105"/>
      <c r="CG316" s="105">
        <f t="shared" si="446"/>
        <v>0</v>
      </c>
      <c r="CH316" s="105"/>
      <c r="CI316" s="105"/>
      <c r="CJ316" s="105">
        <f t="shared" si="447"/>
        <v>0</v>
      </c>
      <c r="CK316" s="523"/>
      <c r="CL316" s="102">
        <f t="shared" si="510"/>
        <v>0</v>
      </c>
      <c r="CM316" s="103"/>
      <c r="CN316" s="100"/>
      <c r="CO316" s="100">
        <f t="shared" si="498"/>
        <v>0</v>
      </c>
      <c r="CP316" s="515"/>
      <c r="CQ316" s="441"/>
      <c r="CR316" s="504"/>
      <c r="CS316" s="105"/>
      <c r="CT316" s="105">
        <f t="shared" si="490"/>
        <v>0</v>
      </c>
      <c r="CU316" s="105"/>
      <c r="CV316" s="105"/>
      <c r="CW316" s="105">
        <f t="shared" si="491"/>
        <v>0</v>
      </c>
      <c r="CX316" s="53"/>
      <c r="CY316" s="109">
        <f t="shared" si="499"/>
        <v>0</v>
      </c>
      <c r="CZ316" s="54"/>
      <c r="DA316" s="105"/>
      <c r="DB316" s="455">
        <f t="shared" si="472"/>
        <v>0</v>
      </c>
      <c r="DC316" s="495"/>
      <c r="DD316" s="25"/>
      <c r="DF316" s="1133"/>
      <c r="DG316" s="674">
        <f t="shared" si="494"/>
        <v>0</v>
      </c>
      <c r="DH316" s="1119">
        <f t="shared" si="495"/>
        <v>0</v>
      </c>
      <c r="DI316" s="1119"/>
      <c r="DJ316" s="101">
        <f t="shared" si="497"/>
        <v>0</v>
      </c>
      <c r="DK316" s="101"/>
      <c r="DL316" s="101">
        <f t="shared" si="496"/>
        <v>0</v>
      </c>
      <c r="DM316" s="101"/>
      <c r="DN316" s="112"/>
      <c r="DO316" s="112"/>
      <c r="DP316" s="112"/>
      <c r="DQ316" s="112"/>
    </row>
    <row r="317" spans="1:130" ht="21.6" customHeight="1" x14ac:dyDescent="0.25">
      <c r="A317" s="4"/>
      <c r="B317" s="4"/>
      <c r="C317" s="166" t="s">
        <v>176</v>
      </c>
      <c r="D317" s="167" t="s">
        <v>431</v>
      </c>
      <c r="E317" s="3" t="s">
        <v>509</v>
      </c>
      <c r="F317" s="162"/>
      <c r="G317" s="162"/>
      <c r="H317" s="162"/>
      <c r="I317" s="162"/>
      <c r="J317" s="162"/>
      <c r="K317" s="162"/>
      <c r="L317" s="168"/>
      <c r="M317" s="1216"/>
      <c r="N317" s="41"/>
      <c r="O317" s="6"/>
      <c r="P317" s="7"/>
      <c r="Q317" s="7"/>
      <c r="R317" s="7"/>
      <c r="S317" s="7"/>
      <c r="T317" s="89"/>
      <c r="U317" s="89"/>
      <c r="V317" s="89"/>
      <c r="W317" s="137"/>
      <c r="X317" s="137"/>
      <c r="Y317" s="90"/>
      <c r="Z317" s="169"/>
      <c r="AA317" s="92"/>
      <c r="AB317" s="92"/>
      <c r="AC317" s="92">
        <f t="shared" si="502"/>
        <v>0</v>
      </c>
      <c r="AD317" s="93"/>
      <c r="AE317" s="93"/>
      <c r="AF317" s="94">
        <f t="shared" si="503"/>
        <v>0</v>
      </c>
      <c r="AG317" s="475"/>
      <c r="AH317" s="99"/>
      <c r="AI317" s="99">
        <f t="shared" si="515"/>
        <v>0</v>
      </c>
      <c r="AJ317" s="138">
        <v>150</v>
      </c>
      <c r="AK317" s="138">
        <f t="shared" si="504"/>
        <v>10</v>
      </c>
      <c r="AL317" s="106"/>
      <c r="AM317" s="105"/>
      <c r="AN317" s="105">
        <f t="shared" si="505"/>
        <v>0</v>
      </c>
      <c r="AO317" s="106"/>
      <c r="AP317" s="105"/>
      <c r="AQ317" s="105">
        <f t="shared" si="518"/>
        <v>0</v>
      </c>
      <c r="AR317" s="106"/>
      <c r="AS317" s="97">
        <f t="shared" si="469"/>
        <v>10</v>
      </c>
      <c r="AT317" s="6"/>
      <c r="AU317" s="105"/>
      <c r="AV317" s="455">
        <f t="shared" si="500"/>
        <v>0</v>
      </c>
      <c r="AW317" s="496"/>
      <c r="AX317" s="508"/>
      <c r="AY317" s="498">
        <v>150</v>
      </c>
      <c r="AZ317" s="100">
        <f t="shared" si="517"/>
        <v>10</v>
      </c>
      <c r="BA317" s="101"/>
      <c r="BB317" s="100"/>
      <c r="BC317" s="100">
        <f t="shared" si="507"/>
        <v>0</v>
      </c>
      <c r="BD317" s="101"/>
      <c r="BE317" s="105">
        <f t="shared" si="508"/>
        <v>20</v>
      </c>
      <c r="BF317" s="106"/>
      <c r="BG317" s="100">
        <f t="shared" si="492"/>
        <v>0</v>
      </c>
      <c r="BH317" s="106"/>
      <c r="BI317" s="100">
        <f t="shared" si="493"/>
        <v>0</v>
      </c>
      <c r="BJ317" s="106"/>
      <c r="BK317" s="101">
        <f t="shared" si="470"/>
        <v>20</v>
      </c>
      <c r="BL317" s="106"/>
      <c r="BM317" s="104"/>
      <c r="BN317" s="104">
        <f t="shared" si="516"/>
        <v>0</v>
      </c>
      <c r="BO317" s="105">
        <v>1000</v>
      </c>
      <c r="BP317" s="105">
        <f t="shared" si="501"/>
        <v>20</v>
      </c>
      <c r="BQ317" s="106"/>
      <c r="BR317" s="105"/>
      <c r="BS317" s="105">
        <f t="shared" si="468"/>
        <v>0</v>
      </c>
      <c r="BT317" s="106"/>
      <c r="BU317" s="53"/>
      <c r="BV317" s="53">
        <f t="shared" si="509"/>
        <v>0</v>
      </c>
      <c r="BW317" s="54"/>
      <c r="BX317" s="350">
        <f t="shared" si="471"/>
        <v>20</v>
      </c>
      <c r="BY317" s="6"/>
      <c r="BZ317" s="6">
        <f t="shared" si="519"/>
        <v>0</v>
      </c>
      <c r="CA317" s="508"/>
      <c r="CB317" s="165"/>
      <c r="CC317" s="165"/>
      <c r="CD317" s="165"/>
      <c r="CE317" s="504"/>
      <c r="CF317" s="105"/>
      <c r="CG317" s="105">
        <f t="shared" ref="CG317:CG376" si="520">CE317+CF317</f>
        <v>0</v>
      </c>
      <c r="CH317" s="105"/>
      <c r="CI317" s="105"/>
      <c r="CJ317" s="105">
        <f t="shared" ref="CJ317:CJ376" si="521">CH317+CI317</f>
        <v>0</v>
      </c>
      <c r="CK317" s="523"/>
      <c r="CL317" s="102">
        <f t="shared" si="510"/>
        <v>0</v>
      </c>
      <c r="CM317" s="103"/>
      <c r="CN317" s="100"/>
      <c r="CO317" s="100">
        <f t="shared" si="498"/>
        <v>0</v>
      </c>
      <c r="CP317" s="515"/>
      <c r="CQ317" s="441"/>
      <c r="CR317" s="504"/>
      <c r="CS317" s="105"/>
      <c r="CT317" s="105">
        <f t="shared" si="490"/>
        <v>0</v>
      </c>
      <c r="CU317" s="105"/>
      <c r="CV317" s="105"/>
      <c r="CW317" s="105">
        <f t="shared" si="491"/>
        <v>0</v>
      </c>
      <c r="CX317" s="53"/>
      <c r="CY317" s="109">
        <f t="shared" si="499"/>
        <v>0</v>
      </c>
      <c r="CZ317" s="54"/>
      <c r="DA317" s="105"/>
      <c r="DB317" s="455">
        <f t="shared" si="472"/>
        <v>0</v>
      </c>
      <c r="DC317" s="495"/>
      <c r="DD317" s="25"/>
      <c r="DE317" s="44" t="s">
        <v>510</v>
      </c>
      <c r="DF317" s="1133"/>
      <c r="DG317" s="674">
        <f t="shared" si="494"/>
        <v>0</v>
      </c>
      <c r="DH317" s="1119">
        <f t="shared" si="495"/>
        <v>0</v>
      </c>
      <c r="DI317" s="1119"/>
      <c r="DJ317" s="101">
        <f t="shared" si="497"/>
        <v>20</v>
      </c>
      <c r="DK317" s="101"/>
      <c r="DL317" s="101">
        <f t="shared" si="496"/>
        <v>0</v>
      </c>
      <c r="DM317" s="101"/>
      <c r="DN317" s="112"/>
      <c r="DO317" s="112"/>
      <c r="DP317" s="112"/>
      <c r="DQ317" s="112"/>
    </row>
    <row r="318" spans="1:130" ht="21.6" customHeight="1" x14ac:dyDescent="0.25">
      <c r="A318" s="4"/>
      <c r="B318" s="4"/>
      <c r="C318" s="166" t="s">
        <v>176</v>
      </c>
      <c r="D318" s="167" t="s">
        <v>431</v>
      </c>
      <c r="E318" s="3" t="s">
        <v>511</v>
      </c>
      <c r="F318" s="162"/>
      <c r="G318" s="162"/>
      <c r="H318" s="162"/>
      <c r="I318" s="162"/>
      <c r="J318" s="162"/>
      <c r="K318" s="162"/>
      <c r="L318" s="168"/>
      <c r="M318" s="1216"/>
      <c r="N318" s="41"/>
      <c r="O318" s="6"/>
      <c r="P318" s="7"/>
      <c r="Q318" s="7"/>
      <c r="R318" s="7"/>
      <c r="S318" s="7"/>
      <c r="T318" s="89"/>
      <c r="U318" s="89"/>
      <c r="V318" s="89"/>
      <c r="W318" s="137"/>
      <c r="X318" s="137"/>
      <c r="Y318" s="90"/>
      <c r="Z318" s="169"/>
      <c r="AA318" s="92"/>
      <c r="AB318" s="92"/>
      <c r="AC318" s="92">
        <f t="shared" si="502"/>
        <v>0</v>
      </c>
      <c r="AD318" s="93"/>
      <c r="AE318" s="93"/>
      <c r="AF318" s="94">
        <f t="shared" si="503"/>
        <v>0</v>
      </c>
      <c r="AG318" s="475"/>
      <c r="AH318" s="99"/>
      <c r="AI318" s="99">
        <f t="shared" si="515"/>
        <v>0</v>
      </c>
      <c r="AJ318" s="138"/>
      <c r="AK318" s="138"/>
      <c r="AL318" s="106"/>
      <c r="AM318" s="105"/>
      <c r="AN318" s="105"/>
      <c r="AO318" s="106"/>
      <c r="AP318" s="105"/>
      <c r="AQ318" s="105">
        <f t="shared" si="518"/>
        <v>0</v>
      </c>
      <c r="AR318" s="106"/>
      <c r="AS318" s="97">
        <f t="shared" si="469"/>
        <v>0</v>
      </c>
      <c r="AT318" s="6"/>
      <c r="AU318" s="105"/>
      <c r="AV318" s="455">
        <f t="shared" si="500"/>
        <v>0</v>
      </c>
      <c r="AW318" s="496"/>
      <c r="AX318" s="508"/>
      <c r="AY318" s="498">
        <v>735</v>
      </c>
      <c r="AZ318" s="100">
        <f t="shared" si="517"/>
        <v>49</v>
      </c>
      <c r="BA318" s="101"/>
      <c r="BB318" s="100"/>
      <c r="BC318" s="100"/>
      <c r="BD318" s="101"/>
      <c r="BE318" s="105">
        <f t="shared" si="508"/>
        <v>49</v>
      </c>
      <c r="BF318" s="106"/>
      <c r="BG318" s="100">
        <f t="shared" si="492"/>
        <v>0</v>
      </c>
      <c r="BH318" s="106"/>
      <c r="BI318" s="100">
        <f t="shared" si="493"/>
        <v>0</v>
      </c>
      <c r="BJ318" s="106"/>
      <c r="BK318" s="101">
        <f t="shared" si="470"/>
        <v>49</v>
      </c>
      <c r="BL318" s="106"/>
      <c r="BM318" s="104"/>
      <c r="BN318" s="104">
        <f t="shared" si="516"/>
        <v>0</v>
      </c>
      <c r="BO318" s="105">
        <v>2450</v>
      </c>
      <c r="BP318" s="105">
        <f t="shared" si="501"/>
        <v>49</v>
      </c>
      <c r="BQ318" s="106"/>
      <c r="BR318" s="105"/>
      <c r="BS318" s="105">
        <f t="shared" si="468"/>
        <v>0</v>
      </c>
      <c r="BT318" s="106"/>
      <c r="BU318" s="53"/>
      <c r="BV318" s="53">
        <f t="shared" si="509"/>
        <v>0</v>
      </c>
      <c r="BW318" s="54"/>
      <c r="BX318" s="350">
        <f t="shared" si="471"/>
        <v>49</v>
      </c>
      <c r="BY318" s="6"/>
      <c r="BZ318" s="6">
        <f t="shared" si="519"/>
        <v>0</v>
      </c>
      <c r="CA318" s="508"/>
      <c r="CB318" s="165"/>
      <c r="CC318" s="165"/>
      <c r="CD318" s="165"/>
      <c r="CE318" s="504"/>
      <c r="CF318" s="105"/>
      <c r="CG318" s="105">
        <f t="shared" si="520"/>
        <v>0</v>
      </c>
      <c r="CH318" s="105"/>
      <c r="CI318" s="105"/>
      <c r="CJ318" s="105">
        <f t="shared" si="521"/>
        <v>0</v>
      </c>
      <c r="CK318" s="523"/>
      <c r="CL318" s="102"/>
      <c r="CM318" s="103"/>
      <c r="CN318" s="100"/>
      <c r="CO318" s="100">
        <f t="shared" si="498"/>
        <v>0</v>
      </c>
      <c r="CP318" s="515"/>
      <c r="CQ318" s="441"/>
      <c r="CR318" s="504"/>
      <c r="CS318" s="105"/>
      <c r="CT318" s="105">
        <f t="shared" si="490"/>
        <v>0</v>
      </c>
      <c r="CU318" s="105"/>
      <c r="CV318" s="105"/>
      <c r="CW318" s="105">
        <f t="shared" si="491"/>
        <v>0</v>
      </c>
      <c r="CX318" s="53"/>
      <c r="CY318" s="109">
        <f t="shared" si="499"/>
        <v>0</v>
      </c>
      <c r="CZ318" s="54"/>
      <c r="DA318" s="105"/>
      <c r="DB318" s="455">
        <f t="shared" si="472"/>
        <v>0</v>
      </c>
      <c r="DC318" s="495"/>
      <c r="DD318" s="25"/>
      <c r="DF318" s="1133"/>
      <c r="DG318" s="674">
        <f t="shared" si="494"/>
        <v>0</v>
      </c>
      <c r="DH318" s="1119">
        <f t="shared" si="495"/>
        <v>0</v>
      </c>
      <c r="DI318" s="1119"/>
      <c r="DJ318" s="101">
        <f t="shared" si="497"/>
        <v>49</v>
      </c>
      <c r="DK318" s="101"/>
      <c r="DL318" s="101">
        <f t="shared" si="496"/>
        <v>0</v>
      </c>
      <c r="DM318" s="101"/>
      <c r="DN318" s="112"/>
      <c r="DO318" s="112"/>
      <c r="DP318" s="112"/>
      <c r="DQ318" s="112"/>
    </row>
    <row r="319" spans="1:130" ht="21.6" customHeight="1" x14ac:dyDescent="0.25">
      <c r="A319" s="4"/>
      <c r="B319" s="4"/>
      <c r="C319" s="166" t="s">
        <v>176</v>
      </c>
      <c r="D319" s="167" t="s">
        <v>437</v>
      </c>
      <c r="E319" s="21" t="s">
        <v>512</v>
      </c>
      <c r="F319" s="162"/>
      <c r="G319" s="162"/>
      <c r="H319" s="162"/>
      <c r="I319" s="162"/>
      <c r="J319" s="162"/>
      <c r="K319" s="162"/>
      <c r="L319" s="168"/>
      <c r="M319" s="1216"/>
      <c r="N319" s="41"/>
      <c r="O319" s="6"/>
      <c r="P319" s="7"/>
      <c r="Q319" s="7"/>
      <c r="R319" s="7"/>
      <c r="S319" s="7"/>
      <c r="T319" s="89"/>
      <c r="U319" s="89"/>
      <c r="V319" s="89"/>
      <c r="W319" s="137"/>
      <c r="X319" s="137"/>
      <c r="Y319" s="90"/>
      <c r="Z319" s="169"/>
      <c r="AA319" s="92"/>
      <c r="AB319" s="92"/>
      <c r="AC319" s="92">
        <f t="shared" si="502"/>
        <v>0</v>
      </c>
      <c r="AD319" s="93"/>
      <c r="AE319" s="93"/>
      <c r="AF319" s="94">
        <f t="shared" si="503"/>
        <v>0</v>
      </c>
      <c r="AG319" s="475"/>
      <c r="AH319" s="99"/>
      <c r="AI319" s="99">
        <f t="shared" si="515"/>
        <v>0</v>
      </c>
      <c r="AJ319" s="138">
        <v>150</v>
      </c>
      <c r="AK319" s="138">
        <f t="shared" ref="AK319:AK325" si="522">AJ319/15</f>
        <v>10</v>
      </c>
      <c r="AL319" s="106"/>
      <c r="AM319" s="105"/>
      <c r="AN319" s="105">
        <f t="shared" ref="AN319:AN325" si="523">AM319/15</f>
        <v>0</v>
      </c>
      <c r="AO319" s="106"/>
      <c r="AP319" s="105"/>
      <c r="AQ319" s="105">
        <f t="shared" si="518"/>
        <v>0</v>
      </c>
      <c r="AR319" s="106"/>
      <c r="AS319" s="97">
        <f t="shared" si="469"/>
        <v>10</v>
      </c>
      <c r="AT319" s="6"/>
      <c r="AU319" s="105"/>
      <c r="AV319" s="455">
        <f t="shared" si="500"/>
        <v>0</v>
      </c>
      <c r="AW319" s="496"/>
      <c r="AX319" s="508"/>
      <c r="AY319" s="498"/>
      <c r="AZ319" s="100">
        <f t="shared" si="517"/>
        <v>0</v>
      </c>
      <c r="BA319" s="101"/>
      <c r="BB319" s="100"/>
      <c r="BC319" s="100">
        <f t="shared" ref="BC319:BC325" si="524">BB319/15</f>
        <v>0</v>
      </c>
      <c r="BD319" s="101"/>
      <c r="BE319" s="105">
        <f t="shared" si="508"/>
        <v>10</v>
      </c>
      <c r="BF319" s="106"/>
      <c r="BG319" s="100">
        <f t="shared" si="492"/>
        <v>0</v>
      </c>
      <c r="BH319" s="106"/>
      <c r="BI319" s="100">
        <f t="shared" si="493"/>
        <v>0</v>
      </c>
      <c r="BJ319" s="106"/>
      <c r="BK319" s="101">
        <f t="shared" si="470"/>
        <v>10</v>
      </c>
      <c r="BL319" s="106"/>
      <c r="BM319" s="104"/>
      <c r="BN319" s="104">
        <f t="shared" si="516"/>
        <v>0</v>
      </c>
      <c r="BO319" s="105">
        <v>500</v>
      </c>
      <c r="BP319" s="105">
        <f t="shared" si="501"/>
        <v>10</v>
      </c>
      <c r="BQ319" s="106"/>
      <c r="BR319" s="105"/>
      <c r="BS319" s="105">
        <f t="shared" si="468"/>
        <v>0</v>
      </c>
      <c r="BT319" s="106"/>
      <c r="BU319" s="53"/>
      <c r="BV319" s="53">
        <f t="shared" si="509"/>
        <v>0</v>
      </c>
      <c r="BW319" s="54"/>
      <c r="BX319" s="350">
        <f t="shared" si="471"/>
        <v>10</v>
      </c>
      <c r="BY319" s="6"/>
      <c r="BZ319" s="6">
        <f t="shared" si="519"/>
        <v>0</v>
      </c>
      <c r="CA319" s="508"/>
      <c r="CB319" s="165"/>
      <c r="CC319" s="165"/>
      <c r="CD319" s="165"/>
      <c r="CE319" s="504"/>
      <c r="CF319" s="105"/>
      <c r="CG319" s="105">
        <f t="shared" si="520"/>
        <v>0</v>
      </c>
      <c r="CH319" s="105"/>
      <c r="CI319" s="105"/>
      <c r="CJ319" s="105">
        <f t="shared" si="521"/>
        <v>0</v>
      </c>
      <c r="CK319" s="523"/>
      <c r="CL319" s="102">
        <f t="shared" ref="CL319:CL325" si="525">CK319/15</f>
        <v>0</v>
      </c>
      <c r="CM319" s="103"/>
      <c r="CN319" s="100"/>
      <c r="CO319" s="100">
        <f t="shared" si="498"/>
        <v>0</v>
      </c>
      <c r="CP319" s="515"/>
      <c r="CQ319" s="441"/>
      <c r="CR319" s="504"/>
      <c r="CS319" s="105"/>
      <c r="CT319" s="105">
        <f t="shared" si="490"/>
        <v>0</v>
      </c>
      <c r="CU319" s="105"/>
      <c r="CV319" s="105"/>
      <c r="CW319" s="105">
        <f t="shared" si="491"/>
        <v>0</v>
      </c>
      <c r="CX319" s="53"/>
      <c r="CY319" s="109">
        <f t="shared" si="499"/>
        <v>0</v>
      </c>
      <c r="CZ319" s="54"/>
      <c r="DA319" s="105"/>
      <c r="DB319" s="455">
        <f t="shared" si="472"/>
        <v>0</v>
      </c>
      <c r="DC319" s="495"/>
      <c r="DD319" s="25"/>
      <c r="DE319" s="44" t="s">
        <v>508</v>
      </c>
      <c r="DF319" s="1133"/>
      <c r="DG319" s="674">
        <f t="shared" si="494"/>
        <v>0</v>
      </c>
      <c r="DH319" s="1119">
        <f t="shared" si="495"/>
        <v>0</v>
      </c>
      <c r="DI319" s="1119"/>
      <c r="DJ319" s="101">
        <f t="shared" si="497"/>
        <v>10</v>
      </c>
      <c r="DK319" s="101"/>
      <c r="DL319" s="101">
        <f t="shared" si="496"/>
        <v>0</v>
      </c>
      <c r="DM319" s="101"/>
      <c r="DN319" s="112"/>
      <c r="DO319" s="112">
        <f>DJ319</f>
        <v>10</v>
      </c>
      <c r="DP319" s="112"/>
      <c r="DQ319" s="112"/>
    </row>
    <row r="320" spans="1:130" ht="21.6" customHeight="1" x14ac:dyDescent="0.25">
      <c r="A320" s="4"/>
      <c r="B320" s="4"/>
      <c r="C320" s="166" t="s">
        <v>176</v>
      </c>
      <c r="D320" s="167" t="s">
        <v>431</v>
      </c>
      <c r="E320" s="21" t="s">
        <v>513</v>
      </c>
      <c r="F320" s="162"/>
      <c r="G320" s="162"/>
      <c r="H320" s="162"/>
      <c r="I320" s="162"/>
      <c r="J320" s="162"/>
      <c r="K320" s="162"/>
      <c r="L320" s="168"/>
      <c r="M320" s="1216"/>
      <c r="N320" s="41"/>
      <c r="O320" s="6"/>
      <c r="P320" s="7"/>
      <c r="Q320" s="7"/>
      <c r="R320" s="7"/>
      <c r="S320" s="7"/>
      <c r="T320" s="89"/>
      <c r="U320" s="89"/>
      <c r="V320" s="89"/>
      <c r="W320" s="137"/>
      <c r="X320" s="137"/>
      <c r="Y320" s="90"/>
      <c r="Z320" s="169"/>
      <c r="AA320" s="92"/>
      <c r="AB320" s="92"/>
      <c r="AC320" s="92">
        <f t="shared" si="502"/>
        <v>0</v>
      </c>
      <c r="AD320" s="93"/>
      <c r="AE320" s="93"/>
      <c r="AF320" s="94">
        <f t="shared" si="503"/>
        <v>0</v>
      </c>
      <c r="AG320" s="475"/>
      <c r="AH320" s="99"/>
      <c r="AI320" s="99">
        <f>AH320/15</f>
        <v>0</v>
      </c>
      <c r="AJ320" s="138">
        <v>300</v>
      </c>
      <c r="AK320" s="138">
        <f t="shared" si="522"/>
        <v>20</v>
      </c>
      <c r="AL320" s="106"/>
      <c r="AM320" s="105"/>
      <c r="AN320" s="105">
        <f t="shared" si="523"/>
        <v>0</v>
      </c>
      <c r="AO320" s="106"/>
      <c r="AP320" s="105"/>
      <c r="AQ320" s="105">
        <f t="shared" si="518"/>
        <v>0</v>
      </c>
      <c r="AR320" s="106"/>
      <c r="AS320" s="97">
        <f t="shared" si="469"/>
        <v>20</v>
      </c>
      <c r="AT320" s="6"/>
      <c r="AU320" s="105"/>
      <c r="AV320" s="455">
        <f t="shared" si="500"/>
        <v>0</v>
      </c>
      <c r="AW320" s="496"/>
      <c r="AX320" s="508"/>
      <c r="AY320" s="498"/>
      <c r="AZ320" s="100">
        <f t="shared" si="517"/>
        <v>0</v>
      </c>
      <c r="BA320" s="101"/>
      <c r="BB320" s="100"/>
      <c r="BC320" s="100">
        <f t="shared" si="524"/>
        <v>0</v>
      </c>
      <c r="BD320" s="101"/>
      <c r="BE320" s="105">
        <f t="shared" si="508"/>
        <v>20</v>
      </c>
      <c r="BF320" s="106"/>
      <c r="BG320" s="100">
        <f t="shared" si="492"/>
        <v>0</v>
      </c>
      <c r="BH320" s="106"/>
      <c r="BI320" s="100">
        <f t="shared" si="493"/>
        <v>0</v>
      </c>
      <c r="BJ320" s="106"/>
      <c r="BK320" s="101">
        <f t="shared" si="470"/>
        <v>20</v>
      </c>
      <c r="BL320" s="106"/>
      <c r="BM320" s="104"/>
      <c r="BN320" s="104">
        <f t="shared" si="516"/>
        <v>0</v>
      </c>
      <c r="BO320" s="105">
        <v>1000</v>
      </c>
      <c r="BP320" s="105">
        <f t="shared" si="501"/>
        <v>20</v>
      </c>
      <c r="BQ320" s="106"/>
      <c r="BR320" s="105"/>
      <c r="BS320" s="105">
        <f t="shared" si="468"/>
        <v>0</v>
      </c>
      <c r="BT320" s="106"/>
      <c r="BU320" s="53"/>
      <c r="BV320" s="53">
        <f t="shared" si="509"/>
        <v>0</v>
      </c>
      <c r="BW320" s="54"/>
      <c r="BX320" s="350">
        <f t="shared" si="471"/>
        <v>20</v>
      </c>
      <c r="BY320" s="6"/>
      <c r="BZ320" s="6">
        <f t="shared" si="519"/>
        <v>0</v>
      </c>
      <c r="CA320" s="508"/>
      <c r="CB320" s="165"/>
      <c r="CC320" s="165"/>
      <c r="CD320" s="165"/>
      <c r="CE320" s="504"/>
      <c r="CF320" s="105"/>
      <c r="CG320" s="105">
        <f t="shared" si="520"/>
        <v>0</v>
      </c>
      <c r="CH320" s="105"/>
      <c r="CI320" s="105"/>
      <c r="CJ320" s="105">
        <f t="shared" si="521"/>
        <v>0</v>
      </c>
      <c r="CK320" s="523"/>
      <c r="CL320" s="102">
        <f t="shared" si="525"/>
        <v>0</v>
      </c>
      <c r="CM320" s="103"/>
      <c r="CN320" s="100"/>
      <c r="CO320" s="100">
        <f t="shared" si="498"/>
        <v>0</v>
      </c>
      <c r="CP320" s="515"/>
      <c r="CQ320" s="441"/>
      <c r="CR320" s="504"/>
      <c r="CS320" s="105"/>
      <c r="CT320" s="105">
        <f t="shared" si="490"/>
        <v>0</v>
      </c>
      <c r="CU320" s="105"/>
      <c r="CV320" s="105"/>
      <c r="CW320" s="105">
        <f t="shared" si="491"/>
        <v>0</v>
      </c>
      <c r="CX320" s="53"/>
      <c r="CY320" s="109">
        <f t="shared" si="499"/>
        <v>0</v>
      </c>
      <c r="CZ320" s="54"/>
      <c r="DA320" s="105"/>
      <c r="DB320" s="455">
        <f t="shared" si="472"/>
        <v>0</v>
      </c>
      <c r="DC320" s="495"/>
      <c r="DD320" s="25"/>
      <c r="DE320" s="44" t="s">
        <v>514</v>
      </c>
      <c r="DF320" s="1133"/>
      <c r="DG320" s="674">
        <f t="shared" si="494"/>
        <v>0</v>
      </c>
      <c r="DH320" s="1119">
        <f t="shared" si="495"/>
        <v>0</v>
      </c>
      <c r="DI320" s="1119"/>
      <c r="DJ320" s="101">
        <f t="shared" si="497"/>
        <v>20</v>
      </c>
      <c r="DK320" s="101"/>
      <c r="DL320" s="101">
        <f t="shared" si="496"/>
        <v>0</v>
      </c>
      <c r="DM320" s="101"/>
      <c r="DN320" s="112"/>
      <c r="DO320" s="112"/>
      <c r="DP320" s="112"/>
      <c r="DQ320" s="112"/>
    </row>
    <row r="321" spans="1:130" ht="21.6" customHeight="1" x14ac:dyDescent="0.25">
      <c r="A321" s="4" t="s">
        <v>130</v>
      </c>
      <c r="B321" s="4">
        <v>14</v>
      </c>
      <c r="C321" s="166" t="s">
        <v>176</v>
      </c>
      <c r="D321" s="167"/>
      <c r="E321" s="1" t="s">
        <v>186</v>
      </c>
      <c r="F321" s="162">
        <v>18</v>
      </c>
      <c r="G321" s="162">
        <v>4</v>
      </c>
      <c r="H321" s="162">
        <f t="shared" si="511"/>
        <v>22</v>
      </c>
      <c r="I321" s="162">
        <v>21</v>
      </c>
      <c r="J321" s="162">
        <v>2</v>
      </c>
      <c r="K321" s="162">
        <f t="shared" si="512"/>
        <v>23</v>
      </c>
      <c r="L321" s="168"/>
      <c r="M321" s="1216"/>
      <c r="N321" s="41"/>
      <c r="O321" s="6"/>
      <c r="P321" s="7"/>
      <c r="Q321" s="7"/>
      <c r="R321" s="7"/>
      <c r="S321" s="7"/>
      <c r="T321" s="89"/>
      <c r="U321" s="89"/>
      <c r="V321" s="89">
        <f t="shared" si="513"/>
        <v>0</v>
      </c>
      <c r="W321" s="137"/>
      <c r="X321" s="137"/>
      <c r="Y321" s="90">
        <f t="shared" si="514"/>
        <v>0</v>
      </c>
      <c r="Z321" s="169"/>
      <c r="AA321" s="92"/>
      <c r="AB321" s="92"/>
      <c r="AC321" s="92">
        <f t="shared" si="502"/>
        <v>0</v>
      </c>
      <c r="AD321" s="93"/>
      <c r="AE321" s="93"/>
      <c r="AF321" s="94">
        <f t="shared" si="503"/>
        <v>0</v>
      </c>
      <c r="AG321" s="475"/>
      <c r="AH321" s="99"/>
      <c r="AI321" s="99">
        <f t="shared" si="515"/>
        <v>0</v>
      </c>
      <c r="AJ321" s="138"/>
      <c r="AK321" s="138">
        <f t="shared" si="522"/>
        <v>0</v>
      </c>
      <c r="AL321" s="106"/>
      <c r="AM321" s="105"/>
      <c r="AN321" s="105">
        <f t="shared" si="523"/>
        <v>0</v>
      </c>
      <c r="AO321" s="106"/>
      <c r="AP321" s="105"/>
      <c r="AQ321" s="105">
        <f t="shared" si="518"/>
        <v>0</v>
      </c>
      <c r="AR321" s="106"/>
      <c r="AS321" s="97">
        <f t="shared" si="469"/>
        <v>0</v>
      </c>
      <c r="AT321" s="6"/>
      <c r="AU321" s="105"/>
      <c r="AV321" s="455">
        <f t="shared" si="500"/>
        <v>0</v>
      </c>
      <c r="AW321" s="496"/>
      <c r="AX321" s="508"/>
      <c r="AY321" s="498"/>
      <c r="AZ321" s="100">
        <f t="shared" si="517"/>
        <v>0</v>
      </c>
      <c r="BA321" s="101"/>
      <c r="BB321" s="100"/>
      <c r="BC321" s="100">
        <f t="shared" si="524"/>
        <v>0</v>
      </c>
      <c r="BD321" s="101"/>
      <c r="BE321" s="105">
        <f t="shared" si="508"/>
        <v>0</v>
      </c>
      <c r="BF321" s="106"/>
      <c r="BG321" s="100">
        <f t="shared" si="492"/>
        <v>0</v>
      </c>
      <c r="BH321" s="106"/>
      <c r="BI321" s="100">
        <f t="shared" si="493"/>
        <v>0</v>
      </c>
      <c r="BJ321" s="106"/>
      <c r="BK321" s="101">
        <f t="shared" si="470"/>
        <v>0</v>
      </c>
      <c r="BL321" s="106"/>
      <c r="BM321" s="104"/>
      <c r="BN321" s="104">
        <f t="shared" si="516"/>
        <v>0</v>
      </c>
      <c r="BO321" s="105"/>
      <c r="BP321" s="105">
        <f t="shared" si="501"/>
        <v>0</v>
      </c>
      <c r="BQ321" s="106"/>
      <c r="BR321" s="105"/>
      <c r="BS321" s="105">
        <f t="shared" si="468"/>
        <v>0</v>
      </c>
      <c r="BT321" s="106"/>
      <c r="BU321" s="53"/>
      <c r="BV321" s="53">
        <f t="shared" si="509"/>
        <v>0</v>
      </c>
      <c r="BW321" s="54"/>
      <c r="BX321" s="350">
        <f t="shared" si="471"/>
        <v>0</v>
      </c>
      <c r="BY321" s="6"/>
      <c r="BZ321" s="6">
        <f t="shared" si="519"/>
        <v>0</v>
      </c>
      <c r="CA321" s="508"/>
      <c r="CB321" s="165"/>
      <c r="CC321" s="165"/>
      <c r="CD321" s="165"/>
      <c r="CE321" s="504"/>
      <c r="CF321" s="105"/>
      <c r="CG321" s="105">
        <f t="shared" si="520"/>
        <v>0</v>
      </c>
      <c r="CH321" s="105"/>
      <c r="CI321" s="105"/>
      <c r="CJ321" s="105">
        <f t="shared" si="521"/>
        <v>0</v>
      </c>
      <c r="CK321" s="523"/>
      <c r="CL321" s="102">
        <f t="shared" si="525"/>
        <v>0</v>
      </c>
      <c r="CM321" s="103"/>
      <c r="CN321" s="100"/>
      <c r="CO321" s="100">
        <f t="shared" si="498"/>
        <v>0</v>
      </c>
      <c r="CP321" s="515"/>
      <c r="CQ321" s="441"/>
      <c r="CR321" s="504"/>
      <c r="CS321" s="105"/>
      <c r="CT321" s="105">
        <f t="shared" si="490"/>
        <v>0</v>
      </c>
      <c r="CU321" s="105"/>
      <c r="CV321" s="105"/>
      <c r="CW321" s="105">
        <f t="shared" si="491"/>
        <v>0</v>
      </c>
      <c r="CX321" s="53"/>
      <c r="CY321" s="109">
        <f t="shared" si="499"/>
        <v>0</v>
      </c>
      <c r="CZ321" s="54"/>
      <c r="DA321" s="105"/>
      <c r="DB321" s="455">
        <f t="shared" si="472"/>
        <v>0</v>
      </c>
      <c r="DC321" s="495"/>
      <c r="DD321" s="25"/>
      <c r="DF321" s="1133"/>
      <c r="DG321" s="674">
        <f t="shared" si="494"/>
        <v>0</v>
      </c>
      <c r="DH321" s="1119">
        <f t="shared" si="495"/>
        <v>0</v>
      </c>
      <c r="DI321" s="1119"/>
      <c r="DJ321" s="101">
        <f t="shared" si="497"/>
        <v>0</v>
      </c>
      <c r="DK321" s="101"/>
      <c r="DL321" s="101">
        <f t="shared" si="496"/>
        <v>0</v>
      </c>
      <c r="DM321" s="101"/>
      <c r="DN321" s="112"/>
      <c r="DO321" s="112"/>
      <c r="DP321" s="112"/>
      <c r="DQ321" s="112"/>
    </row>
    <row r="322" spans="1:130" s="139" customFormat="1" ht="21.6" customHeight="1" x14ac:dyDescent="0.25">
      <c r="A322" s="4" t="s">
        <v>130</v>
      </c>
      <c r="B322" s="4">
        <v>15</v>
      </c>
      <c r="C322" s="134" t="s">
        <v>176</v>
      </c>
      <c r="D322" s="182" t="s">
        <v>431</v>
      </c>
      <c r="E322" s="13" t="s">
        <v>187</v>
      </c>
      <c r="F322" s="135">
        <v>17</v>
      </c>
      <c r="G322" s="135">
        <v>5</v>
      </c>
      <c r="H322" s="135">
        <f t="shared" si="511"/>
        <v>22</v>
      </c>
      <c r="I322" s="135">
        <v>12.5</v>
      </c>
      <c r="J322" s="135"/>
      <c r="K322" s="135">
        <f t="shared" si="512"/>
        <v>12.5</v>
      </c>
      <c r="L322" s="183"/>
      <c r="M322" s="1216"/>
      <c r="N322" s="41"/>
      <c r="O322" s="6"/>
      <c r="P322" s="7"/>
      <c r="Q322" s="7"/>
      <c r="R322" s="7"/>
      <c r="S322" s="7"/>
      <c r="T322" s="89"/>
      <c r="U322" s="89"/>
      <c r="V322" s="89">
        <f t="shared" si="513"/>
        <v>0</v>
      </c>
      <c r="W322" s="137"/>
      <c r="X322" s="137"/>
      <c r="Y322" s="90">
        <f t="shared" si="514"/>
        <v>0</v>
      </c>
      <c r="Z322" s="91"/>
      <c r="AA322" s="92"/>
      <c r="AB322" s="92"/>
      <c r="AC322" s="92">
        <f t="shared" si="502"/>
        <v>0</v>
      </c>
      <c r="AD322" s="93"/>
      <c r="AE322" s="93"/>
      <c r="AF322" s="94">
        <f t="shared" si="503"/>
        <v>0</v>
      </c>
      <c r="AG322" s="473"/>
      <c r="AH322" s="99">
        <v>25</v>
      </c>
      <c r="AI322" s="99">
        <f t="shared" si="515"/>
        <v>1.6666666666666667</v>
      </c>
      <c r="AJ322" s="138"/>
      <c r="AK322" s="138">
        <f t="shared" si="522"/>
        <v>0</v>
      </c>
      <c r="AL322" s="106"/>
      <c r="AM322" s="105">
        <v>20</v>
      </c>
      <c r="AN322" s="105">
        <f t="shared" si="523"/>
        <v>1.3333333333333333</v>
      </c>
      <c r="AO322" s="106"/>
      <c r="AP322" s="105"/>
      <c r="AQ322" s="105">
        <f t="shared" si="518"/>
        <v>0</v>
      </c>
      <c r="AR322" s="106"/>
      <c r="AS322" s="97">
        <f t="shared" si="469"/>
        <v>1.3333333333333333</v>
      </c>
      <c r="AT322" s="6"/>
      <c r="AU322" s="105"/>
      <c r="AV322" s="455">
        <f t="shared" si="500"/>
        <v>0</v>
      </c>
      <c r="AW322" s="496"/>
      <c r="AX322" s="508"/>
      <c r="AY322" s="498">
        <v>105</v>
      </c>
      <c r="AZ322" s="100">
        <f t="shared" si="517"/>
        <v>7</v>
      </c>
      <c r="BA322" s="101"/>
      <c r="BB322" s="100"/>
      <c r="BC322" s="100">
        <f t="shared" si="524"/>
        <v>0</v>
      </c>
      <c r="BD322" s="101"/>
      <c r="BE322" s="105">
        <f t="shared" si="508"/>
        <v>7</v>
      </c>
      <c r="BF322" s="106"/>
      <c r="BG322" s="100">
        <f t="shared" si="492"/>
        <v>1.3333333333333333</v>
      </c>
      <c r="BH322" s="106"/>
      <c r="BI322" s="100">
        <f t="shared" si="493"/>
        <v>0</v>
      </c>
      <c r="BJ322" s="106"/>
      <c r="BK322" s="101">
        <f t="shared" si="470"/>
        <v>8.3333333333333339</v>
      </c>
      <c r="BL322" s="106"/>
      <c r="BM322" s="104">
        <v>202.5</v>
      </c>
      <c r="BN322" s="104">
        <f t="shared" si="516"/>
        <v>4.05</v>
      </c>
      <c r="BO322" s="105"/>
      <c r="BP322" s="105">
        <f t="shared" si="501"/>
        <v>0</v>
      </c>
      <c r="BQ322" s="106"/>
      <c r="BR322" s="105">
        <f>200+100+100</f>
        <v>400</v>
      </c>
      <c r="BS322" s="105">
        <f t="shared" si="468"/>
        <v>8</v>
      </c>
      <c r="BT322" s="106"/>
      <c r="BU322" s="53"/>
      <c r="BV322" s="53">
        <f t="shared" si="509"/>
        <v>0</v>
      </c>
      <c r="BW322" s="54"/>
      <c r="BX322" s="350">
        <f t="shared" si="471"/>
        <v>8</v>
      </c>
      <c r="BY322" s="6"/>
      <c r="BZ322" s="6">
        <f t="shared" si="519"/>
        <v>0.33333333333333393</v>
      </c>
      <c r="CA322" s="508"/>
      <c r="CB322" s="7"/>
      <c r="CC322" s="7"/>
      <c r="CD322" s="7"/>
      <c r="CE322" s="504"/>
      <c r="CF322" s="105"/>
      <c r="CG322" s="105">
        <f t="shared" si="520"/>
        <v>0</v>
      </c>
      <c r="CH322" s="105"/>
      <c r="CI322" s="105"/>
      <c r="CJ322" s="105">
        <f t="shared" si="521"/>
        <v>0</v>
      </c>
      <c r="CK322" s="523"/>
      <c r="CL322" s="102">
        <f t="shared" si="525"/>
        <v>0</v>
      </c>
      <c r="CM322" s="103"/>
      <c r="CN322" s="100"/>
      <c r="CO322" s="100">
        <f t="shared" si="498"/>
        <v>0</v>
      </c>
      <c r="CP322" s="515"/>
      <c r="CQ322" s="441"/>
      <c r="CR322" s="504"/>
      <c r="CS322" s="105"/>
      <c r="CT322" s="105">
        <f t="shared" si="490"/>
        <v>0</v>
      </c>
      <c r="CU322" s="105"/>
      <c r="CV322" s="105"/>
      <c r="CW322" s="105">
        <f t="shared" si="491"/>
        <v>0</v>
      </c>
      <c r="CX322" s="53"/>
      <c r="CY322" s="109">
        <f t="shared" si="499"/>
        <v>0</v>
      </c>
      <c r="CZ322" s="54"/>
      <c r="DA322" s="105"/>
      <c r="DB322" s="455">
        <f t="shared" si="472"/>
        <v>0</v>
      </c>
      <c r="DC322" s="495"/>
      <c r="DD322" s="24"/>
      <c r="DE322" s="139" t="s">
        <v>515</v>
      </c>
      <c r="DF322" s="1133"/>
      <c r="DG322" s="674">
        <f t="shared" si="494"/>
        <v>0</v>
      </c>
      <c r="DH322" s="1119">
        <f t="shared" si="495"/>
        <v>0</v>
      </c>
      <c r="DI322" s="1119"/>
      <c r="DJ322" s="101">
        <f t="shared" si="497"/>
        <v>8.3333333333333339</v>
      </c>
      <c r="DK322" s="101"/>
      <c r="DL322" s="101">
        <f t="shared" si="496"/>
        <v>0</v>
      </c>
      <c r="DM322" s="101"/>
      <c r="DN322" s="112"/>
      <c r="DO322" s="112"/>
      <c r="DP322" s="112"/>
      <c r="DQ322" s="112"/>
      <c r="DS322" s="140"/>
      <c r="DT322" s="140"/>
      <c r="DU322" s="140"/>
      <c r="DV322" s="140"/>
      <c r="DW322" s="140"/>
      <c r="DX322" s="140"/>
      <c r="DY322" s="140"/>
      <c r="DZ322" s="140"/>
    </row>
    <row r="323" spans="1:130" s="139" customFormat="1" ht="21.6" customHeight="1" x14ac:dyDescent="0.25">
      <c r="A323" s="4"/>
      <c r="B323" s="4"/>
      <c r="C323" s="166" t="s">
        <v>176</v>
      </c>
      <c r="D323" s="182" t="s">
        <v>431</v>
      </c>
      <c r="E323" s="3" t="s">
        <v>318</v>
      </c>
      <c r="F323" s="135"/>
      <c r="G323" s="135"/>
      <c r="H323" s="135"/>
      <c r="I323" s="135"/>
      <c r="J323" s="135"/>
      <c r="K323" s="135"/>
      <c r="L323" s="183"/>
      <c r="M323" s="1216"/>
      <c r="N323" s="41"/>
      <c r="O323" s="6"/>
      <c r="P323" s="7"/>
      <c r="Q323" s="7"/>
      <c r="R323" s="7"/>
      <c r="S323" s="7"/>
      <c r="T323" s="89"/>
      <c r="U323" s="89"/>
      <c r="V323" s="89">
        <f t="shared" si="513"/>
        <v>0</v>
      </c>
      <c r="W323" s="137"/>
      <c r="X323" s="137"/>
      <c r="Y323" s="90">
        <f t="shared" si="514"/>
        <v>0</v>
      </c>
      <c r="Z323" s="91"/>
      <c r="AA323" s="92"/>
      <c r="AB323" s="92"/>
      <c r="AC323" s="92">
        <f t="shared" si="502"/>
        <v>0</v>
      </c>
      <c r="AD323" s="93"/>
      <c r="AE323" s="93"/>
      <c r="AF323" s="94">
        <f t="shared" si="503"/>
        <v>0</v>
      </c>
      <c r="AG323" s="473"/>
      <c r="AH323" s="99">
        <v>75</v>
      </c>
      <c r="AI323" s="99">
        <f t="shared" si="515"/>
        <v>5</v>
      </c>
      <c r="AJ323" s="138"/>
      <c r="AK323" s="138">
        <f t="shared" si="522"/>
        <v>0</v>
      </c>
      <c r="AL323" s="106"/>
      <c r="AM323" s="105">
        <v>75</v>
      </c>
      <c r="AN323" s="105">
        <f t="shared" si="523"/>
        <v>5</v>
      </c>
      <c r="AO323" s="106"/>
      <c r="AP323" s="105"/>
      <c r="AQ323" s="105">
        <f t="shared" si="518"/>
        <v>0</v>
      </c>
      <c r="AR323" s="106"/>
      <c r="AS323" s="97">
        <f t="shared" si="469"/>
        <v>5</v>
      </c>
      <c r="AT323" s="6"/>
      <c r="AU323" s="105"/>
      <c r="AV323" s="455">
        <f t="shared" si="500"/>
        <v>0</v>
      </c>
      <c r="AW323" s="496"/>
      <c r="AX323" s="508"/>
      <c r="AY323" s="498">
        <v>30</v>
      </c>
      <c r="AZ323" s="100">
        <f t="shared" si="517"/>
        <v>2</v>
      </c>
      <c r="BA323" s="101"/>
      <c r="BB323" s="100"/>
      <c r="BC323" s="100">
        <f t="shared" si="524"/>
        <v>0</v>
      </c>
      <c r="BD323" s="101"/>
      <c r="BE323" s="105">
        <f t="shared" si="508"/>
        <v>2</v>
      </c>
      <c r="BF323" s="106"/>
      <c r="BG323" s="100">
        <f t="shared" ref="BG323:BG329" si="526">BC323+AQ323+AN323</f>
        <v>5</v>
      </c>
      <c r="BH323" s="106"/>
      <c r="BI323" s="100">
        <f t="shared" ref="BI323:BI329" si="527">AV323</f>
        <v>0</v>
      </c>
      <c r="BJ323" s="106"/>
      <c r="BK323" s="101">
        <f t="shared" si="470"/>
        <v>7</v>
      </c>
      <c r="BL323" s="106"/>
      <c r="BM323" s="104">
        <v>600</v>
      </c>
      <c r="BN323" s="104">
        <f t="shared" si="516"/>
        <v>12</v>
      </c>
      <c r="BO323" s="105"/>
      <c r="BP323" s="105">
        <f t="shared" si="501"/>
        <v>0</v>
      </c>
      <c r="BQ323" s="106"/>
      <c r="BR323" s="105">
        <f>250+50</f>
        <v>300</v>
      </c>
      <c r="BS323" s="105">
        <f t="shared" si="468"/>
        <v>6</v>
      </c>
      <c r="BT323" s="106"/>
      <c r="BU323" s="53"/>
      <c r="BV323" s="53">
        <f t="shared" si="509"/>
        <v>0</v>
      </c>
      <c r="BW323" s="54"/>
      <c r="BX323" s="350">
        <f t="shared" si="471"/>
        <v>6</v>
      </c>
      <c r="BY323" s="6"/>
      <c r="BZ323" s="6">
        <f t="shared" si="519"/>
        <v>1</v>
      </c>
      <c r="CA323" s="508"/>
      <c r="CB323" s="7"/>
      <c r="CC323" s="7"/>
      <c r="CD323" s="7"/>
      <c r="CE323" s="504"/>
      <c r="CF323" s="105"/>
      <c r="CG323" s="105">
        <f t="shared" si="520"/>
        <v>0</v>
      </c>
      <c r="CH323" s="105"/>
      <c r="CI323" s="105"/>
      <c r="CJ323" s="105">
        <f t="shared" si="521"/>
        <v>0</v>
      </c>
      <c r="CK323" s="523"/>
      <c r="CL323" s="102">
        <f t="shared" si="525"/>
        <v>0</v>
      </c>
      <c r="CM323" s="103"/>
      <c r="CN323" s="100"/>
      <c r="CO323" s="100">
        <f t="shared" si="498"/>
        <v>0</v>
      </c>
      <c r="CP323" s="515"/>
      <c r="CQ323" s="441"/>
      <c r="CR323" s="504"/>
      <c r="CS323" s="105"/>
      <c r="CT323" s="105">
        <f t="shared" si="490"/>
        <v>0</v>
      </c>
      <c r="CU323" s="105"/>
      <c r="CV323" s="105"/>
      <c r="CW323" s="105">
        <f t="shared" si="491"/>
        <v>0</v>
      </c>
      <c r="CX323" s="53"/>
      <c r="CY323" s="109">
        <f t="shared" si="499"/>
        <v>0</v>
      </c>
      <c r="CZ323" s="54"/>
      <c r="DA323" s="105"/>
      <c r="DB323" s="455">
        <f t="shared" si="472"/>
        <v>0</v>
      </c>
      <c r="DC323" s="495"/>
      <c r="DD323" s="24" t="s">
        <v>321</v>
      </c>
      <c r="DE323" s="139" t="s">
        <v>522</v>
      </c>
      <c r="DF323" s="1133"/>
      <c r="DG323" s="674">
        <f t="shared" ref="DG323:DG329" si="528">AV323+CY323+DB323</f>
        <v>0</v>
      </c>
      <c r="DH323" s="1119">
        <f t="shared" ref="DH323:DH329" si="529">BC323+CL323+CO323</f>
        <v>0</v>
      </c>
      <c r="DI323" s="1119"/>
      <c r="DJ323" s="101">
        <f t="shared" si="497"/>
        <v>7</v>
      </c>
      <c r="DK323" s="101"/>
      <c r="DL323" s="101">
        <f t="shared" si="496"/>
        <v>0</v>
      </c>
      <c r="DM323" s="101"/>
      <c r="DN323" s="112"/>
      <c r="DO323" s="112"/>
      <c r="DP323" s="112"/>
      <c r="DQ323" s="112"/>
      <c r="DS323" s="140"/>
      <c r="DT323" s="140"/>
      <c r="DU323" s="140"/>
      <c r="DV323" s="140"/>
      <c r="DW323" s="140"/>
      <c r="DX323" s="140"/>
      <c r="DY323" s="140"/>
      <c r="DZ323" s="140"/>
    </row>
    <row r="324" spans="1:130" ht="21.6" customHeight="1" x14ac:dyDescent="0.25">
      <c r="A324" s="4" t="s">
        <v>130</v>
      </c>
      <c r="B324" s="4">
        <v>16</v>
      </c>
      <c r="C324" s="166" t="s">
        <v>176</v>
      </c>
      <c r="D324" s="167" t="s">
        <v>431</v>
      </c>
      <c r="E324" s="1" t="s">
        <v>188</v>
      </c>
      <c r="F324" s="162">
        <v>47</v>
      </c>
      <c r="G324" s="162">
        <v>3</v>
      </c>
      <c r="H324" s="162">
        <f>F324+G324</f>
        <v>50</v>
      </c>
      <c r="I324" s="162">
        <v>16.399999999999999</v>
      </c>
      <c r="J324" s="162">
        <v>3.25</v>
      </c>
      <c r="K324" s="162">
        <f>I324+J324</f>
        <v>19.649999999999999</v>
      </c>
      <c r="L324" s="168"/>
      <c r="M324" s="1216"/>
      <c r="N324" s="41"/>
      <c r="O324" s="6"/>
      <c r="P324" s="7"/>
      <c r="Q324" s="7"/>
      <c r="R324" s="7"/>
      <c r="S324" s="7"/>
      <c r="T324" s="89"/>
      <c r="U324" s="89"/>
      <c r="V324" s="89">
        <f t="shared" si="513"/>
        <v>0</v>
      </c>
      <c r="W324" s="137"/>
      <c r="X324" s="137"/>
      <c r="Y324" s="90">
        <f t="shared" si="514"/>
        <v>0</v>
      </c>
      <c r="Z324" s="169"/>
      <c r="AA324" s="92"/>
      <c r="AB324" s="92"/>
      <c r="AC324" s="92">
        <f t="shared" si="502"/>
        <v>0</v>
      </c>
      <c r="AD324" s="93"/>
      <c r="AE324" s="93"/>
      <c r="AF324" s="94">
        <f t="shared" si="503"/>
        <v>0</v>
      </c>
      <c r="AG324" s="475"/>
      <c r="AH324" s="99"/>
      <c r="AI324" s="99">
        <f t="shared" si="515"/>
        <v>0</v>
      </c>
      <c r="AJ324" s="138"/>
      <c r="AK324" s="138">
        <f t="shared" si="522"/>
        <v>0</v>
      </c>
      <c r="AL324" s="106"/>
      <c r="AM324" s="105"/>
      <c r="AN324" s="105">
        <f t="shared" si="523"/>
        <v>0</v>
      </c>
      <c r="AO324" s="106"/>
      <c r="AP324" s="105"/>
      <c r="AQ324" s="105">
        <f t="shared" si="518"/>
        <v>0</v>
      </c>
      <c r="AR324" s="106"/>
      <c r="AS324" s="97">
        <f t="shared" si="469"/>
        <v>0</v>
      </c>
      <c r="AT324" s="6"/>
      <c r="AU324" s="105">
        <v>185</v>
      </c>
      <c r="AV324" s="455">
        <f t="shared" si="500"/>
        <v>12.333333333333334</v>
      </c>
      <c r="AW324" s="496"/>
      <c r="AX324" s="508"/>
      <c r="AY324" s="498"/>
      <c r="AZ324" s="100">
        <f t="shared" si="517"/>
        <v>0</v>
      </c>
      <c r="BA324" s="101"/>
      <c r="BB324" s="100"/>
      <c r="BC324" s="100">
        <f t="shared" si="524"/>
        <v>0</v>
      </c>
      <c r="BD324" s="101"/>
      <c r="BE324" s="105">
        <f t="shared" si="508"/>
        <v>0</v>
      </c>
      <c r="BF324" s="106"/>
      <c r="BG324" s="100">
        <f t="shared" si="526"/>
        <v>0</v>
      </c>
      <c r="BH324" s="106"/>
      <c r="BI324" s="100">
        <f t="shared" si="527"/>
        <v>12.333333333333334</v>
      </c>
      <c r="BJ324" s="106"/>
      <c r="BK324" s="101">
        <f t="shared" si="470"/>
        <v>12.333333333333334</v>
      </c>
      <c r="BL324" s="106"/>
      <c r="BM324" s="104"/>
      <c r="BN324" s="104">
        <f t="shared" si="516"/>
        <v>0</v>
      </c>
      <c r="BO324" s="105"/>
      <c r="BP324" s="105">
        <f t="shared" si="501"/>
        <v>0</v>
      </c>
      <c r="BQ324" s="106"/>
      <c r="BR324" s="105">
        <v>600</v>
      </c>
      <c r="BS324" s="105">
        <f t="shared" si="468"/>
        <v>12</v>
      </c>
      <c r="BT324" s="106"/>
      <c r="BU324" s="53"/>
      <c r="BV324" s="53">
        <f t="shared" si="509"/>
        <v>0</v>
      </c>
      <c r="BW324" s="54"/>
      <c r="BX324" s="350">
        <f t="shared" si="471"/>
        <v>12</v>
      </c>
      <c r="BY324" s="6"/>
      <c r="BZ324" s="6">
        <f t="shared" si="519"/>
        <v>0.33333333333333393</v>
      </c>
      <c r="CA324" s="508"/>
      <c r="CB324" s="165"/>
      <c r="CC324" s="165"/>
      <c r="CD324" s="165"/>
      <c r="CE324" s="504"/>
      <c r="CF324" s="105"/>
      <c r="CG324" s="105">
        <f t="shared" si="520"/>
        <v>0</v>
      </c>
      <c r="CH324" s="105"/>
      <c r="CI324" s="105"/>
      <c r="CJ324" s="105">
        <f t="shared" si="521"/>
        <v>0</v>
      </c>
      <c r="CK324" s="523"/>
      <c r="CL324" s="102">
        <f t="shared" si="525"/>
        <v>0</v>
      </c>
      <c r="CM324" s="103"/>
      <c r="CN324" s="100"/>
      <c r="CO324" s="100">
        <f t="shared" si="498"/>
        <v>0</v>
      </c>
      <c r="CP324" s="515"/>
      <c r="CQ324" s="441"/>
      <c r="CR324" s="504"/>
      <c r="CS324" s="105"/>
      <c r="CT324" s="105">
        <f t="shared" si="490"/>
        <v>0</v>
      </c>
      <c r="CU324" s="105"/>
      <c r="CV324" s="105"/>
      <c r="CW324" s="105">
        <f t="shared" si="491"/>
        <v>0</v>
      </c>
      <c r="CX324" s="53"/>
      <c r="CY324" s="109">
        <f t="shared" si="499"/>
        <v>0</v>
      </c>
      <c r="CZ324" s="54"/>
      <c r="DA324" s="105"/>
      <c r="DB324" s="455">
        <f t="shared" si="472"/>
        <v>0</v>
      </c>
      <c r="DC324" s="495"/>
      <c r="DD324" s="25"/>
      <c r="DF324" s="1133"/>
      <c r="DG324" s="674">
        <f t="shared" si="528"/>
        <v>12.333333333333334</v>
      </c>
      <c r="DH324" s="1119">
        <f t="shared" si="529"/>
        <v>0</v>
      </c>
      <c r="DI324" s="1119"/>
      <c r="DJ324" s="101">
        <f t="shared" si="497"/>
        <v>12.333333333333334</v>
      </c>
      <c r="DK324" s="101"/>
      <c r="DL324" s="101">
        <f t="shared" si="496"/>
        <v>0</v>
      </c>
      <c r="DM324" s="101"/>
      <c r="DN324" s="112"/>
      <c r="DO324" s="112"/>
      <c r="DP324" s="112"/>
      <c r="DQ324" s="112"/>
    </row>
    <row r="325" spans="1:130" ht="30" customHeight="1" x14ac:dyDescent="0.25">
      <c r="A325" s="4"/>
      <c r="B325" s="4"/>
      <c r="C325" s="204" t="s">
        <v>176</v>
      </c>
      <c r="D325" s="167" t="s">
        <v>437</v>
      </c>
      <c r="E325" s="21" t="s">
        <v>516</v>
      </c>
      <c r="F325" s="162"/>
      <c r="G325" s="162"/>
      <c r="H325" s="162"/>
      <c r="I325" s="162"/>
      <c r="J325" s="162"/>
      <c r="K325" s="162"/>
      <c r="L325" s="168"/>
      <c r="M325" s="1216"/>
      <c r="N325" s="41"/>
      <c r="O325" s="6"/>
      <c r="P325" s="7"/>
      <c r="Q325" s="7"/>
      <c r="R325" s="7"/>
      <c r="S325" s="7"/>
      <c r="T325" s="89"/>
      <c r="U325" s="89"/>
      <c r="V325" s="89"/>
      <c r="W325" s="137"/>
      <c r="X325" s="137"/>
      <c r="Y325" s="90"/>
      <c r="Z325" s="169"/>
      <c r="AA325" s="92"/>
      <c r="AB325" s="92"/>
      <c r="AC325" s="92">
        <f t="shared" si="502"/>
        <v>0</v>
      </c>
      <c r="AD325" s="93"/>
      <c r="AE325" s="93"/>
      <c r="AF325" s="94">
        <f t="shared" si="503"/>
        <v>0</v>
      </c>
      <c r="AG325" s="475"/>
      <c r="AH325" s="99"/>
      <c r="AI325" s="99">
        <f t="shared" si="515"/>
        <v>0</v>
      </c>
      <c r="AJ325" s="138">
        <v>185</v>
      </c>
      <c r="AK325" s="138">
        <f t="shared" si="522"/>
        <v>12.333333333333334</v>
      </c>
      <c r="AL325" s="106"/>
      <c r="AM325" s="105">
        <v>15</v>
      </c>
      <c r="AN325" s="105">
        <f t="shared" si="523"/>
        <v>1</v>
      </c>
      <c r="AO325" s="106"/>
      <c r="AP325" s="105"/>
      <c r="AQ325" s="105">
        <f t="shared" si="518"/>
        <v>0</v>
      </c>
      <c r="AR325" s="106"/>
      <c r="AS325" s="97">
        <f t="shared" si="469"/>
        <v>13.333333333333334</v>
      </c>
      <c r="AT325" s="6"/>
      <c r="AU325" s="105"/>
      <c r="AV325" s="455">
        <f t="shared" si="500"/>
        <v>0</v>
      </c>
      <c r="AW325" s="496"/>
      <c r="AX325" s="508"/>
      <c r="AY325" s="498"/>
      <c r="AZ325" s="100">
        <f t="shared" si="517"/>
        <v>0</v>
      </c>
      <c r="BA325" s="101"/>
      <c r="BB325" s="100"/>
      <c r="BC325" s="100">
        <f t="shared" si="524"/>
        <v>0</v>
      </c>
      <c r="BD325" s="101"/>
      <c r="BE325" s="105">
        <f t="shared" si="508"/>
        <v>12.333333333333334</v>
      </c>
      <c r="BF325" s="106"/>
      <c r="BG325" s="100">
        <f t="shared" si="526"/>
        <v>1</v>
      </c>
      <c r="BH325" s="106"/>
      <c r="BI325" s="100">
        <f t="shared" si="527"/>
        <v>0</v>
      </c>
      <c r="BJ325" s="106"/>
      <c r="BK325" s="101">
        <f t="shared" si="470"/>
        <v>13.333333333333334</v>
      </c>
      <c r="BL325" s="106"/>
      <c r="BM325" s="104"/>
      <c r="BN325" s="104">
        <f t="shared" si="516"/>
        <v>0</v>
      </c>
      <c r="BO325" s="105">
        <v>600</v>
      </c>
      <c r="BP325" s="105">
        <f t="shared" si="501"/>
        <v>12</v>
      </c>
      <c r="BQ325" s="106"/>
      <c r="BR325" s="105"/>
      <c r="BS325" s="105">
        <f t="shared" si="468"/>
        <v>0</v>
      </c>
      <c r="BT325" s="106"/>
      <c r="BU325" s="53"/>
      <c r="BV325" s="53">
        <f t="shared" si="509"/>
        <v>0</v>
      </c>
      <c r="BW325" s="54"/>
      <c r="BX325" s="350">
        <f t="shared" si="471"/>
        <v>12</v>
      </c>
      <c r="BY325" s="6"/>
      <c r="BZ325" s="6">
        <f t="shared" si="519"/>
        <v>1.3333333333333339</v>
      </c>
      <c r="CA325" s="508"/>
      <c r="CB325" s="165"/>
      <c r="CC325" s="165"/>
      <c r="CD325" s="165"/>
      <c r="CE325" s="504"/>
      <c r="CF325" s="105"/>
      <c r="CG325" s="105">
        <f t="shared" si="520"/>
        <v>0</v>
      </c>
      <c r="CH325" s="105"/>
      <c r="CI325" s="105"/>
      <c r="CJ325" s="105">
        <f t="shared" si="521"/>
        <v>0</v>
      </c>
      <c r="CK325" s="523"/>
      <c r="CL325" s="102">
        <f t="shared" si="525"/>
        <v>0</v>
      </c>
      <c r="CM325" s="103"/>
      <c r="CN325" s="100"/>
      <c r="CO325" s="100">
        <f t="shared" si="498"/>
        <v>0</v>
      </c>
      <c r="CP325" s="515"/>
      <c r="CQ325" s="441"/>
      <c r="CR325" s="504"/>
      <c r="CS325" s="105"/>
      <c r="CT325" s="105">
        <f t="shared" si="490"/>
        <v>0</v>
      </c>
      <c r="CU325" s="105"/>
      <c r="CV325" s="105"/>
      <c r="CW325" s="105">
        <f t="shared" si="491"/>
        <v>0</v>
      </c>
      <c r="CX325" s="53"/>
      <c r="CY325" s="109">
        <f t="shared" si="499"/>
        <v>0</v>
      </c>
      <c r="CZ325" s="54"/>
      <c r="DA325" s="105"/>
      <c r="DB325" s="455">
        <f t="shared" si="472"/>
        <v>0</v>
      </c>
      <c r="DC325" s="495"/>
      <c r="DD325" s="25"/>
      <c r="DE325" s="44" t="s">
        <v>521</v>
      </c>
      <c r="DF325" s="1133"/>
      <c r="DG325" s="674">
        <f t="shared" si="528"/>
        <v>0</v>
      </c>
      <c r="DH325" s="1119">
        <f t="shared" si="529"/>
        <v>0</v>
      </c>
      <c r="DI325" s="1119"/>
      <c r="DJ325" s="101">
        <f t="shared" si="497"/>
        <v>13.333333333333334</v>
      </c>
      <c r="DK325" s="101"/>
      <c r="DL325" s="101">
        <f t="shared" si="496"/>
        <v>0</v>
      </c>
      <c r="DM325" s="101"/>
      <c r="DN325" s="112"/>
      <c r="DO325" s="112">
        <f>DJ325</f>
        <v>13.333333333333334</v>
      </c>
      <c r="DP325" s="112"/>
      <c r="DQ325" s="112"/>
    </row>
    <row r="326" spans="1:130" ht="21.6" customHeight="1" x14ac:dyDescent="0.25">
      <c r="A326" s="4"/>
      <c r="B326" s="4"/>
      <c r="C326" s="204" t="s">
        <v>176</v>
      </c>
      <c r="D326" s="167" t="s">
        <v>431</v>
      </c>
      <c r="E326" s="21" t="s">
        <v>517</v>
      </c>
      <c r="F326" s="162"/>
      <c r="G326" s="162"/>
      <c r="H326" s="162"/>
      <c r="I326" s="162"/>
      <c r="J326" s="162"/>
      <c r="K326" s="162"/>
      <c r="L326" s="168"/>
      <c r="M326" s="1216"/>
      <c r="N326" s="41"/>
      <c r="O326" s="6"/>
      <c r="P326" s="7"/>
      <c r="Q326" s="7"/>
      <c r="R326" s="7"/>
      <c r="S326" s="7"/>
      <c r="T326" s="89"/>
      <c r="U326" s="89"/>
      <c r="V326" s="89"/>
      <c r="W326" s="137"/>
      <c r="X326" s="137"/>
      <c r="Y326" s="90"/>
      <c r="Z326" s="169"/>
      <c r="AA326" s="92"/>
      <c r="AB326" s="92"/>
      <c r="AC326" s="92">
        <f t="shared" si="502"/>
        <v>0</v>
      </c>
      <c r="AD326" s="93"/>
      <c r="AE326" s="93"/>
      <c r="AF326" s="94">
        <f t="shared" si="503"/>
        <v>0</v>
      </c>
      <c r="AG326" s="475"/>
      <c r="AH326" s="99"/>
      <c r="AI326" s="99">
        <f t="shared" si="515"/>
        <v>0</v>
      </c>
      <c r="AJ326" s="138"/>
      <c r="AK326" s="138"/>
      <c r="AL326" s="106"/>
      <c r="AM326" s="105"/>
      <c r="AN326" s="105"/>
      <c r="AO326" s="106"/>
      <c r="AP326" s="105"/>
      <c r="AQ326" s="105">
        <f t="shared" si="518"/>
        <v>0</v>
      </c>
      <c r="AR326" s="106"/>
      <c r="AS326" s="97">
        <f t="shared" si="469"/>
        <v>0</v>
      </c>
      <c r="AT326" s="6"/>
      <c r="AU326" s="105"/>
      <c r="AV326" s="455">
        <f t="shared" si="500"/>
        <v>0</v>
      </c>
      <c r="AW326" s="496"/>
      <c r="AX326" s="508"/>
      <c r="AY326" s="498">
        <v>895</v>
      </c>
      <c r="AZ326" s="100">
        <f t="shared" si="517"/>
        <v>59.666666666666664</v>
      </c>
      <c r="BA326" s="101"/>
      <c r="BB326" s="100"/>
      <c r="BC326" s="100"/>
      <c r="BD326" s="101"/>
      <c r="BE326" s="105">
        <f t="shared" si="508"/>
        <v>59.666666666666664</v>
      </c>
      <c r="BF326" s="106"/>
      <c r="BG326" s="100">
        <f t="shared" si="526"/>
        <v>0</v>
      </c>
      <c r="BH326" s="106"/>
      <c r="BI326" s="100">
        <f t="shared" si="527"/>
        <v>0</v>
      </c>
      <c r="BJ326" s="106"/>
      <c r="BK326" s="101">
        <f t="shared" si="470"/>
        <v>59.666666666666664</v>
      </c>
      <c r="BL326" s="106"/>
      <c r="BM326" s="104"/>
      <c r="BN326" s="104">
        <f t="shared" si="516"/>
        <v>0</v>
      </c>
      <c r="BO326" s="254">
        <v>3000</v>
      </c>
      <c r="BP326" s="105">
        <f t="shared" si="501"/>
        <v>60</v>
      </c>
      <c r="BQ326" s="106"/>
      <c r="BR326" s="105"/>
      <c r="BS326" s="105">
        <f t="shared" si="468"/>
        <v>0</v>
      </c>
      <c r="BT326" s="106"/>
      <c r="BU326" s="53"/>
      <c r="BV326" s="53">
        <f t="shared" si="509"/>
        <v>0</v>
      </c>
      <c r="BW326" s="54"/>
      <c r="BX326" s="350">
        <f t="shared" si="471"/>
        <v>60</v>
      </c>
      <c r="BY326" s="6"/>
      <c r="BZ326" s="6">
        <f t="shared" si="519"/>
        <v>-0.3333333333333357</v>
      </c>
      <c r="CA326" s="508"/>
      <c r="CB326" s="165"/>
      <c r="CC326" s="165"/>
      <c r="CD326" s="165"/>
      <c r="CE326" s="504"/>
      <c r="CF326" s="105"/>
      <c r="CG326" s="105">
        <f t="shared" si="520"/>
        <v>0</v>
      </c>
      <c r="CH326" s="105"/>
      <c r="CI326" s="105"/>
      <c r="CJ326" s="105">
        <f t="shared" si="521"/>
        <v>0</v>
      </c>
      <c r="CK326" s="523"/>
      <c r="CL326" s="102"/>
      <c r="CM326" s="103"/>
      <c r="CN326" s="100"/>
      <c r="CO326" s="100">
        <f t="shared" si="498"/>
        <v>0</v>
      </c>
      <c r="CP326" s="515"/>
      <c r="CQ326" s="441"/>
      <c r="CR326" s="504"/>
      <c r="CS326" s="105"/>
      <c r="CT326" s="105">
        <f t="shared" si="490"/>
        <v>0</v>
      </c>
      <c r="CU326" s="105"/>
      <c r="CV326" s="105"/>
      <c r="CW326" s="105">
        <f t="shared" si="491"/>
        <v>0</v>
      </c>
      <c r="CX326" s="53"/>
      <c r="CY326" s="109">
        <f t="shared" si="499"/>
        <v>0</v>
      </c>
      <c r="CZ326" s="54"/>
      <c r="DA326" s="105"/>
      <c r="DB326" s="455">
        <f t="shared" si="472"/>
        <v>0</v>
      </c>
      <c r="DC326" s="495"/>
      <c r="DD326" s="25"/>
      <c r="DE326" s="44" t="s">
        <v>518</v>
      </c>
      <c r="DF326" s="1133"/>
      <c r="DG326" s="674">
        <f t="shared" si="528"/>
        <v>0</v>
      </c>
      <c r="DH326" s="1119">
        <f t="shared" si="529"/>
        <v>0</v>
      </c>
      <c r="DI326" s="1119"/>
      <c r="DJ326" s="101">
        <f t="shared" si="497"/>
        <v>59.666666666666664</v>
      </c>
      <c r="DK326" s="101"/>
      <c r="DL326" s="101">
        <f t="shared" si="496"/>
        <v>0</v>
      </c>
      <c r="DM326" s="101"/>
      <c r="DN326" s="112"/>
      <c r="DO326" s="112"/>
      <c r="DP326" s="112"/>
      <c r="DQ326" s="112"/>
    </row>
    <row r="327" spans="1:130" s="139" customFormat="1" ht="27.75" customHeight="1" x14ac:dyDescent="0.25">
      <c r="A327" s="4"/>
      <c r="B327" s="4"/>
      <c r="C327" s="134" t="s">
        <v>176</v>
      </c>
      <c r="D327" s="182" t="s">
        <v>437</v>
      </c>
      <c r="E327" s="3" t="s">
        <v>320</v>
      </c>
      <c r="F327" s="135"/>
      <c r="G327" s="135"/>
      <c r="H327" s="135"/>
      <c r="I327" s="135"/>
      <c r="J327" s="135"/>
      <c r="K327" s="135"/>
      <c r="L327" s="183"/>
      <c r="M327" s="1216"/>
      <c r="N327" s="41"/>
      <c r="O327" s="6"/>
      <c r="P327" s="7"/>
      <c r="Q327" s="7"/>
      <c r="R327" s="7"/>
      <c r="S327" s="7"/>
      <c r="T327" s="89"/>
      <c r="U327" s="89"/>
      <c r="V327" s="89">
        <f t="shared" si="513"/>
        <v>0</v>
      </c>
      <c r="W327" s="137"/>
      <c r="X327" s="137"/>
      <c r="Y327" s="90"/>
      <c r="Z327" s="91"/>
      <c r="AA327" s="92"/>
      <c r="AB327" s="92"/>
      <c r="AC327" s="92">
        <f t="shared" si="502"/>
        <v>0</v>
      </c>
      <c r="AD327" s="93"/>
      <c r="AE327" s="93"/>
      <c r="AF327" s="94">
        <f t="shared" si="503"/>
        <v>0</v>
      </c>
      <c r="AG327" s="473"/>
      <c r="AH327" s="99">
        <v>115</v>
      </c>
      <c r="AI327" s="99">
        <f t="shared" si="515"/>
        <v>7.666666666666667</v>
      </c>
      <c r="AJ327" s="138"/>
      <c r="AK327" s="138">
        <f>AJ327/15</f>
        <v>0</v>
      </c>
      <c r="AL327" s="106"/>
      <c r="AM327" s="105">
        <v>115</v>
      </c>
      <c r="AN327" s="105">
        <f t="shared" ref="AN327:AN329" si="530">AM327/15</f>
        <v>7.666666666666667</v>
      </c>
      <c r="AO327" s="106"/>
      <c r="AP327" s="105"/>
      <c r="AQ327" s="105">
        <f t="shared" si="518"/>
        <v>0</v>
      </c>
      <c r="AR327" s="106"/>
      <c r="AS327" s="97">
        <f t="shared" si="469"/>
        <v>7.666666666666667</v>
      </c>
      <c r="AT327" s="6"/>
      <c r="AU327" s="105"/>
      <c r="AV327" s="455">
        <f t="shared" si="500"/>
        <v>0</v>
      </c>
      <c r="AW327" s="496"/>
      <c r="AX327" s="508"/>
      <c r="AY327" s="498">
        <v>230</v>
      </c>
      <c r="AZ327" s="100">
        <f t="shared" si="517"/>
        <v>15.333333333333334</v>
      </c>
      <c r="BA327" s="101"/>
      <c r="BB327" s="100"/>
      <c r="BC327" s="100">
        <f t="shared" ref="BC327:BC329" si="531">BB327/15</f>
        <v>0</v>
      </c>
      <c r="BD327" s="101"/>
      <c r="BE327" s="105">
        <f t="shared" si="508"/>
        <v>15.333333333333334</v>
      </c>
      <c r="BF327" s="106"/>
      <c r="BG327" s="100">
        <f t="shared" si="526"/>
        <v>7.666666666666667</v>
      </c>
      <c r="BH327" s="106"/>
      <c r="BI327" s="100">
        <f t="shared" si="527"/>
        <v>0</v>
      </c>
      <c r="BJ327" s="106"/>
      <c r="BK327" s="101">
        <f t="shared" si="470"/>
        <v>23</v>
      </c>
      <c r="BL327" s="106"/>
      <c r="BM327" s="104"/>
      <c r="BN327" s="104">
        <f t="shared" si="516"/>
        <v>0</v>
      </c>
      <c r="BO327" s="105"/>
      <c r="BP327" s="105">
        <f t="shared" si="501"/>
        <v>0</v>
      </c>
      <c r="BQ327" s="106"/>
      <c r="BR327" s="105"/>
      <c r="BS327" s="105">
        <f t="shared" si="468"/>
        <v>0</v>
      </c>
      <c r="BT327" s="106"/>
      <c r="BU327" s="53">
        <v>1150</v>
      </c>
      <c r="BV327" s="53">
        <f t="shared" si="509"/>
        <v>23</v>
      </c>
      <c r="BW327" s="54"/>
      <c r="BX327" s="350">
        <f t="shared" si="471"/>
        <v>23</v>
      </c>
      <c r="BY327" s="6"/>
      <c r="BZ327" s="6">
        <f t="shared" si="519"/>
        <v>0</v>
      </c>
      <c r="CA327" s="508"/>
      <c r="CB327" s="7"/>
      <c r="CC327" s="7"/>
      <c r="CD327" s="7"/>
      <c r="CE327" s="504"/>
      <c r="CF327" s="105"/>
      <c r="CG327" s="105">
        <f t="shared" si="520"/>
        <v>0</v>
      </c>
      <c r="CH327" s="105"/>
      <c r="CI327" s="105"/>
      <c r="CJ327" s="105">
        <f t="shared" si="521"/>
        <v>0</v>
      </c>
      <c r="CK327" s="523"/>
      <c r="CL327" s="102">
        <f t="shared" ref="CL327:CL329" si="532">CK327/15</f>
        <v>0</v>
      </c>
      <c r="CM327" s="103"/>
      <c r="CN327" s="100"/>
      <c r="CO327" s="100">
        <f t="shared" si="498"/>
        <v>0</v>
      </c>
      <c r="CP327" s="515"/>
      <c r="CQ327" s="441"/>
      <c r="CR327" s="504"/>
      <c r="CS327" s="105"/>
      <c r="CT327" s="105">
        <f t="shared" si="490"/>
        <v>0</v>
      </c>
      <c r="CU327" s="105"/>
      <c r="CV327" s="105"/>
      <c r="CW327" s="105">
        <f t="shared" si="491"/>
        <v>0</v>
      </c>
      <c r="CX327" s="53"/>
      <c r="CY327" s="109">
        <f t="shared" si="499"/>
        <v>0</v>
      </c>
      <c r="CZ327" s="54"/>
      <c r="DA327" s="105"/>
      <c r="DB327" s="455">
        <f t="shared" si="472"/>
        <v>0</v>
      </c>
      <c r="DC327" s="495"/>
      <c r="DD327" s="24" t="s">
        <v>321</v>
      </c>
      <c r="DE327" s="139" t="s">
        <v>522</v>
      </c>
      <c r="DF327" s="1133"/>
      <c r="DG327" s="674">
        <f t="shared" si="528"/>
        <v>0</v>
      </c>
      <c r="DH327" s="1119">
        <f t="shared" si="529"/>
        <v>0</v>
      </c>
      <c r="DI327" s="1119"/>
      <c r="DJ327" s="101">
        <f t="shared" si="497"/>
        <v>23</v>
      </c>
      <c r="DK327" s="101"/>
      <c r="DL327" s="101">
        <f t="shared" si="496"/>
        <v>0</v>
      </c>
      <c r="DM327" s="101"/>
      <c r="DN327" s="112"/>
      <c r="DO327" s="112">
        <f>DJ327</f>
        <v>23</v>
      </c>
      <c r="DP327" s="112"/>
      <c r="DQ327" s="112"/>
      <c r="DS327" s="140"/>
      <c r="DT327" s="140"/>
      <c r="DU327" s="140"/>
      <c r="DV327" s="140"/>
      <c r="DW327" s="140"/>
      <c r="DX327" s="140"/>
      <c r="DY327" s="140"/>
      <c r="DZ327" s="140"/>
    </row>
    <row r="328" spans="1:130" s="139" customFormat="1" ht="21.6" customHeight="1" x14ac:dyDescent="0.25">
      <c r="A328" s="4"/>
      <c r="B328" s="4"/>
      <c r="C328" s="204" t="s">
        <v>176</v>
      </c>
      <c r="D328" s="182" t="s">
        <v>431</v>
      </c>
      <c r="E328" s="3" t="s">
        <v>519</v>
      </c>
      <c r="F328" s="135"/>
      <c r="G328" s="135"/>
      <c r="H328" s="135"/>
      <c r="I328" s="135"/>
      <c r="J328" s="135"/>
      <c r="K328" s="135"/>
      <c r="L328" s="183"/>
      <c r="M328" s="1216"/>
      <c r="N328" s="41"/>
      <c r="O328" s="6"/>
      <c r="P328" s="7"/>
      <c r="Q328" s="7"/>
      <c r="R328" s="7"/>
      <c r="S328" s="7"/>
      <c r="T328" s="89"/>
      <c r="U328" s="89"/>
      <c r="V328" s="89"/>
      <c r="W328" s="137"/>
      <c r="X328" s="137"/>
      <c r="Y328" s="90"/>
      <c r="Z328" s="91"/>
      <c r="AA328" s="92"/>
      <c r="AB328" s="92"/>
      <c r="AC328" s="92">
        <f t="shared" si="502"/>
        <v>0</v>
      </c>
      <c r="AD328" s="93"/>
      <c r="AE328" s="93"/>
      <c r="AF328" s="94">
        <f t="shared" si="503"/>
        <v>0</v>
      </c>
      <c r="AG328" s="473"/>
      <c r="AH328" s="99"/>
      <c r="AI328" s="99">
        <f t="shared" si="515"/>
        <v>0</v>
      </c>
      <c r="AJ328" s="138"/>
      <c r="AK328" s="138">
        <f>AJ328/15</f>
        <v>0</v>
      </c>
      <c r="AL328" s="106"/>
      <c r="AM328" s="105"/>
      <c r="AN328" s="105">
        <f t="shared" si="530"/>
        <v>0</v>
      </c>
      <c r="AO328" s="106"/>
      <c r="AP328" s="105"/>
      <c r="AQ328" s="105">
        <f t="shared" si="518"/>
        <v>0</v>
      </c>
      <c r="AR328" s="106"/>
      <c r="AS328" s="97">
        <f t="shared" si="469"/>
        <v>0</v>
      </c>
      <c r="AT328" s="6"/>
      <c r="AU328" s="105"/>
      <c r="AV328" s="455">
        <f t="shared" si="500"/>
        <v>0</v>
      </c>
      <c r="AW328" s="496"/>
      <c r="AX328" s="508"/>
      <c r="AY328" s="498">
        <v>75</v>
      </c>
      <c r="AZ328" s="100">
        <f t="shared" si="517"/>
        <v>5</v>
      </c>
      <c r="BA328" s="101"/>
      <c r="BB328" s="100"/>
      <c r="BC328" s="100">
        <f t="shared" si="531"/>
        <v>0</v>
      </c>
      <c r="BD328" s="101"/>
      <c r="BE328" s="105">
        <f t="shared" si="508"/>
        <v>5</v>
      </c>
      <c r="BF328" s="106"/>
      <c r="BG328" s="100">
        <f t="shared" si="526"/>
        <v>0</v>
      </c>
      <c r="BH328" s="106"/>
      <c r="BI328" s="100">
        <f t="shared" si="527"/>
        <v>0</v>
      </c>
      <c r="BJ328" s="106"/>
      <c r="BK328" s="101">
        <f t="shared" si="470"/>
        <v>5</v>
      </c>
      <c r="BL328" s="106"/>
      <c r="BM328" s="104"/>
      <c r="BN328" s="104">
        <f t="shared" si="516"/>
        <v>0</v>
      </c>
      <c r="BO328" s="105">
        <v>250</v>
      </c>
      <c r="BP328" s="105">
        <f t="shared" si="501"/>
        <v>5</v>
      </c>
      <c r="BQ328" s="106"/>
      <c r="BR328" s="105"/>
      <c r="BS328" s="105">
        <f t="shared" si="468"/>
        <v>0</v>
      </c>
      <c r="BT328" s="106"/>
      <c r="BU328" s="53"/>
      <c r="BV328" s="53">
        <f t="shared" si="509"/>
        <v>0</v>
      </c>
      <c r="BW328" s="54"/>
      <c r="BX328" s="350">
        <f t="shared" si="471"/>
        <v>5</v>
      </c>
      <c r="BY328" s="6"/>
      <c r="BZ328" s="6">
        <f t="shared" si="519"/>
        <v>0</v>
      </c>
      <c r="CA328" s="508"/>
      <c r="CB328" s="7"/>
      <c r="CC328" s="7"/>
      <c r="CD328" s="7"/>
      <c r="CE328" s="504"/>
      <c r="CF328" s="105"/>
      <c r="CG328" s="105">
        <f t="shared" si="520"/>
        <v>0</v>
      </c>
      <c r="CH328" s="105"/>
      <c r="CI328" s="105"/>
      <c r="CJ328" s="105">
        <f t="shared" si="521"/>
        <v>0</v>
      </c>
      <c r="CK328" s="523"/>
      <c r="CL328" s="102">
        <f t="shared" si="532"/>
        <v>0</v>
      </c>
      <c r="CM328" s="103"/>
      <c r="CN328" s="100"/>
      <c r="CO328" s="100">
        <f t="shared" si="498"/>
        <v>0</v>
      </c>
      <c r="CP328" s="515"/>
      <c r="CQ328" s="441"/>
      <c r="CR328" s="504"/>
      <c r="CS328" s="105"/>
      <c r="CT328" s="105">
        <f t="shared" si="490"/>
        <v>0</v>
      </c>
      <c r="CU328" s="105"/>
      <c r="CV328" s="105"/>
      <c r="CW328" s="105">
        <f t="shared" si="491"/>
        <v>0</v>
      </c>
      <c r="CX328" s="53"/>
      <c r="CY328" s="109">
        <f t="shared" si="499"/>
        <v>0</v>
      </c>
      <c r="CZ328" s="54"/>
      <c r="DA328" s="105"/>
      <c r="DB328" s="455">
        <f t="shared" si="472"/>
        <v>0</v>
      </c>
      <c r="DC328" s="495"/>
      <c r="DD328" s="24"/>
      <c r="DE328" s="139" t="s">
        <v>508</v>
      </c>
      <c r="DF328" s="1133"/>
      <c r="DG328" s="674">
        <f t="shared" si="528"/>
        <v>0</v>
      </c>
      <c r="DH328" s="1119">
        <f t="shared" si="529"/>
        <v>0</v>
      </c>
      <c r="DI328" s="1119"/>
      <c r="DJ328" s="101">
        <f t="shared" si="497"/>
        <v>5</v>
      </c>
      <c r="DK328" s="101"/>
      <c r="DL328" s="101">
        <f t="shared" si="496"/>
        <v>0</v>
      </c>
      <c r="DM328" s="101"/>
      <c r="DN328" s="112"/>
      <c r="DO328" s="112"/>
      <c r="DP328" s="112"/>
      <c r="DQ328" s="112"/>
      <c r="DS328" s="140"/>
      <c r="DT328" s="140"/>
      <c r="DU328" s="140"/>
      <c r="DV328" s="140"/>
      <c r="DW328" s="140"/>
      <c r="DX328" s="140"/>
      <c r="DY328" s="140"/>
      <c r="DZ328" s="140"/>
    </row>
    <row r="329" spans="1:130" s="139" customFormat="1" ht="21.6" customHeight="1" x14ac:dyDescent="0.25">
      <c r="A329" s="4"/>
      <c r="B329" s="4"/>
      <c r="C329" s="204" t="s">
        <v>176</v>
      </c>
      <c r="D329" s="182" t="s">
        <v>431</v>
      </c>
      <c r="E329" s="3" t="s">
        <v>520</v>
      </c>
      <c r="F329" s="135"/>
      <c r="G329" s="135"/>
      <c r="H329" s="135"/>
      <c r="I329" s="135"/>
      <c r="J329" s="135"/>
      <c r="K329" s="135"/>
      <c r="L329" s="183"/>
      <c r="M329" s="1216"/>
      <c r="N329" s="41"/>
      <c r="O329" s="6"/>
      <c r="P329" s="7"/>
      <c r="Q329" s="7"/>
      <c r="R329" s="7"/>
      <c r="S329" s="7"/>
      <c r="T329" s="89"/>
      <c r="U329" s="89"/>
      <c r="V329" s="89"/>
      <c r="W329" s="137"/>
      <c r="X329" s="137"/>
      <c r="Y329" s="90"/>
      <c r="Z329" s="91"/>
      <c r="AA329" s="92"/>
      <c r="AB329" s="92"/>
      <c r="AC329" s="92">
        <f t="shared" si="502"/>
        <v>0</v>
      </c>
      <c r="AD329" s="93"/>
      <c r="AE329" s="93"/>
      <c r="AF329" s="94">
        <f t="shared" si="503"/>
        <v>0</v>
      </c>
      <c r="AG329" s="473"/>
      <c r="AH329" s="99"/>
      <c r="AI329" s="99">
        <f t="shared" si="515"/>
        <v>0</v>
      </c>
      <c r="AJ329" s="138">
        <v>195</v>
      </c>
      <c r="AK329" s="138">
        <f>AJ329/15</f>
        <v>13</v>
      </c>
      <c r="AL329" s="106"/>
      <c r="AM329" s="105"/>
      <c r="AN329" s="105">
        <f t="shared" si="530"/>
        <v>0</v>
      </c>
      <c r="AO329" s="106"/>
      <c r="AP329" s="105"/>
      <c r="AQ329" s="105">
        <f t="shared" si="518"/>
        <v>0</v>
      </c>
      <c r="AR329" s="106"/>
      <c r="AS329" s="97">
        <f t="shared" si="469"/>
        <v>13</v>
      </c>
      <c r="AT329" s="6"/>
      <c r="AU329" s="105"/>
      <c r="AV329" s="455">
        <f t="shared" si="500"/>
        <v>0</v>
      </c>
      <c r="AW329" s="496"/>
      <c r="AX329" s="508"/>
      <c r="AY329" s="498"/>
      <c r="AZ329" s="100"/>
      <c r="BA329" s="101"/>
      <c r="BB329" s="100"/>
      <c r="BC329" s="100">
        <f t="shared" si="531"/>
        <v>0</v>
      </c>
      <c r="BD329" s="101"/>
      <c r="BE329" s="105">
        <f t="shared" si="508"/>
        <v>13</v>
      </c>
      <c r="BF329" s="106"/>
      <c r="BG329" s="100">
        <f t="shared" si="526"/>
        <v>0</v>
      </c>
      <c r="BH329" s="106"/>
      <c r="BI329" s="100">
        <f t="shared" si="527"/>
        <v>0</v>
      </c>
      <c r="BJ329" s="106"/>
      <c r="BK329" s="101">
        <f t="shared" si="470"/>
        <v>13</v>
      </c>
      <c r="BL329" s="106"/>
      <c r="BM329" s="104"/>
      <c r="BN329" s="104">
        <f t="shared" si="516"/>
        <v>0</v>
      </c>
      <c r="BO329" s="105">
        <v>650</v>
      </c>
      <c r="BP329" s="105">
        <f t="shared" si="501"/>
        <v>13</v>
      </c>
      <c r="BQ329" s="106"/>
      <c r="BR329" s="105"/>
      <c r="BS329" s="105">
        <f t="shared" si="468"/>
        <v>0</v>
      </c>
      <c r="BT329" s="106"/>
      <c r="BU329" s="53"/>
      <c r="BV329" s="53">
        <f t="shared" si="509"/>
        <v>0</v>
      </c>
      <c r="BW329" s="54"/>
      <c r="BX329" s="350">
        <f t="shared" si="471"/>
        <v>13</v>
      </c>
      <c r="BY329" s="6"/>
      <c r="BZ329" s="6">
        <f t="shared" si="519"/>
        <v>0</v>
      </c>
      <c r="CA329" s="508"/>
      <c r="CB329" s="7"/>
      <c r="CC329" s="7"/>
      <c r="CD329" s="7"/>
      <c r="CE329" s="504"/>
      <c r="CF329" s="105"/>
      <c r="CG329" s="105">
        <f t="shared" si="520"/>
        <v>0</v>
      </c>
      <c r="CH329" s="105"/>
      <c r="CI329" s="105"/>
      <c r="CJ329" s="105">
        <f t="shared" si="521"/>
        <v>0</v>
      </c>
      <c r="CK329" s="523"/>
      <c r="CL329" s="102">
        <f t="shared" si="532"/>
        <v>0</v>
      </c>
      <c r="CM329" s="103"/>
      <c r="CN329" s="100"/>
      <c r="CO329" s="100">
        <f t="shared" si="498"/>
        <v>0</v>
      </c>
      <c r="CP329" s="515"/>
      <c r="CQ329" s="441"/>
      <c r="CR329" s="504"/>
      <c r="CS329" s="105"/>
      <c r="CT329" s="105">
        <f t="shared" si="490"/>
        <v>0</v>
      </c>
      <c r="CU329" s="105"/>
      <c r="CV329" s="105"/>
      <c r="CW329" s="105">
        <f t="shared" si="491"/>
        <v>0</v>
      </c>
      <c r="CX329" s="53"/>
      <c r="CY329" s="109">
        <f t="shared" si="499"/>
        <v>0</v>
      </c>
      <c r="CZ329" s="54"/>
      <c r="DA329" s="105"/>
      <c r="DB329" s="455">
        <f t="shared" si="472"/>
        <v>0</v>
      </c>
      <c r="DC329" s="495"/>
      <c r="DD329" s="24"/>
      <c r="DE329" s="139" t="s">
        <v>508</v>
      </c>
      <c r="DF329" s="1133"/>
      <c r="DG329" s="674">
        <f t="shared" si="528"/>
        <v>0</v>
      </c>
      <c r="DH329" s="1119">
        <f t="shared" si="529"/>
        <v>0</v>
      </c>
      <c r="DI329" s="1119"/>
      <c r="DJ329" s="101">
        <f t="shared" si="497"/>
        <v>13</v>
      </c>
      <c r="DK329" s="101"/>
      <c r="DL329" s="101">
        <f t="shared" si="496"/>
        <v>0</v>
      </c>
      <c r="DM329" s="101"/>
      <c r="DN329" s="112"/>
      <c r="DO329" s="112"/>
      <c r="DP329" s="112"/>
      <c r="DQ329" s="112"/>
      <c r="DS329" s="140"/>
      <c r="DT329" s="140"/>
      <c r="DU329" s="140"/>
      <c r="DV329" s="140"/>
      <c r="DW329" s="140"/>
      <c r="DX329" s="140"/>
      <c r="DY329" s="140"/>
      <c r="DZ329" s="140"/>
    </row>
    <row r="330" spans="1:130" s="151" customFormat="1" ht="21.6" customHeight="1" x14ac:dyDescent="0.25">
      <c r="A330" s="141"/>
      <c r="B330" s="141"/>
      <c r="C330" s="142"/>
      <c r="D330" s="143"/>
      <c r="E330" s="22"/>
      <c r="F330" s="144"/>
      <c r="G330" s="144"/>
      <c r="H330" s="144"/>
      <c r="I330" s="144"/>
      <c r="J330" s="144"/>
      <c r="K330" s="144"/>
      <c r="L330" s="145"/>
      <c r="M330" s="146"/>
      <c r="N330" s="147"/>
      <c r="O330" s="131"/>
      <c r="P330" s="148"/>
      <c r="Q330" s="148"/>
      <c r="R330" s="148"/>
      <c r="S330" s="148"/>
      <c r="T330" s="123"/>
      <c r="U330" s="123"/>
      <c r="V330" s="123"/>
      <c r="W330" s="149"/>
      <c r="X330" s="149"/>
      <c r="Y330" s="124"/>
      <c r="Z330" s="125"/>
      <c r="AA330" s="123"/>
      <c r="AB330" s="123"/>
      <c r="AC330" s="123"/>
      <c r="AD330" s="124"/>
      <c r="AE330" s="124"/>
      <c r="AF330" s="126"/>
      <c r="AG330" s="474"/>
      <c r="AH330" s="129"/>
      <c r="AI330" s="129"/>
      <c r="AJ330" s="138"/>
      <c r="AK330" s="138"/>
      <c r="AL330" s="106"/>
      <c r="AM330" s="105"/>
      <c r="AN330" s="105"/>
      <c r="AO330" s="106"/>
      <c r="AP330" s="105"/>
      <c r="AQ330" s="105"/>
      <c r="AR330" s="106"/>
      <c r="AS330" s="97"/>
      <c r="AT330" s="6"/>
      <c r="AU330" s="105"/>
      <c r="AV330" s="455"/>
      <c r="AW330" s="496"/>
      <c r="AX330" s="508"/>
      <c r="AY330" s="498"/>
      <c r="AZ330" s="100"/>
      <c r="BA330" s="101"/>
      <c r="BB330" s="100"/>
      <c r="BC330" s="100"/>
      <c r="BD330" s="101"/>
      <c r="BE330" s="105"/>
      <c r="BF330" s="106"/>
      <c r="BG330" s="100"/>
      <c r="BH330" s="106"/>
      <c r="BI330" s="100"/>
      <c r="BJ330" s="106"/>
      <c r="BK330" s="101"/>
      <c r="BL330" s="106"/>
      <c r="BM330" s="130"/>
      <c r="BN330" s="130"/>
      <c r="BO330" s="105"/>
      <c r="BP330" s="105"/>
      <c r="BQ330" s="106"/>
      <c r="BR330" s="105"/>
      <c r="BS330" s="105"/>
      <c r="BT330" s="106"/>
      <c r="BU330" s="53"/>
      <c r="BV330" s="53"/>
      <c r="BW330" s="54"/>
      <c r="BX330" s="350"/>
      <c r="BY330" s="131"/>
      <c r="BZ330" s="131"/>
      <c r="CA330" s="536"/>
      <c r="CB330" s="148"/>
      <c r="CC330" s="148"/>
      <c r="CD330" s="148"/>
      <c r="CE330" s="504"/>
      <c r="CF330" s="105"/>
      <c r="CG330" s="105"/>
      <c r="CH330" s="105"/>
      <c r="CI330" s="105"/>
      <c r="CJ330" s="105"/>
      <c r="CK330" s="523"/>
      <c r="CL330" s="102"/>
      <c r="CM330" s="103"/>
      <c r="CN330" s="100"/>
      <c r="CO330" s="100"/>
      <c r="CP330" s="515"/>
      <c r="CQ330" s="441"/>
      <c r="CR330" s="504"/>
      <c r="CS330" s="105"/>
      <c r="CT330" s="105"/>
      <c r="CU330" s="105"/>
      <c r="CV330" s="105"/>
      <c r="CW330" s="105"/>
      <c r="CX330" s="53"/>
      <c r="CY330" s="109"/>
      <c r="CZ330" s="54"/>
      <c r="DA330" s="105"/>
      <c r="DB330" s="455"/>
      <c r="DC330" s="495"/>
      <c r="DD330" s="31"/>
      <c r="DF330" s="1133"/>
      <c r="DG330" s="674"/>
      <c r="DH330" s="1119"/>
      <c r="DI330" s="1119"/>
      <c r="DJ330" s="101">
        <f t="shared" si="497"/>
        <v>0</v>
      </c>
      <c r="DK330" s="101"/>
      <c r="DL330" s="101">
        <f t="shared" si="496"/>
        <v>0</v>
      </c>
      <c r="DM330" s="101"/>
      <c r="DN330" s="112"/>
      <c r="DO330" s="112"/>
      <c r="DP330" s="112"/>
      <c r="DQ330" s="112"/>
      <c r="DS330" s="152"/>
      <c r="DT330" s="152"/>
      <c r="DU330" s="152"/>
      <c r="DV330" s="152"/>
      <c r="DW330" s="152"/>
      <c r="DX330" s="152"/>
      <c r="DY330" s="152"/>
      <c r="DZ330" s="152"/>
    </row>
    <row r="331" spans="1:130" s="139" customFormat="1" ht="37.5" customHeight="1" x14ac:dyDescent="0.25">
      <c r="A331" s="4"/>
      <c r="B331" s="4"/>
      <c r="C331" s="134" t="s">
        <v>189</v>
      </c>
      <c r="D331" s="134" t="s">
        <v>437</v>
      </c>
      <c r="E331" s="3" t="s">
        <v>469</v>
      </c>
      <c r="F331" s="135"/>
      <c r="G331" s="135"/>
      <c r="H331" s="135"/>
      <c r="I331" s="135"/>
      <c r="J331" s="135"/>
      <c r="K331" s="135"/>
      <c r="L331" s="136"/>
      <c r="M331" s="5"/>
      <c r="N331" s="41"/>
      <c r="O331" s="6"/>
      <c r="P331" s="7"/>
      <c r="Q331" s="7"/>
      <c r="R331" s="7"/>
      <c r="S331" s="7"/>
      <c r="T331" s="89"/>
      <c r="U331" s="89"/>
      <c r="V331" s="89"/>
      <c r="W331" s="137"/>
      <c r="X331" s="137"/>
      <c r="Y331" s="90"/>
      <c r="Z331" s="91"/>
      <c r="AA331" s="92"/>
      <c r="AB331" s="92"/>
      <c r="AC331" s="92">
        <f t="shared" ref="AC331:AC342" si="533">AA331+AB331</f>
        <v>0</v>
      </c>
      <c r="AD331" s="93"/>
      <c r="AE331" s="93"/>
      <c r="AF331" s="94">
        <f t="shared" ref="AF331:AF342" si="534">AD331+AE331</f>
        <v>0</v>
      </c>
      <c r="AG331" s="473"/>
      <c r="AH331" s="99"/>
      <c r="AI331" s="99"/>
      <c r="AJ331" s="138">
        <v>210</v>
      </c>
      <c r="AK331" s="138">
        <f t="shared" ref="AK331:AK342" si="535">AJ331/15</f>
        <v>14</v>
      </c>
      <c r="AL331" s="106">
        <f>SUM(AK331:AK342)</f>
        <v>124</v>
      </c>
      <c r="AM331" s="105"/>
      <c r="AN331" s="105">
        <f t="shared" ref="AN331:AN342" si="536">AM331/15</f>
        <v>0</v>
      </c>
      <c r="AO331" s="106">
        <f>SUM(AN331:AN342)</f>
        <v>2</v>
      </c>
      <c r="AP331" s="105"/>
      <c r="AQ331" s="105">
        <f t="shared" si="518"/>
        <v>0</v>
      </c>
      <c r="AR331" s="106">
        <f>SUM(AQ331:AQ342)</f>
        <v>0</v>
      </c>
      <c r="AS331" s="97">
        <f t="shared" si="469"/>
        <v>14</v>
      </c>
      <c r="AT331" s="6">
        <f>SUM(AS331:AS342)</f>
        <v>126</v>
      </c>
      <c r="AU331" s="105"/>
      <c r="AV331" s="455">
        <f t="shared" si="500"/>
        <v>0</v>
      </c>
      <c r="AW331" s="496">
        <f>SUM(AV331:AV342)</f>
        <v>0</v>
      </c>
      <c r="AX331" s="508"/>
      <c r="AY331" s="498"/>
      <c r="AZ331" s="100">
        <f t="shared" ref="AZ331:AZ342" si="537">AY331/15</f>
        <v>0</v>
      </c>
      <c r="BA331" s="106">
        <f>SUM(AZ331:AZ342)</f>
        <v>145</v>
      </c>
      <c r="BB331" s="105"/>
      <c r="BC331" s="105">
        <f t="shared" ref="BC331:BC342" si="538">BB331/15</f>
        <v>0</v>
      </c>
      <c r="BD331" s="106">
        <f>SUM(BC331:BC342)</f>
        <v>0</v>
      </c>
      <c r="BE331" s="105">
        <f t="shared" ref="BE331:BE342" si="539">AK331+AZ331</f>
        <v>14</v>
      </c>
      <c r="BF331" s="106">
        <f>SUM(BE331:BE342)</f>
        <v>269</v>
      </c>
      <c r="BG331" s="100">
        <f t="shared" ref="BG331:BG370" si="540">BC331+AQ331+AN331</f>
        <v>0</v>
      </c>
      <c r="BH331" s="106">
        <f>SUM(BG331:BG342)</f>
        <v>2</v>
      </c>
      <c r="BI331" s="100">
        <f t="shared" ref="BI331:BI370" si="541">AV331</f>
        <v>0</v>
      </c>
      <c r="BJ331" s="106">
        <f>SUM(BI331:BI342)</f>
        <v>0</v>
      </c>
      <c r="BK331" s="101">
        <f t="shared" si="470"/>
        <v>14</v>
      </c>
      <c r="BL331" s="106">
        <f>SUM(BK331:BK342)</f>
        <v>271</v>
      </c>
      <c r="BM331" s="104"/>
      <c r="BN331" s="104"/>
      <c r="BO331" s="105"/>
      <c r="BP331" s="105">
        <f t="shared" si="501"/>
        <v>0</v>
      </c>
      <c r="BQ331" s="106">
        <f>SUM(BP331:BP342)</f>
        <v>134</v>
      </c>
      <c r="BR331" s="105">
        <v>600</v>
      </c>
      <c r="BS331" s="105">
        <f t="shared" si="468"/>
        <v>12</v>
      </c>
      <c r="BT331" s="106">
        <f>SUM(BS331:BS342)</f>
        <v>88</v>
      </c>
      <c r="BU331" s="53">
        <v>100</v>
      </c>
      <c r="BV331" s="53">
        <f t="shared" ref="BV331:BV342" si="542">BU331/50</f>
        <v>2</v>
      </c>
      <c r="BW331" s="54">
        <f>SUM(BV331:BV342)</f>
        <v>49</v>
      </c>
      <c r="BX331" s="350">
        <f t="shared" si="471"/>
        <v>14</v>
      </c>
      <c r="BY331" s="6">
        <f>SUM(BX331:BX342)</f>
        <v>271</v>
      </c>
      <c r="BZ331" s="6">
        <f t="shared" si="519"/>
        <v>0</v>
      </c>
      <c r="CA331" s="508"/>
      <c r="CB331" s="7"/>
      <c r="CC331" s="7"/>
      <c r="CD331" s="7"/>
      <c r="CE331" s="504"/>
      <c r="CF331" s="105"/>
      <c r="CG331" s="105">
        <f t="shared" si="520"/>
        <v>0</v>
      </c>
      <c r="CH331" s="105"/>
      <c r="CI331" s="105"/>
      <c r="CJ331" s="105">
        <f t="shared" si="521"/>
        <v>0</v>
      </c>
      <c r="CK331" s="524"/>
      <c r="CL331" s="53">
        <f t="shared" ref="CL331:CL342" si="543">CK331/15</f>
        <v>0</v>
      </c>
      <c r="CM331" s="54">
        <f>SUM(CL331:CL342)</f>
        <v>0</v>
      </c>
      <c r="CN331" s="105"/>
      <c r="CO331" s="100">
        <f t="shared" si="498"/>
        <v>0</v>
      </c>
      <c r="CP331" s="496">
        <f>SUM(CO331:CO342)</f>
        <v>0</v>
      </c>
      <c r="CQ331" s="439"/>
      <c r="CR331" s="504"/>
      <c r="CS331" s="105"/>
      <c r="CT331" s="105">
        <f t="shared" si="490"/>
        <v>0</v>
      </c>
      <c r="CU331" s="105"/>
      <c r="CV331" s="105"/>
      <c r="CW331" s="105">
        <f t="shared" si="491"/>
        <v>0</v>
      </c>
      <c r="CX331" s="53"/>
      <c r="CY331" s="109">
        <f t="shared" si="499"/>
        <v>0</v>
      </c>
      <c r="CZ331" s="54">
        <f>SUM(CY331:CY342)</f>
        <v>0</v>
      </c>
      <c r="DA331" s="105"/>
      <c r="DB331" s="455">
        <f t="shared" si="472"/>
        <v>0</v>
      </c>
      <c r="DC331" s="495">
        <f>SUM(DB331:DB342)</f>
        <v>0</v>
      </c>
      <c r="DD331" s="24" t="s">
        <v>470</v>
      </c>
      <c r="DF331" s="1133"/>
      <c r="DG331" s="674">
        <f t="shared" ref="DG331:DG362" si="544">AV331+CY331+DB331</f>
        <v>0</v>
      </c>
      <c r="DH331" s="1119">
        <f t="shared" ref="DH331:DH362" si="545">BC331+CL331+CO331</f>
        <v>0</v>
      </c>
      <c r="DI331" s="1119"/>
      <c r="DJ331" s="101">
        <f t="shared" si="497"/>
        <v>14</v>
      </c>
      <c r="DK331" s="101">
        <f>SUM(DJ331:DJ342)</f>
        <v>271</v>
      </c>
      <c r="DL331" s="101">
        <f t="shared" si="496"/>
        <v>0</v>
      </c>
      <c r="DM331" s="101"/>
      <c r="DN331" s="112"/>
      <c r="DO331" s="112">
        <f>DJ331</f>
        <v>14</v>
      </c>
      <c r="DP331" s="112"/>
      <c r="DQ331" s="112"/>
      <c r="DS331" s="140"/>
      <c r="DT331" s="140"/>
      <c r="DU331" s="140"/>
      <c r="DV331" s="140"/>
      <c r="DW331" s="140"/>
      <c r="DX331" s="140"/>
      <c r="DY331" s="140"/>
      <c r="DZ331" s="140"/>
    </row>
    <row r="332" spans="1:130" s="139" customFormat="1" ht="32.25" customHeight="1" x14ac:dyDescent="0.25">
      <c r="A332" s="4" t="s">
        <v>130</v>
      </c>
      <c r="B332" s="4">
        <v>2</v>
      </c>
      <c r="C332" s="153" t="s">
        <v>189</v>
      </c>
      <c r="D332" s="153"/>
      <c r="E332" s="13" t="s">
        <v>190</v>
      </c>
      <c r="F332" s="135">
        <v>163</v>
      </c>
      <c r="G332" s="135">
        <v>3</v>
      </c>
      <c r="H332" s="135">
        <f t="shared" ref="H332:H342" si="546">F332+G332</f>
        <v>166</v>
      </c>
      <c r="I332" s="135">
        <v>43.5</v>
      </c>
      <c r="J332" s="135"/>
      <c r="K332" s="135">
        <f t="shared" ref="K332:K342" si="547">I332+J332</f>
        <v>43.5</v>
      </c>
      <c r="L332" s="136"/>
      <c r="M332" s="5"/>
      <c r="N332" s="41"/>
      <c r="O332" s="6"/>
      <c r="P332" s="7"/>
      <c r="Q332" s="7"/>
      <c r="R332" s="7"/>
      <c r="S332" s="7"/>
      <c r="T332" s="89"/>
      <c r="U332" s="89"/>
      <c r="V332" s="89">
        <f t="shared" ref="V332:V342" si="548">T332+U332</f>
        <v>0</v>
      </c>
      <c r="W332" s="137"/>
      <c r="X332" s="137"/>
      <c r="Y332" s="90">
        <f t="shared" ref="Y332:Y342" si="549">W332+X332</f>
        <v>0</v>
      </c>
      <c r="Z332" s="91"/>
      <c r="AA332" s="92"/>
      <c r="AB332" s="92"/>
      <c r="AC332" s="92">
        <f t="shared" si="533"/>
        <v>0</v>
      </c>
      <c r="AD332" s="93"/>
      <c r="AE332" s="93"/>
      <c r="AF332" s="94">
        <f t="shared" si="534"/>
        <v>0</v>
      </c>
      <c r="AG332" s="473"/>
      <c r="AH332" s="99">
        <v>150</v>
      </c>
      <c r="AI332" s="99">
        <f t="shared" ref="AI332:AI342" si="550">AH332/15</f>
        <v>10</v>
      </c>
      <c r="AJ332" s="138"/>
      <c r="AK332" s="138">
        <f t="shared" si="535"/>
        <v>0</v>
      </c>
      <c r="AL332" s="106"/>
      <c r="AM332" s="105"/>
      <c r="AN332" s="105">
        <f t="shared" si="536"/>
        <v>0</v>
      </c>
      <c r="AO332" s="106"/>
      <c r="AP332" s="105"/>
      <c r="AQ332" s="105">
        <f t="shared" si="518"/>
        <v>0</v>
      </c>
      <c r="AR332" s="106"/>
      <c r="AS332" s="97">
        <f t="shared" si="469"/>
        <v>0</v>
      </c>
      <c r="AT332" s="6"/>
      <c r="AU332" s="105"/>
      <c r="AV332" s="455">
        <f t="shared" si="500"/>
        <v>0</v>
      </c>
      <c r="AW332" s="496"/>
      <c r="AX332" s="508"/>
      <c r="AY332" s="498"/>
      <c r="AZ332" s="100">
        <f t="shared" si="537"/>
        <v>0</v>
      </c>
      <c r="BA332" s="101"/>
      <c r="BB332" s="100"/>
      <c r="BC332" s="100">
        <f t="shared" si="538"/>
        <v>0</v>
      </c>
      <c r="BD332" s="101"/>
      <c r="BE332" s="105">
        <f t="shared" si="539"/>
        <v>0</v>
      </c>
      <c r="BF332" s="106"/>
      <c r="BG332" s="100">
        <f t="shared" si="540"/>
        <v>0</v>
      </c>
      <c r="BH332" s="106"/>
      <c r="BI332" s="100">
        <f t="shared" si="541"/>
        <v>0</v>
      </c>
      <c r="BJ332" s="106"/>
      <c r="BK332" s="101">
        <f t="shared" si="470"/>
        <v>0</v>
      </c>
      <c r="BL332" s="106"/>
      <c r="BM332" s="104">
        <v>2175</v>
      </c>
      <c r="BN332" s="104">
        <f t="shared" ref="BN332:BN342" si="551">BM332/50</f>
        <v>43.5</v>
      </c>
      <c r="BO332" s="105"/>
      <c r="BP332" s="105">
        <f t="shared" si="501"/>
        <v>0</v>
      </c>
      <c r="BQ332" s="106"/>
      <c r="BR332" s="105"/>
      <c r="BS332" s="105">
        <f t="shared" si="468"/>
        <v>0</v>
      </c>
      <c r="BT332" s="106"/>
      <c r="BU332" s="53"/>
      <c r="BV332" s="53">
        <f t="shared" si="542"/>
        <v>0</v>
      </c>
      <c r="BW332" s="54"/>
      <c r="BX332" s="350">
        <f t="shared" si="471"/>
        <v>0</v>
      </c>
      <c r="BY332" s="6"/>
      <c r="BZ332" s="6">
        <f t="shared" si="519"/>
        <v>0</v>
      </c>
      <c r="CA332" s="508"/>
      <c r="CB332" s="7"/>
      <c r="CC332" s="7"/>
      <c r="CD332" s="7"/>
      <c r="CE332" s="504"/>
      <c r="CF332" s="105"/>
      <c r="CG332" s="105">
        <f t="shared" si="520"/>
        <v>0</v>
      </c>
      <c r="CH332" s="105"/>
      <c r="CI332" s="105"/>
      <c r="CJ332" s="105">
        <f t="shared" si="521"/>
        <v>0</v>
      </c>
      <c r="CK332" s="523"/>
      <c r="CL332" s="102">
        <f t="shared" si="543"/>
        <v>0</v>
      </c>
      <c r="CM332" s="103"/>
      <c r="CN332" s="100"/>
      <c r="CO332" s="100">
        <f t="shared" si="498"/>
        <v>0</v>
      </c>
      <c r="CP332" s="515"/>
      <c r="CQ332" s="441"/>
      <c r="CR332" s="504"/>
      <c r="CS332" s="105"/>
      <c r="CT332" s="105">
        <f t="shared" si="490"/>
        <v>0</v>
      </c>
      <c r="CU332" s="105"/>
      <c r="CV332" s="105"/>
      <c r="CW332" s="105">
        <f t="shared" si="491"/>
        <v>0</v>
      </c>
      <c r="CX332" s="53"/>
      <c r="CY332" s="109">
        <f t="shared" si="499"/>
        <v>0</v>
      </c>
      <c r="CZ332" s="54"/>
      <c r="DA332" s="105"/>
      <c r="DB332" s="455">
        <f t="shared" si="472"/>
        <v>0</v>
      </c>
      <c r="DC332" s="495"/>
      <c r="DD332" s="24"/>
      <c r="DF332" s="1133"/>
      <c r="DG332" s="674">
        <f t="shared" si="544"/>
        <v>0</v>
      </c>
      <c r="DH332" s="1119">
        <f t="shared" si="545"/>
        <v>0</v>
      </c>
      <c r="DI332" s="1119"/>
      <c r="DJ332" s="101">
        <f t="shared" si="497"/>
        <v>0</v>
      </c>
      <c r="DK332" s="101"/>
      <c r="DL332" s="101">
        <f t="shared" si="496"/>
        <v>0</v>
      </c>
      <c r="DM332" s="101"/>
      <c r="DN332" s="112"/>
      <c r="DO332" s="112"/>
      <c r="DP332" s="112"/>
      <c r="DQ332" s="112"/>
      <c r="DS332" s="140"/>
      <c r="DT332" s="140"/>
      <c r="DU332" s="140"/>
      <c r="DV332" s="140"/>
      <c r="DW332" s="140"/>
      <c r="DX332" s="140"/>
      <c r="DY332" s="140"/>
      <c r="DZ332" s="140"/>
    </row>
    <row r="333" spans="1:130" s="139" customFormat="1" ht="62.25" customHeight="1" x14ac:dyDescent="0.25">
      <c r="A333" s="4"/>
      <c r="B333" s="4"/>
      <c r="C333" s="134" t="s">
        <v>189</v>
      </c>
      <c r="D333" s="153" t="s">
        <v>437</v>
      </c>
      <c r="E333" s="3" t="s">
        <v>471</v>
      </c>
      <c r="F333" s="135"/>
      <c r="G333" s="135"/>
      <c r="H333" s="135"/>
      <c r="I333" s="135"/>
      <c r="J333" s="135"/>
      <c r="K333" s="135"/>
      <c r="L333" s="136"/>
      <c r="M333" s="5"/>
      <c r="N333" s="41"/>
      <c r="O333" s="6"/>
      <c r="P333" s="7"/>
      <c r="Q333" s="7"/>
      <c r="R333" s="7"/>
      <c r="S333" s="7"/>
      <c r="T333" s="89"/>
      <c r="U333" s="89"/>
      <c r="V333" s="89"/>
      <c r="W333" s="137"/>
      <c r="X333" s="137"/>
      <c r="Y333" s="90"/>
      <c r="Z333" s="91"/>
      <c r="AA333" s="92"/>
      <c r="AB333" s="92"/>
      <c r="AC333" s="92">
        <f t="shared" si="533"/>
        <v>0</v>
      </c>
      <c r="AD333" s="93"/>
      <c r="AE333" s="93"/>
      <c r="AF333" s="94">
        <f t="shared" si="534"/>
        <v>0</v>
      </c>
      <c r="AG333" s="473"/>
      <c r="AH333" s="99"/>
      <c r="AI333" s="99"/>
      <c r="AJ333" s="138">
        <v>795</v>
      </c>
      <c r="AK333" s="138">
        <f t="shared" si="535"/>
        <v>53</v>
      </c>
      <c r="AL333" s="106"/>
      <c r="AM333" s="105">
        <v>30</v>
      </c>
      <c r="AN333" s="105">
        <f t="shared" si="536"/>
        <v>2</v>
      </c>
      <c r="AO333" s="106"/>
      <c r="AP333" s="105"/>
      <c r="AQ333" s="105">
        <f t="shared" si="518"/>
        <v>0</v>
      </c>
      <c r="AR333" s="106"/>
      <c r="AS333" s="97">
        <f t="shared" si="469"/>
        <v>55</v>
      </c>
      <c r="AT333" s="6"/>
      <c r="AU333" s="105"/>
      <c r="AV333" s="455">
        <f t="shared" si="500"/>
        <v>0</v>
      </c>
      <c r="AW333" s="496"/>
      <c r="AX333" s="508"/>
      <c r="AY333" s="498">
        <v>255</v>
      </c>
      <c r="AZ333" s="100">
        <f t="shared" si="537"/>
        <v>17</v>
      </c>
      <c r="BA333" s="101"/>
      <c r="BB333" s="100"/>
      <c r="BC333" s="100">
        <f t="shared" si="538"/>
        <v>0</v>
      </c>
      <c r="BD333" s="101"/>
      <c r="BE333" s="105">
        <f t="shared" si="539"/>
        <v>70</v>
      </c>
      <c r="BF333" s="106"/>
      <c r="BG333" s="100">
        <f t="shared" si="540"/>
        <v>2</v>
      </c>
      <c r="BH333" s="106"/>
      <c r="BI333" s="100">
        <f t="shared" si="541"/>
        <v>0</v>
      </c>
      <c r="BJ333" s="106"/>
      <c r="BK333" s="101">
        <f t="shared" si="470"/>
        <v>72</v>
      </c>
      <c r="BL333" s="106"/>
      <c r="BM333" s="104"/>
      <c r="BN333" s="104"/>
      <c r="BO333" s="105">
        <v>650</v>
      </c>
      <c r="BP333" s="105">
        <f t="shared" si="501"/>
        <v>13</v>
      </c>
      <c r="BQ333" s="106"/>
      <c r="BR333" s="105">
        <f>750+750+750</f>
        <v>2250</v>
      </c>
      <c r="BS333" s="105">
        <f t="shared" si="468"/>
        <v>45</v>
      </c>
      <c r="BT333" s="106"/>
      <c r="BU333" s="53">
        <f>2850+100-2250</f>
        <v>700</v>
      </c>
      <c r="BV333" s="53">
        <f t="shared" si="542"/>
        <v>14</v>
      </c>
      <c r="BW333" s="54"/>
      <c r="BX333" s="350">
        <f t="shared" si="471"/>
        <v>72</v>
      </c>
      <c r="BY333" s="6"/>
      <c r="BZ333" s="6">
        <f t="shared" si="519"/>
        <v>0</v>
      </c>
      <c r="CA333" s="508"/>
      <c r="CB333" s="7"/>
      <c r="CC333" s="7"/>
      <c r="CD333" s="7"/>
      <c r="CE333" s="504"/>
      <c r="CF333" s="105"/>
      <c r="CG333" s="105">
        <f t="shared" si="520"/>
        <v>0</v>
      </c>
      <c r="CH333" s="105"/>
      <c r="CI333" s="105"/>
      <c r="CJ333" s="105">
        <f t="shared" si="521"/>
        <v>0</v>
      </c>
      <c r="CK333" s="523"/>
      <c r="CL333" s="102">
        <f t="shared" si="543"/>
        <v>0</v>
      </c>
      <c r="CM333" s="103"/>
      <c r="CN333" s="100"/>
      <c r="CO333" s="100">
        <f t="shared" si="498"/>
        <v>0</v>
      </c>
      <c r="CP333" s="515"/>
      <c r="CQ333" s="441"/>
      <c r="CR333" s="504"/>
      <c r="CS333" s="105"/>
      <c r="CT333" s="105">
        <f t="shared" si="490"/>
        <v>0</v>
      </c>
      <c r="CU333" s="105"/>
      <c r="CV333" s="105"/>
      <c r="CW333" s="105">
        <f t="shared" si="491"/>
        <v>0</v>
      </c>
      <c r="CX333" s="53"/>
      <c r="CY333" s="109">
        <f t="shared" si="499"/>
        <v>0</v>
      </c>
      <c r="CZ333" s="54"/>
      <c r="DA333" s="105"/>
      <c r="DB333" s="455">
        <f t="shared" si="472"/>
        <v>0</v>
      </c>
      <c r="DC333" s="495"/>
      <c r="DD333" s="24" t="s">
        <v>472</v>
      </c>
      <c r="DF333" s="1133"/>
      <c r="DG333" s="674">
        <f t="shared" si="544"/>
        <v>0</v>
      </c>
      <c r="DH333" s="1119">
        <f t="shared" si="545"/>
        <v>0</v>
      </c>
      <c r="DI333" s="1119"/>
      <c r="DJ333" s="101">
        <f t="shared" si="497"/>
        <v>72</v>
      </c>
      <c r="DK333" s="101"/>
      <c r="DL333" s="101">
        <f t="shared" si="496"/>
        <v>0</v>
      </c>
      <c r="DM333" s="101"/>
      <c r="DN333" s="112"/>
      <c r="DO333" s="112">
        <f>DJ333</f>
        <v>72</v>
      </c>
      <c r="DP333" s="112"/>
      <c r="DQ333" s="112"/>
      <c r="DS333" s="140"/>
      <c r="DT333" s="140"/>
      <c r="DU333" s="140"/>
      <c r="DV333" s="140"/>
      <c r="DW333" s="140"/>
      <c r="DX333" s="140"/>
      <c r="DY333" s="140"/>
      <c r="DZ333" s="140"/>
    </row>
    <row r="334" spans="1:130" s="139" customFormat="1" ht="21.6" customHeight="1" x14ac:dyDescent="0.25">
      <c r="A334" s="4" t="s">
        <v>130</v>
      </c>
      <c r="B334" s="4">
        <v>5</v>
      </c>
      <c r="C334" s="134" t="s">
        <v>189</v>
      </c>
      <c r="D334" s="153" t="s">
        <v>431</v>
      </c>
      <c r="E334" s="13" t="s">
        <v>191</v>
      </c>
      <c r="F334" s="135">
        <v>26</v>
      </c>
      <c r="G334" s="135">
        <v>14</v>
      </c>
      <c r="H334" s="135">
        <f t="shared" si="546"/>
        <v>40</v>
      </c>
      <c r="I334" s="135"/>
      <c r="J334" s="135">
        <v>12.5</v>
      </c>
      <c r="K334" s="135">
        <f t="shared" si="547"/>
        <v>12.5</v>
      </c>
      <c r="L334" s="136"/>
      <c r="M334" s="5"/>
      <c r="N334" s="41"/>
      <c r="O334" s="6"/>
      <c r="P334" s="7"/>
      <c r="Q334" s="7"/>
      <c r="R334" s="7"/>
      <c r="S334" s="7"/>
      <c r="T334" s="89"/>
      <c r="U334" s="89"/>
      <c r="V334" s="89">
        <f t="shared" si="548"/>
        <v>0</v>
      </c>
      <c r="W334" s="137"/>
      <c r="X334" s="137"/>
      <c r="Y334" s="90">
        <f t="shared" si="549"/>
        <v>0</v>
      </c>
      <c r="Z334" s="91"/>
      <c r="AA334" s="92"/>
      <c r="AB334" s="92"/>
      <c r="AC334" s="92">
        <f t="shared" si="533"/>
        <v>0</v>
      </c>
      <c r="AD334" s="93"/>
      <c r="AE334" s="93"/>
      <c r="AF334" s="94">
        <f t="shared" si="534"/>
        <v>0</v>
      </c>
      <c r="AG334" s="473"/>
      <c r="AH334" s="99">
        <v>45</v>
      </c>
      <c r="AI334" s="99">
        <f t="shared" si="550"/>
        <v>3</v>
      </c>
      <c r="AJ334" s="138">
        <v>45</v>
      </c>
      <c r="AK334" s="138">
        <f t="shared" si="535"/>
        <v>3</v>
      </c>
      <c r="AL334" s="106"/>
      <c r="AM334" s="105"/>
      <c r="AN334" s="105">
        <f t="shared" si="536"/>
        <v>0</v>
      </c>
      <c r="AO334" s="106"/>
      <c r="AP334" s="105"/>
      <c r="AQ334" s="105">
        <f t="shared" si="518"/>
        <v>0</v>
      </c>
      <c r="AR334" s="106"/>
      <c r="AS334" s="97">
        <f t="shared" si="469"/>
        <v>3</v>
      </c>
      <c r="AT334" s="6"/>
      <c r="AU334" s="105"/>
      <c r="AV334" s="455">
        <f t="shared" si="500"/>
        <v>0</v>
      </c>
      <c r="AW334" s="496"/>
      <c r="AX334" s="508"/>
      <c r="AY334" s="498">
        <v>285</v>
      </c>
      <c r="AZ334" s="100">
        <f t="shared" si="537"/>
        <v>19</v>
      </c>
      <c r="BA334" s="101"/>
      <c r="BB334" s="100"/>
      <c r="BC334" s="100">
        <f t="shared" si="538"/>
        <v>0</v>
      </c>
      <c r="BD334" s="101"/>
      <c r="BE334" s="105">
        <f t="shared" si="539"/>
        <v>22</v>
      </c>
      <c r="BF334" s="106"/>
      <c r="BG334" s="100">
        <f t="shared" si="540"/>
        <v>0</v>
      </c>
      <c r="BH334" s="106"/>
      <c r="BI334" s="100">
        <f t="shared" si="541"/>
        <v>0</v>
      </c>
      <c r="BJ334" s="106"/>
      <c r="BK334" s="101">
        <f t="shared" si="470"/>
        <v>22</v>
      </c>
      <c r="BL334" s="106"/>
      <c r="BM334" s="104">
        <v>625</v>
      </c>
      <c r="BN334" s="104">
        <f t="shared" si="551"/>
        <v>12.5</v>
      </c>
      <c r="BO334" s="105">
        <v>900</v>
      </c>
      <c r="BP334" s="105">
        <f t="shared" si="501"/>
        <v>18</v>
      </c>
      <c r="BQ334" s="106"/>
      <c r="BR334" s="105"/>
      <c r="BS334" s="105">
        <f t="shared" si="468"/>
        <v>0</v>
      </c>
      <c r="BT334" s="106"/>
      <c r="BU334" s="53">
        <v>200</v>
      </c>
      <c r="BV334" s="53">
        <f t="shared" si="542"/>
        <v>4</v>
      </c>
      <c r="BW334" s="54"/>
      <c r="BX334" s="350">
        <f t="shared" si="471"/>
        <v>22</v>
      </c>
      <c r="BY334" s="6"/>
      <c r="BZ334" s="6">
        <f t="shared" si="519"/>
        <v>0</v>
      </c>
      <c r="CA334" s="508"/>
      <c r="CB334" s="7"/>
      <c r="CC334" s="7"/>
      <c r="CD334" s="7"/>
      <c r="CE334" s="504"/>
      <c r="CF334" s="105"/>
      <c r="CG334" s="105">
        <f t="shared" si="520"/>
        <v>0</v>
      </c>
      <c r="CH334" s="105"/>
      <c r="CI334" s="105"/>
      <c r="CJ334" s="105">
        <f t="shared" si="521"/>
        <v>0</v>
      </c>
      <c r="CK334" s="523"/>
      <c r="CL334" s="102">
        <f t="shared" si="543"/>
        <v>0</v>
      </c>
      <c r="CM334" s="103"/>
      <c r="CN334" s="100"/>
      <c r="CO334" s="100">
        <f t="shared" si="498"/>
        <v>0</v>
      </c>
      <c r="CP334" s="515"/>
      <c r="CQ334" s="441"/>
      <c r="CR334" s="504"/>
      <c r="CS334" s="105"/>
      <c r="CT334" s="105">
        <f t="shared" si="490"/>
        <v>0</v>
      </c>
      <c r="CU334" s="105"/>
      <c r="CV334" s="105"/>
      <c r="CW334" s="105">
        <f t="shared" si="491"/>
        <v>0</v>
      </c>
      <c r="CX334" s="53"/>
      <c r="CY334" s="109">
        <f t="shared" si="499"/>
        <v>0</v>
      </c>
      <c r="CZ334" s="54"/>
      <c r="DA334" s="105"/>
      <c r="DB334" s="455">
        <f t="shared" si="472"/>
        <v>0</v>
      </c>
      <c r="DC334" s="495"/>
      <c r="DD334" s="24" t="s">
        <v>473</v>
      </c>
      <c r="DF334" s="1133"/>
      <c r="DG334" s="674">
        <f t="shared" si="544"/>
        <v>0</v>
      </c>
      <c r="DH334" s="1119">
        <f t="shared" si="545"/>
        <v>0</v>
      </c>
      <c r="DI334" s="1119"/>
      <c r="DJ334" s="101">
        <f t="shared" si="497"/>
        <v>22</v>
      </c>
      <c r="DK334" s="101"/>
      <c r="DL334" s="101">
        <f t="shared" si="496"/>
        <v>0</v>
      </c>
      <c r="DM334" s="101"/>
      <c r="DN334" s="112"/>
      <c r="DO334" s="112"/>
      <c r="DP334" s="112"/>
      <c r="DQ334" s="112"/>
      <c r="DS334" s="140"/>
      <c r="DT334" s="140"/>
      <c r="DU334" s="140"/>
      <c r="DV334" s="140"/>
      <c r="DW334" s="140"/>
      <c r="DX334" s="140"/>
      <c r="DY334" s="140"/>
      <c r="DZ334" s="140"/>
    </row>
    <row r="335" spans="1:130" s="139" customFormat="1" ht="21.6" customHeight="1" x14ac:dyDescent="0.25">
      <c r="A335" s="4"/>
      <c r="B335" s="4"/>
      <c r="C335" s="134" t="s">
        <v>189</v>
      </c>
      <c r="D335" s="134" t="s">
        <v>437</v>
      </c>
      <c r="E335" s="3" t="s">
        <v>230</v>
      </c>
      <c r="F335" s="135"/>
      <c r="G335" s="135"/>
      <c r="H335" s="135"/>
      <c r="I335" s="135"/>
      <c r="J335" s="135"/>
      <c r="K335" s="135"/>
      <c r="L335" s="136"/>
      <c r="M335" s="5"/>
      <c r="N335" s="41"/>
      <c r="O335" s="6"/>
      <c r="P335" s="7"/>
      <c r="Q335" s="7"/>
      <c r="R335" s="7"/>
      <c r="S335" s="7"/>
      <c r="T335" s="89"/>
      <c r="U335" s="89"/>
      <c r="V335" s="89">
        <f t="shared" si="548"/>
        <v>0</v>
      </c>
      <c r="W335" s="137"/>
      <c r="X335" s="137"/>
      <c r="Y335" s="90">
        <f t="shared" si="549"/>
        <v>0</v>
      </c>
      <c r="Z335" s="91"/>
      <c r="AA335" s="92"/>
      <c r="AB335" s="92"/>
      <c r="AC335" s="92">
        <f t="shared" si="533"/>
        <v>0</v>
      </c>
      <c r="AD335" s="93"/>
      <c r="AE335" s="93"/>
      <c r="AF335" s="94">
        <f t="shared" si="534"/>
        <v>0</v>
      </c>
      <c r="AG335" s="473"/>
      <c r="AH335" s="99"/>
      <c r="AI335" s="99"/>
      <c r="AJ335" s="138">
        <v>165</v>
      </c>
      <c r="AK335" s="138">
        <f t="shared" si="535"/>
        <v>11</v>
      </c>
      <c r="AL335" s="106"/>
      <c r="AM335" s="105"/>
      <c r="AN335" s="105">
        <f t="shared" si="536"/>
        <v>0</v>
      </c>
      <c r="AO335" s="106"/>
      <c r="AP335" s="105"/>
      <c r="AQ335" s="105">
        <f t="shared" si="518"/>
        <v>0</v>
      </c>
      <c r="AR335" s="106"/>
      <c r="AS335" s="97">
        <f t="shared" si="469"/>
        <v>11</v>
      </c>
      <c r="AT335" s="6"/>
      <c r="AU335" s="105"/>
      <c r="AV335" s="455">
        <f t="shared" si="500"/>
        <v>0</v>
      </c>
      <c r="AW335" s="496"/>
      <c r="AX335" s="508"/>
      <c r="AY335" s="498">
        <v>195</v>
      </c>
      <c r="AZ335" s="100">
        <f t="shared" si="537"/>
        <v>13</v>
      </c>
      <c r="BA335" s="101"/>
      <c r="BB335" s="100"/>
      <c r="BC335" s="100">
        <f t="shared" si="538"/>
        <v>0</v>
      </c>
      <c r="BD335" s="101"/>
      <c r="BE335" s="105">
        <f t="shared" si="539"/>
        <v>24</v>
      </c>
      <c r="BF335" s="106"/>
      <c r="BG335" s="100">
        <f t="shared" si="540"/>
        <v>0</v>
      </c>
      <c r="BH335" s="106"/>
      <c r="BI335" s="100">
        <f t="shared" si="541"/>
        <v>0</v>
      </c>
      <c r="BJ335" s="106"/>
      <c r="BK335" s="101">
        <f t="shared" si="470"/>
        <v>24</v>
      </c>
      <c r="BL335" s="106"/>
      <c r="BM335" s="104"/>
      <c r="BN335" s="104"/>
      <c r="BO335" s="105">
        <v>650</v>
      </c>
      <c r="BP335" s="105">
        <f t="shared" si="501"/>
        <v>13</v>
      </c>
      <c r="BQ335" s="106"/>
      <c r="BR335" s="105">
        <v>550</v>
      </c>
      <c r="BS335" s="105">
        <f t="shared" si="468"/>
        <v>11</v>
      </c>
      <c r="BT335" s="106"/>
      <c r="BU335" s="53">
        <v>0</v>
      </c>
      <c r="BV335" s="53">
        <f t="shared" si="542"/>
        <v>0</v>
      </c>
      <c r="BW335" s="54"/>
      <c r="BX335" s="350">
        <f t="shared" si="471"/>
        <v>24</v>
      </c>
      <c r="BY335" s="6"/>
      <c r="BZ335" s="6">
        <f t="shared" si="519"/>
        <v>0</v>
      </c>
      <c r="CA335" s="508"/>
      <c r="CB335" s="7"/>
      <c r="CC335" s="7"/>
      <c r="CD335" s="7"/>
      <c r="CE335" s="504"/>
      <c r="CF335" s="105"/>
      <c r="CG335" s="105">
        <f t="shared" si="520"/>
        <v>0</v>
      </c>
      <c r="CH335" s="105"/>
      <c r="CI335" s="105"/>
      <c r="CJ335" s="105">
        <f t="shared" si="521"/>
        <v>0</v>
      </c>
      <c r="CK335" s="523"/>
      <c r="CL335" s="102">
        <f t="shared" si="543"/>
        <v>0</v>
      </c>
      <c r="CM335" s="103"/>
      <c r="CN335" s="100"/>
      <c r="CO335" s="100">
        <f t="shared" si="498"/>
        <v>0</v>
      </c>
      <c r="CP335" s="515"/>
      <c r="CQ335" s="441"/>
      <c r="CR335" s="504"/>
      <c r="CS335" s="105"/>
      <c r="CT335" s="105">
        <f t="shared" si="490"/>
        <v>0</v>
      </c>
      <c r="CU335" s="105"/>
      <c r="CV335" s="105"/>
      <c r="CW335" s="105">
        <f t="shared" si="491"/>
        <v>0</v>
      </c>
      <c r="CX335" s="53"/>
      <c r="CY335" s="109">
        <f t="shared" si="499"/>
        <v>0</v>
      </c>
      <c r="CZ335" s="54"/>
      <c r="DA335" s="105"/>
      <c r="DB335" s="455">
        <f t="shared" si="472"/>
        <v>0</v>
      </c>
      <c r="DC335" s="495"/>
      <c r="DD335" s="24" t="s">
        <v>474</v>
      </c>
      <c r="DF335" s="1133"/>
      <c r="DG335" s="674">
        <f t="shared" si="544"/>
        <v>0</v>
      </c>
      <c r="DH335" s="1119">
        <f t="shared" si="545"/>
        <v>0</v>
      </c>
      <c r="DI335" s="1119"/>
      <c r="DJ335" s="101">
        <f t="shared" si="497"/>
        <v>24</v>
      </c>
      <c r="DK335" s="101"/>
      <c r="DL335" s="101">
        <f t="shared" si="496"/>
        <v>0</v>
      </c>
      <c r="DM335" s="101"/>
      <c r="DN335" s="112"/>
      <c r="DO335" s="112">
        <f>DJ335</f>
        <v>24</v>
      </c>
      <c r="DP335" s="112"/>
      <c r="DQ335" s="112"/>
      <c r="DS335" s="140"/>
      <c r="DT335" s="140"/>
      <c r="DU335" s="140"/>
      <c r="DV335" s="140"/>
      <c r="DW335" s="140"/>
      <c r="DX335" s="140"/>
      <c r="DY335" s="140"/>
      <c r="DZ335" s="140"/>
    </row>
    <row r="336" spans="1:130" s="139" customFormat="1" ht="33.75" customHeight="1" x14ac:dyDescent="0.25">
      <c r="A336" s="4"/>
      <c r="B336" s="4"/>
      <c r="C336" s="134" t="s">
        <v>189</v>
      </c>
      <c r="D336" s="134" t="s">
        <v>431</v>
      </c>
      <c r="E336" s="3" t="s">
        <v>475</v>
      </c>
      <c r="F336" s="135"/>
      <c r="G336" s="135"/>
      <c r="H336" s="135"/>
      <c r="I336" s="135"/>
      <c r="J336" s="135"/>
      <c r="K336" s="135"/>
      <c r="L336" s="136"/>
      <c r="M336" s="5"/>
      <c r="N336" s="41"/>
      <c r="O336" s="6"/>
      <c r="P336" s="7"/>
      <c r="Q336" s="7"/>
      <c r="R336" s="7"/>
      <c r="S336" s="7"/>
      <c r="T336" s="89"/>
      <c r="U336" s="89"/>
      <c r="V336" s="89"/>
      <c r="W336" s="137"/>
      <c r="X336" s="137"/>
      <c r="Y336" s="90"/>
      <c r="Z336" s="91"/>
      <c r="AA336" s="92"/>
      <c r="AB336" s="92"/>
      <c r="AC336" s="92">
        <f t="shared" si="533"/>
        <v>0</v>
      </c>
      <c r="AD336" s="93"/>
      <c r="AE336" s="93"/>
      <c r="AF336" s="94">
        <f t="shared" si="534"/>
        <v>0</v>
      </c>
      <c r="AG336" s="473"/>
      <c r="AH336" s="99"/>
      <c r="AI336" s="99"/>
      <c r="AJ336" s="138">
        <v>435</v>
      </c>
      <c r="AK336" s="138">
        <f t="shared" si="535"/>
        <v>29</v>
      </c>
      <c r="AL336" s="106"/>
      <c r="AM336" s="105"/>
      <c r="AN336" s="105">
        <f t="shared" si="536"/>
        <v>0</v>
      </c>
      <c r="AO336" s="106"/>
      <c r="AP336" s="105"/>
      <c r="AQ336" s="105">
        <f t="shared" si="518"/>
        <v>0</v>
      </c>
      <c r="AR336" s="106"/>
      <c r="AS336" s="97">
        <f t="shared" si="469"/>
        <v>29</v>
      </c>
      <c r="AT336" s="6"/>
      <c r="AU336" s="105"/>
      <c r="AV336" s="455">
        <f t="shared" si="500"/>
        <v>0</v>
      </c>
      <c r="AW336" s="496"/>
      <c r="AX336" s="508"/>
      <c r="AY336" s="498"/>
      <c r="AZ336" s="100">
        <f t="shared" si="537"/>
        <v>0</v>
      </c>
      <c r="BA336" s="101"/>
      <c r="BB336" s="100"/>
      <c r="BC336" s="100">
        <f t="shared" si="538"/>
        <v>0</v>
      </c>
      <c r="BD336" s="101"/>
      <c r="BE336" s="105">
        <f t="shared" si="539"/>
        <v>29</v>
      </c>
      <c r="BF336" s="106"/>
      <c r="BG336" s="100">
        <f t="shared" si="540"/>
        <v>0</v>
      </c>
      <c r="BH336" s="106"/>
      <c r="BI336" s="100">
        <f t="shared" si="541"/>
        <v>0</v>
      </c>
      <c r="BJ336" s="106"/>
      <c r="BK336" s="101">
        <f t="shared" si="470"/>
        <v>29</v>
      </c>
      <c r="BL336" s="106"/>
      <c r="BM336" s="104"/>
      <c r="BN336" s="104"/>
      <c r="BO336" s="105"/>
      <c r="BP336" s="105">
        <f t="shared" si="501"/>
        <v>0</v>
      </c>
      <c r="BQ336" s="106"/>
      <c r="BR336" s="105">
        <v>750</v>
      </c>
      <c r="BS336" s="105">
        <f t="shared" ref="BS336:BS403" si="552">BR336/50</f>
        <v>15</v>
      </c>
      <c r="BT336" s="106"/>
      <c r="BU336" s="53">
        <v>700</v>
      </c>
      <c r="BV336" s="53">
        <f t="shared" si="542"/>
        <v>14</v>
      </c>
      <c r="BW336" s="54"/>
      <c r="BX336" s="350">
        <f t="shared" si="471"/>
        <v>29</v>
      </c>
      <c r="BY336" s="6"/>
      <c r="BZ336" s="6">
        <f t="shared" si="519"/>
        <v>0</v>
      </c>
      <c r="CA336" s="508"/>
      <c r="CB336" s="7"/>
      <c r="CC336" s="7"/>
      <c r="CD336" s="7"/>
      <c r="CE336" s="504"/>
      <c r="CF336" s="105"/>
      <c r="CG336" s="105">
        <f t="shared" si="520"/>
        <v>0</v>
      </c>
      <c r="CH336" s="105"/>
      <c r="CI336" s="105"/>
      <c r="CJ336" s="105">
        <f t="shared" si="521"/>
        <v>0</v>
      </c>
      <c r="CK336" s="523"/>
      <c r="CL336" s="102">
        <f t="shared" si="543"/>
        <v>0</v>
      </c>
      <c r="CM336" s="103"/>
      <c r="CN336" s="100"/>
      <c r="CO336" s="100">
        <f t="shared" si="498"/>
        <v>0</v>
      </c>
      <c r="CP336" s="515"/>
      <c r="CQ336" s="441"/>
      <c r="CR336" s="504"/>
      <c r="CS336" s="105"/>
      <c r="CT336" s="105">
        <f t="shared" si="490"/>
        <v>0</v>
      </c>
      <c r="CU336" s="105"/>
      <c r="CV336" s="105"/>
      <c r="CW336" s="105">
        <f t="shared" si="491"/>
        <v>0</v>
      </c>
      <c r="CX336" s="53"/>
      <c r="CY336" s="109">
        <f t="shared" si="499"/>
        <v>0</v>
      </c>
      <c r="CZ336" s="54"/>
      <c r="DA336" s="105"/>
      <c r="DB336" s="455">
        <f t="shared" si="472"/>
        <v>0</v>
      </c>
      <c r="DC336" s="495"/>
      <c r="DD336" s="24" t="s">
        <v>476</v>
      </c>
      <c r="DF336" s="1133"/>
      <c r="DG336" s="674">
        <f t="shared" si="544"/>
        <v>0</v>
      </c>
      <c r="DH336" s="1119">
        <f t="shared" si="545"/>
        <v>0</v>
      </c>
      <c r="DI336" s="1119"/>
      <c r="DJ336" s="101">
        <f t="shared" si="497"/>
        <v>29</v>
      </c>
      <c r="DK336" s="101"/>
      <c r="DL336" s="101">
        <f t="shared" si="496"/>
        <v>0</v>
      </c>
      <c r="DM336" s="101"/>
      <c r="DN336" s="112"/>
      <c r="DO336" s="112"/>
      <c r="DP336" s="112"/>
      <c r="DQ336" s="112"/>
      <c r="DS336" s="140"/>
      <c r="DT336" s="140"/>
      <c r="DU336" s="140"/>
      <c r="DV336" s="140"/>
      <c r="DW336" s="140"/>
      <c r="DX336" s="140"/>
      <c r="DY336" s="140"/>
      <c r="DZ336" s="140"/>
    </row>
    <row r="337" spans="1:130" s="139" customFormat="1" ht="33" customHeight="1" x14ac:dyDescent="0.25">
      <c r="A337" s="4" t="s">
        <v>130</v>
      </c>
      <c r="B337" s="4">
        <v>8</v>
      </c>
      <c r="C337" s="134" t="s">
        <v>189</v>
      </c>
      <c r="D337" s="134" t="s">
        <v>431</v>
      </c>
      <c r="E337" s="13" t="s">
        <v>192</v>
      </c>
      <c r="F337" s="135">
        <v>44</v>
      </c>
      <c r="G337" s="135">
        <v>2</v>
      </c>
      <c r="H337" s="135">
        <f t="shared" si="546"/>
        <v>46</v>
      </c>
      <c r="I337" s="135">
        <v>11.5</v>
      </c>
      <c r="J337" s="135"/>
      <c r="K337" s="135">
        <f t="shared" si="547"/>
        <v>11.5</v>
      </c>
      <c r="L337" s="136"/>
      <c r="M337" s="5"/>
      <c r="N337" s="41"/>
      <c r="O337" s="6"/>
      <c r="P337" s="7"/>
      <c r="Q337" s="7"/>
      <c r="R337" s="7"/>
      <c r="S337" s="7"/>
      <c r="T337" s="89"/>
      <c r="U337" s="89"/>
      <c r="V337" s="89">
        <f t="shared" si="548"/>
        <v>0</v>
      </c>
      <c r="W337" s="137"/>
      <c r="X337" s="137"/>
      <c r="Y337" s="90">
        <f t="shared" si="549"/>
        <v>0</v>
      </c>
      <c r="Z337" s="91"/>
      <c r="AA337" s="92"/>
      <c r="AB337" s="92"/>
      <c r="AC337" s="92">
        <f t="shared" si="533"/>
        <v>0</v>
      </c>
      <c r="AD337" s="93"/>
      <c r="AE337" s="93"/>
      <c r="AF337" s="94">
        <f t="shared" si="534"/>
        <v>0</v>
      </c>
      <c r="AG337" s="473"/>
      <c r="AH337" s="99">
        <v>30</v>
      </c>
      <c r="AI337" s="99">
        <f t="shared" si="550"/>
        <v>2</v>
      </c>
      <c r="AJ337" s="138">
        <v>30</v>
      </c>
      <c r="AK337" s="138">
        <f t="shared" si="535"/>
        <v>2</v>
      </c>
      <c r="AL337" s="106"/>
      <c r="AM337" s="105"/>
      <c r="AN337" s="105">
        <f t="shared" si="536"/>
        <v>0</v>
      </c>
      <c r="AO337" s="106"/>
      <c r="AP337" s="105"/>
      <c r="AQ337" s="105">
        <f t="shared" si="518"/>
        <v>0</v>
      </c>
      <c r="AR337" s="106"/>
      <c r="AS337" s="97">
        <f t="shared" si="469"/>
        <v>2</v>
      </c>
      <c r="AT337" s="6"/>
      <c r="AU337" s="105"/>
      <c r="AV337" s="455">
        <f t="shared" si="500"/>
        <v>0</v>
      </c>
      <c r="AW337" s="496"/>
      <c r="AX337" s="508"/>
      <c r="AY337" s="498">
        <v>675</v>
      </c>
      <c r="AZ337" s="100">
        <f t="shared" si="537"/>
        <v>45</v>
      </c>
      <c r="BA337" s="101"/>
      <c r="BB337" s="100"/>
      <c r="BC337" s="100">
        <f t="shared" si="538"/>
        <v>0</v>
      </c>
      <c r="BD337" s="101"/>
      <c r="BE337" s="105">
        <f t="shared" si="539"/>
        <v>47</v>
      </c>
      <c r="BF337" s="106"/>
      <c r="BG337" s="100">
        <f t="shared" si="540"/>
        <v>0</v>
      </c>
      <c r="BH337" s="106"/>
      <c r="BI337" s="100">
        <f t="shared" si="541"/>
        <v>0</v>
      </c>
      <c r="BJ337" s="106"/>
      <c r="BK337" s="101">
        <f t="shared" si="470"/>
        <v>47</v>
      </c>
      <c r="BL337" s="106"/>
      <c r="BM337" s="104">
        <v>575</v>
      </c>
      <c r="BN337" s="104">
        <f t="shared" si="551"/>
        <v>11.5</v>
      </c>
      <c r="BO337" s="105">
        <v>2200</v>
      </c>
      <c r="BP337" s="105">
        <f t="shared" si="501"/>
        <v>44</v>
      </c>
      <c r="BQ337" s="106"/>
      <c r="BR337" s="105"/>
      <c r="BS337" s="105">
        <f t="shared" si="552"/>
        <v>0</v>
      </c>
      <c r="BT337" s="106"/>
      <c r="BU337" s="53">
        <v>150</v>
      </c>
      <c r="BV337" s="53">
        <f t="shared" si="542"/>
        <v>3</v>
      </c>
      <c r="BW337" s="54"/>
      <c r="BX337" s="350">
        <f t="shared" si="471"/>
        <v>47</v>
      </c>
      <c r="BY337" s="6"/>
      <c r="BZ337" s="6">
        <f t="shared" si="519"/>
        <v>0</v>
      </c>
      <c r="CA337" s="508"/>
      <c r="CB337" s="7"/>
      <c r="CC337" s="7"/>
      <c r="CD337" s="7"/>
      <c r="CE337" s="504"/>
      <c r="CF337" s="105"/>
      <c r="CG337" s="105">
        <f t="shared" si="520"/>
        <v>0</v>
      </c>
      <c r="CH337" s="105"/>
      <c r="CI337" s="105"/>
      <c r="CJ337" s="105">
        <f t="shared" si="521"/>
        <v>0</v>
      </c>
      <c r="CK337" s="523"/>
      <c r="CL337" s="102">
        <f t="shared" si="543"/>
        <v>0</v>
      </c>
      <c r="CM337" s="103"/>
      <c r="CN337" s="100"/>
      <c r="CO337" s="100">
        <f t="shared" si="498"/>
        <v>0</v>
      </c>
      <c r="CP337" s="515"/>
      <c r="CQ337" s="441"/>
      <c r="CR337" s="504"/>
      <c r="CS337" s="105"/>
      <c r="CT337" s="105">
        <f t="shared" si="490"/>
        <v>0</v>
      </c>
      <c r="CU337" s="105"/>
      <c r="CV337" s="105"/>
      <c r="CW337" s="105">
        <f t="shared" si="491"/>
        <v>0</v>
      </c>
      <c r="CX337" s="53"/>
      <c r="CY337" s="109">
        <f t="shared" si="499"/>
        <v>0</v>
      </c>
      <c r="CZ337" s="54"/>
      <c r="DA337" s="105"/>
      <c r="DB337" s="455">
        <f t="shared" si="472"/>
        <v>0</v>
      </c>
      <c r="DC337" s="495"/>
      <c r="DD337" s="24" t="s">
        <v>477</v>
      </c>
      <c r="DF337" s="1133"/>
      <c r="DG337" s="674">
        <f t="shared" si="544"/>
        <v>0</v>
      </c>
      <c r="DH337" s="1119">
        <f t="shared" si="545"/>
        <v>0</v>
      </c>
      <c r="DI337" s="1119"/>
      <c r="DJ337" s="101">
        <f t="shared" si="497"/>
        <v>47</v>
      </c>
      <c r="DK337" s="101"/>
      <c r="DL337" s="101">
        <f t="shared" si="496"/>
        <v>0</v>
      </c>
      <c r="DM337" s="101"/>
      <c r="DN337" s="112"/>
      <c r="DO337" s="112"/>
      <c r="DP337" s="112"/>
      <c r="DQ337" s="112"/>
      <c r="DS337" s="140"/>
      <c r="DT337" s="140"/>
      <c r="DU337" s="140"/>
      <c r="DV337" s="140"/>
      <c r="DW337" s="140"/>
      <c r="DX337" s="140"/>
      <c r="DY337" s="140"/>
      <c r="DZ337" s="140"/>
    </row>
    <row r="338" spans="1:130" s="139" customFormat="1" ht="21.6" customHeight="1" x14ac:dyDescent="0.25">
      <c r="A338" s="4" t="s">
        <v>130</v>
      </c>
      <c r="B338" s="4">
        <v>9</v>
      </c>
      <c r="C338" s="134" t="s">
        <v>189</v>
      </c>
      <c r="D338" s="134" t="s">
        <v>437</v>
      </c>
      <c r="E338" s="13" t="s">
        <v>193</v>
      </c>
      <c r="F338" s="135">
        <v>59</v>
      </c>
      <c r="G338" s="135">
        <v>6</v>
      </c>
      <c r="H338" s="135">
        <f t="shared" si="546"/>
        <v>65</v>
      </c>
      <c r="I338" s="135">
        <v>16.25</v>
      </c>
      <c r="J338" s="135"/>
      <c r="K338" s="135">
        <f t="shared" si="547"/>
        <v>16.25</v>
      </c>
      <c r="L338" s="136"/>
      <c r="M338" s="5"/>
      <c r="N338" s="41"/>
      <c r="O338" s="6"/>
      <c r="P338" s="7"/>
      <c r="Q338" s="7"/>
      <c r="R338" s="7"/>
      <c r="S338" s="7"/>
      <c r="T338" s="89"/>
      <c r="U338" s="89"/>
      <c r="V338" s="89">
        <f t="shared" si="548"/>
        <v>0</v>
      </c>
      <c r="W338" s="137"/>
      <c r="X338" s="137"/>
      <c r="Y338" s="90">
        <f t="shared" si="549"/>
        <v>0</v>
      </c>
      <c r="Z338" s="91"/>
      <c r="AA338" s="92"/>
      <c r="AB338" s="92"/>
      <c r="AC338" s="92">
        <f t="shared" si="533"/>
        <v>0</v>
      </c>
      <c r="AD338" s="93"/>
      <c r="AE338" s="93"/>
      <c r="AF338" s="94">
        <f t="shared" si="534"/>
        <v>0</v>
      </c>
      <c r="AG338" s="473"/>
      <c r="AH338" s="99">
        <v>60</v>
      </c>
      <c r="AI338" s="99">
        <f t="shared" si="550"/>
        <v>4</v>
      </c>
      <c r="AJ338" s="138">
        <v>60</v>
      </c>
      <c r="AK338" s="138">
        <f t="shared" si="535"/>
        <v>4</v>
      </c>
      <c r="AL338" s="106"/>
      <c r="AM338" s="105"/>
      <c r="AN338" s="105">
        <f t="shared" si="536"/>
        <v>0</v>
      </c>
      <c r="AO338" s="106"/>
      <c r="AP338" s="105"/>
      <c r="AQ338" s="105">
        <f t="shared" si="518"/>
        <v>0</v>
      </c>
      <c r="AR338" s="106"/>
      <c r="AS338" s="97">
        <f t="shared" si="469"/>
        <v>4</v>
      </c>
      <c r="AT338" s="6"/>
      <c r="AU338" s="105"/>
      <c r="AV338" s="455">
        <f t="shared" si="500"/>
        <v>0</v>
      </c>
      <c r="AW338" s="496"/>
      <c r="AX338" s="508"/>
      <c r="AY338" s="498">
        <v>90</v>
      </c>
      <c r="AZ338" s="100">
        <f t="shared" si="537"/>
        <v>6</v>
      </c>
      <c r="BA338" s="101"/>
      <c r="BB338" s="100"/>
      <c r="BC338" s="100">
        <f t="shared" si="538"/>
        <v>0</v>
      </c>
      <c r="BD338" s="101"/>
      <c r="BE338" s="105">
        <f t="shared" si="539"/>
        <v>10</v>
      </c>
      <c r="BF338" s="106"/>
      <c r="BG338" s="100">
        <f t="shared" si="540"/>
        <v>0</v>
      </c>
      <c r="BH338" s="106"/>
      <c r="BI338" s="100">
        <f t="shared" si="541"/>
        <v>0</v>
      </c>
      <c r="BJ338" s="106"/>
      <c r="BK338" s="101">
        <f t="shared" si="470"/>
        <v>10</v>
      </c>
      <c r="BL338" s="106"/>
      <c r="BM338" s="104">
        <v>812.5</v>
      </c>
      <c r="BN338" s="104">
        <f t="shared" si="551"/>
        <v>16.25</v>
      </c>
      <c r="BO338" s="105">
        <v>250</v>
      </c>
      <c r="BP338" s="105">
        <f t="shared" si="501"/>
        <v>5</v>
      </c>
      <c r="BQ338" s="106"/>
      <c r="BR338" s="105">
        <f>100+150</f>
        <v>250</v>
      </c>
      <c r="BS338" s="105">
        <f t="shared" si="552"/>
        <v>5</v>
      </c>
      <c r="BT338" s="106"/>
      <c r="BU338" s="53">
        <v>0</v>
      </c>
      <c r="BV338" s="53">
        <f t="shared" si="542"/>
        <v>0</v>
      </c>
      <c r="BW338" s="54"/>
      <c r="BX338" s="350">
        <f t="shared" si="471"/>
        <v>10</v>
      </c>
      <c r="BY338" s="6"/>
      <c r="BZ338" s="6">
        <f t="shared" si="519"/>
        <v>0</v>
      </c>
      <c r="CA338" s="508"/>
      <c r="CB338" s="7"/>
      <c r="CC338" s="7"/>
      <c r="CD338" s="7"/>
      <c r="CE338" s="504"/>
      <c r="CF338" s="105"/>
      <c r="CG338" s="105">
        <f t="shared" si="520"/>
        <v>0</v>
      </c>
      <c r="CH338" s="105"/>
      <c r="CI338" s="105"/>
      <c r="CJ338" s="105">
        <f t="shared" si="521"/>
        <v>0</v>
      </c>
      <c r="CK338" s="523"/>
      <c r="CL338" s="102">
        <f t="shared" si="543"/>
        <v>0</v>
      </c>
      <c r="CM338" s="103"/>
      <c r="CN338" s="100"/>
      <c r="CO338" s="100">
        <f t="shared" si="498"/>
        <v>0</v>
      </c>
      <c r="CP338" s="515"/>
      <c r="CQ338" s="441"/>
      <c r="CR338" s="504"/>
      <c r="CS338" s="105"/>
      <c r="CT338" s="105">
        <f t="shared" si="490"/>
        <v>0</v>
      </c>
      <c r="CU338" s="105"/>
      <c r="CV338" s="105"/>
      <c r="CW338" s="105">
        <f t="shared" si="491"/>
        <v>0</v>
      </c>
      <c r="CX338" s="53"/>
      <c r="CY338" s="109">
        <f t="shared" si="499"/>
        <v>0</v>
      </c>
      <c r="CZ338" s="54"/>
      <c r="DA338" s="105"/>
      <c r="DB338" s="455">
        <f t="shared" si="472"/>
        <v>0</v>
      </c>
      <c r="DC338" s="495"/>
      <c r="DD338" s="24" t="s">
        <v>478</v>
      </c>
      <c r="DF338" s="1133"/>
      <c r="DG338" s="674">
        <f t="shared" si="544"/>
        <v>0</v>
      </c>
      <c r="DH338" s="1119">
        <f t="shared" si="545"/>
        <v>0</v>
      </c>
      <c r="DI338" s="1119"/>
      <c r="DJ338" s="101">
        <f t="shared" si="497"/>
        <v>10</v>
      </c>
      <c r="DK338" s="101"/>
      <c r="DL338" s="101">
        <f t="shared" si="496"/>
        <v>0</v>
      </c>
      <c r="DM338" s="101"/>
      <c r="DN338" s="112"/>
      <c r="DO338" s="112">
        <f>DJ338</f>
        <v>10</v>
      </c>
      <c r="DP338" s="112"/>
      <c r="DQ338" s="112"/>
      <c r="DS338" s="140"/>
      <c r="DT338" s="140"/>
      <c r="DU338" s="140"/>
      <c r="DV338" s="140"/>
      <c r="DW338" s="140"/>
      <c r="DX338" s="140"/>
      <c r="DY338" s="140"/>
      <c r="DZ338" s="140"/>
    </row>
    <row r="339" spans="1:130" s="139" customFormat="1" ht="48" customHeight="1" x14ac:dyDescent="0.25">
      <c r="A339" s="4"/>
      <c r="B339" s="4"/>
      <c r="C339" s="134" t="s">
        <v>189</v>
      </c>
      <c r="D339" s="134" t="s">
        <v>431</v>
      </c>
      <c r="E339" s="3" t="s">
        <v>479</v>
      </c>
      <c r="F339" s="135"/>
      <c r="G339" s="135"/>
      <c r="H339" s="135"/>
      <c r="I339" s="135"/>
      <c r="J339" s="135"/>
      <c r="K339" s="135"/>
      <c r="L339" s="136"/>
      <c r="M339" s="5"/>
      <c r="N339" s="41"/>
      <c r="O339" s="6"/>
      <c r="P339" s="7"/>
      <c r="Q339" s="7"/>
      <c r="R339" s="7"/>
      <c r="S339" s="7"/>
      <c r="T339" s="89"/>
      <c r="U339" s="89"/>
      <c r="V339" s="89"/>
      <c r="W339" s="137"/>
      <c r="X339" s="137"/>
      <c r="Y339" s="90"/>
      <c r="Z339" s="91"/>
      <c r="AA339" s="92"/>
      <c r="AB339" s="92"/>
      <c r="AC339" s="92">
        <f t="shared" si="533"/>
        <v>0</v>
      </c>
      <c r="AD339" s="93"/>
      <c r="AE339" s="93"/>
      <c r="AF339" s="94">
        <f t="shared" si="534"/>
        <v>0</v>
      </c>
      <c r="AG339" s="473"/>
      <c r="AH339" s="99"/>
      <c r="AI339" s="99"/>
      <c r="AJ339" s="138"/>
      <c r="AK339" s="138">
        <f t="shared" si="535"/>
        <v>0</v>
      </c>
      <c r="AL339" s="106"/>
      <c r="AM339" s="105"/>
      <c r="AN339" s="105">
        <f t="shared" si="536"/>
        <v>0</v>
      </c>
      <c r="AO339" s="106"/>
      <c r="AP339" s="105"/>
      <c r="AQ339" s="105">
        <f t="shared" si="518"/>
        <v>0</v>
      </c>
      <c r="AR339" s="106"/>
      <c r="AS339" s="97">
        <f t="shared" si="469"/>
        <v>0</v>
      </c>
      <c r="AT339" s="6"/>
      <c r="AU339" s="105"/>
      <c r="AV339" s="455">
        <f t="shared" si="500"/>
        <v>0</v>
      </c>
      <c r="AW339" s="496"/>
      <c r="AX339" s="508"/>
      <c r="AY339" s="498">
        <v>225</v>
      </c>
      <c r="AZ339" s="100">
        <f t="shared" si="537"/>
        <v>15</v>
      </c>
      <c r="BA339" s="101"/>
      <c r="BB339" s="100"/>
      <c r="BC339" s="100">
        <f t="shared" si="538"/>
        <v>0</v>
      </c>
      <c r="BD339" s="101"/>
      <c r="BE339" s="105">
        <f t="shared" si="539"/>
        <v>15</v>
      </c>
      <c r="BF339" s="106"/>
      <c r="BG339" s="100">
        <f t="shared" si="540"/>
        <v>0</v>
      </c>
      <c r="BH339" s="106"/>
      <c r="BI339" s="100">
        <f t="shared" si="541"/>
        <v>0</v>
      </c>
      <c r="BJ339" s="106"/>
      <c r="BK339" s="101">
        <f t="shared" si="470"/>
        <v>15</v>
      </c>
      <c r="BL339" s="106"/>
      <c r="BM339" s="104"/>
      <c r="BN339" s="104"/>
      <c r="BO339" s="105">
        <v>750</v>
      </c>
      <c r="BP339" s="105">
        <f t="shared" si="501"/>
        <v>15</v>
      </c>
      <c r="BQ339" s="106"/>
      <c r="BR339" s="105"/>
      <c r="BS339" s="105">
        <f t="shared" si="552"/>
        <v>0</v>
      </c>
      <c r="BT339" s="106"/>
      <c r="BU339" s="53"/>
      <c r="BV339" s="53">
        <f t="shared" si="542"/>
        <v>0</v>
      </c>
      <c r="BW339" s="54"/>
      <c r="BX339" s="350">
        <f t="shared" si="471"/>
        <v>15</v>
      </c>
      <c r="BY339" s="6"/>
      <c r="BZ339" s="6">
        <f t="shared" si="519"/>
        <v>0</v>
      </c>
      <c r="CA339" s="508"/>
      <c r="CB339" s="7"/>
      <c r="CC339" s="7"/>
      <c r="CD339" s="7"/>
      <c r="CE339" s="504"/>
      <c r="CF339" s="105"/>
      <c r="CG339" s="105">
        <f t="shared" si="520"/>
        <v>0</v>
      </c>
      <c r="CH339" s="105"/>
      <c r="CI339" s="105"/>
      <c r="CJ339" s="105">
        <f t="shared" si="521"/>
        <v>0</v>
      </c>
      <c r="CK339" s="523"/>
      <c r="CL339" s="102">
        <f t="shared" si="543"/>
        <v>0</v>
      </c>
      <c r="CM339" s="103"/>
      <c r="CN339" s="100"/>
      <c r="CO339" s="100">
        <f t="shared" si="498"/>
        <v>0</v>
      </c>
      <c r="CP339" s="515"/>
      <c r="CQ339" s="441"/>
      <c r="CR339" s="504"/>
      <c r="CS339" s="105"/>
      <c r="CT339" s="105">
        <f t="shared" si="490"/>
        <v>0</v>
      </c>
      <c r="CU339" s="105"/>
      <c r="CV339" s="105"/>
      <c r="CW339" s="105">
        <f t="shared" si="491"/>
        <v>0</v>
      </c>
      <c r="CX339" s="53"/>
      <c r="CY339" s="109">
        <f t="shared" si="499"/>
        <v>0</v>
      </c>
      <c r="CZ339" s="54"/>
      <c r="DA339" s="105"/>
      <c r="DB339" s="455">
        <f t="shared" si="472"/>
        <v>0</v>
      </c>
      <c r="DC339" s="495"/>
      <c r="DD339" s="24" t="s">
        <v>480</v>
      </c>
      <c r="DF339" s="1133"/>
      <c r="DG339" s="674">
        <f t="shared" si="544"/>
        <v>0</v>
      </c>
      <c r="DH339" s="1119">
        <f t="shared" si="545"/>
        <v>0</v>
      </c>
      <c r="DI339" s="1119"/>
      <c r="DJ339" s="101">
        <f t="shared" si="497"/>
        <v>15</v>
      </c>
      <c r="DK339" s="101"/>
      <c r="DL339" s="101">
        <f t="shared" si="496"/>
        <v>0</v>
      </c>
      <c r="DM339" s="101"/>
      <c r="DN339" s="112"/>
      <c r="DO339" s="112"/>
      <c r="DP339" s="112"/>
      <c r="DQ339" s="112"/>
      <c r="DS339" s="140"/>
      <c r="DT339" s="140"/>
      <c r="DU339" s="140"/>
      <c r="DV339" s="140"/>
      <c r="DW339" s="140"/>
      <c r="DX339" s="140"/>
      <c r="DY339" s="140"/>
      <c r="DZ339" s="140"/>
    </row>
    <row r="340" spans="1:130" s="139" customFormat="1" ht="21.6" customHeight="1" x14ac:dyDescent="0.25">
      <c r="A340" s="4"/>
      <c r="B340" s="4"/>
      <c r="C340" s="134" t="s">
        <v>189</v>
      </c>
      <c r="D340" s="134" t="s">
        <v>431</v>
      </c>
      <c r="E340" s="3" t="s">
        <v>416</v>
      </c>
      <c r="F340" s="135"/>
      <c r="G340" s="135"/>
      <c r="H340" s="135"/>
      <c r="I340" s="135"/>
      <c r="J340" s="135"/>
      <c r="K340" s="135"/>
      <c r="L340" s="136"/>
      <c r="M340" s="5"/>
      <c r="N340" s="41"/>
      <c r="O340" s="6"/>
      <c r="P340" s="7"/>
      <c r="Q340" s="7"/>
      <c r="R340" s="7"/>
      <c r="S340" s="7"/>
      <c r="T340" s="89"/>
      <c r="U340" s="89"/>
      <c r="V340" s="89">
        <f t="shared" si="548"/>
        <v>0</v>
      </c>
      <c r="W340" s="137"/>
      <c r="X340" s="137"/>
      <c r="Y340" s="90">
        <f t="shared" si="549"/>
        <v>0</v>
      </c>
      <c r="Z340" s="91"/>
      <c r="AA340" s="92"/>
      <c r="AB340" s="92"/>
      <c r="AC340" s="92">
        <f t="shared" si="533"/>
        <v>0</v>
      </c>
      <c r="AD340" s="93"/>
      <c r="AE340" s="93"/>
      <c r="AF340" s="94">
        <f t="shared" si="534"/>
        <v>0</v>
      </c>
      <c r="AG340" s="473"/>
      <c r="AH340" s="99"/>
      <c r="AI340" s="99">
        <f t="shared" si="550"/>
        <v>0</v>
      </c>
      <c r="AJ340" s="138"/>
      <c r="AK340" s="138">
        <f t="shared" si="535"/>
        <v>0</v>
      </c>
      <c r="AL340" s="106"/>
      <c r="AM340" s="105"/>
      <c r="AN340" s="105">
        <f t="shared" si="536"/>
        <v>0</v>
      </c>
      <c r="AO340" s="106"/>
      <c r="AP340" s="105"/>
      <c r="AQ340" s="105">
        <f t="shared" si="518"/>
        <v>0</v>
      </c>
      <c r="AR340" s="106"/>
      <c r="AS340" s="97">
        <f t="shared" ref="AS340:AS403" si="553">AN340+AK340+AQ340</f>
        <v>0</v>
      </c>
      <c r="AT340" s="6"/>
      <c r="AU340" s="105"/>
      <c r="AV340" s="455">
        <f t="shared" si="500"/>
        <v>0</v>
      </c>
      <c r="AW340" s="496"/>
      <c r="AX340" s="508"/>
      <c r="AY340" s="498">
        <v>225</v>
      </c>
      <c r="AZ340" s="100">
        <f t="shared" si="537"/>
        <v>15</v>
      </c>
      <c r="BA340" s="101"/>
      <c r="BB340" s="100"/>
      <c r="BC340" s="100">
        <f t="shared" si="538"/>
        <v>0</v>
      </c>
      <c r="BD340" s="101"/>
      <c r="BE340" s="105">
        <f t="shared" si="539"/>
        <v>15</v>
      </c>
      <c r="BF340" s="106"/>
      <c r="BG340" s="100">
        <f t="shared" si="540"/>
        <v>0</v>
      </c>
      <c r="BH340" s="106"/>
      <c r="BI340" s="100">
        <f t="shared" si="541"/>
        <v>0</v>
      </c>
      <c r="BJ340" s="106"/>
      <c r="BK340" s="101">
        <f t="shared" ref="BK340:BK403" si="554">BG340+BE340+BI340</f>
        <v>15</v>
      </c>
      <c r="BL340" s="106"/>
      <c r="BM340" s="104"/>
      <c r="BN340" s="104"/>
      <c r="BO340" s="105">
        <v>750</v>
      </c>
      <c r="BP340" s="105">
        <f t="shared" si="501"/>
        <v>15</v>
      </c>
      <c r="BQ340" s="106"/>
      <c r="BR340" s="105"/>
      <c r="BS340" s="105">
        <f t="shared" si="552"/>
        <v>0</v>
      </c>
      <c r="BT340" s="106"/>
      <c r="BU340" s="53"/>
      <c r="BV340" s="53">
        <f t="shared" si="542"/>
        <v>0</v>
      </c>
      <c r="BW340" s="54"/>
      <c r="BX340" s="350">
        <f t="shared" ref="BX340:BX402" si="555">BP340+BS340+BV340</f>
        <v>15</v>
      </c>
      <c r="BY340" s="6"/>
      <c r="BZ340" s="6">
        <f t="shared" si="519"/>
        <v>0</v>
      </c>
      <c r="CA340" s="508"/>
      <c r="CB340" s="7"/>
      <c r="CC340" s="7"/>
      <c r="CD340" s="7"/>
      <c r="CE340" s="504"/>
      <c r="CF340" s="105"/>
      <c r="CG340" s="105">
        <f t="shared" si="520"/>
        <v>0</v>
      </c>
      <c r="CH340" s="105"/>
      <c r="CI340" s="105"/>
      <c r="CJ340" s="105">
        <f t="shared" si="521"/>
        <v>0</v>
      </c>
      <c r="CK340" s="523"/>
      <c r="CL340" s="102">
        <f t="shared" si="543"/>
        <v>0</v>
      </c>
      <c r="CM340" s="103"/>
      <c r="CN340" s="100"/>
      <c r="CO340" s="100">
        <f t="shared" si="498"/>
        <v>0</v>
      </c>
      <c r="CP340" s="515"/>
      <c r="CQ340" s="441"/>
      <c r="CR340" s="504"/>
      <c r="CS340" s="105"/>
      <c r="CT340" s="105">
        <f t="shared" si="490"/>
        <v>0</v>
      </c>
      <c r="CU340" s="105"/>
      <c r="CV340" s="105"/>
      <c r="CW340" s="105">
        <f t="shared" si="491"/>
        <v>0</v>
      </c>
      <c r="CX340" s="53"/>
      <c r="CY340" s="109">
        <f t="shared" si="499"/>
        <v>0</v>
      </c>
      <c r="CZ340" s="54"/>
      <c r="DA340" s="105"/>
      <c r="DB340" s="455">
        <f t="shared" si="472"/>
        <v>0</v>
      </c>
      <c r="DC340" s="495"/>
      <c r="DD340" s="24" t="s">
        <v>375</v>
      </c>
      <c r="DF340" s="1133"/>
      <c r="DG340" s="674">
        <f t="shared" si="544"/>
        <v>0</v>
      </c>
      <c r="DH340" s="1119">
        <f t="shared" si="545"/>
        <v>0</v>
      </c>
      <c r="DI340" s="1119"/>
      <c r="DJ340" s="101">
        <f t="shared" si="497"/>
        <v>15</v>
      </c>
      <c r="DK340" s="101"/>
      <c r="DL340" s="101">
        <f t="shared" si="496"/>
        <v>0</v>
      </c>
      <c r="DM340" s="101"/>
      <c r="DN340" s="112"/>
      <c r="DO340" s="112"/>
      <c r="DP340" s="112"/>
      <c r="DQ340" s="112"/>
      <c r="DS340" s="140"/>
      <c r="DT340" s="140"/>
      <c r="DU340" s="140"/>
      <c r="DV340" s="140"/>
      <c r="DW340" s="140"/>
      <c r="DX340" s="140"/>
      <c r="DY340" s="140"/>
      <c r="DZ340" s="140"/>
    </row>
    <row r="341" spans="1:130" s="139" customFormat="1" ht="21.6" customHeight="1" x14ac:dyDescent="0.25">
      <c r="A341" s="4" t="s">
        <v>130</v>
      </c>
      <c r="B341" s="4">
        <v>12</v>
      </c>
      <c r="C341" s="134" t="s">
        <v>189</v>
      </c>
      <c r="D341" s="153" t="s">
        <v>431</v>
      </c>
      <c r="E341" s="13" t="s">
        <v>194</v>
      </c>
      <c r="F341" s="135">
        <v>30</v>
      </c>
      <c r="G341" s="135">
        <v>25</v>
      </c>
      <c r="H341" s="135">
        <f t="shared" si="546"/>
        <v>55</v>
      </c>
      <c r="I341" s="135"/>
      <c r="J341" s="135">
        <v>13.75</v>
      </c>
      <c r="K341" s="135">
        <f t="shared" si="547"/>
        <v>13.75</v>
      </c>
      <c r="L341" s="136"/>
      <c r="M341" s="5"/>
      <c r="N341" s="41"/>
      <c r="O341" s="6"/>
      <c r="P341" s="7"/>
      <c r="Q341" s="7"/>
      <c r="R341" s="7"/>
      <c r="S341" s="7"/>
      <c r="T341" s="89"/>
      <c r="U341" s="89"/>
      <c r="V341" s="89">
        <f t="shared" si="548"/>
        <v>0</v>
      </c>
      <c r="W341" s="137"/>
      <c r="X341" s="137"/>
      <c r="Y341" s="90">
        <f t="shared" si="549"/>
        <v>0</v>
      </c>
      <c r="Z341" s="91"/>
      <c r="AA341" s="92"/>
      <c r="AB341" s="92"/>
      <c r="AC341" s="92">
        <f t="shared" si="533"/>
        <v>0</v>
      </c>
      <c r="AD341" s="93"/>
      <c r="AE341" s="93"/>
      <c r="AF341" s="94">
        <f t="shared" si="534"/>
        <v>0</v>
      </c>
      <c r="AG341" s="473"/>
      <c r="AH341" s="99">
        <v>60</v>
      </c>
      <c r="AI341" s="99">
        <f t="shared" si="550"/>
        <v>4</v>
      </c>
      <c r="AJ341" s="138">
        <v>60</v>
      </c>
      <c r="AK341" s="138">
        <f t="shared" si="535"/>
        <v>4</v>
      </c>
      <c r="AL341" s="106"/>
      <c r="AM341" s="105"/>
      <c r="AN341" s="105">
        <f t="shared" si="536"/>
        <v>0</v>
      </c>
      <c r="AO341" s="106"/>
      <c r="AP341" s="105"/>
      <c r="AQ341" s="105">
        <f t="shared" si="518"/>
        <v>0</v>
      </c>
      <c r="AR341" s="106"/>
      <c r="AS341" s="97">
        <f t="shared" si="553"/>
        <v>4</v>
      </c>
      <c r="AT341" s="6"/>
      <c r="AU341" s="105"/>
      <c r="AV341" s="455">
        <f t="shared" si="500"/>
        <v>0</v>
      </c>
      <c r="AW341" s="496"/>
      <c r="AX341" s="508"/>
      <c r="AY341" s="498">
        <v>90</v>
      </c>
      <c r="AZ341" s="100">
        <f t="shared" si="537"/>
        <v>6</v>
      </c>
      <c r="BA341" s="101"/>
      <c r="BB341" s="100"/>
      <c r="BC341" s="100">
        <f t="shared" si="538"/>
        <v>0</v>
      </c>
      <c r="BD341" s="101"/>
      <c r="BE341" s="105">
        <f t="shared" si="539"/>
        <v>10</v>
      </c>
      <c r="BF341" s="106"/>
      <c r="BG341" s="100">
        <f t="shared" si="540"/>
        <v>0</v>
      </c>
      <c r="BH341" s="106"/>
      <c r="BI341" s="100">
        <f t="shared" si="541"/>
        <v>0</v>
      </c>
      <c r="BJ341" s="106"/>
      <c r="BK341" s="101">
        <f t="shared" si="554"/>
        <v>10</v>
      </c>
      <c r="BL341" s="106"/>
      <c r="BM341" s="104">
        <v>687.5</v>
      </c>
      <c r="BN341" s="104">
        <f t="shared" si="551"/>
        <v>13.75</v>
      </c>
      <c r="BO341" s="105">
        <v>250</v>
      </c>
      <c r="BP341" s="105">
        <f t="shared" si="501"/>
        <v>5</v>
      </c>
      <c r="BQ341" s="106"/>
      <c r="BR341" s="105"/>
      <c r="BS341" s="105">
        <f t="shared" si="552"/>
        <v>0</v>
      </c>
      <c r="BT341" s="106"/>
      <c r="BU341" s="53">
        <v>250</v>
      </c>
      <c r="BV341" s="53">
        <f t="shared" si="542"/>
        <v>5</v>
      </c>
      <c r="BW341" s="54"/>
      <c r="BX341" s="350">
        <f t="shared" si="555"/>
        <v>10</v>
      </c>
      <c r="BY341" s="6"/>
      <c r="BZ341" s="6">
        <f t="shared" si="519"/>
        <v>0</v>
      </c>
      <c r="CA341" s="508"/>
      <c r="CB341" s="7"/>
      <c r="CC341" s="7"/>
      <c r="CD341" s="7"/>
      <c r="CE341" s="504"/>
      <c r="CF341" s="105"/>
      <c r="CG341" s="105">
        <f t="shared" si="520"/>
        <v>0</v>
      </c>
      <c r="CH341" s="105"/>
      <c r="CI341" s="105"/>
      <c r="CJ341" s="105">
        <f t="shared" si="521"/>
        <v>0</v>
      </c>
      <c r="CK341" s="523"/>
      <c r="CL341" s="102">
        <f t="shared" si="543"/>
        <v>0</v>
      </c>
      <c r="CM341" s="103"/>
      <c r="CN341" s="100"/>
      <c r="CO341" s="100">
        <f t="shared" si="498"/>
        <v>0</v>
      </c>
      <c r="CP341" s="515"/>
      <c r="CQ341" s="441"/>
      <c r="CR341" s="504"/>
      <c r="CS341" s="105"/>
      <c r="CT341" s="105">
        <f t="shared" si="490"/>
        <v>0</v>
      </c>
      <c r="CU341" s="105"/>
      <c r="CV341" s="105"/>
      <c r="CW341" s="105">
        <f t="shared" si="491"/>
        <v>0</v>
      </c>
      <c r="CX341" s="53"/>
      <c r="CY341" s="109">
        <f t="shared" si="499"/>
        <v>0</v>
      </c>
      <c r="CZ341" s="54"/>
      <c r="DA341" s="105"/>
      <c r="DB341" s="455">
        <f t="shared" si="472"/>
        <v>0</v>
      </c>
      <c r="DC341" s="495"/>
      <c r="DD341" s="24" t="s">
        <v>478</v>
      </c>
      <c r="DF341" s="1133"/>
      <c r="DG341" s="674">
        <f t="shared" si="544"/>
        <v>0</v>
      </c>
      <c r="DH341" s="1119">
        <f t="shared" si="545"/>
        <v>0</v>
      </c>
      <c r="DI341" s="1119"/>
      <c r="DJ341" s="101">
        <f t="shared" si="497"/>
        <v>10</v>
      </c>
      <c r="DK341" s="101"/>
      <c r="DL341" s="101">
        <f t="shared" si="496"/>
        <v>0</v>
      </c>
      <c r="DM341" s="101"/>
      <c r="DN341" s="112"/>
      <c r="DO341" s="112"/>
      <c r="DP341" s="112"/>
      <c r="DQ341" s="112"/>
      <c r="DS341" s="140"/>
      <c r="DT341" s="140"/>
      <c r="DU341" s="140"/>
      <c r="DV341" s="140"/>
      <c r="DW341" s="140"/>
      <c r="DX341" s="140"/>
      <c r="DY341" s="140"/>
      <c r="DZ341" s="140"/>
    </row>
    <row r="342" spans="1:130" s="139" customFormat="1" ht="30.75" customHeight="1" x14ac:dyDescent="0.25">
      <c r="A342" s="4" t="s">
        <v>130</v>
      </c>
      <c r="B342" s="4">
        <v>14</v>
      </c>
      <c r="C342" s="134" t="s">
        <v>189</v>
      </c>
      <c r="D342" s="153" t="s">
        <v>437</v>
      </c>
      <c r="E342" s="13" t="s">
        <v>195</v>
      </c>
      <c r="F342" s="135">
        <v>87</v>
      </c>
      <c r="G342" s="135">
        <v>2</v>
      </c>
      <c r="H342" s="135">
        <f t="shared" si="546"/>
        <v>89</v>
      </c>
      <c r="I342" s="135">
        <v>22.25</v>
      </c>
      <c r="J342" s="135"/>
      <c r="K342" s="135">
        <f t="shared" si="547"/>
        <v>22.25</v>
      </c>
      <c r="L342" s="136"/>
      <c r="M342" s="5"/>
      <c r="N342" s="41"/>
      <c r="O342" s="6"/>
      <c r="P342" s="7"/>
      <c r="Q342" s="7"/>
      <c r="R342" s="7"/>
      <c r="S342" s="7"/>
      <c r="T342" s="89"/>
      <c r="U342" s="89"/>
      <c r="V342" s="89">
        <f t="shared" si="548"/>
        <v>0</v>
      </c>
      <c r="W342" s="137"/>
      <c r="X342" s="137"/>
      <c r="Y342" s="90">
        <f t="shared" si="549"/>
        <v>0</v>
      </c>
      <c r="Z342" s="91"/>
      <c r="AA342" s="92"/>
      <c r="AB342" s="92"/>
      <c r="AC342" s="92">
        <f t="shared" si="533"/>
        <v>0</v>
      </c>
      <c r="AD342" s="93"/>
      <c r="AE342" s="93"/>
      <c r="AF342" s="94">
        <f t="shared" si="534"/>
        <v>0</v>
      </c>
      <c r="AG342" s="473"/>
      <c r="AH342" s="99">
        <v>75</v>
      </c>
      <c r="AI342" s="99">
        <f t="shared" si="550"/>
        <v>5</v>
      </c>
      <c r="AJ342" s="138">
        <v>60</v>
      </c>
      <c r="AK342" s="138">
        <f t="shared" si="535"/>
        <v>4</v>
      </c>
      <c r="AL342" s="106"/>
      <c r="AM342" s="105"/>
      <c r="AN342" s="105">
        <f t="shared" si="536"/>
        <v>0</v>
      </c>
      <c r="AO342" s="106"/>
      <c r="AP342" s="105"/>
      <c r="AQ342" s="105">
        <f t="shared" si="518"/>
        <v>0</v>
      </c>
      <c r="AR342" s="106"/>
      <c r="AS342" s="97">
        <f t="shared" si="553"/>
        <v>4</v>
      </c>
      <c r="AT342" s="6"/>
      <c r="AU342" s="105"/>
      <c r="AV342" s="455">
        <f t="shared" si="500"/>
        <v>0</v>
      </c>
      <c r="AW342" s="496"/>
      <c r="AX342" s="508"/>
      <c r="AY342" s="498">
        <v>135</v>
      </c>
      <c r="AZ342" s="100">
        <f t="shared" si="537"/>
        <v>9</v>
      </c>
      <c r="BA342" s="101"/>
      <c r="BB342" s="100"/>
      <c r="BC342" s="100">
        <f t="shared" si="538"/>
        <v>0</v>
      </c>
      <c r="BD342" s="101"/>
      <c r="BE342" s="105">
        <f t="shared" si="539"/>
        <v>13</v>
      </c>
      <c r="BF342" s="106"/>
      <c r="BG342" s="100">
        <f t="shared" si="540"/>
        <v>0</v>
      </c>
      <c r="BH342" s="106"/>
      <c r="BI342" s="100">
        <f t="shared" si="541"/>
        <v>0</v>
      </c>
      <c r="BJ342" s="106"/>
      <c r="BK342" s="101">
        <f t="shared" si="554"/>
        <v>13</v>
      </c>
      <c r="BL342" s="106"/>
      <c r="BM342" s="104">
        <v>1112.5</v>
      </c>
      <c r="BN342" s="104">
        <f t="shared" si="551"/>
        <v>22.25</v>
      </c>
      <c r="BO342" s="105">
        <v>300</v>
      </c>
      <c r="BP342" s="105">
        <f t="shared" si="501"/>
        <v>6</v>
      </c>
      <c r="BQ342" s="106"/>
      <c r="BR342" s="105"/>
      <c r="BS342" s="105">
        <f t="shared" si="552"/>
        <v>0</v>
      </c>
      <c r="BT342" s="106"/>
      <c r="BU342" s="53">
        <v>350</v>
      </c>
      <c r="BV342" s="53">
        <f t="shared" si="542"/>
        <v>7</v>
      </c>
      <c r="BW342" s="54"/>
      <c r="BX342" s="350">
        <f t="shared" si="555"/>
        <v>13</v>
      </c>
      <c r="BY342" s="6"/>
      <c r="BZ342" s="6">
        <f t="shared" si="519"/>
        <v>0</v>
      </c>
      <c r="CA342" s="508"/>
      <c r="CB342" s="7"/>
      <c r="CC342" s="7"/>
      <c r="CD342" s="7"/>
      <c r="CE342" s="504"/>
      <c r="CF342" s="105"/>
      <c r="CG342" s="105">
        <f t="shared" si="520"/>
        <v>0</v>
      </c>
      <c r="CH342" s="105"/>
      <c r="CI342" s="105"/>
      <c r="CJ342" s="105">
        <f t="shared" si="521"/>
        <v>0</v>
      </c>
      <c r="CK342" s="523"/>
      <c r="CL342" s="102">
        <f t="shared" si="543"/>
        <v>0</v>
      </c>
      <c r="CM342" s="103"/>
      <c r="CN342" s="100"/>
      <c r="CO342" s="100">
        <f t="shared" si="498"/>
        <v>0</v>
      </c>
      <c r="CP342" s="515"/>
      <c r="CQ342" s="441"/>
      <c r="CR342" s="504"/>
      <c r="CS342" s="105"/>
      <c r="CT342" s="105">
        <f t="shared" si="490"/>
        <v>0</v>
      </c>
      <c r="CU342" s="105"/>
      <c r="CV342" s="105"/>
      <c r="CW342" s="105">
        <f t="shared" si="491"/>
        <v>0</v>
      </c>
      <c r="CX342" s="53"/>
      <c r="CY342" s="109">
        <f t="shared" si="499"/>
        <v>0</v>
      </c>
      <c r="CZ342" s="54"/>
      <c r="DA342" s="105"/>
      <c r="DB342" s="455">
        <f t="shared" ref="DB342:DB408" si="556">DA342/15</f>
        <v>0</v>
      </c>
      <c r="DC342" s="495"/>
      <c r="DD342" s="24" t="s">
        <v>481</v>
      </c>
      <c r="DF342" s="1133"/>
      <c r="DG342" s="674">
        <f t="shared" si="544"/>
        <v>0</v>
      </c>
      <c r="DH342" s="1119">
        <f t="shared" si="545"/>
        <v>0</v>
      </c>
      <c r="DI342" s="1119"/>
      <c r="DJ342" s="101">
        <f t="shared" si="497"/>
        <v>13</v>
      </c>
      <c r="DK342" s="101"/>
      <c r="DL342" s="101">
        <f t="shared" si="496"/>
        <v>0</v>
      </c>
      <c r="DM342" s="101"/>
      <c r="DN342" s="112"/>
      <c r="DO342" s="112">
        <f>DJ342</f>
        <v>13</v>
      </c>
      <c r="DP342" s="112"/>
      <c r="DQ342" s="112"/>
      <c r="DS342" s="140"/>
      <c r="DT342" s="140"/>
      <c r="DU342" s="140"/>
      <c r="DV342" s="140"/>
      <c r="DW342" s="140"/>
      <c r="DX342" s="140"/>
      <c r="DY342" s="140"/>
      <c r="DZ342" s="140"/>
    </row>
    <row r="343" spans="1:130" s="151" customFormat="1" ht="21.6" customHeight="1" x14ac:dyDescent="0.25">
      <c r="A343" s="141"/>
      <c r="B343" s="141"/>
      <c r="C343" s="159"/>
      <c r="D343" s="143"/>
      <c r="E343" s="22"/>
      <c r="F343" s="144"/>
      <c r="G343" s="144"/>
      <c r="H343" s="144"/>
      <c r="I343" s="144"/>
      <c r="J343" s="144"/>
      <c r="K343" s="144"/>
      <c r="L343" s="145"/>
      <c r="M343" s="146"/>
      <c r="N343" s="147"/>
      <c r="O343" s="131"/>
      <c r="P343" s="148"/>
      <c r="Q343" s="148"/>
      <c r="R343" s="148"/>
      <c r="S343" s="148"/>
      <c r="T343" s="123"/>
      <c r="U343" s="123"/>
      <c r="V343" s="123"/>
      <c r="W343" s="149"/>
      <c r="X343" s="149"/>
      <c r="Y343" s="124"/>
      <c r="Z343" s="125"/>
      <c r="AA343" s="123"/>
      <c r="AB343" s="123"/>
      <c r="AC343" s="123"/>
      <c r="AD343" s="124"/>
      <c r="AE343" s="124"/>
      <c r="AF343" s="126"/>
      <c r="AG343" s="474"/>
      <c r="AH343" s="129"/>
      <c r="AI343" s="129"/>
      <c r="AJ343" s="138"/>
      <c r="AK343" s="138"/>
      <c r="AL343" s="106"/>
      <c r="AM343" s="105"/>
      <c r="AN343" s="105"/>
      <c r="AO343" s="106"/>
      <c r="AP343" s="105"/>
      <c r="AQ343" s="105">
        <f t="shared" si="518"/>
        <v>0</v>
      </c>
      <c r="AR343" s="106"/>
      <c r="AS343" s="97">
        <f t="shared" si="553"/>
        <v>0</v>
      </c>
      <c r="AT343" s="6"/>
      <c r="AU343" s="105"/>
      <c r="AV343" s="455">
        <f t="shared" si="500"/>
        <v>0</v>
      </c>
      <c r="AW343" s="496"/>
      <c r="AX343" s="508"/>
      <c r="AY343" s="498"/>
      <c r="AZ343" s="100"/>
      <c r="BA343" s="101"/>
      <c r="BB343" s="100"/>
      <c r="BC343" s="100"/>
      <c r="BD343" s="101"/>
      <c r="BE343" s="105"/>
      <c r="BF343" s="106"/>
      <c r="BG343" s="100">
        <f t="shared" si="540"/>
        <v>0</v>
      </c>
      <c r="BH343" s="106"/>
      <c r="BI343" s="100">
        <f t="shared" si="541"/>
        <v>0</v>
      </c>
      <c r="BJ343" s="106"/>
      <c r="BK343" s="101">
        <f t="shared" si="554"/>
        <v>0</v>
      </c>
      <c r="BL343" s="106"/>
      <c r="BM343" s="130"/>
      <c r="BN343" s="130"/>
      <c r="BO343" s="105"/>
      <c r="BP343" s="105">
        <f t="shared" si="501"/>
        <v>0</v>
      </c>
      <c r="BQ343" s="106"/>
      <c r="BR343" s="105"/>
      <c r="BS343" s="105"/>
      <c r="BT343" s="106"/>
      <c r="BU343" s="53"/>
      <c r="BV343" s="53"/>
      <c r="BW343" s="54"/>
      <c r="BX343" s="350">
        <f t="shared" si="555"/>
        <v>0</v>
      </c>
      <c r="BY343" s="131"/>
      <c r="BZ343" s="131">
        <f t="shared" si="519"/>
        <v>0</v>
      </c>
      <c r="CA343" s="536"/>
      <c r="CB343" s="148"/>
      <c r="CC343" s="148"/>
      <c r="CD343" s="148"/>
      <c r="CE343" s="504"/>
      <c r="CF343" s="105"/>
      <c r="CG343" s="105">
        <f t="shared" si="520"/>
        <v>0</v>
      </c>
      <c r="CH343" s="105"/>
      <c r="CI343" s="105"/>
      <c r="CJ343" s="105">
        <f t="shared" si="521"/>
        <v>0</v>
      </c>
      <c r="CK343" s="523"/>
      <c r="CL343" s="102"/>
      <c r="CM343" s="103"/>
      <c r="CN343" s="100"/>
      <c r="CO343" s="100">
        <f t="shared" si="498"/>
        <v>0</v>
      </c>
      <c r="CP343" s="515"/>
      <c r="CQ343" s="441"/>
      <c r="CR343" s="504"/>
      <c r="CS343" s="105"/>
      <c r="CT343" s="105">
        <f t="shared" si="490"/>
        <v>0</v>
      </c>
      <c r="CU343" s="105"/>
      <c r="CV343" s="105"/>
      <c r="CW343" s="105">
        <f t="shared" si="491"/>
        <v>0</v>
      </c>
      <c r="CX343" s="53"/>
      <c r="CY343" s="109">
        <f t="shared" si="499"/>
        <v>0</v>
      </c>
      <c r="CZ343" s="54"/>
      <c r="DA343" s="105"/>
      <c r="DB343" s="455">
        <f t="shared" si="556"/>
        <v>0</v>
      </c>
      <c r="DC343" s="495"/>
      <c r="DD343" s="31"/>
      <c r="DF343" s="1133"/>
      <c r="DG343" s="674">
        <f t="shared" si="544"/>
        <v>0</v>
      </c>
      <c r="DH343" s="1119">
        <f t="shared" si="545"/>
        <v>0</v>
      </c>
      <c r="DI343" s="1119"/>
      <c r="DJ343" s="101">
        <f t="shared" si="497"/>
        <v>0</v>
      </c>
      <c r="DK343" s="101"/>
      <c r="DL343" s="101">
        <f t="shared" si="496"/>
        <v>0</v>
      </c>
      <c r="DM343" s="101"/>
      <c r="DN343" s="112"/>
      <c r="DO343" s="112"/>
      <c r="DP343" s="112"/>
      <c r="DQ343" s="112"/>
      <c r="DS343" s="152"/>
      <c r="DT343" s="152"/>
      <c r="DU343" s="152"/>
      <c r="DV343" s="152"/>
      <c r="DW343" s="152"/>
      <c r="DX343" s="152"/>
      <c r="DY343" s="152"/>
      <c r="DZ343" s="152"/>
    </row>
    <row r="344" spans="1:130" s="139" customFormat="1" ht="27" customHeight="1" x14ac:dyDescent="0.25">
      <c r="A344" s="4"/>
      <c r="B344" s="4"/>
      <c r="C344" s="134" t="s">
        <v>196</v>
      </c>
      <c r="D344" s="134" t="s">
        <v>431</v>
      </c>
      <c r="E344" s="3" t="s">
        <v>296</v>
      </c>
      <c r="F344" s="135"/>
      <c r="G344" s="135"/>
      <c r="H344" s="135"/>
      <c r="I344" s="135"/>
      <c r="J344" s="135"/>
      <c r="K344" s="135"/>
      <c r="L344" s="136"/>
      <c r="M344" s="5"/>
      <c r="N344" s="41"/>
      <c r="O344" s="6"/>
      <c r="P344" s="7"/>
      <c r="Q344" s="7"/>
      <c r="R344" s="7"/>
      <c r="S344" s="7"/>
      <c r="T344" s="89"/>
      <c r="U344" s="89"/>
      <c r="V344" s="89">
        <f t="shared" ref="V344:V360" si="557">T344+U344</f>
        <v>0</v>
      </c>
      <c r="W344" s="137"/>
      <c r="X344" s="137"/>
      <c r="Y344" s="90">
        <f t="shared" ref="Y344:Y360" si="558">W344+X344</f>
        <v>0</v>
      </c>
      <c r="Z344" s="91"/>
      <c r="AA344" s="92"/>
      <c r="AB344" s="92"/>
      <c r="AC344" s="92">
        <f t="shared" ref="AC344:AC360" si="559">AA344+AB344</f>
        <v>0</v>
      </c>
      <c r="AD344" s="93"/>
      <c r="AE344" s="93"/>
      <c r="AF344" s="94">
        <f t="shared" ref="AF344:AF360" si="560">AD344+AE344</f>
        <v>0</v>
      </c>
      <c r="AG344" s="473"/>
      <c r="AH344" s="99">
        <v>35.1</v>
      </c>
      <c r="AI344" s="99">
        <f t="shared" ref="AI344:AI360" si="561">AH344/15</f>
        <v>2.3400000000000003</v>
      </c>
      <c r="AJ344" s="138">
        <v>35</v>
      </c>
      <c r="AK344" s="138">
        <f t="shared" ref="AK344:AK360" si="562">AJ344/15</f>
        <v>2.3333333333333335</v>
      </c>
      <c r="AL344" s="106">
        <f>SUM(AK344:AK360)</f>
        <v>48.999999999999993</v>
      </c>
      <c r="AM344" s="105"/>
      <c r="AN344" s="105">
        <f t="shared" ref="AN344:AN360" si="563">AM344/15</f>
        <v>0</v>
      </c>
      <c r="AO344" s="106">
        <f>SUM(AN344:AN360)</f>
        <v>0</v>
      </c>
      <c r="AP344" s="105"/>
      <c r="AQ344" s="105">
        <f t="shared" si="518"/>
        <v>0</v>
      </c>
      <c r="AR344" s="106">
        <f>SUM(AQ344:AQ360)</f>
        <v>0</v>
      </c>
      <c r="AS344" s="97">
        <f t="shared" si="553"/>
        <v>2.3333333333333335</v>
      </c>
      <c r="AT344" s="6">
        <f>SUM(AS344:AS360)</f>
        <v>48.999999999999993</v>
      </c>
      <c r="AU344" s="105"/>
      <c r="AV344" s="455">
        <f t="shared" si="500"/>
        <v>0</v>
      </c>
      <c r="AW344" s="496">
        <f>SUM(AV344:AV360)</f>
        <v>4</v>
      </c>
      <c r="AX344" s="508"/>
      <c r="AY344" s="498">
        <f>15+55</f>
        <v>70</v>
      </c>
      <c r="AZ344" s="100">
        <f t="shared" ref="AZ344:AZ360" si="564">AY344/15</f>
        <v>4.666666666666667</v>
      </c>
      <c r="BA344" s="106">
        <f>SUM(AZ344:AZ360)</f>
        <v>50</v>
      </c>
      <c r="BB344" s="105"/>
      <c r="BC344" s="105">
        <f t="shared" ref="BC344:BC360" si="565">BB344/15</f>
        <v>0</v>
      </c>
      <c r="BD344" s="106">
        <f>SUM(BC344:BC360)</f>
        <v>0</v>
      </c>
      <c r="BE344" s="105">
        <f t="shared" ref="BE344:BE360" si="566">AK344+AZ344</f>
        <v>7</v>
      </c>
      <c r="BF344" s="106">
        <f>SUM(BE344:BE360)</f>
        <v>99.000000000000014</v>
      </c>
      <c r="BG344" s="100">
        <f t="shared" si="540"/>
        <v>0</v>
      </c>
      <c r="BH344" s="106">
        <f>SUM(BG344:BG360)</f>
        <v>0</v>
      </c>
      <c r="BI344" s="100">
        <f t="shared" si="541"/>
        <v>0</v>
      </c>
      <c r="BJ344" s="106">
        <f>SUM(BI344:BI360)</f>
        <v>4</v>
      </c>
      <c r="BK344" s="101">
        <f t="shared" si="554"/>
        <v>7</v>
      </c>
      <c r="BL344" s="106">
        <f>SUM(BK344:BK360)</f>
        <v>103.00000000000001</v>
      </c>
      <c r="BM344" s="104">
        <v>168</v>
      </c>
      <c r="BN344" s="104">
        <f t="shared" ref="BN344:BN360" si="567">BM344/50</f>
        <v>3.36</v>
      </c>
      <c r="BO344" s="105">
        <v>150</v>
      </c>
      <c r="BP344" s="105">
        <f t="shared" si="501"/>
        <v>3</v>
      </c>
      <c r="BQ344" s="106">
        <f>SUM(BP344:BP360)</f>
        <v>65</v>
      </c>
      <c r="BR344" s="105">
        <v>200</v>
      </c>
      <c r="BS344" s="105">
        <f t="shared" si="552"/>
        <v>4</v>
      </c>
      <c r="BT344" s="106">
        <f>SUM(BS344:BS360)</f>
        <v>35</v>
      </c>
      <c r="BU344" s="53"/>
      <c r="BV344" s="53">
        <f t="shared" ref="BV344:BV360" si="568">BU344/50</f>
        <v>0</v>
      </c>
      <c r="BW344" s="54">
        <f>SUM(BV344:BV360)</f>
        <v>0</v>
      </c>
      <c r="BX344" s="350">
        <f t="shared" si="555"/>
        <v>7</v>
      </c>
      <c r="BY344" s="6">
        <f>SUM(BX344:BX360)</f>
        <v>100</v>
      </c>
      <c r="BZ344" s="6">
        <f t="shared" si="519"/>
        <v>0</v>
      </c>
      <c r="CA344" s="508"/>
      <c r="CB344" s="7"/>
      <c r="CC344" s="7"/>
      <c r="CD344" s="7"/>
      <c r="CE344" s="504"/>
      <c r="CF344" s="105"/>
      <c r="CG344" s="105">
        <f t="shared" si="520"/>
        <v>0</v>
      </c>
      <c r="CH344" s="105"/>
      <c r="CI344" s="105"/>
      <c r="CJ344" s="105">
        <f t="shared" si="521"/>
        <v>0</v>
      </c>
      <c r="CK344" s="524"/>
      <c r="CL344" s="53">
        <f t="shared" ref="CL344:CL360" si="569">CK344/15</f>
        <v>0</v>
      </c>
      <c r="CM344" s="54">
        <f>SUM(CL344:CL360)</f>
        <v>0</v>
      </c>
      <c r="CN344" s="105"/>
      <c r="CO344" s="100">
        <f t="shared" si="498"/>
        <v>0</v>
      </c>
      <c r="CP344" s="496">
        <f>SUM(CO344:CO360)</f>
        <v>0</v>
      </c>
      <c r="CQ344" s="439"/>
      <c r="CR344" s="504"/>
      <c r="CS344" s="105"/>
      <c r="CT344" s="105">
        <f t="shared" si="490"/>
        <v>0</v>
      </c>
      <c r="CU344" s="105"/>
      <c r="CV344" s="105"/>
      <c r="CW344" s="105">
        <f t="shared" si="491"/>
        <v>0</v>
      </c>
      <c r="CX344" s="53"/>
      <c r="CY344" s="109">
        <f t="shared" si="499"/>
        <v>0</v>
      </c>
      <c r="CZ344" s="54">
        <f>SUM(CY344:CY360)</f>
        <v>0</v>
      </c>
      <c r="DA344" s="105"/>
      <c r="DB344" s="455">
        <f t="shared" si="556"/>
        <v>0</v>
      </c>
      <c r="DC344" s="495">
        <f>SUM(DB344:DB360)</f>
        <v>0</v>
      </c>
      <c r="DD344" s="24" t="s">
        <v>601</v>
      </c>
      <c r="DF344" s="1133"/>
      <c r="DG344" s="674">
        <f t="shared" si="544"/>
        <v>0</v>
      </c>
      <c r="DH344" s="1119">
        <f t="shared" si="545"/>
        <v>0</v>
      </c>
      <c r="DI344" s="1119"/>
      <c r="DJ344" s="101">
        <f t="shared" si="497"/>
        <v>7</v>
      </c>
      <c r="DK344" s="101">
        <f>SUM(DJ344:DJ360)</f>
        <v>103.00000000000001</v>
      </c>
      <c r="DL344" s="101">
        <f t="shared" si="496"/>
        <v>0</v>
      </c>
      <c r="DM344" s="101"/>
      <c r="DN344" s="112"/>
      <c r="DO344" s="112"/>
      <c r="DP344" s="112"/>
      <c r="DQ344" s="112"/>
      <c r="DS344" s="140"/>
      <c r="DT344" s="140"/>
      <c r="DU344" s="140"/>
      <c r="DV344" s="140"/>
      <c r="DW344" s="140"/>
      <c r="DX344" s="140"/>
      <c r="DY344" s="140"/>
      <c r="DZ344" s="140"/>
    </row>
    <row r="345" spans="1:130" s="139" customFormat="1" ht="21.6" customHeight="1" x14ac:dyDescent="0.25">
      <c r="A345" s="4" t="s">
        <v>130</v>
      </c>
      <c r="B345" s="4">
        <v>2</v>
      </c>
      <c r="C345" s="153" t="s">
        <v>196</v>
      </c>
      <c r="D345" s="153"/>
      <c r="E345" s="2" t="s">
        <v>197</v>
      </c>
      <c r="F345" s="135">
        <v>54</v>
      </c>
      <c r="G345" s="135">
        <v>2</v>
      </c>
      <c r="H345" s="135">
        <f t="shared" ref="H345:H360" si="570">F345+G345</f>
        <v>56</v>
      </c>
      <c r="I345" s="135"/>
      <c r="J345" s="135">
        <v>28.4</v>
      </c>
      <c r="K345" s="135">
        <f t="shared" ref="K345:K360" si="571">I345+J345</f>
        <v>28.4</v>
      </c>
      <c r="L345" s="136"/>
      <c r="M345" s="5"/>
      <c r="N345" s="41"/>
      <c r="O345" s="6"/>
      <c r="P345" s="7"/>
      <c r="Q345" s="7"/>
      <c r="R345" s="7"/>
      <c r="S345" s="7"/>
      <c r="T345" s="89"/>
      <c r="U345" s="89"/>
      <c r="V345" s="89">
        <f t="shared" si="557"/>
        <v>0</v>
      </c>
      <c r="W345" s="137"/>
      <c r="X345" s="137"/>
      <c r="Y345" s="90">
        <f t="shared" si="558"/>
        <v>0</v>
      </c>
      <c r="Z345" s="91"/>
      <c r="AA345" s="92"/>
      <c r="AB345" s="92"/>
      <c r="AC345" s="92">
        <f t="shared" si="559"/>
        <v>0</v>
      </c>
      <c r="AD345" s="93"/>
      <c r="AE345" s="93"/>
      <c r="AF345" s="94">
        <f t="shared" si="560"/>
        <v>0</v>
      </c>
      <c r="AG345" s="473"/>
      <c r="AH345" s="99"/>
      <c r="AI345" s="99">
        <f t="shared" si="561"/>
        <v>0</v>
      </c>
      <c r="AJ345" s="138"/>
      <c r="AK345" s="138">
        <f t="shared" si="562"/>
        <v>0</v>
      </c>
      <c r="AL345" s="106"/>
      <c r="AM345" s="105"/>
      <c r="AN345" s="105">
        <f t="shared" si="563"/>
        <v>0</v>
      </c>
      <c r="AO345" s="106"/>
      <c r="AP345" s="105"/>
      <c r="AQ345" s="105">
        <f t="shared" si="518"/>
        <v>0</v>
      </c>
      <c r="AR345" s="106"/>
      <c r="AS345" s="97">
        <f t="shared" si="553"/>
        <v>0</v>
      </c>
      <c r="AT345" s="6"/>
      <c r="AU345" s="105"/>
      <c r="AV345" s="455">
        <f t="shared" si="500"/>
        <v>0</v>
      </c>
      <c r="AW345" s="496"/>
      <c r="AX345" s="508"/>
      <c r="AY345" s="498"/>
      <c r="AZ345" s="100">
        <f t="shared" si="564"/>
        <v>0</v>
      </c>
      <c r="BA345" s="101"/>
      <c r="BB345" s="100"/>
      <c r="BC345" s="100">
        <f t="shared" si="565"/>
        <v>0</v>
      </c>
      <c r="BD345" s="101"/>
      <c r="BE345" s="105">
        <f t="shared" si="566"/>
        <v>0</v>
      </c>
      <c r="BF345" s="106"/>
      <c r="BG345" s="100">
        <f t="shared" si="540"/>
        <v>0</v>
      </c>
      <c r="BH345" s="106"/>
      <c r="BI345" s="100">
        <f t="shared" si="541"/>
        <v>0</v>
      </c>
      <c r="BJ345" s="106"/>
      <c r="BK345" s="101">
        <f t="shared" si="554"/>
        <v>0</v>
      </c>
      <c r="BL345" s="106"/>
      <c r="BM345" s="104"/>
      <c r="BN345" s="104">
        <f t="shared" si="567"/>
        <v>0</v>
      </c>
      <c r="BO345" s="105"/>
      <c r="BP345" s="105">
        <f t="shared" si="501"/>
        <v>0</v>
      </c>
      <c r="BQ345" s="106"/>
      <c r="BR345" s="105"/>
      <c r="BS345" s="105">
        <f t="shared" si="552"/>
        <v>0</v>
      </c>
      <c r="BT345" s="106"/>
      <c r="BU345" s="53"/>
      <c r="BV345" s="53">
        <f t="shared" si="568"/>
        <v>0</v>
      </c>
      <c r="BW345" s="54"/>
      <c r="BX345" s="350">
        <f t="shared" si="555"/>
        <v>0</v>
      </c>
      <c r="BY345" s="6"/>
      <c r="BZ345" s="6">
        <f t="shared" si="519"/>
        <v>0</v>
      </c>
      <c r="CA345" s="508"/>
      <c r="CB345" s="7"/>
      <c r="CC345" s="7"/>
      <c r="CD345" s="7"/>
      <c r="CE345" s="504"/>
      <c r="CF345" s="105"/>
      <c r="CG345" s="105">
        <f t="shared" si="520"/>
        <v>0</v>
      </c>
      <c r="CH345" s="105"/>
      <c r="CI345" s="105"/>
      <c r="CJ345" s="105">
        <f t="shared" si="521"/>
        <v>0</v>
      </c>
      <c r="CK345" s="523"/>
      <c r="CL345" s="102">
        <f t="shared" si="569"/>
        <v>0</v>
      </c>
      <c r="CM345" s="103"/>
      <c r="CN345" s="100"/>
      <c r="CO345" s="100">
        <f t="shared" si="498"/>
        <v>0</v>
      </c>
      <c r="CP345" s="515"/>
      <c r="CQ345" s="441"/>
      <c r="CR345" s="504"/>
      <c r="CS345" s="105"/>
      <c r="CT345" s="105">
        <f t="shared" si="490"/>
        <v>0</v>
      </c>
      <c r="CU345" s="105"/>
      <c r="CV345" s="105"/>
      <c r="CW345" s="105">
        <f t="shared" si="491"/>
        <v>0</v>
      </c>
      <c r="CX345" s="53"/>
      <c r="CY345" s="109">
        <f t="shared" si="499"/>
        <v>0</v>
      </c>
      <c r="CZ345" s="54"/>
      <c r="DA345" s="105"/>
      <c r="DB345" s="455">
        <f t="shared" si="556"/>
        <v>0</v>
      </c>
      <c r="DC345" s="495"/>
      <c r="DD345" s="24"/>
      <c r="DF345" s="1133"/>
      <c r="DG345" s="674">
        <f t="shared" si="544"/>
        <v>0</v>
      </c>
      <c r="DH345" s="1119">
        <f t="shared" si="545"/>
        <v>0</v>
      </c>
      <c r="DI345" s="1119"/>
      <c r="DJ345" s="101">
        <f t="shared" si="497"/>
        <v>0</v>
      </c>
      <c r="DK345" s="101"/>
      <c r="DL345" s="101">
        <f t="shared" si="496"/>
        <v>0</v>
      </c>
      <c r="DM345" s="101"/>
      <c r="DN345" s="112"/>
      <c r="DO345" s="112"/>
      <c r="DP345" s="112"/>
      <c r="DQ345" s="112"/>
      <c r="DS345" s="140"/>
      <c r="DT345" s="140"/>
      <c r="DU345" s="140"/>
      <c r="DV345" s="140"/>
      <c r="DW345" s="140"/>
      <c r="DX345" s="140"/>
      <c r="DY345" s="140"/>
      <c r="DZ345" s="140"/>
    </row>
    <row r="346" spans="1:130" s="139" customFormat="1" ht="31.5" customHeight="1" x14ac:dyDescent="0.25">
      <c r="A346" s="4" t="s">
        <v>130</v>
      </c>
      <c r="B346" s="4">
        <v>4</v>
      </c>
      <c r="C346" s="153" t="s">
        <v>196</v>
      </c>
      <c r="D346" s="153" t="s">
        <v>431</v>
      </c>
      <c r="E346" s="2" t="s">
        <v>198</v>
      </c>
      <c r="F346" s="135">
        <v>24</v>
      </c>
      <c r="G346" s="135"/>
      <c r="H346" s="135">
        <f t="shared" si="570"/>
        <v>24</v>
      </c>
      <c r="I346" s="135"/>
      <c r="J346" s="135">
        <v>12.06</v>
      </c>
      <c r="K346" s="135">
        <f t="shared" si="571"/>
        <v>12.06</v>
      </c>
      <c r="L346" s="136"/>
      <c r="M346" s="5"/>
      <c r="N346" s="41"/>
      <c r="O346" s="6"/>
      <c r="P346" s="7"/>
      <c r="Q346" s="7"/>
      <c r="R346" s="7"/>
      <c r="S346" s="7"/>
      <c r="T346" s="89"/>
      <c r="U346" s="89"/>
      <c r="V346" s="89">
        <f t="shared" si="557"/>
        <v>0</v>
      </c>
      <c r="W346" s="137"/>
      <c r="X346" s="137"/>
      <c r="Y346" s="90">
        <f t="shared" si="558"/>
        <v>0</v>
      </c>
      <c r="Z346" s="91"/>
      <c r="AA346" s="92"/>
      <c r="AB346" s="92"/>
      <c r="AC346" s="92">
        <f t="shared" si="559"/>
        <v>0</v>
      </c>
      <c r="AD346" s="93"/>
      <c r="AE346" s="93"/>
      <c r="AF346" s="94">
        <f t="shared" si="560"/>
        <v>0</v>
      </c>
      <c r="AG346" s="473"/>
      <c r="AH346" s="99"/>
      <c r="AI346" s="99">
        <f t="shared" si="561"/>
        <v>0</v>
      </c>
      <c r="AJ346" s="138"/>
      <c r="AK346" s="138">
        <f t="shared" si="562"/>
        <v>0</v>
      </c>
      <c r="AL346" s="106"/>
      <c r="AM346" s="105"/>
      <c r="AN346" s="105">
        <f t="shared" si="563"/>
        <v>0</v>
      </c>
      <c r="AO346" s="106"/>
      <c r="AP346" s="105"/>
      <c r="AQ346" s="105">
        <f t="shared" ref="AQ346:AQ376" si="572">AP346/15</f>
        <v>0</v>
      </c>
      <c r="AR346" s="106"/>
      <c r="AS346" s="97">
        <f t="shared" si="553"/>
        <v>0</v>
      </c>
      <c r="AT346" s="6"/>
      <c r="AU346" s="105">
        <v>35</v>
      </c>
      <c r="AV346" s="455">
        <f t="shared" si="500"/>
        <v>2.3333333333333335</v>
      </c>
      <c r="AW346" s="496"/>
      <c r="AX346" s="508"/>
      <c r="AY346" s="498"/>
      <c r="AZ346" s="100">
        <f t="shared" si="564"/>
        <v>0</v>
      </c>
      <c r="BA346" s="101"/>
      <c r="BB346" s="100"/>
      <c r="BC346" s="100">
        <f t="shared" si="565"/>
        <v>0</v>
      </c>
      <c r="BD346" s="101"/>
      <c r="BE346" s="105">
        <f t="shared" si="566"/>
        <v>0</v>
      </c>
      <c r="BF346" s="106"/>
      <c r="BG346" s="100">
        <f t="shared" si="540"/>
        <v>0</v>
      </c>
      <c r="BH346" s="106"/>
      <c r="BI346" s="100">
        <f t="shared" si="541"/>
        <v>2.3333333333333335</v>
      </c>
      <c r="BJ346" s="106"/>
      <c r="BK346" s="101">
        <f t="shared" si="554"/>
        <v>2.3333333333333335</v>
      </c>
      <c r="BL346" s="106"/>
      <c r="BM346" s="104"/>
      <c r="BN346" s="104">
        <f t="shared" si="567"/>
        <v>0</v>
      </c>
      <c r="BO346" s="105"/>
      <c r="BP346" s="105">
        <f t="shared" si="501"/>
        <v>0</v>
      </c>
      <c r="BQ346" s="106"/>
      <c r="BR346" s="105"/>
      <c r="BS346" s="105">
        <f t="shared" si="552"/>
        <v>0</v>
      </c>
      <c r="BT346" s="106"/>
      <c r="BU346" s="53"/>
      <c r="BV346" s="53">
        <f t="shared" si="568"/>
        <v>0</v>
      </c>
      <c r="BW346" s="54"/>
      <c r="BX346" s="350">
        <f t="shared" si="555"/>
        <v>0</v>
      </c>
      <c r="BY346" s="6"/>
      <c r="BZ346" s="6">
        <f t="shared" ref="BZ346:BZ370" si="573">BK346-BX346</f>
        <v>2.3333333333333335</v>
      </c>
      <c r="CA346" s="508"/>
      <c r="CB346" s="7"/>
      <c r="CC346" s="7"/>
      <c r="CD346" s="7"/>
      <c r="CE346" s="504"/>
      <c r="CF346" s="105"/>
      <c r="CG346" s="105">
        <f t="shared" si="520"/>
        <v>0</v>
      </c>
      <c r="CH346" s="105"/>
      <c r="CI346" s="105"/>
      <c r="CJ346" s="105">
        <f t="shared" si="521"/>
        <v>0</v>
      </c>
      <c r="CK346" s="523"/>
      <c r="CL346" s="102">
        <f t="shared" si="569"/>
        <v>0</v>
      </c>
      <c r="CM346" s="103"/>
      <c r="CN346" s="100"/>
      <c r="CO346" s="100">
        <f t="shared" si="498"/>
        <v>0</v>
      </c>
      <c r="CP346" s="515"/>
      <c r="CQ346" s="441"/>
      <c r="CR346" s="504"/>
      <c r="CS346" s="105"/>
      <c r="CT346" s="105">
        <f t="shared" si="490"/>
        <v>0</v>
      </c>
      <c r="CU346" s="105"/>
      <c r="CV346" s="105"/>
      <c r="CW346" s="105">
        <f t="shared" si="491"/>
        <v>0</v>
      </c>
      <c r="CX346" s="53"/>
      <c r="CY346" s="109">
        <f t="shared" si="499"/>
        <v>0</v>
      </c>
      <c r="CZ346" s="54"/>
      <c r="DA346" s="105"/>
      <c r="DB346" s="455">
        <f t="shared" si="556"/>
        <v>0</v>
      </c>
      <c r="DC346" s="495"/>
      <c r="DD346" s="24"/>
      <c r="DF346" s="1133"/>
      <c r="DG346" s="674">
        <f t="shared" si="544"/>
        <v>2.3333333333333335</v>
      </c>
      <c r="DH346" s="1119">
        <f t="shared" si="545"/>
        <v>0</v>
      </c>
      <c r="DI346" s="1119"/>
      <c r="DJ346" s="101">
        <f t="shared" si="497"/>
        <v>2.3333333333333335</v>
      </c>
      <c r="DK346" s="101"/>
      <c r="DL346" s="101">
        <f t="shared" si="496"/>
        <v>0</v>
      </c>
      <c r="DM346" s="101"/>
      <c r="DN346" s="112"/>
      <c r="DO346" s="112"/>
      <c r="DP346" s="112"/>
      <c r="DQ346" s="112"/>
      <c r="DS346" s="140"/>
      <c r="DT346" s="140"/>
      <c r="DU346" s="140"/>
      <c r="DV346" s="140"/>
      <c r="DW346" s="140"/>
      <c r="DX346" s="140"/>
      <c r="DY346" s="140"/>
      <c r="DZ346" s="140"/>
    </row>
    <row r="347" spans="1:130" s="139" customFormat="1" ht="21.6" customHeight="1" x14ac:dyDescent="0.25">
      <c r="A347" s="4" t="s">
        <v>130</v>
      </c>
      <c r="B347" s="4">
        <v>5</v>
      </c>
      <c r="C347" s="134" t="s">
        <v>196</v>
      </c>
      <c r="D347" s="134" t="s">
        <v>431</v>
      </c>
      <c r="E347" s="13" t="s">
        <v>199</v>
      </c>
      <c r="F347" s="135">
        <v>64</v>
      </c>
      <c r="G347" s="135">
        <v>11</v>
      </c>
      <c r="H347" s="135">
        <f t="shared" si="570"/>
        <v>75</v>
      </c>
      <c r="I347" s="135"/>
      <c r="J347" s="135">
        <v>38.04</v>
      </c>
      <c r="K347" s="135">
        <f t="shared" si="571"/>
        <v>38.04</v>
      </c>
      <c r="L347" s="136"/>
      <c r="M347" s="5"/>
      <c r="N347" s="41"/>
      <c r="O347" s="5"/>
      <c r="P347" s="7"/>
      <c r="Q347" s="7"/>
      <c r="R347" s="7"/>
      <c r="S347" s="7"/>
      <c r="T347" s="89"/>
      <c r="U347" s="89"/>
      <c r="V347" s="89">
        <f t="shared" si="557"/>
        <v>0</v>
      </c>
      <c r="W347" s="137"/>
      <c r="X347" s="137"/>
      <c r="Y347" s="90">
        <f t="shared" si="558"/>
        <v>0</v>
      </c>
      <c r="Z347" s="91"/>
      <c r="AA347" s="92"/>
      <c r="AB347" s="92"/>
      <c r="AC347" s="92">
        <f t="shared" si="559"/>
        <v>0</v>
      </c>
      <c r="AD347" s="93"/>
      <c r="AE347" s="93"/>
      <c r="AF347" s="94">
        <f t="shared" si="560"/>
        <v>0</v>
      </c>
      <c r="AG347" s="473"/>
      <c r="AH347" s="99">
        <v>95</v>
      </c>
      <c r="AI347" s="99">
        <f>AH347/15</f>
        <v>6.333333333333333</v>
      </c>
      <c r="AJ347" s="138">
        <v>95</v>
      </c>
      <c r="AK347" s="138">
        <f t="shared" si="562"/>
        <v>6.333333333333333</v>
      </c>
      <c r="AL347" s="106"/>
      <c r="AM347" s="105"/>
      <c r="AN347" s="105">
        <f t="shared" si="563"/>
        <v>0</v>
      </c>
      <c r="AO347" s="106"/>
      <c r="AP347" s="105"/>
      <c r="AQ347" s="105">
        <f t="shared" si="572"/>
        <v>0</v>
      </c>
      <c r="AR347" s="106"/>
      <c r="AS347" s="97">
        <f t="shared" si="553"/>
        <v>6.333333333333333</v>
      </c>
      <c r="AT347" s="6"/>
      <c r="AU347" s="105"/>
      <c r="AV347" s="455">
        <f t="shared" si="500"/>
        <v>0</v>
      </c>
      <c r="AW347" s="496"/>
      <c r="AX347" s="508"/>
      <c r="AY347" s="498">
        <v>55</v>
      </c>
      <c r="AZ347" s="100">
        <f t="shared" si="564"/>
        <v>3.6666666666666665</v>
      </c>
      <c r="BA347" s="101"/>
      <c r="BB347" s="100"/>
      <c r="BC347" s="100">
        <f t="shared" si="565"/>
        <v>0</v>
      </c>
      <c r="BD347" s="101"/>
      <c r="BE347" s="105">
        <f t="shared" si="566"/>
        <v>10</v>
      </c>
      <c r="BF347" s="106"/>
      <c r="BG347" s="100">
        <f t="shared" si="540"/>
        <v>0</v>
      </c>
      <c r="BH347" s="106"/>
      <c r="BI347" s="100">
        <f t="shared" si="541"/>
        <v>0</v>
      </c>
      <c r="BJ347" s="106"/>
      <c r="BK347" s="101">
        <f t="shared" si="554"/>
        <v>10</v>
      </c>
      <c r="BL347" s="106"/>
      <c r="BM347" s="104">
        <v>500</v>
      </c>
      <c r="BN347" s="104">
        <f t="shared" si="567"/>
        <v>10</v>
      </c>
      <c r="BO347" s="105">
        <v>500</v>
      </c>
      <c r="BP347" s="105">
        <f t="shared" si="501"/>
        <v>10</v>
      </c>
      <c r="BQ347" s="106"/>
      <c r="BR347" s="105"/>
      <c r="BS347" s="105">
        <f t="shared" si="552"/>
        <v>0</v>
      </c>
      <c r="BT347" s="106"/>
      <c r="BU347" s="53"/>
      <c r="BV347" s="53">
        <f t="shared" si="568"/>
        <v>0</v>
      </c>
      <c r="BW347" s="54"/>
      <c r="BX347" s="350">
        <f t="shared" si="555"/>
        <v>10</v>
      </c>
      <c r="BY347" s="6"/>
      <c r="BZ347" s="6">
        <f t="shared" si="573"/>
        <v>0</v>
      </c>
      <c r="CA347" s="508"/>
      <c r="CB347" s="7"/>
      <c r="CC347" s="7"/>
      <c r="CD347" s="7"/>
      <c r="CE347" s="504"/>
      <c r="CF347" s="105"/>
      <c r="CG347" s="105">
        <f t="shared" si="520"/>
        <v>0</v>
      </c>
      <c r="CH347" s="105"/>
      <c r="CI347" s="105"/>
      <c r="CJ347" s="105">
        <f t="shared" si="521"/>
        <v>0</v>
      </c>
      <c r="CK347" s="523"/>
      <c r="CL347" s="102">
        <f t="shared" si="569"/>
        <v>0</v>
      </c>
      <c r="CM347" s="103"/>
      <c r="CN347" s="100"/>
      <c r="CO347" s="100">
        <f t="shared" si="498"/>
        <v>0</v>
      </c>
      <c r="CP347" s="515"/>
      <c r="CQ347" s="441"/>
      <c r="CR347" s="504"/>
      <c r="CS347" s="105"/>
      <c r="CT347" s="105">
        <f t="shared" si="490"/>
        <v>0</v>
      </c>
      <c r="CU347" s="105"/>
      <c r="CV347" s="105"/>
      <c r="CW347" s="105">
        <f t="shared" si="491"/>
        <v>0</v>
      </c>
      <c r="CX347" s="53"/>
      <c r="CY347" s="109">
        <f t="shared" si="499"/>
        <v>0</v>
      </c>
      <c r="CZ347" s="54"/>
      <c r="DA347" s="105"/>
      <c r="DB347" s="455">
        <f t="shared" si="556"/>
        <v>0</v>
      </c>
      <c r="DC347" s="495"/>
      <c r="DD347" s="24" t="s">
        <v>384</v>
      </c>
      <c r="DF347" s="1133"/>
      <c r="DG347" s="674">
        <f t="shared" si="544"/>
        <v>0</v>
      </c>
      <c r="DH347" s="1119">
        <f t="shared" si="545"/>
        <v>0</v>
      </c>
      <c r="DI347" s="1119"/>
      <c r="DJ347" s="101">
        <f t="shared" si="497"/>
        <v>10</v>
      </c>
      <c r="DK347" s="101"/>
      <c r="DL347" s="101">
        <f t="shared" si="496"/>
        <v>0</v>
      </c>
      <c r="DM347" s="101"/>
      <c r="DN347" s="112"/>
      <c r="DO347" s="112"/>
      <c r="DP347" s="112"/>
      <c r="DQ347" s="112"/>
      <c r="DS347" s="140"/>
      <c r="DT347" s="140"/>
      <c r="DU347" s="140"/>
      <c r="DV347" s="140"/>
      <c r="DW347" s="140"/>
      <c r="DX347" s="140"/>
      <c r="DY347" s="140"/>
      <c r="DZ347" s="140"/>
    </row>
    <row r="348" spans="1:130" s="139" customFormat="1" ht="21.6" customHeight="1" x14ac:dyDescent="0.25">
      <c r="A348" s="4" t="s">
        <v>130</v>
      </c>
      <c r="B348" s="4">
        <v>6</v>
      </c>
      <c r="C348" s="134" t="s">
        <v>196</v>
      </c>
      <c r="D348" s="134" t="s">
        <v>431</v>
      </c>
      <c r="E348" s="13" t="s">
        <v>200</v>
      </c>
      <c r="F348" s="135">
        <v>68</v>
      </c>
      <c r="G348" s="135">
        <v>14</v>
      </c>
      <c r="H348" s="135">
        <f t="shared" si="570"/>
        <v>82</v>
      </c>
      <c r="I348" s="135"/>
      <c r="J348" s="135">
        <v>41.66</v>
      </c>
      <c r="K348" s="135">
        <f t="shared" si="571"/>
        <v>41.66</v>
      </c>
      <c r="L348" s="136"/>
      <c r="M348" s="5"/>
      <c r="N348" s="41"/>
      <c r="O348" s="5"/>
      <c r="P348" s="7"/>
      <c r="Q348" s="7"/>
      <c r="R348" s="7"/>
      <c r="S348" s="7"/>
      <c r="T348" s="89"/>
      <c r="U348" s="89"/>
      <c r="V348" s="89">
        <f t="shared" si="557"/>
        <v>0</v>
      </c>
      <c r="W348" s="137"/>
      <c r="X348" s="137"/>
      <c r="Y348" s="90">
        <f t="shared" si="558"/>
        <v>0</v>
      </c>
      <c r="Z348" s="91"/>
      <c r="AA348" s="92"/>
      <c r="AB348" s="92"/>
      <c r="AC348" s="92">
        <f t="shared" si="559"/>
        <v>0</v>
      </c>
      <c r="AD348" s="93"/>
      <c r="AE348" s="93"/>
      <c r="AF348" s="94">
        <f t="shared" si="560"/>
        <v>0</v>
      </c>
      <c r="AG348" s="473"/>
      <c r="AH348" s="99">
        <v>15</v>
      </c>
      <c r="AI348" s="99">
        <f t="shared" si="561"/>
        <v>1</v>
      </c>
      <c r="AJ348" s="138">
        <v>15</v>
      </c>
      <c r="AK348" s="138">
        <f t="shared" si="562"/>
        <v>1</v>
      </c>
      <c r="AL348" s="106"/>
      <c r="AM348" s="105"/>
      <c r="AN348" s="105">
        <f t="shared" si="563"/>
        <v>0</v>
      </c>
      <c r="AO348" s="106"/>
      <c r="AP348" s="105"/>
      <c r="AQ348" s="105">
        <f t="shared" si="572"/>
        <v>0</v>
      </c>
      <c r="AR348" s="106"/>
      <c r="AS348" s="97">
        <f t="shared" si="553"/>
        <v>1</v>
      </c>
      <c r="AT348" s="6"/>
      <c r="AU348" s="105"/>
      <c r="AV348" s="455">
        <f t="shared" si="500"/>
        <v>0</v>
      </c>
      <c r="AW348" s="496"/>
      <c r="AX348" s="508"/>
      <c r="AY348" s="498"/>
      <c r="AZ348" s="100">
        <f t="shared" si="564"/>
        <v>0</v>
      </c>
      <c r="BA348" s="101"/>
      <c r="BB348" s="100"/>
      <c r="BC348" s="100">
        <f t="shared" si="565"/>
        <v>0</v>
      </c>
      <c r="BD348" s="101"/>
      <c r="BE348" s="105">
        <f t="shared" si="566"/>
        <v>1</v>
      </c>
      <c r="BF348" s="106"/>
      <c r="BG348" s="100">
        <f t="shared" si="540"/>
        <v>0</v>
      </c>
      <c r="BH348" s="106"/>
      <c r="BI348" s="100">
        <f t="shared" si="541"/>
        <v>0</v>
      </c>
      <c r="BJ348" s="106"/>
      <c r="BK348" s="101">
        <f t="shared" si="554"/>
        <v>1</v>
      </c>
      <c r="BL348" s="106"/>
      <c r="BM348" s="104">
        <v>50</v>
      </c>
      <c r="BN348" s="104">
        <f t="shared" si="567"/>
        <v>1</v>
      </c>
      <c r="BO348" s="105">
        <v>50</v>
      </c>
      <c r="BP348" s="105">
        <f t="shared" si="501"/>
        <v>1</v>
      </c>
      <c r="BQ348" s="106"/>
      <c r="BR348" s="105"/>
      <c r="BS348" s="105">
        <f t="shared" si="552"/>
        <v>0</v>
      </c>
      <c r="BT348" s="106"/>
      <c r="BU348" s="53"/>
      <c r="BV348" s="53">
        <f t="shared" si="568"/>
        <v>0</v>
      </c>
      <c r="BW348" s="54"/>
      <c r="BX348" s="350">
        <f t="shared" si="555"/>
        <v>1</v>
      </c>
      <c r="BY348" s="6"/>
      <c r="BZ348" s="6">
        <f t="shared" si="573"/>
        <v>0</v>
      </c>
      <c r="CA348" s="508"/>
      <c r="CB348" s="7"/>
      <c r="CC348" s="7"/>
      <c r="CD348" s="7"/>
      <c r="CE348" s="504"/>
      <c r="CF348" s="105"/>
      <c r="CG348" s="105">
        <f t="shared" si="520"/>
        <v>0</v>
      </c>
      <c r="CH348" s="105"/>
      <c r="CI348" s="105"/>
      <c r="CJ348" s="105">
        <f t="shared" si="521"/>
        <v>0</v>
      </c>
      <c r="CK348" s="523"/>
      <c r="CL348" s="102">
        <f t="shared" si="569"/>
        <v>0</v>
      </c>
      <c r="CM348" s="103"/>
      <c r="CN348" s="100"/>
      <c r="CO348" s="100">
        <f t="shared" si="498"/>
        <v>0</v>
      </c>
      <c r="CP348" s="515"/>
      <c r="CQ348" s="441"/>
      <c r="CR348" s="504"/>
      <c r="CS348" s="105"/>
      <c r="CT348" s="105">
        <f t="shared" si="490"/>
        <v>0</v>
      </c>
      <c r="CU348" s="105"/>
      <c r="CV348" s="105"/>
      <c r="CW348" s="105">
        <f t="shared" si="491"/>
        <v>0</v>
      </c>
      <c r="CX348" s="53"/>
      <c r="CY348" s="109">
        <f t="shared" si="499"/>
        <v>0</v>
      </c>
      <c r="CZ348" s="54"/>
      <c r="DA348" s="105"/>
      <c r="DB348" s="455">
        <f t="shared" si="556"/>
        <v>0</v>
      </c>
      <c r="DC348" s="495"/>
      <c r="DD348" s="24" t="s">
        <v>386</v>
      </c>
      <c r="DF348" s="1133"/>
      <c r="DG348" s="674">
        <f t="shared" si="544"/>
        <v>0</v>
      </c>
      <c r="DH348" s="1119">
        <f t="shared" si="545"/>
        <v>0</v>
      </c>
      <c r="DI348" s="1119"/>
      <c r="DJ348" s="101">
        <f t="shared" si="497"/>
        <v>1</v>
      </c>
      <c r="DK348" s="101"/>
      <c r="DL348" s="101">
        <f t="shared" si="496"/>
        <v>0</v>
      </c>
      <c r="DM348" s="101"/>
      <c r="DN348" s="112"/>
      <c r="DO348" s="112"/>
      <c r="DP348" s="112"/>
      <c r="DQ348" s="112"/>
      <c r="DS348" s="140"/>
      <c r="DT348" s="140"/>
      <c r="DU348" s="140"/>
      <c r="DV348" s="140"/>
      <c r="DW348" s="140"/>
      <c r="DX348" s="140"/>
      <c r="DY348" s="140"/>
      <c r="DZ348" s="140"/>
    </row>
    <row r="349" spans="1:130" s="139" customFormat="1" ht="21.6" customHeight="1" x14ac:dyDescent="0.25">
      <c r="A349" s="4" t="s">
        <v>130</v>
      </c>
      <c r="B349" s="4">
        <v>8</v>
      </c>
      <c r="C349" s="134" t="s">
        <v>196</v>
      </c>
      <c r="D349" s="134"/>
      <c r="E349" s="2" t="s">
        <v>201</v>
      </c>
      <c r="F349" s="135">
        <v>56</v>
      </c>
      <c r="G349" s="135">
        <v>1</v>
      </c>
      <c r="H349" s="135">
        <f t="shared" si="570"/>
        <v>57</v>
      </c>
      <c r="I349" s="135"/>
      <c r="J349" s="135">
        <v>28.94</v>
      </c>
      <c r="K349" s="135">
        <f t="shared" si="571"/>
        <v>28.94</v>
      </c>
      <c r="L349" s="136"/>
      <c r="M349" s="5"/>
      <c r="N349" s="41"/>
      <c r="O349" s="6"/>
      <c r="P349" s="7"/>
      <c r="Q349" s="7"/>
      <c r="R349" s="7"/>
      <c r="S349" s="7"/>
      <c r="T349" s="89"/>
      <c r="U349" s="89"/>
      <c r="V349" s="89">
        <f t="shared" si="557"/>
        <v>0</v>
      </c>
      <c r="W349" s="137"/>
      <c r="X349" s="137"/>
      <c r="Y349" s="90">
        <f t="shared" si="558"/>
        <v>0</v>
      </c>
      <c r="Z349" s="91"/>
      <c r="AA349" s="92"/>
      <c r="AB349" s="92"/>
      <c r="AC349" s="92">
        <f t="shared" si="559"/>
        <v>0</v>
      </c>
      <c r="AD349" s="93"/>
      <c r="AE349" s="93"/>
      <c r="AF349" s="94">
        <f t="shared" si="560"/>
        <v>0</v>
      </c>
      <c r="AG349" s="473"/>
      <c r="AH349" s="99"/>
      <c r="AI349" s="99">
        <f t="shared" si="561"/>
        <v>0</v>
      </c>
      <c r="AJ349" s="138"/>
      <c r="AK349" s="138">
        <f t="shared" si="562"/>
        <v>0</v>
      </c>
      <c r="AL349" s="106"/>
      <c r="AM349" s="105"/>
      <c r="AN349" s="105">
        <f t="shared" si="563"/>
        <v>0</v>
      </c>
      <c r="AO349" s="106"/>
      <c r="AP349" s="105"/>
      <c r="AQ349" s="105">
        <f t="shared" si="572"/>
        <v>0</v>
      </c>
      <c r="AR349" s="106"/>
      <c r="AS349" s="97">
        <f t="shared" si="553"/>
        <v>0</v>
      </c>
      <c r="AT349" s="6"/>
      <c r="AU349" s="105"/>
      <c r="AV349" s="455">
        <f t="shared" si="500"/>
        <v>0</v>
      </c>
      <c r="AW349" s="496"/>
      <c r="AX349" s="508"/>
      <c r="AY349" s="498"/>
      <c r="AZ349" s="100">
        <f t="shared" si="564"/>
        <v>0</v>
      </c>
      <c r="BA349" s="101"/>
      <c r="BB349" s="100"/>
      <c r="BC349" s="100">
        <f t="shared" si="565"/>
        <v>0</v>
      </c>
      <c r="BD349" s="101"/>
      <c r="BE349" s="105">
        <f t="shared" si="566"/>
        <v>0</v>
      </c>
      <c r="BF349" s="106"/>
      <c r="BG349" s="100">
        <f t="shared" si="540"/>
        <v>0</v>
      </c>
      <c r="BH349" s="106"/>
      <c r="BI349" s="100">
        <f t="shared" si="541"/>
        <v>0</v>
      </c>
      <c r="BJ349" s="106"/>
      <c r="BK349" s="101">
        <f t="shared" si="554"/>
        <v>0</v>
      </c>
      <c r="BL349" s="106"/>
      <c r="BM349" s="104">
        <v>1800</v>
      </c>
      <c r="BN349" s="104">
        <f t="shared" si="567"/>
        <v>36</v>
      </c>
      <c r="BO349" s="105"/>
      <c r="BP349" s="105">
        <f t="shared" si="501"/>
        <v>0</v>
      </c>
      <c r="BQ349" s="106"/>
      <c r="BR349" s="105"/>
      <c r="BS349" s="105">
        <f t="shared" si="552"/>
        <v>0</v>
      </c>
      <c r="BT349" s="106"/>
      <c r="BU349" s="53"/>
      <c r="BV349" s="53">
        <f t="shared" si="568"/>
        <v>0</v>
      </c>
      <c r="BW349" s="54"/>
      <c r="BX349" s="350">
        <f t="shared" si="555"/>
        <v>0</v>
      </c>
      <c r="BY349" s="6"/>
      <c r="BZ349" s="6">
        <f t="shared" si="573"/>
        <v>0</v>
      </c>
      <c r="CA349" s="508"/>
      <c r="CB349" s="7"/>
      <c r="CC349" s="7"/>
      <c r="CD349" s="7"/>
      <c r="CE349" s="504"/>
      <c r="CF349" s="105"/>
      <c r="CG349" s="105">
        <f t="shared" si="520"/>
        <v>0</v>
      </c>
      <c r="CH349" s="105"/>
      <c r="CI349" s="105"/>
      <c r="CJ349" s="105">
        <f t="shared" si="521"/>
        <v>0</v>
      </c>
      <c r="CK349" s="523"/>
      <c r="CL349" s="102">
        <f t="shared" si="569"/>
        <v>0</v>
      </c>
      <c r="CM349" s="103"/>
      <c r="CN349" s="100"/>
      <c r="CO349" s="100">
        <f t="shared" si="498"/>
        <v>0</v>
      </c>
      <c r="CP349" s="515"/>
      <c r="CQ349" s="441"/>
      <c r="CR349" s="504"/>
      <c r="CS349" s="105"/>
      <c r="CT349" s="105">
        <f t="shared" ref="CT349:CT412" si="574">CR349+CS349</f>
        <v>0</v>
      </c>
      <c r="CU349" s="105"/>
      <c r="CV349" s="105"/>
      <c r="CW349" s="105">
        <f t="shared" ref="CW349:CW412" si="575">CU349+CV349</f>
        <v>0</v>
      </c>
      <c r="CX349" s="53"/>
      <c r="CY349" s="109">
        <f t="shared" si="499"/>
        <v>0</v>
      </c>
      <c r="CZ349" s="54"/>
      <c r="DA349" s="105"/>
      <c r="DB349" s="455">
        <f t="shared" si="556"/>
        <v>0</v>
      </c>
      <c r="DC349" s="495"/>
      <c r="DD349" s="24"/>
      <c r="DF349" s="1133"/>
      <c r="DG349" s="674">
        <f t="shared" si="544"/>
        <v>0</v>
      </c>
      <c r="DH349" s="1119">
        <f t="shared" si="545"/>
        <v>0</v>
      </c>
      <c r="DI349" s="1119"/>
      <c r="DJ349" s="101">
        <f t="shared" si="497"/>
        <v>0</v>
      </c>
      <c r="DK349" s="101"/>
      <c r="DL349" s="101">
        <f t="shared" si="496"/>
        <v>0</v>
      </c>
      <c r="DM349" s="101"/>
      <c r="DN349" s="112"/>
      <c r="DO349" s="112"/>
      <c r="DP349" s="112"/>
      <c r="DQ349" s="112"/>
      <c r="DS349" s="140"/>
      <c r="DT349" s="140"/>
      <c r="DU349" s="140"/>
      <c r="DV349" s="140"/>
      <c r="DW349" s="140"/>
      <c r="DX349" s="140"/>
      <c r="DY349" s="140"/>
      <c r="DZ349" s="140"/>
    </row>
    <row r="350" spans="1:130" s="139" customFormat="1" ht="21.6" customHeight="1" x14ac:dyDescent="0.25">
      <c r="A350" s="4" t="s">
        <v>130</v>
      </c>
      <c r="B350" s="4">
        <v>9</v>
      </c>
      <c r="C350" s="176" t="s">
        <v>196</v>
      </c>
      <c r="D350" s="176" t="s">
        <v>431</v>
      </c>
      <c r="E350" s="13" t="s">
        <v>202</v>
      </c>
      <c r="F350" s="135">
        <v>22</v>
      </c>
      <c r="G350" s="135"/>
      <c r="H350" s="135">
        <f t="shared" si="570"/>
        <v>22</v>
      </c>
      <c r="I350" s="135"/>
      <c r="J350" s="135">
        <v>11.12</v>
      </c>
      <c r="K350" s="135">
        <f t="shared" si="571"/>
        <v>11.12</v>
      </c>
      <c r="L350" s="136"/>
      <c r="M350" s="5"/>
      <c r="N350" s="41"/>
      <c r="O350" s="5"/>
      <c r="P350" s="7"/>
      <c r="Q350" s="7"/>
      <c r="R350" s="7"/>
      <c r="S350" s="7"/>
      <c r="T350" s="89"/>
      <c r="U350" s="89"/>
      <c r="V350" s="89">
        <f t="shared" si="557"/>
        <v>0</v>
      </c>
      <c r="W350" s="137"/>
      <c r="X350" s="137"/>
      <c r="Y350" s="90">
        <f t="shared" si="558"/>
        <v>0</v>
      </c>
      <c r="Z350" s="91"/>
      <c r="AA350" s="92"/>
      <c r="AB350" s="92"/>
      <c r="AC350" s="92">
        <f t="shared" si="559"/>
        <v>0</v>
      </c>
      <c r="AD350" s="93"/>
      <c r="AE350" s="93"/>
      <c r="AF350" s="94">
        <f t="shared" si="560"/>
        <v>0</v>
      </c>
      <c r="AG350" s="473"/>
      <c r="AH350" s="99">
        <v>101.1</v>
      </c>
      <c r="AI350" s="99">
        <f t="shared" si="561"/>
        <v>6.7399999999999993</v>
      </c>
      <c r="AJ350" s="138">
        <v>100</v>
      </c>
      <c r="AK350" s="138">
        <f t="shared" si="562"/>
        <v>6.666666666666667</v>
      </c>
      <c r="AL350" s="106"/>
      <c r="AM350" s="105"/>
      <c r="AN350" s="105">
        <f t="shared" si="563"/>
        <v>0</v>
      </c>
      <c r="AO350" s="106"/>
      <c r="AP350" s="105"/>
      <c r="AQ350" s="105">
        <f t="shared" si="572"/>
        <v>0</v>
      </c>
      <c r="AR350" s="106"/>
      <c r="AS350" s="97">
        <f t="shared" si="553"/>
        <v>6.666666666666667</v>
      </c>
      <c r="AT350" s="6"/>
      <c r="AU350" s="105">
        <v>25</v>
      </c>
      <c r="AV350" s="455">
        <f t="shared" si="500"/>
        <v>1.6666666666666667</v>
      </c>
      <c r="AW350" s="496"/>
      <c r="AX350" s="508"/>
      <c r="AY350" s="498"/>
      <c r="AZ350" s="100">
        <f t="shared" si="564"/>
        <v>0</v>
      </c>
      <c r="BA350" s="101"/>
      <c r="BB350" s="100"/>
      <c r="BC350" s="100">
        <f t="shared" si="565"/>
        <v>0</v>
      </c>
      <c r="BD350" s="101"/>
      <c r="BE350" s="105">
        <f t="shared" si="566"/>
        <v>6.666666666666667</v>
      </c>
      <c r="BF350" s="106"/>
      <c r="BG350" s="100">
        <f t="shared" si="540"/>
        <v>0</v>
      </c>
      <c r="BH350" s="106"/>
      <c r="BI350" s="100">
        <f t="shared" si="541"/>
        <v>1.6666666666666667</v>
      </c>
      <c r="BJ350" s="106"/>
      <c r="BK350" s="101">
        <f t="shared" si="554"/>
        <v>8.3333333333333339</v>
      </c>
      <c r="BL350" s="106"/>
      <c r="BM350" s="104">
        <v>337</v>
      </c>
      <c r="BN350" s="104">
        <f t="shared" si="567"/>
        <v>6.74</v>
      </c>
      <c r="BO350" s="105">
        <v>300</v>
      </c>
      <c r="BP350" s="105">
        <f t="shared" si="501"/>
        <v>6</v>
      </c>
      <c r="BQ350" s="106"/>
      <c r="BR350" s="105"/>
      <c r="BS350" s="105">
        <f t="shared" si="552"/>
        <v>0</v>
      </c>
      <c r="BT350" s="106"/>
      <c r="BU350" s="53"/>
      <c r="BV350" s="53">
        <f t="shared" si="568"/>
        <v>0</v>
      </c>
      <c r="BW350" s="54"/>
      <c r="BX350" s="350">
        <f t="shared" si="555"/>
        <v>6</v>
      </c>
      <c r="BY350" s="6"/>
      <c r="BZ350" s="6">
        <f t="shared" si="573"/>
        <v>2.3333333333333339</v>
      </c>
      <c r="CA350" s="508"/>
      <c r="CB350" s="7"/>
      <c r="CC350" s="7"/>
      <c r="CD350" s="7"/>
      <c r="CE350" s="504"/>
      <c r="CF350" s="105"/>
      <c r="CG350" s="105">
        <f t="shared" si="520"/>
        <v>0</v>
      </c>
      <c r="CH350" s="105"/>
      <c r="CI350" s="105"/>
      <c r="CJ350" s="105">
        <f t="shared" si="521"/>
        <v>0</v>
      </c>
      <c r="CK350" s="523"/>
      <c r="CL350" s="102">
        <f t="shared" si="569"/>
        <v>0</v>
      </c>
      <c r="CM350" s="103"/>
      <c r="CN350" s="100"/>
      <c r="CO350" s="100">
        <f t="shared" si="498"/>
        <v>0</v>
      </c>
      <c r="CP350" s="515"/>
      <c r="CQ350" s="441"/>
      <c r="CR350" s="504"/>
      <c r="CS350" s="105"/>
      <c r="CT350" s="105">
        <f t="shared" si="574"/>
        <v>0</v>
      </c>
      <c r="CU350" s="105"/>
      <c r="CV350" s="105"/>
      <c r="CW350" s="105">
        <f t="shared" si="575"/>
        <v>0</v>
      </c>
      <c r="CX350" s="53"/>
      <c r="CY350" s="109">
        <f t="shared" si="499"/>
        <v>0</v>
      </c>
      <c r="CZ350" s="54"/>
      <c r="DA350" s="105"/>
      <c r="DB350" s="455">
        <f t="shared" si="556"/>
        <v>0</v>
      </c>
      <c r="DC350" s="495"/>
      <c r="DD350" s="24"/>
      <c r="DF350" s="1133"/>
      <c r="DG350" s="674">
        <f t="shared" si="544"/>
        <v>1.6666666666666667</v>
      </c>
      <c r="DH350" s="1119">
        <f t="shared" si="545"/>
        <v>0</v>
      </c>
      <c r="DI350" s="1119"/>
      <c r="DJ350" s="101">
        <f t="shared" si="497"/>
        <v>8.3333333333333339</v>
      </c>
      <c r="DK350" s="101"/>
      <c r="DL350" s="101">
        <f t="shared" si="496"/>
        <v>0</v>
      </c>
      <c r="DM350" s="101"/>
      <c r="DN350" s="112"/>
      <c r="DO350" s="112"/>
      <c r="DP350" s="112"/>
      <c r="DQ350" s="112"/>
      <c r="DS350" s="140"/>
      <c r="DT350" s="140"/>
      <c r="DU350" s="140"/>
      <c r="DV350" s="140"/>
      <c r="DW350" s="140"/>
      <c r="DX350" s="140"/>
      <c r="DY350" s="140"/>
      <c r="DZ350" s="140"/>
    </row>
    <row r="351" spans="1:130" ht="21.6" customHeight="1" x14ac:dyDescent="0.25">
      <c r="A351" s="4" t="s">
        <v>130</v>
      </c>
      <c r="B351" s="4">
        <v>10</v>
      </c>
      <c r="C351" s="166" t="s">
        <v>196</v>
      </c>
      <c r="D351" s="166"/>
      <c r="E351" s="1" t="s">
        <v>203</v>
      </c>
      <c r="F351" s="162">
        <v>33</v>
      </c>
      <c r="G351" s="162">
        <v>8</v>
      </c>
      <c r="H351" s="162">
        <f t="shared" si="570"/>
        <v>41</v>
      </c>
      <c r="I351" s="162"/>
      <c r="J351" s="162">
        <v>20.83</v>
      </c>
      <c r="K351" s="162">
        <f t="shared" si="571"/>
        <v>20.83</v>
      </c>
      <c r="L351" s="163"/>
      <c r="M351" s="414"/>
      <c r="N351" s="46"/>
      <c r="O351" s="164"/>
      <c r="P351" s="165"/>
      <c r="Q351" s="165"/>
      <c r="R351" s="165"/>
      <c r="S351" s="165"/>
      <c r="T351" s="89"/>
      <c r="U351" s="89"/>
      <c r="V351" s="89">
        <f t="shared" si="557"/>
        <v>0</v>
      </c>
      <c r="W351" s="137"/>
      <c r="X351" s="137"/>
      <c r="Y351" s="90">
        <f t="shared" si="558"/>
        <v>0</v>
      </c>
      <c r="Z351" s="169"/>
      <c r="AA351" s="92"/>
      <c r="AB351" s="92"/>
      <c r="AC351" s="92">
        <f t="shared" si="559"/>
        <v>0</v>
      </c>
      <c r="AD351" s="93"/>
      <c r="AE351" s="93"/>
      <c r="AF351" s="94">
        <f t="shared" si="560"/>
        <v>0</v>
      </c>
      <c r="AG351" s="475"/>
      <c r="AH351" s="99"/>
      <c r="AI351" s="99">
        <f t="shared" si="561"/>
        <v>0</v>
      </c>
      <c r="AJ351" s="138"/>
      <c r="AK351" s="138">
        <f t="shared" si="562"/>
        <v>0</v>
      </c>
      <c r="AL351" s="106"/>
      <c r="AM351" s="105"/>
      <c r="AN351" s="105">
        <f t="shared" si="563"/>
        <v>0</v>
      </c>
      <c r="AO351" s="106"/>
      <c r="AP351" s="105"/>
      <c r="AQ351" s="105">
        <f t="shared" si="572"/>
        <v>0</v>
      </c>
      <c r="AR351" s="106"/>
      <c r="AS351" s="97">
        <f t="shared" si="553"/>
        <v>0</v>
      </c>
      <c r="AT351" s="6"/>
      <c r="AU351" s="105"/>
      <c r="AV351" s="455">
        <f t="shared" si="500"/>
        <v>0</v>
      </c>
      <c r="AW351" s="496"/>
      <c r="AX351" s="508"/>
      <c r="AY351" s="498"/>
      <c r="AZ351" s="100">
        <f t="shared" si="564"/>
        <v>0</v>
      </c>
      <c r="BA351" s="101"/>
      <c r="BB351" s="100"/>
      <c r="BC351" s="100">
        <f t="shared" si="565"/>
        <v>0</v>
      </c>
      <c r="BD351" s="101"/>
      <c r="BE351" s="105">
        <f t="shared" si="566"/>
        <v>0</v>
      </c>
      <c r="BF351" s="106"/>
      <c r="BG351" s="100">
        <f t="shared" si="540"/>
        <v>0</v>
      </c>
      <c r="BH351" s="106"/>
      <c r="BI351" s="100">
        <f t="shared" si="541"/>
        <v>0</v>
      </c>
      <c r="BJ351" s="106"/>
      <c r="BK351" s="101">
        <f t="shared" si="554"/>
        <v>0</v>
      </c>
      <c r="BL351" s="106"/>
      <c r="BM351" s="104"/>
      <c r="BN351" s="104">
        <f t="shared" si="567"/>
        <v>0</v>
      </c>
      <c r="BO351" s="105"/>
      <c r="BP351" s="105">
        <f t="shared" si="501"/>
        <v>0</v>
      </c>
      <c r="BQ351" s="106"/>
      <c r="BR351" s="105"/>
      <c r="BS351" s="105">
        <f t="shared" si="552"/>
        <v>0</v>
      </c>
      <c r="BT351" s="106"/>
      <c r="BU351" s="53"/>
      <c r="BV351" s="53">
        <f t="shared" si="568"/>
        <v>0</v>
      </c>
      <c r="BW351" s="54"/>
      <c r="BX351" s="350">
        <f t="shared" si="555"/>
        <v>0</v>
      </c>
      <c r="BY351" s="6"/>
      <c r="BZ351" s="6">
        <f t="shared" si="573"/>
        <v>0</v>
      </c>
      <c r="CA351" s="508"/>
      <c r="CB351" s="165"/>
      <c r="CC351" s="165"/>
      <c r="CD351" s="165"/>
      <c r="CE351" s="504"/>
      <c r="CF351" s="105"/>
      <c r="CG351" s="105">
        <f t="shared" si="520"/>
        <v>0</v>
      </c>
      <c r="CH351" s="105"/>
      <c r="CI351" s="105"/>
      <c r="CJ351" s="105">
        <f t="shared" si="521"/>
        <v>0</v>
      </c>
      <c r="CK351" s="523"/>
      <c r="CL351" s="102">
        <f t="shared" si="569"/>
        <v>0</v>
      </c>
      <c r="CM351" s="103"/>
      <c r="CN351" s="100"/>
      <c r="CO351" s="100">
        <f t="shared" si="498"/>
        <v>0</v>
      </c>
      <c r="CP351" s="515"/>
      <c r="CQ351" s="441"/>
      <c r="CR351" s="504"/>
      <c r="CS351" s="105"/>
      <c r="CT351" s="105">
        <f t="shared" si="574"/>
        <v>0</v>
      </c>
      <c r="CU351" s="105"/>
      <c r="CV351" s="105"/>
      <c r="CW351" s="105">
        <f t="shared" si="575"/>
        <v>0</v>
      </c>
      <c r="CX351" s="53"/>
      <c r="CY351" s="109">
        <f t="shared" si="499"/>
        <v>0</v>
      </c>
      <c r="CZ351" s="54"/>
      <c r="DA351" s="105"/>
      <c r="DB351" s="455">
        <f t="shared" si="556"/>
        <v>0</v>
      </c>
      <c r="DC351" s="495"/>
      <c r="DD351" s="25"/>
      <c r="DF351" s="1133"/>
      <c r="DG351" s="674">
        <f t="shared" si="544"/>
        <v>0</v>
      </c>
      <c r="DH351" s="1119">
        <f t="shared" si="545"/>
        <v>0</v>
      </c>
      <c r="DI351" s="1119"/>
      <c r="DJ351" s="101">
        <f t="shared" si="497"/>
        <v>0</v>
      </c>
      <c r="DK351" s="101"/>
      <c r="DL351" s="101">
        <f t="shared" si="496"/>
        <v>0</v>
      </c>
      <c r="DM351" s="101"/>
      <c r="DN351" s="112"/>
      <c r="DO351" s="112"/>
      <c r="DP351" s="112"/>
      <c r="DQ351" s="112"/>
    </row>
    <row r="352" spans="1:130" s="139" customFormat="1" ht="21.6" customHeight="1" x14ac:dyDescent="0.25">
      <c r="A352" s="4" t="s">
        <v>130</v>
      </c>
      <c r="B352" s="4">
        <v>11</v>
      </c>
      <c r="C352" s="182" t="s">
        <v>196</v>
      </c>
      <c r="D352" s="182" t="s">
        <v>431</v>
      </c>
      <c r="E352" s="13" t="s">
        <v>204</v>
      </c>
      <c r="F352" s="135">
        <v>35</v>
      </c>
      <c r="G352" s="135">
        <v>3</v>
      </c>
      <c r="H352" s="135">
        <f t="shared" si="570"/>
        <v>38</v>
      </c>
      <c r="I352" s="135"/>
      <c r="J352" s="135">
        <v>19.29</v>
      </c>
      <c r="K352" s="135">
        <f t="shared" si="571"/>
        <v>19.29</v>
      </c>
      <c r="L352" s="136"/>
      <c r="M352" s="5"/>
      <c r="N352" s="41"/>
      <c r="O352" s="5"/>
      <c r="P352" s="7"/>
      <c r="Q352" s="7"/>
      <c r="R352" s="7"/>
      <c r="S352" s="7"/>
      <c r="T352" s="89"/>
      <c r="U352" s="89"/>
      <c r="V352" s="89">
        <f t="shared" si="557"/>
        <v>0</v>
      </c>
      <c r="W352" s="137"/>
      <c r="X352" s="137"/>
      <c r="Y352" s="90">
        <f t="shared" si="558"/>
        <v>0</v>
      </c>
      <c r="Z352" s="91"/>
      <c r="AA352" s="92"/>
      <c r="AB352" s="92"/>
      <c r="AC352" s="92">
        <f t="shared" si="559"/>
        <v>0</v>
      </c>
      <c r="AD352" s="93"/>
      <c r="AE352" s="93"/>
      <c r="AF352" s="94">
        <f t="shared" si="560"/>
        <v>0</v>
      </c>
      <c r="AG352" s="473"/>
      <c r="AH352" s="99">
        <v>62.25</v>
      </c>
      <c r="AI352" s="99">
        <f t="shared" si="561"/>
        <v>4.1500000000000004</v>
      </c>
      <c r="AJ352" s="138">
        <v>60</v>
      </c>
      <c r="AK352" s="138">
        <f t="shared" si="562"/>
        <v>4</v>
      </c>
      <c r="AL352" s="106"/>
      <c r="AM352" s="105"/>
      <c r="AN352" s="105">
        <f t="shared" si="563"/>
        <v>0</v>
      </c>
      <c r="AO352" s="106"/>
      <c r="AP352" s="105"/>
      <c r="AQ352" s="105">
        <f t="shared" si="572"/>
        <v>0</v>
      </c>
      <c r="AR352" s="106"/>
      <c r="AS352" s="97">
        <f t="shared" si="553"/>
        <v>4</v>
      </c>
      <c r="AT352" s="6"/>
      <c r="AU352" s="105"/>
      <c r="AV352" s="455">
        <f t="shared" si="500"/>
        <v>0</v>
      </c>
      <c r="AW352" s="496"/>
      <c r="AX352" s="508"/>
      <c r="AY352" s="498">
        <v>65</v>
      </c>
      <c r="AZ352" s="100">
        <f t="shared" si="564"/>
        <v>4.333333333333333</v>
      </c>
      <c r="BA352" s="101"/>
      <c r="BB352" s="100"/>
      <c r="BC352" s="100">
        <f t="shared" si="565"/>
        <v>0</v>
      </c>
      <c r="BD352" s="101"/>
      <c r="BE352" s="105">
        <f t="shared" si="566"/>
        <v>8.3333333333333321</v>
      </c>
      <c r="BF352" s="106"/>
      <c r="BG352" s="100">
        <f t="shared" si="540"/>
        <v>0</v>
      </c>
      <c r="BH352" s="106"/>
      <c r="BI352" s="100">
        <f t="shared" si="541"/>
        <v>0</v>
      </c>
      <c r="BJ352" s="106"/>
      <c r="BK352" s="101">
        <f t="shared" si="554"/>
        <v>8.3333333333333321</v>
      </c>
      <c r="BL352" s="106"/>
      <c r="BM352" s="104">
        <v>427.5</v>
      </c>
      <c r="BN352" s="104">
        <f t="shared" si="567"/>
        <v>8.5500000000000007</v>
      </c>
      <c r="BO352" s="105">
        <v>400</v>
      </c>
      <c r="BP352" s="105">
        <f t="shared" si="501"/>
        <v>8</v>
      </c>
      <c r="BQ352" s="106"/>
      <c r="BR352" s="105"/>
      <c r="BS352" s="105">
        <f t="shared" si="552"/>
        <v>0</v>
      </c>
      <c r="BT352" s="106"/>
      <c r="BU352" s="53"/>
      <c r="BV352" s="53">
        <f t="shared" si="568"/>
        <v>0</v>
      </c>
      <c r="BW352" s="54"/>
      <c r="BX352" s="350">
        <f t="shared" si="555"/>
        <v>8</v>
      </c>
      <c r="BY352" s="6"/>
      <c r="BZ352" s="6">
        <f t="shared" si="573"/>
        <v>0.33333333333333215</v>
      </c>
      <c r="CA352" s="508"/>
      <c r="CB352" s="7"/>
      <c r="CC352" s="7"/>
      <c r="CD352" s="7"/>
      <c r="CE352" s="504"/>
      <c r="CF352" s="105"/>
      <c r="CG352" s="105">
        <f t="shared" si="520"/>
        <v>0</v>
      </c>
      <c r="CH352" s="105"/>
      <c r="CI352" s="105"/>
      <c r="CJ352" s="105">
        <f t="shared" si="521"/>
        <v>0</v>
      </c>
      <c r="CK352" s="523"/>
      <c r="CL352" s="102">
        <f t="shared" si="569"/>
        <v>0</v>
      </c>
      <c r="CM352" s="103"/>
      <c r="CN352" s="100"/>
      <c r="CO352" s="100">
        <f t="shared" si="498"/>
        <v>0</v>
      </c>
      <c r="CP352" s="515"/>
      <c r="CQ352" s="441"/>
      <c r="CR352" s="504"/>
      <c r="CS352" s="105"/>
      <c r="CT352" s="105">
        <f t="shared" si="574"/>
        <v>0</v>
      </c>
      <c r="CU352" s="105"/>
      <c r="CV352" s="105"/>
      <c r="CW352" s="105">
        <f t="shared" si="575"/>
        <v>0</v>
      </c>
      <c r="CX352" s="53"/>
      <c r="CY352" s="109">
        <f t="shared" si="499"/>
        <v>0</v>
      </c>
      <c r="CZ352" s="54"/>
      <c r="DA352" s="105"/>
      <c r="DB352" s="455">
        <f t="shared" si="556"/>
        <v>0</v>
      </c>
      <c r="DC352" s="495"/>
      <c r="DD352" s="24"/>
      <c r="DF352" s="1133"/>
      <c r="DG352" s="674">
        <f t="shared" si="544"/>
        <v>0</v>
      </c>
      <c r="DH352" s="1119">
        <f t="shared" si="545"/>
        <v>0</v>
      </c>
      <c r="DI352" s="1119"/>
      <c r="DJ352" s="101">
        <f t="shared" si="497"/>
        <v>8.3333333333333321</v>
      </c>
      <c r="DK352" s="101"/>
      <c r="DL352" s="101">
        <f t="shared" si="496"/>
        <v>0</v>
      </c>
      <c r="DM352" s="101"/>
      <c r="DN352" s="112"/>
      <c r="DO352" s="112"/>
      <c r="DP352" s="112"/>
      <c r="DQ352" s="112"/>
      <c r="DS352" s="140"/>
      <c r="DT352" s="140"/>
      <c r="DU352" s="140"/>
      <c r="DV352" s="140"/>
      <c r="DW352" s="140"/>
      <c r="DX352" s="140"/>
      <c r="DY352" s="140"/>
      <c r="DZ352" s="140"/>
    </row>
    <row r="353" spans="1:130" s="139" customFormat="1" ht="21.6" customHeight="1" x14ac:dyDescent="0.25">
      <c r="A353" s="4" t="s">
        <v>130</v>
      </c>
      <c r="B353" s="4">
        <v>12</v>
      </c>
      <c r="C353" s="182" t="s">
        <v>196</v>
      </c>
      <c r="D353" s="182" t="s">
        <v>431</v>
      </c>
      <c r="E353" s="13" t="s">
        <v>205</v>
      </c>
      <c r="F353" s="135">
        <v>31</v>
      </c>
      <c r="G353" s="135">
        <v>11</v>
      </c>
      <c r="H353" s="135">
        <f t="shared" si="570"/>
        <v>42</v>
      </c>
      <c r="I353" s="135"/>
      <c r="J353" s="135">
        <v>21.3</v>
      </c>
      <c r="K353" s="135">
        <f t="shared" si="571"/>
        <v>21.3</v>
      </c>
      <c r="L353" s="136"/>
      <c r="M353" s="5"/>
      <c r="N353" s="41"/>
      <c r="O353" s="6"/>
      <c r="P353" s="7"/>
      <c r="Q353" s="7"/>
      <c r="R353" s="7"/>
      <c r="S353" s="7"/>
      <c r="T353" s="89"/>
      <c r="U353" s="89"/>
      <c r="V353" s="89">
        <f t="shared" si="557"/>
        <v>0</v>
      </c>
      <c r="W353" s="137"/>
      <c r="X353" s="137"/>
      <c r="Y353" s="90">
        <f t="shared" si="558"/>
        <v>0</v>
      </c>
      <c r="Z353" s="91"/>
      <c r="AA353" s="92"/>
      <c r="AB353" s="92"/>
      <c r="AC353" s="92">
        <f t="shared" si="559"/>
        <v>0</v>
      </c>
      <c r="AD353" s="93"/>
      <c r="AE353" s="93"/>
      <c r="AF353" s="94">
        <f t="shared" si="560"/>
        <v>0</v>
      </c>
      <c r="AG353" s="473"/>
      <c r="AH353" s="99"/>
      <c r="AI353" s="99">
        <f t="shared" si="561"/>
        <v>0</v>
      </c>
      <c r="AJ353" s="138">
        <v>45</v>
      </c>
      <c r="AK353" s="138">
        <f t="shared" si="562"/>
        <v>3</v>
      </c>
      <c r="AL353" s="106"/>
      <c r="AM353" s="105"/>
      <c r="AN353" s="105">
        <f t="shared" si="563"/>
        <v>0</v>
      </c>
      <c r="AO353" s="106"/>
      <c r="AP353" s="105"/>
      <c r="AQ353" s="105">
        <f t="shared" si="572"/>
        <v>0</v>
      </c>
      <c r="AR353" s="106"/>
      <c r="AS353" s="97">
        <f t="shared" si="553"/>
        <v>3</v>
      </c>
      <c r="AT353" s="6"/>
      <c r="AU353" s="105"/>
      <c r="AV353" s="455">
        <f t="shared" si="500"/>
        <v>0</v>
      </c>
      <c r="AW353" s="496"/>
      <c r="AX353" s="508"/>
      <c r="AY353" s="498">
        <v>5</v>
      </c>
      <c r="AZ353" s="100">
        <f t="shared" si="564"/>
        <v>0.33333333333333331</v>
      </c>
      <c r="BA353" s="101"/>
      <c r="BB353" s="100"/>
      <c r="BC353" s="100">
        <f t="shared" si="565"/>
        <v>0</v>
      </c>
      <c r="BD353" s="101"/>
      <c r="BE353" s="105">
        <f t="shared" si="566"/>
        <v>3.3333333333333335</v>
      </c>
      <c r="BF353" s="106"/>
      <c r="BG353" s="100">
        <f t="shared" si="540"/>
        <v>0</v>
      </c>
      <c r="BH353" s="106"/>
      <c r="BI353" s="100">
        <f t="shared" si="541"/>
        <v>0</v>
      </c>
      <c r="BJ353" s="106"/>
      <c r="BK353" s="101">
        <f t="shared" si="554"/>
        <v>3.3333333333333335</v>
      </c>
      <c r="BL353" s="106"/>
      <c r="BM353" s="104">
        <v>3000</v>
      </c>
      <c r="BN353" s="104">
        <f t="shared" si="567"/>
        <v>60</v>
      </c>
      <c r="BO353" s="105">
        <v>150</v>
      </c>
      <c r="BP353" s="105">
        <f t="shared" si="501"/>
        <v>3</v>
      </c>
      <c r="BQ353" s="106"/>
      <c r="BR353" s="105"/>
      <c r="BS353" s="105">
        <f t="shared" si="552"/>
        <v>0</v>
      </c>
      <c r="BT353" s="106"/>
      <c r="BU353" s="53"/>
      <c r="BV353" s="53">
        <f t="shared" si="568"/>
        <v>0</v>
      </c>
      <c r="BW353" s="54"/>
      <c r="BX353" s="350">
        <f t="shared" si="555"/>
        <v>3</v>
      </c>
      <c r="BY353" s="6"/>
      <c r="BZ353" s="6">
        <f t="shared" si="573"/>
        <v>0.33333333333333348</v>
      </c>
      <c r="CA353" s="508"/>
      <c r="CB353" s="7"/>
      <c r="CC353" s="7"/>
      <c r="CD353" s="7"/>
      <c r="CE353" s="504"/>
      <c r="CF353" s="105"/>
      <c r="CG353" s="105">
        <f t="shared" si="520"/>
        <v>0</v>
      </c>
      <c r="CH353" s="105"/>
      <c r="CI353" s="105"/>
      <c r="CJ353" s="105">
        <f t="shared" si="521"/>
        <v>0</v>
      </c>
      <c r="CK353" s="523"/>
      <c r="CL353" s="102">
        <f t="shared" si="569"/>
        <v>0</v>
      </c>
      <c r="CM353" s="103"/>
      <c r="CN353" s="100"/>
      <c r="CO353" s="100">
        <f t="shared" si="498"/>
        <v>0</v>
      </c>
      <c r="CP353" s="515"/>
      <c r="CQ353" s="441"/>
      <c r="CR353" s="504"/>
      <c r="CS353" s="105"/>
      <c r="CT353" s="105">
        <f t="shared" si="574"/>
        <v>0</v>
      </c>
      <c r="CU353" s="105"/>
      <c r="CV353" s="105"/>
      <c r="CW353" s="105">
        <f t="shared" si="575"/>
        <v>0</v>
      </c>
      <c r="CX353" s="53"/>
      <c r="CY353" s="109">
        <f t="shared" si="499"/>
        <v>0</v>
      </c>
      <c r="CZ353" s="54"/>
      <c r="DA353" s="105"/>
      <c r="DB353" s="455">
        <f t="shared" si="556"/>
        <v>0</v>
      </c>
      <c r="DC353" s="495"/>
      <c r="DD353" s="24"/>
      <c r="DF353" s="1133"/>
      <c r="DG353" s="674">
        <f t="shared" si="544"/>
        <v>0</v>
      </c>
      <c r="DH353" s="1119">
        <f t="shared" si="545"/>
        <v>0</v>
      </c>
      <c r="DI353" s="1119"/>
      <c r="DJ353" s="101">
        <f t="shared" si="497"/>
        <v>3.3333333333333335</v>
      </c>
      <c r="DK353" s="101"/>
      <c r="DL353" s="101">
        <f t="shared" si="496"/>
        <v>0</v>
      </c>
      <c r="DM353" s="101"/>
      <c r="DN353" s="112"/>
      <c r="DO353" s="112"/>
      <c r="DP353" s="112"/>
      <c r="DQ353" s="112"/>
      <c r="DS353" s="140"/>
      <c r="DT353" s="140"/>
      <c r="DU353" s="140"/>
      <c r="DV353" s="140"/>
      <c r="DW353" s="140"/>
      <c r="DX353" s="140"/>
      <c r="DY353" s="140"/>
      <c r="DZ353" s="140"/>
    </row>
    <row r="354" spans="1:130" s="139" customFormat="1" ht="21.6" customHeight="1" x14ac:dyDescent="0.25">
      <c r="A354" s="4" t="s">
        <v>130</v>
      </c>
      <c r="B354" s="4">
        <v>13</v>
      </c>
      <c r="C354" s="134" t="s">
        <v>196</v>
      </c>
      <c r="D354" s="134" t="s">
        <v>431</v>
      </c>
      <c r="E354" s="13" t="s">
        <v>206</v>
      </c>
      <c r="F354" s="135">
        <v>29</v>
      </c>
      <c r="G354" s="135">
        <v>3</v>
      </c>
      <c r="H354" s="135">
        <f t="shared" si="570"/>
        <v>32</v>
      </c>
      <c r="I354" s="135"/>
      <c r="J354" s="135">
        <v>16.079999999999998</v>
      </c>
      <c r="K354" s="135">
        <f t="shared" si="571"/>
        <v>16.079999999999998</v>
      </c>
      <c r="L354" s="136"/>
      <c r="M354" s="5"/>
      <c r="N354" s="41"/>
      <c r="O354" s="5"/>
      <c r="P354" s="7"/>
      <c r="Q354" s="7"/>
      <c r="R354" s="7"/>
      <c r="S354" s="7"/>
      <c r="T354" s="89"/>
      <c r="U354" s="89"/>
      <c r="V354" s="89">
        <f t="shared" si="557"/>
        <v>0</v>
      </c>
      <c r="W354" s="137"/>
      <c r="X354" s="137"/>
      <c r="Y354" s="90">
        <f t="shared" si="558"/>
        <v>0</v>
      </c>
      <c r="Z354" s="91"/>
      <c r="AA354" s="92"/>
      <c r="AB354" s="92"/>
      <c r="AC354" s="92">
        <f t="shared" si="559"/>
        <v>0</v>
      </c>
      <c r="AD354" s="93"/>
      <c r="AE354" s="93"/>
      <c r="AF354" s="94">
        <f t="shared" si="560"/>
        <v>0</v>
      </c>
      <c r="AG354" s="473"/>
      <c r="AH354" s="99">
        <v>467.5</v>
      </c>
      <c r="AI354" s="99">
        <f t="shared" si="561"/>
        <v>31.166666666666668</v>
      </c>
      <c r="AJ354" s="138">
        <v>140</v>
      </c>
      <c r="AK354" s="138">
        <f t="shared" si="562"/>
        <v>9.3333333333333339</v>
      </c>
      <c r="AL354" s="106"/>
      <c r="AM354" s="105"/>
      <c r="AN354" s="105">
        <f t="shared" si="563"/>
        <v>0</v>
      </c>
      <c r="AO354" s="106"/>
      <c r="AP354" s="105"/>
      <c r="AQ354" s="105">
        <f t="shared" si="572"/>
        <v>0</v>
      </c>
      <c r="AR354" s="106"/>
      <c r="AS354" s="97">
        <f t="shared" si="553"/>
        <v>9.3333333333333339</v>
      </c>
      <c r="AT354" s="6"/>
      <c r="AU354" s="105"/>
      <c r="AV354" s="455">
        <f t="shared" si="500"/>
        <v>0</v>
      </c>
      <c r="AW354" s="496"/>
      <c r="AX354" s="508"/>
      <c r="AY354" s="498"/>
      <c r="AZ354" s="100">
        <f t="shared" si="564"/>
        <v>0</v>
      </c>
      <c r="BA354" s="101"/>
      <c r="BB354" s="100"/>
      <c r="BC354" s="100">
        <f t="shared" si="565"/>
        <v>0</v>
      </c>
      <c r="BD354" s="101"/>
      <c r="BE354" s="105">
        <f t="shared" si="566"/>
        <v>9.3333333333333339</v>
      </c>
      <c r="BF354" s="106"/>
      <c r="BG354" s="100">
        <f t="shared" si="540"/>
        <v>0</v>
      </c>
      <c r="BH354" s="106"/>
      <c r="BI354" s="100">
        <f t="shared" si="541"/>
        <v>0</v>
      </c>
      <c r="BJ354" s="106"/>
      <c r="BK354" s="101">
        <f t="shared" si="554"/>
        <v>9.3333333333333339</v>
      </c>
      <c r="BL354" s="106"/>
      <c r="BM354" s="104">
        <v>467.5</v>
      </c>
      <c r="BN354" s="104">
        <f t="shared" si="567"/>
        <v>9.35</v>
      </c>
      <c r="BO354" s="105">
        <v>450</v>
      </c>
      <c r="BP354" s="105">
        <f t="shared" si="501"/>
        <v>9</v>
      </c>
      <c r="BQ354" s="106"/>
      <c r="BR354" s="105"/>
      <c r="BS354" s="105">
        <f t="shared" si="552"/>
        <v>0</v>
      </c>
      <c r="BT354" s="106"/>
      <c r="BU354" s="53"/>
      <c r="BV354" s="53">
        <f t="shared" si="568"/>
        <v>0</v>
      </c>
      <c r="BW354" s="54"/>
      <c r="BX354" s="350">
        <f t="shared" si="555"/>
        <v>9</v>
      </c>
      <c r="BY354" s="6"/>
      <c r="BZ354" s="6">
        <f t="shared" si="573"/>
        <v>0.33333333333333393</v>
      </c>
      <c r="CA354" s="508"/>
      <c r="CB354" s="7"/>
      <c r="CC354" s="7"/>
      <c r="CD354" s="7"/>
      <c r="CE354" s="504"/>
      <c r="CF354" s="105"/>
      <c r="CG354" s="105">
        <f t="shared" si="520"/>
        <v>0</v>
      </c>
      <c r="CH354" s="105"/>
      <c r="CI354" s="105"/>
      <c r="CJ354" s="105">
        <f t="shared" si="521"/>
        <v>0</v>
      </c>
      <c r="CK354" s="523"/>
      <c r="CL354" s="102">
        <f t="shared" si="569"/>
        <v>0</v>
      </c>
      <c r="CM354" s="103"/>
      <c r="CN354" s="100"/>
      <c r="CO354" s="100">
        <f t="shared" si="498"/>
        <v>0</v>
      </c>
      <c r="CP354" s="515"/>
      <c r="CQ354" s="441"/>
      <c r="CR354" s="504"/>
      <c r="CS354" s="105"/>
      <c r="CT354" s="105">
        <f t="shared" si="574"/>
        <v>0</v>
      </c>
      <c r="CU354" s="105"/>
      <c r="CV354" s="105"/>
      <c r="CW354" s="105">
        <f t="shared" si="575"/>
        <v>0</v>
      </c>
      <c r="CX354" s="53"/>
      <c r="CY354" s="109">
        <f t="shared" si="499"/>
        <v>0</v>
      </c>
      <c r="CZ354" s="54"/>
      <c r="DA354" s="105"/>
      <c r="DB354" s="455">
        <f t="shared" si="556"/>
        <v>0</v>
      </c>
      <c r="DC354" s="495"/>
      <c r="DD354" s="24" t="s">
        <v>385</v>
      </c>
      <c r="DF354" s="1133"/>
      <c r="DG354" s="674">
        <f t="shared" si="544"/>
        <v>0</v>
      </c>
      <c r="DH354" s="1119">
        <f t="shared" si="545"/>
        <v>0</v>
      </c>
      <c r="DI354" s="1119"/>
      <c r="DJ354" s="101">
        <f t="shared" si="497"/>
        <v>9.3333333333333339</v>
      </c>
      <c r="DK354" s="101"/>
      <c r="DL354" s="101">
        <f t="shared" si="496"/>
        <v>0</v>
      </c>
      <c r="DM354" s="101"/>
      <c r="DN354" s="112"/>
      <c r="DO354" s="112"/>
      <c r="DP354" s="112"/>
      <c r="DQ354" s="112"/>
      <c r="DS354" s="140"/>
      <c r="DT354" s="140"/>
      <c r="DU354" s="140"/>
      <c r="DV354" s="140"/>
      <c r="DW354" s="140"/>
      <c r="DX354" s="140"/>
      <c r="DY354" s="140"/>
      <c r="DZ354" s="140"/>
    </row>
    <row r="355" spans="1:130" s="139" customFormat="1" ht="21.6" customHeight="1" x14ac:dyDescent="0.25">
      <c r="A355" s="4"/>
      <c r="B355" s="4"/>
      <c r="C355" s="134" t="s">
        <v>196</v>
      </c>
      <c r="D355" s="134" t="s">
        <v>437</v>
      </c>
      <c r="E355" s="3" t="s">
        <v>298</v>
      </c>
      <c r="F355" s="135"/>
      <c r="G355" s="135"/>
      <c r="H355" s="135"/>
      <c r="I355" s="135"/>
      <c r="J355" s="135"/>
      <c r="K355" s="135"/>
      <c r="L355" s="136"/>
      <c r="M355" s="5"/>
      <c r="N355" s="41"/>
      <c r="O355" s="5"/>
      <c r="P355" s="7"/>
      <c r="Q355" s="7"/>
      <c r="R355" s="7"/>
      <c r="S355" s="7"/>
      <c r="T355" s="89"/>
      <c r="U355" s="89"/>
      <c r="V355" s="89">
        <f t="shared" si="557"/>
        <v>0</v>
      </c>
      <c r="W355" s="137"/>
      <c r="X355" s="137"/>
      <c r="Y355" s="90">
        <f t="shared" si="558"/>
        <v>0</v>
      </c>
      <c r="Z355" s="91"/>
      <c r="AA355" s="92"/>
      <c r="AB355" s="92"/>
      <c r="AC355" s="92">
        <f t="shared" si="559"/>
        <v>0</v>
      </c>
      <c r="AD355" s="93"/>
      <c r="AE355" s="93"/>
      <c r="AF355" s="94">
        <f t="shared" si="560"/>
        <v>0</v>
      </c>
      <c r="AG355" s="473"/>
      <c r="AH355" s="99">
        <v>240</v>
      </c>
      <c r="AI355" s="99">
        <f t="shared" si="561"/>
        <v>16</v>
      </c>
      <c r="AJ355" s="138">
        <v>85</v>
      </c>
      <c r="AK355" s="138">
        <f t="shared" si="562"/>
        <v>5.666666666666667</v>
      </c>
      <c r="AL355" s="106"/>
      <c r="AM355" s="105"/>
      <c r="AN355" s="105">
        <f t="shared" si="563"/>
        <v>0</v>
      </c>
      <c r="AO355" s="106"/>
      <c r="AP355" s="105"/>
      <c r="AQ355" s="105">
        <f t="shared" si="572"/>
        <v>0</v>
      </c>
      <c r="AR355" s="106"/>
      <c r="AS355" s="97">
        <f t="shared" si="553"/>
        <v>5.666666666666667</v>
      </c>
      <c r="AT355" s="6"/>
      <c r="AU355" s="105"/>
      <c r="AV355" s="455">
        <f t="shared" si="500"/>
        <v>0</v>
      </c>
      <c r="AW355" s="496"/>
      <c r="AX355" s="508"/>
      <c r="AY355" s="498">
        <v>20</v>
      </c>
      <c r="AZ355" s="100">
        <f t="shared" si="564"/>
        <v>1.3333333333333333</v>
      </c>
      <c r="BA355" s="101"/>
      <c r="BB355" s="100"/>
      <c r="BC355" s="100">
        <f t="shared" si="565"/>
        <v>0</v>
      </c>
      <c r="BD355" s="101"/>
      <c r="BE355" s="105">
        <f t="shared" si="566"/>
        <v>7</v>
      </c>
      <c r="BF355" s="106"/>
      <c r="BG355" s="100">
        <f t="shared" si="540"/>
        <v>0</v>
      </c>
      <c r="BH355" s="106"/>
      <c r="BI355" s="100">
        <f t="shared" si="541"/>
        <v>0</v>
      </c>
      <c r="BJ355" s="106"/>
      <c r="BK355" s="101">
        <f t="shared" si="554"/>
        <v>7</v>
      </c>
      <c r="BL355" s="106"/>
      <c r="BM355" s="104">
        <v>800</v>
      </c>
      <c r="BN355" s="104">
        <f t="shared" si="567"/>
        <v>16</v>
      </c>
      <c r="BO355" s="105">
        <v>350</v>
      </c>
      <c r="BP355" s="105">
        <f t="shared" si="501"/>
        <v>7</v>
      </c>
      <c r="BQ355" s="106"/>
      <c r="BR355" s="105"/>
      <c r="BS355" s="105">
        <f t="shared" si="552"/>
        <v>0</v>
      </c>
      <c r="BT355" s="106"/>
      <c r="BU355" s="53"/>
      <c r="BV355" s="53">
        <f t="shared" si="568"/>
        <v>0</v>
      </c>
      <c r="BW355" s="54"/>
      <c r="BX355" s="350">
        <f t="shared" si="555"/>
        <v>7</v>
      </c>
      <c r="BY355" s="6"/>
      <c r="BZ355" s="6">
        <f t="shared" si="573"/>
        <v>0</v>
      </c>
      <c r="CA355" s="508"/>
      <c r="CB355" s="7"/>
      <c r="CC355" s="7"/>
      <c r="CD355" s="7"/>
      <c r="CE355" s="504"/>
      <c r="CF355" s="105"/>
      <c r="CG355" s="105">
        <f t="shared" si="520"/>
        <v>0</v>
      </c>
      <c r="CH355" s="105"/>
      <c r="CI355" s="105"/>
      <c r="CJ355" s="105">
        <f t="shared" si="521"/>
        <v>0</v>
      </c>
      <c r="CK355" s="523"/>
      <c r="CL355" s="102">
        <f t="shared" si="569"/>
        <v>0</v>
      </c>
      <c r="CM355" s="103"/>
      <c r="CN355" s="100"/>
      <c r="CO355" s="100">
        <f t="shared" si="498"/>
        <v>0</v>
      </c>
      <c r="CP355" s="515"/>
      <c r="CQ355" s="441"/>
      <c r="CR355" s="504"/>
      <c r="CS355" s="105"/>
      <c r="CT355" s="105">
        <f t="shared" si="574"/>
        <v>0</v>
      </c>
      <c r="CU355" s="105"/>
      <c r="CV355" s="105"/>
      <c r="CW355" s="105">
        <f t="shared" si="575"/>
        <v>0</v>
      </c>
      <c r="CX355" s="53"/>
      <c r="CY355" s="109">
        <f t="shared" si="499"/>
        <v>0</v>
      </c>
      <c r="CZ355" s="54"/>
      <c r="DA355" s="105"/>
      <c r="DB355" s="455">
        <f t="shared" si="556"/>
        <v>0</v>
      </c>
      <c r="DC355" s="495"/>
      <c r="DD355" s="24" t="s">
        <v>388</v>
      </c>
      <c r="DF355" s="1133"/>
      <c r="DG355" s="674">
        <f t="shared" si="544"/>
        <v>0</v>
      </c>
      <c r="DH355" s="1119">
        <f t="shared" si="545"/>
        <v>0</v>
      </c>
      <c r="DI355" s="1119"/>
      <c r="DJ355" s="101">
        <f t="shared" si="497"/>
        <v>7</v>
      </c>
      <c r="DK355" s="101"/>
      <c r="DL355" s="101">
        <f t="shared" ref="DL355:DL418" si="576">CT355+CG355+AC355</f>
        <v>0</v>
      </c>
      <c r="DM355" s="101"/>
      <c r="DN355" s="112"/>
      <c r="DO355" s="112">
        <f>DJ355</f>
        <v>7</v>
      </c>
      <c r="DP355" s="112"/>
      <c r="DQ355" s="112"/>
      <c r="DS355" s="140"/>
      <c r="DT355" s="140"/>
      <c r="DU355" s="140"/>
      <c r="DV355" s="140"/>
      <c r="DW355" s="140"/>
      <c r="DX355" s="140"/>
      <c r="DY355" s="140"/>
      <c r="DZ355" s="140"/>
    </row>
    <row r="356" spans="1:130" s="139" customFormat="1" ht="21.6" customHeight="1" x14ac:dyDescent="0.25">
      <c r="A356" s="4" t="s">
        <v>130</v>
      </c>
      <c r="B356" s="4">
        <v>14</v>
      </c>
      <c r="C356" s="153" t="s">
        <v>196</v>
      </c>
      <c r="D356" s="153" t="s">
        <v>431</v>
      </c>
      <c r="E356" s="13" t="s">
        <v>207</v>
      </c>
      <c r="F356" s="135">
        <v>21</v>
      </c>
      <c r="G356" s="135">
        <v>2</v>
      </c>
      <c r="H356" s="135">
        <f t="shared" si="570"/>
        <v>23</v>
      </c>
      <c r="I356" s="135"/>
      <c r="J356" s="135">
        <v>11.59</v>
      </c>
      <c r="K356" s="135">
        <f t="shared" si="571"/>
        <v>11.59</v>
      </c>
      <c r="L356" s="136"/>
      <c r="M356" s="5"/>
      <c r="N356" s="41"/>
      <c r="O356" s="5"/>
      <c r="P356" s="7"/>
      <c r="Q356" s="7"/>
      <c r="R356" s="7"/>
      <c r="S356" s="7"/>
      <c r="T356" s="89"/>
      <c r="U356" s="89"/>
      <c r="V356" s="89">
        <f t="shared" si="557"/>
        <v>0</v>
      </c>
      <c r="W356" s="137"/>
      <c r="X356" s="137"/>
      <c r="Y356" s="90">
        <f t="shared" si="558"/>
        <v>0</v>
      </c>
      <c r="Z356" s="91"/>
      <c r="AA356" s="92"/>
      <c r="AB356" s="92"/>
      <c r="AC356" s="92">
        <f t="shared" si="559"/>
        <v>0</v>
      </c>
      <c r="AD356" s="93"/>
      <c r="AE356" s="93"/>
      <c r="AF356" s="94">
        <f t="shared" si="560"/>
        <v>0</v>
      </c>
      <c r="AG356" s="473"/>
      <c r="AH356" s="99">
        <v>40.200000000000003</v>
      </c>
      <c r="AI356" s="99">
        <f t="shared" si="561"/>
        <v>2.68</v>
      </c>
      <c r="AJ356" s="138">
        <v>40</v>
      </c>
      <c r="AK356" s="138">
        <f t="shared" si="562"/>
        <v>2.6666666666666665</v>
      </c>
      <c r="AL356" s="106"/>
      <c r="AM356" s="105"/>
      <c r="AN356" s="105">
        <f t="shared" si="563"/>
        <v>0</v>
      </c>
      <c r="AO356" s="106"/>
      <c r="AP356" s="105"/>
      <c r="AQ356" s="105">
        <f t="shared" si="572"/>
        <v>0</v>
      </c>
      <c r="AR356" s="106"/>
      <c r="AS356" s="97">
        <f t="shared" si="553"/>
        <v>2.6666666666666665</v>
      </c>
      <c r="AT356" s="6"/>
      <c r="AU356" s="105"/>
      <c r="AV356" s="455">
        <f t="shared" si="500"/>
        <v>0</v>
      </c>
      <c r="AW356" s="496"/>
      <c r="AX356" s="508"/>
      <c r="AY356" s="498">
        <v>20</v>
      </c>
      <c r="AZ356" s="100">
        <f t="shared" si="564"/>
        <v>1.3333333333333333</v>
      </c>
      <c r="BA356" s="101"/>
      <c r="BB356" s="100"/>
      <c r="BC356" s="100">
        <f t="shared" si="565"/>
        <v>0</v>
      </c>
      <c r="BD356" s="101"/>
      <c r="BE356" s="105">
        <f t="shared" si="566"/>
        <v>4</v>
      </c>
      <c r="BF356" s="106"/>
      <c r="BG356" s="100">
        <f t="shared" si="540"/>
        <v>0</v>
      </c>
      <c r="BH356" s="106"/>
      <c r="BI356" s="100">
        <f t="shared" si="541"/>
        <v>0</v>
      </c>
      <c r="BJ356" s="106"/>
      <c r="BK356" s="101">
        <f t="shared" si="554"/>
        <v>4</v>
      </c>
      <c r="BL356" s="106"/>
      <c r="BM356" s="104">
        <v>201</v>
      </c>
      <c r="BN356" s="104">
        <f t="shared" si="567"/>
        <v>4.0199999999999996</v>
      </c>
      <c r="BO356" s="105">
        <v>200</v>
      </c>
      <c r="BP356" s="105">
        <f t="shared" si="501"/>
        <v>4</v>
      </c>
      <c r="BQ356" s="106"/>
      <c r="BR356" s="105"/>
      <c r="BS356" s="105">
        <f t="shared" si="552"/>
        <v>0</v>
      </c>
      <c r="BT356" s="106"/>
      <c r="BU356" s="53"/>
      <c r="BV356" s="53">
        <f t="shared" si="568"/>
        <v>0</v>
      </c>
      <c r="BW356" s="54"/>
      <c r="BX356" s="350">
        <f t="shared" si="555"/>
        <v>4</v>
      </c>
      <c r="BY356" s="6"/>
      <c r="BZ356" s="6">
        <f t="shared" si="573"/>
        <v>0</v>
      </c>
      <c r="CA356" s="508"/>
      <c r="CB356" s="7"/>
      <c r="CC356" s="7"/>
      <c r="CD356" s="7"/>
      <c r="CE356" s="504"/>
      <c r="CF356" s="105"/>
      <c r="CG356" s="105">
        <f t="shared" si="520"/>
        <v>0</v>
      </c>
      <c r="CH356" s="105"/>
      <c r="CI356" s="105"/>
      <c r="CJ356" s="105">
        <f t="shared" si="521"/>
        <v>0</v>
      </c>
      <c r="CK356" s="523"/>
      <c r="CL356" s="102">
        <f t="shared" si="569"/>
        <v>0</v>
      </c>
      <c r="CM356" s="103"/>
      <c r="CN356" s="100"/>
      <c r="CO356" s="100">
        <f t="shared" si="498"/>
        <v>0</v>
      </c>
      <c r="CP356" s="515"/>
      <c r="CQ356" s="441"/>
      <c r="CR356" s="504"/>
      <c r="CS356" s="105"/>
      <c r="CT356" s="105">
        <f t="shared" si="574"/>
        <v>0</v>
      </c>
      <c r="CU356" s="105"/>
      <c r="CV356" s="105"/>
      <c r="CW356" s="105">
        <f t="shared" si="575"/>
        <v>0</v>
      </c>
      <c r="CX356" s="53"/>
      <c r="CY356" s="109">
        <f t="shared" si="499"/>
        <v>0</v>
      </c>
      <c r="CZ356" s="54"/>
      <c r="DA356" s="105"/>
      <c r="DB356" s="455">
        <f t="shared" si="556"/>
        <v>0</v>
      </c>
      <c r="DC356" s="495"/>
      <c r="DD356" s="24"/>
      <c r="DF356" s="1133"/>
      <c r="DG356" s="674">
        <f t="shared" si="544"/>
        <v>0</v>
      </c>
      <c r="DH356" s="1119">
        <f t="shared" si="545"/>
        <v>0</v>
      </c>
      <c r="DI356" s="1119"/>
      <c r="DJ356" s="101">
        <f t="shared" ref="DJ356:DJ419" si="577">DC356+CO356+CL356+BC356+AZ356+AV356+AS356</f>
        <v>4</v>
      </c>
      <c r="DK356" s="101"/>
      <c r="DL356" s="101">
        <f t="shared" si="576"/>
        <v>0</v>
      </c>
      <c r="DM356" s="101"/>
      <c r="DN356" s="112"/>
      <c r="DO356" s="112"/>
      <c r="DP356" s="112"/>
      <c r="DQ356" s="112"/>
      <c r="DS356" s="140"/>
      <c r="DT356" s="140"/>
      <c r="DU356" s="140"/>
      <c r="DV356" s="140"/>
      <c r="DW356" s="140"/>
      <c r="DX356" s="140"/>
      <c r="DY356" s="140"/>
      <c r="DZ356" s="140"/>
    </row>
    <row r="357" spans="1:130" s="139" customFormat="1" ht="21.6" customHeight="1" x14ac:dyDescent="0.25">
      <c r="A357" s="4"/>
      <c r="B357" s="4"/>
      <c r="C357" s="134" t="s">
        <v>196</v>
      </c>
      <c r="D357" s="134" t="s">
        <v>437</v>
      </c>
      <c r="E357" s="3" t="s">
        <v>617</v>
      </c>
      <c r="F357" s="135"/>
      <c r="G357" s="135"/>
      <c r="H357" s="135"/>
      <c r="I357" s="135"/>
      <c r="J357" s="135"/>
      <c r="K357" s="135"/>
      <c r="L357" s="136"/>
      <c r="M357" s="5"/>
      <c r="N357" s="41"/>
      <c r="O357" s="5"/>
      <c r="P357" s="7"/>
      <c r="Q357" s="7"/>
      <c r="R357" s="7"/>
      <c r="S357" s="7"/>
      <c r="T357" s="89"/>
      <c r="U357" s="89"/>
      <c r="V357" s="89">
        <f t="shared" si="557"/>
        <v>0</v>
      </c>
      <c r="W357" s="137"/>
      <c r="X357" s="137"/>
      <c r="Y357" s="90">
        <f t="shared" si="558"/>
        <v>0</v>
      </c>
      <c r="Z357" s="91"/>
      <c r="AA357" s="92"/>
      <c r="AB357" s="92"/>
      <c r="AC357" s="92">
        <f t="shared" si="559"/>
        <v>0</v>
      </c>
      <c r="AD357" s="93"/>
      <c r="AE357" s="93"/>
      <c r="AF357" s="94">
        <f t="shared" si="560"/>
        <v>0</v>
      </c>
      <c r="AG357" s="473"/>
      <c r="AH357" s="99"/>
      <c r="AI357" s="99"/>
      <c r="AJ357" s="138"/>
      <c r="AK357" s="138">
        <f t="shared" si="562"/>
        <v>0</v>
      </c>
      <c r="AL357" s="106"/>
      <c r="AM357" s="105"/>
      <c r="AN357" s="105">
        <f t="shared" si="563"/>
        <v>0</v>
      </c>
      <c r="AO357" s="106"/>
      <c r="AP357" s="105"/>
      <c r="AQ357" s="105">
        <f t="shared" si="572"/>
        <v>0</v>
      </c>
      <c r="AR357" s="106"/>
      <c r="AS357" s="97">
        <f t="shared" si="553"/>
        <v>0</v>
      </c>
      <c r="AT357" s="6"/>
      <c r="AU357" s="105"/>
      <c r="AV357" s="455">
        <f t="shared" si="500"/>
        <v>0</v>
      </c>
      <c r="AW357" s="496"/>
      <c r="AX357" s="508"/>
      <c r="AY357" s="498">
        <v>420</v>
      </c>
      <c r="AZ357" s="100">
        <f t="shared" si="564"/>
        <v>28</v>
      </c>
      <c r="BA357" s="101"/>
      <c r="BB357" s="100"/>
      <c r="BC357" s="100">
        <f t="shared" si="565"/>
        <v>0</v>
      </c>
      <c r="BD357" s="101"/>
      <c r="BE357" s="105">
        <f t="shared" si="566"/>
        <v>28</v>
      </c>
      <c r="BF357" s="106"/>
      <c r="BG357" s="100">
        <f t="shared" si="540"/>
        <v>0</v>
      </c>
      <c r="BH357" s="106"/>
      <c r="BI357" s="100">
        <f t="shared" si="541"/>
        <v>0</v>
      </c>
      <c r="BJ357" s="106"/>
      <c r="BK357" s="101">
        <f t="shared" si="554"/>
        <v>28</v>
      </c>
      <c r="BL357" s="106"/>
      <c r="BM357" s="104">
        <v>1400</v>
      </c>
      <c r="BN357" s="104">
        <f t="shared" si="567"/>
        <v>28</v>
      </c>
      <c r="BO357" s="105"/>
      <c r="BP357" s="105">
        <f t="shared" si="501"/>
        <v>0</v>
      </c>
      <c r="BQ357" s="106"/>
      <c r="BR357" s="105">
        <v>1400</v>
      </c>
      <c r="BS357" s="105">
        <f t="shared" si="552"/>
        <v>28</v>
      </c>
      <c r="BT357" s="106"/>
      <c r="BU357" s="53"/>
      <c r="BV357" s="53">
        <f t="shared" si="568"/>
        <v>0</v>
      </c>
      <c r="BW357" s="54"/>
      <c r="BX357" s="350">
        <f t="shared" si="555"/>
        <v>28</v>
      </c>
      <c r="BY357" s="6"/>
      <c r="BZ357" s="6">
        <f t="shared" si="573"/>
        <v>0</v>
      </c>
      <c r="CA357" s="508"/>
      <c r="CB357" s="7"/>
      <c r="CC357" s="7"/>
      <c r="CD357" s="7"/>
      <c r="CE357" s="504"/>
      <c r="CF357" s="105"/>
      <c r="CG357" s="105">
        <f t="shared" si="520"/>
        <v>0</v>
      </c>
      <c r="CH357" s="105"/>
      <c r="CI357" s="105"/>
      <c r="CJ357" s="105">
        <f t="shared" si="521"/>
        <v>0</v>
      </c>
      <c r="CK357" s="523"/>
      <c r="CL357" s="102">
        <f t="shared" si="569"/>
        <v>0</v>
      </c>
      <c r="CM357" s="103"/>
      <c r="CN357" s="100"/>
      <c r="CO357" s="100">
        <f t="shared" ref="CO357:CO412" si="578">CN357/15</f>
        <v>0</v>
      </c>
      <c r="CP357" s="515"/>
      <c r="CQ357" s="441"/>
      <c r="CR357" s="504"/>
      <c r="CS357" s="105"/>
      <c r="CT357" s="105">
        <f t="shared" si="574"/>
        <v>0</v>
      </c>
      <c r="CU357" s="105"/>
      <c r="CV357" s="105"/>
      <c r="CW357" s="105">
        <f t="shared" si="575"/>
        <v>0</v>
      </c>
      <c r="CX357" s="53"/>
      <c r="CY357" s="109">
        <f t="shared" ref="CY357:CY412" si="579">CX357/15</f>
        <v>0</v>
      </c>
      <c r="CZ357" s="54"/>
      <c r="DA357" s="105"/>
      <c r="DB357" s="455">
        <f t="shared" si="556"/>
        <v>0</v>
      </c>
      <c r="DC357" s="495"/>
      <c r="DD357" s="24" t="s">
        <v>398</v>
      </c>
      <c r="DF357" s="1133"/>
      <c r="DG357" s="674">
        <f t="shared" si="544"/>
        <v>0</v>
      </c>
      <c r="DH357" s="1119">
        <f t="shared" si="545"/>
        <v>0</v>
      </c>
      <c r="DI357" s="1119"/>
      <c r="DJ357" s="101">
        <f t="shared" si="577"/>
        <v>28</v>
      </c>
      <c r="DK357" s="101"/>
      <c r="DL357" s="101">
        <f t="shared" si="576"/>
        <v>0</v>
      </c>
      <c r="DM357" s="101"/>
      <c r="DN357" s="112"/>
      <c r="DO357" s="112">
        <f>DJ357</f>
        <v>28</v>
      </c>
      <c r="DP357" s="112"/>
      <c r="DQ357" s="112"/>
      <c r="DS357" s="140"/>
      <c r="DT357" s="140"/>
      <c r="DU357" s="140"/>
      <c r="DV357" s="140"/>
      <c r="DW357" s="140"/>
      <c r="DX357" s="140"/>
      <c r="DY357" s="140"/>
      <c r="DZ357" s="140"/>
    </row>
    <row r="358" spans="1:130" s="139" customFormat="1" ht="21.6" customHeight="1" x14ac:dyDescent="0.25">
      <c r="A358" s="4"/>
      <c r="B358" s="4"/>
      <c r="C358" s="134" t="s">
        <v>196</v>
      </c>
      <c r="D358" s="134" t="s">
        <v>431</v>
      </c>
      <c r="E358" s="3" t="s">
        <v>297</v>
      </c>
      <c r="F358" s="135"/>
      <c r="G358" s="135"/>
      <c r="H358" s="135"/>
      <c r="I358" s="135"/>
      <c r="J358" s="135"/>
      <c r="K358" s="135"/>
      <c r="L358" s="136"/>
      <c r="M358" s="5"/>
      <c r="N358" s="41"/>
      <c r="O358" s="5"/>
      <c r="P358" s="7"/>
      <c r="Q358" s="7"/>
      <c r="R358" s="7"/>
      <c r="S358" s="7"/>
      <c r="T358" s="89"/>
      <c r="U358" s="89"/>
      <c r="V358" s="89">
        <f t="shared" si="557"/>
        <v>0</v>
      </c>
      <c r="W358" s="137"/>
      <c r="X358" s="137"/>
      <c r="Y358" s="90">
        <f t="shared" si="558"/>
        <v>0</v>
      </c>
      <c r="Z358" s="91"/>
      <c r="AA358" s="92"/>
      <c r="AB358" s="92"/>
      <c r="AC358" s="92">
        <f t="shared" si="559"/>
        <v>0</v>
      </c>
      <c r="AD358" s="93"/>
      <c r="AE358" s="93"/>
      <c r="AF358" s="94">
        <f t="shared" si="560"/>
        <v>0</v>
      </c>
      <c r="AG358" s="473"/>
      <c r="AH358" s="99">
        <v>25.5</v>
      </c>
      <c r="AI358" s="99">
        <f t="shared" si="561"/>
        <v>1.7</v>
      </c>
      <c r="AJ358" s="138">
        <v>25</v>
      </c>
      <c r="AK358" s="138">
        <f t="shared" si="562"/>
        <v>1.6666666666666667</v>
      </c>
      <c r="AL358" s="106"/>
      <c r="AM358" s="105"/>
      <c r="AN358" s="105">
        <f t="shared" si="563"/>
        <v>0</v>
      </c>
      <c r="AO358" s="106"/>
      <c r="AP358" s="105"/>
      <c r="AQ358" s="105">
        <f t="shared" si="572"/>
        <v>0</v>
      </c>
      <c r="AR358" s="106"/>
      <c r="AS358" s="97">
        <f t="shared" si="553"/>
        <v>1.6666666666666667</v>
      </c>
      <c r="AT358" s="6"/>
      <c r="AU358" s="105"/>
      <c r="AV358" s="455">
        <f t="shared" ref="AV358:AV412" si="580">AU358/15</f>
        <v>0</v>
      </c>
      <c r="AW358" s="496"/>
      <c r="AX358" s="508"/>
      <c r="AY358" s="498">
        <v>30</v>
      </c>
      <c r="AZ358" s="100">
        <f t="shared" si="564"/>
        <v>2</v>
      </c>
      <c r="BA358" s="101"/>
      <c r="BB358" s="100"/>
      <c r="BC358" s="100">
        <f t="shared" si="565"/>
        <v>0</v>
      </c>
      <c r="BD358" s="101"/>
      <c r="BE358" s="105">
        <f t="shared" si="566"/>
        <v>3.666666666666667</v>
      </c>
      <c r="BF358" s="106"/>
      <c r="BG358" s="100">
        <f t="shared" si="540"/>
        <v>0</v>
      </c>
      <c r="BH358" s="106"/>
      <c r="BI358" s="100">
        <f t="shared" si="541"/>
        <v>0</v>
      </c>
      <c r="BJ358" s="106"/>
      <c r="BK358" s="101">
        <f t="shared" si="554"/>
        <v>3.666666666666667</v>
      </c>
      <c r="BL358" s="106"/>
      <c r="BM358" s="104">
        <v>136</v>
      </c>
      <c r="BN358" s="104">
        <f t="shared" si="567"/>
        <v>2.72</v>
      </c>
      <c r="BO358" s="105">
        <v>150</v>
      </c>
      <c r="BP358" s="105">
        <f t="shared" ref="BP358:BP412" si="581">BO358/50</f>
        <v>3</v>
      </c>
      <c r="BQ358" s="106"/>
      <c r="BR358" s="105"/>
      <c r="BS358" s="105">
        <f t="shared" si="552"/>
        <v>0</v>
      </c>
      <c r="BT358" s="106"/>
      <c r="BU358" s="53"/>
      <c r="BV358" s="53">
        <f t="shared" si="568"/>
        <v>0</v>
      </c>
      <c r="BW358" s="54"/>
      <c r="BX358" s="350">
        <f t="shared" si="555"/>
        <v>3</v>
      </c>
      <c r="BY358" s="6"/>
      <c r="BZ358" s="6">
        <f t="shared" si="573"/>
        <v>0.66666666666666696</v>
      </c>
      <c r="CA358" s="508"/>
      <c r="CB358" s="7"/>
      <c r="CC358" s="7"/>
      <c r="CD358" s="7"/>
      <c r="CE358" s="504"/>
      <c r="CF358" s="105"/>
      <c r="CG358" s="105">
        <f t="shared" si="520"/>
        <v>0</v>
      </c>
      <c r="CH358" s="105"/>
      <c r="CI358" s="105"/>
      <c r="CJ358" s="105">
        <f t="shared" si="521"/>
        <v>0</v>
      </c>
      <c r="CK358" s="523"/>
      <c r="CL358" s="102">
        <f t="shared" si="569"/>
        <v>0</v>
      </c>
      <c r="CM358" s="103"/>
      <c r="CN358" s="100"/>
      <c r="CO358" s="100">
        <f t="shared" si="578"/>
        <v>0</v>
      </c>
      <c r="CP358" s="515"/>
      <c r="CQ358" s="441"/>
      <c r="CR358" s="504"/>
      <c r="CS358" s="105"/>
      <c r="CT358" s="105">
        <f t="shared" si="574"/>
        <v>0</v>
      </c>
      <c r="CU358" s="105"/>
      <c r="CV358" s="105"/>
      <c r="CW358" s="105">
        <f t="shared" si="575"/>
        <v>0</v>
      </c>
      <c r="CX358" s="53"/>
      <c r="CY358" s="109">
        <f t="shared" si="579"/>
        <v>0</v>
      </c>
      <c r="CZ358" s="54"/>
      <c r="DA358" s="105"/>
      <c r="DB358" s="455">
        <f t="shared" si="556"/>
        <v>0</v>
      </c>
      <c r="DC358" s="495"/>
      <c r="DD358" s="24" t="s">
        <v>387</v>
      </c>
      <c r="DF358" s="1133"/>
      <c r="DG358" s="674">
        <f t="shared" si="544"/>
        <v>0</v>
      </c>
      <c r="DH358" s="1119">
        <f t="shared" si="545"/>
        <v>0</v>
      </c>
      <c r="DI358" s="1119"/>
      <c r="DJ358" s="101">
        <f t="shared" si="577"/>
        <v>3.666666666666667</v>
      </c>
      <c r="DK358" s="101"/>
      <c r="DL358" s="101">
        <f t="shared" si="576"/>
        <v>0</v>
      </c>
      <c r="DM358" s="101"/>
      <c r="DN358" s="112"/>
      <c r="DO358" s="112"/>
      <c r="DP358" s="112"/>
      <c r="DQ358" s="112"/>
      <c r="DS358" s="140"/>
      <c r="DT358" s="140"/>
      <c r="DU358" s="140"/>
      <c r="DV358" s="140"/>
      <c r="DW358" s="140"/>
      <c r="DX358" s="140"/>
      <c r="DY358" s="140"/>
      <c r="DZ358" s="140"/>
    </row>
    <row r="359" spans="1:130" s="139" customFormat="1" ht="21.6" customHeight="1" x14ac:dyDescent="0.25">
      <c r="A359" s="4" t="s">
        <v>130</v>
      </c>
      <c r="B359" s="4">
        <v>16</v>
      </c>
      <c r="C359" s="182" t="s">
        <v>196</v>
      </c>
      <c r="D359" s="182" t="s">
        <v>431</v>
      </c>
      <c r="E359" s="13" t="s">
        <v>208</v>
      </c>
      <c r="F359" s="135">
        <v>26</v>
      </c>
      <c r="G359" s="135">
        <v>10</v>
      </c>
      <c r="H359" s="135">
        <f t="shared" si="570"/>
        <v>36</v>
      </c>
      <c r="I359" s="135"/>
      <c r="J359" s="135">
        <v>18.22</v>
      </c>
      <c r="K359" s="135">
        <f t="shared" si="571"/>
        <v>18.22</v>
      </c>
      <c r="L359" s="136"/>
      <c r="M359" s="5"/>
      <c r="N359" s="41"/>
      <c r="O359" s="5"/>
      <c r="P359" s="7"/>
      <c r="Q359" s="7"/>
      <c r="R359" s="7"/>
      <c r="S359" s="7"/>
      <c r="T359" s="89"/>
      <c r="U359" s="89"/>
      <c r="V359" s="89">
        <f t="shared" si="557"/>
        <v>0</v>
      </c>
      <c r="W359" s="137"/>
      <c r="X359" s="137"/>
      <c r="Y359" s="90">
        <f t="shared" si="558"/>
        <v>0</v>
      </c>
      <c r="Z359" s="91"/>
      <c r="AA359" s="92"/>
      <c r="AB359" s="92"/>
      <c r="AC359" s="92">
        <f t="shared" si="559"/>
        <v>0</v>
      </c>
      <c r="AD359" s="93"/>
      <c r="AE359" s="93"/>
      <c r="AF359" s="94">
        <f t="shared" si="560"/>
        <v>0</v>
      </c>
      <c r="AG359" s="473"/>
      <c r="AH359" s="99">
        <v>35</v>
      </c>
      <c r="AI359" s="99">
        <f t="shared" si="561"/>
        <v>2.3333333333333335</v>
      </c>
      <c r="AJ359" s="138">
        <v>35</v>
      </c>
      <c r="AK359" s="138">
        <f t="shared" si="562"/>
        <v>2.3333333333333335</v>
      </c>
      <c r="AL359" s="106"/>
      <c r="AM359" s="105"/>
      <c r="AN359" s="105">
        <f t="shared" si="563"/>
        <v>0</v>
      </c>
      <c r="AO359" s="106"/>
      <c r="AP359" s="105"/>
      <c r="AQ359" s="105">
        <f t="shared" si="572"/>
        <v>0</v>
      </c>
      <c r="AR359" s="106"/>
      <c r="AS359" s="97">
        <f t="shared" si="553"/>
        <v>2.3333333333333335</v>
      </c>
      <c r="AT359" s="6"/>
      <c r="AU359" s="105"/>
      <c r="AV359" s="455">
        <f t="shared" si="580"/>
        <v>0</v>
      </c>
      <c r="AW359" s="496"/>
      <c r="AX359" s="508"/>
      <c r="AY359" s="498">
        <v>10</v>
      </c>
      <c r="AZ359" s="100">
        <f t="shared" si="564"/>
        <v>0.66666666666666663</v>
      </c>
      <c r="BA359" s="101"/>
      <c r="BB359" s="100"/>
      <c r="BC359" s="100">
        <f t="shared" si="565"/>
        <v>0</v>
      </c>
      <c r="BD359" s="101"/>
      <c r="BE359" s="105">
        <f t="shared" si="566"/>
        <v>3</v>
      </c>
      <c r="BF359" s="106"/>
      <c r="BG359" s="100">
        <f t="shared" si="540"/>
        <v>0</v>
      </c>
      <c r="BH359" s="106"/>
      <c r="BI359" s="100">
        <f t="shared" si="541"/>
        <v>0</v>
      </c>
      <c r="BJ359" s="106"/>
      <c r="BK359" s="101">
        <f t="shared" si="554"/>
        <v>3</v>
      </c>
      <c r="BL359" s="106"/>
      <c r="BM359" s="104">
        <v>150</v>
      </c>
      <c r="BN359" s="104">
        <f t="shared" si="567"/>
        <v>3</v>
      </c>
      <c r="BO359" s="105">
        <v>150</v>
      </c>
      <c r="BP359" s="105">
        <f t="shared" si="581"/>
        <v>3</v>
      </c>
      <c r="BQ359" s="106"/>
      <c r="BR359" s="105"/>
      <c r="BS359" s="105">
        <f t="shared" si="552"/>
        <v>0</v>
      </c>
      <c r="BT359" s="106"/>
      <c r="BU359" s="53"/>
      <c r="BV359" s="53">
        <f t="shared" si="568"/>
        <v>0</v>
      </c>
      <c r="BW359" s="54"/>
      <c r="BX359" s="350">
        <f t="shared" si="555"/>
        <v>3</v>
      </c>
      <c r="BY359" s="6"/>
      <c r="BZ359" s="6">
        <f t="shared" si="573"/>
        <v>0</v>
      </c>
      <c r="CA359" s="508"/>
      <c r="CB359" s="7"/>
      <c r="CC359" s="7"/>
      <c r="CD359" s="7"/>
      <c r="CE359" s="504"/>
      <c r="CF359" s="105"/>
      <c r="CG359" s="105">
        <f t="shared" si="520"/>
        <v>0</v>
      </c>
      <c r="CH359" s="105"/>
      <c r="CI359" s="105"/>
      <c r="CJ359" s="105">
        <f t="shared" si="521"/>
        <v>0</v>
      </c>
      <c r="CK359" s="523"/>
      <c r="CL359" s="102">
        <f t="shared" si="569"/>
        <v>0</v>
      </c>
      <c r="CM359" s="103"/>
      <c r="CN359" s="100"/>
      <c r="CO359" s="100">
        <f t="shared" si="578"/>
        <v>0</v>
      </c>
      <c r="CP359" s="515"/>
      <c r="CQ359" s="441"/>
      <c r="CR359" s="504"/>
      <c r="CS359" s="105"/>
      <c r="CT359" s="105">
        <f t="shared" si="574"/>
        <v>0</v>
      </c>
      <c r="CU359" s="105"/>
      <c r="CV359" s="105"/>
      <c r="CW359" s="105">
        <f t="shared" si="575"/>
        <v>0</v>
      </c>
      <c r="CX359" s="53"/>
      <c r="CY359" s="109">
        <f t="shared" si="579"/>
        <v>0</v>
      </c>
      <c r="CZ359" s="54"/>
      <c r="DA359" s="105"/>
      <c r="DB359" s="455">
        <f t="shared" si="556"/>
        <v>0</v>
      </c>
      <c r="DC359" s="495"/>
      <c r="DD359" s="24"/>
      <c r="DF359" s="1133"/>
      <c r="DG359" s="674">
        <f t="shared" si="544"/>
        <v>0</v>
      </c>
      <c r="DH359" s="1119">
        <f t="shared" si="545"/>
        <v>0</v>
      </c>
      <c r="DI359" s="1119"/>
      <c r="DJ359" s="101">
        <f t="shared" si="577"/>
        <v>3</v>
      </c>
      <c r="DK359" s="101"/>
      <c r="DL359" s="101">
        <f t="shared" si="576"/>
        <v>0</v>
      </c>
      <c r="DM359" s="101"/>
      <c r="DN359" s="112"/>
      <c r="DO359" s="112"/>
      <c r="DP359" s="112"/>
      <c r="DQ359" s="112"/>
      <c r="DS359" s="140"/>
      <c r="DT359" s="140"/>
      <c r="DU359" s="140"/>
      <c r="DV359" s="140"/>
      <c r="DW359" s="140"/>
      <c r="DX359" s="140"/>
      <c r="DY359" s="140"/>
      <c r="DZ359" s="140"/>
    </row>
    <row r="360" spans="1:130" s="139" customFormat="1" ht="21.6" customHeight="1" x14ac:dyDescent="0.25">
      <c r="A360" s="4" t="s">
        <v>130</v>
      </c>
      <c r="B360" s="4">
        <v>17</v>
      </c>
      <c r="C360" s="134" t="s">
        <v>196</v>
      </c>
      <c r="D360" s="134" t="s">
        <v>431</v>
      </c>
      <c r="E360" s="13" t="s">
        <v>209</v>
      </c>
      <c r="F360" s="135">
        <v>26</v>
      </c>
      <c r="G360" s="135"/>
      <c r="H360" s="135">
        <f t="shared" si="570"/>
        <v>26</v>
      </c>
      <c r="I360" s="135"/>
      <c r="J360" s="135">
        <v>12.99</v>
      </c>
      <c r="K360" s="135">
        <f t="shared" si="571"/>
        <v>12.99</v>
      </c>
      <c r="L360" s="136"/>
      <c r="M360" s="5"/>
      <c r="N360" s="41"/>
      <c r="O360" s="5"/>
      <c r="P360" s="7"/>
      <c r="Q360" s="7"/>
      <c r="R360" s="7"/>
      <c r="S360" s="7"/>
      <c r="T360" s="89"/>
      <c r="U360" s="89"/>
      <c r="V360" s="89">
        <f t="shared" si="557"/>
        <v>0</v>
      </c>
      <c r="W360" s="137"/>
      <c r="X360" s="137"/>
      <c r="Y360" s="90">
        <f t="shared" si="558"/>
        <v>0</v>
      </c>
      <c r="Z360" s="91"/>
      <c r="AA360" s="92"/>
      <c r="AB360" s="92"/>
      <c r="AC360" s="92">
        <f t="shared" si="559"/>
        <v>0</v>
      </c>
      <c r="AD360" s="93"/>
      <c r="AE360" s="93"/>
      <c r="AF360" s="94">
        <f t="shared" si="560"/>
        <v>0</v>
      </c>
      <c r="AG360" s="473"/>
      <c r="AH360" s="99">
        <v>210</v>
      </c>
      <c r="AI360" s="99">
        <f t="shared" si="561"/>
        <v>14</v>
      </c>
      <c r="AJ360" s="138">
        <v>60</v>
      </c>
      <c r="AK360" s="138">
        <f t="shared" si="562"/>
        <v>4</v>
      </c>
      <c r="AL360" s="106"/>
      <c r="AM360" s="105"/>
      <c r="AN360" s="105">
        <f t="shared" si="563"/>
        <v>0</v>
      </c>
      <c r="AO360" s="106"/>
      <c r="AP360" s="105"/>
      <c r="AQ360" s="105">
        <f t="shared" si="572"/>
        <v>0</v>
      </c>
      <c r="AR360" s="106"/>
      <c r="AS360" s="97">
        <f t="shared" si="553"/>
        <v>4</v>
      </c>
      <c r="AT360" s="6"/>
      <c r="AU360" s="105"/>
      <c r="AV360" s="455">
        <f t="shared" si="580"/>
        <v>0</v>
      </c>
      <c r="AW360" s="496"/>
      <c r="AX360" s="508"/>
      <c r="AY360" s="498">
        <v>55</v>
      </c>
      <c r="AZ360" s="100">
        <f t="shared" si="564"/>
        <v>3.6666666666666665</v>
      </c>
      <c r="BA360" s="101"/>
      <c r="BB360" s="100"/>
      <c r="BC360" s="100">
        <f t="shared" si="565"/>
        <v>0</v>
      </c>
      <c r="BD360" s="101"/>
      <c r="BE360" s="105">
        <f t="shared" si="566"/>
        <v>7.6666666666666661</v>
      </c>
      <c r="BF360" s="106"/>
      <c r="BG360" s="100">
        <f t="shared" si="540"/>
        <v>0</v>
      </c>
      <c r="BH360" s="106"/>
      <c r="BI360" s="100">
        <f t="shared" si="541"/>
        <v>0</v>
      </c>
      <c r="BJ360" s="106"/>
      <c r="BK360" s="101">
        <f t="shared" si="554"/>
        <v>7.6666666666666661</v>
      </c>
      <c r="BL360" s="106"/>
      <c r="BM360" s="104">
        <v>700</v>
      </c>
      <c r="BN360" s="104">
        <f t="shared" si="567"/>
        <v>14</v>
      </c>
      <c r="BO360" s="105">
        <v>400</v>
      </c>
      <c r="BP360" s="105">
        <f t="shared" si="581"/>
        <v>8</v>
      </c>
      <c r="BQ360" s="106"/>
      <c r="BR360" s="105">
        <v>150</v>
      </c>
      <c r="BS360" s="105">
        <f t="shared" si="552"/>
        <v>3</v>
      </c>
      <c r="BT360" s="106"/>
      <c r="BU360" s="53"/>
      <c r="BV360" s="53">
        <f t="shared" si="568"/>
        <v>0</v>
      </c>
      <c r="BW360" s="54"/>
      <c r="BX360" s="350">
        <f t="shared" si="555"/>
        <v>11</v>
      </c>
      <c r="BY360" s="6"/>
      <c r="BZ360" s="6">
        <f t="shared" si="573"/>
        <v>-3.3333333333333339</v>
      </c>
      <c r="CA360" s="508"/>
      <c r="CB360" s="7"/>
      <c r="CC360" s="7"/>
      <c r="CD360" s="7"/>
      <c r="CE360" s="504"/>
      <c r="CF360" s="105"/>
      <c r="CG360" s="105">
        <f t="shared" si="520"/>
        <v>0</v>
      </c>
      <c r="CH360" s="105"/>
      <c r="CI360" s="105"/>
      <c r="CJ360" s="105">
        <f t="shared" si="521"/>
        <v>0</v>
      </c>
      <c r="CK360" s="523"/>
      <c r="CL360" s="102">
        <f t="shared" si="569"/>
        <v>0</v>
      </c>
      <c r="CM360" s="103"/>
      <c r="CN360" s="100"/>
      <c r="CO360" s="100">
        <f t="shared" si="578"/>
        <v>0</v>
      </c>
      <c r="CP360" s="515"/>
      <c r="CQ360" s="441"/>
      <c r="CR360" s="504"/>
      <c r="CS360" s="105"/>
      <c r="CT360" s="105">
        <f t="shared" si="574"/>
        <v>0</v>
      </c>
      <c r="CU360" s="105"/>
      <c r="CV360" s="105"/>
      <c r="CW360" s="105">
        <f t="shared" si="575"/>
        <v>0</v>
      </c>
      <c r="CX360" s="53"/>
      <c r="CY360" s="109">
        <f t="shared" si="579"/>
        <v>0</v>
      </c>
      <c r="CZ360" s="54"/>
      <c r="DA360" s="105"/>
      <c r="DB360" s="455">
        <f t="shared" si="556"/>
        <v>0</v>
      </c>
      <c r="DC360" s="495"/>
      <c r="DD360" s="24"/>
      <c r="DF360" s="1133"/>
      <c r="DG360" s="674">
        <f t="shared" si="544"/>
        <v>0</v>
      </c>
      <c r="DH360" s="1119">
        <f t="shared" si="545"/>
        <v>0</v>
      </c>
      <c r="DI360" s="1119"/>
      <c r="DJ360" s="101">
        <f t="shared" si="577"/>
        <v>7.6666666666666661</v>
      </c>
      <c r="DK360" s="101"/>
      <c r="DL360" s="101">
        <f t="shared" si="576"/>
        <v>0</v>
      </c>
      <c r="DM360" s="101"/>
      <c r="DN360" s="112"/>
      <c r="DO360" s="112"/>
      <c r="DP360" s="112"/>
      <c r="DQ360" s="112"/>
      <c r="DS360" s="140"/>
      <c r="DT360" s="140"/>
      <c r="DU360" s="140"/>
      <c r="DV360" s="140"/>
      <c r="DW360" s="140"/>
      <c r="DX360" s="140"/>
      <c r="DY360" s="140"/>
      <c r="DZ360" s="140"/>
    </row>
    <row r="361" spans="1:130" s="151" customFormat="1" ht="21.6" customHeight="1" x14ac:dyDescent="0.25">
      <c r="A361" s="141"/>
      <c r="B361" s="141"/>
      <c r="C361" s="142"/>
      <c r="D361" s="143"/>
      <c r="E361" s="22"/>
      <c r="F361" s="144"/>
      <c r="G361" s="144"/>
      <c r="H361" s="144"/>
      <c r="I361" s="144"/>
      <c r="J361" s="144"/>
      <c r="K361" s="144"/>
      <c r="L361" s="145"/>
      <c r="M361" s="146"/>
      <c r="N361" s="147"/>
      <c r="O361" s="161"/>
      <c r="P361" s="148"/>
      <c r="Q361" s="148"/>
      <c r="R361" s="148"/>
      <c r="S361" s="148"/>
      <c r="T361" s="123"/>
      <c r="U361" s="123"/>
      <c r="V361" s="123"/>
      <c r="W361" s="149"/>
      <c r="X361" s="149"/>
      <c r="Y361" s="124"/>
      <c r="Z361" s="125"/>
      <c r="AA361" s="123"/>
      <c r="AB361" s="123"/>
      <c r="AC361" s="123"/>
      <c r="AD361" s="124"/>
      <c r="AE361" s="124"/>
      <c r="AF361" s="126"/>
      <c r="AG361" s="474"/>
      <c r="AH361" s="129"/>
      <c r="AI361" s="129"/>
      <c r="AJ361" s="138"/>
      <c r="AK361" s="138"/>
      <c r="AL361" s="106"/>
      <c r="AM361" s="105"/>
      <c r="AN361" s="105"/>
      <c r="AO361" s="106"/>
      <c r="AP361" s="105"/>
      <c r="AQ361" s="105">
        <f t="shared" si="572"/>
        <v>0</v>
      </c>
      <c r="AR361" s="106"/>
      <c r="AS361" s="97">
        <f t="shared" si="553"/>
        <v>0</v>
      </c>
      <c r="AT361" s="6"/>
      <c r="AU361" s="105"/>
      <c r="AV361" s="455">
        <f t="shared" si="580"/>
        <v>0</v>
      </c>
      <c r="AW361" s="496"/>
      <c r="AX361" s="508"/>
      <c r="AY361" s="498"/>
      <c r="AZ361" s="100"/>
      <c r="BA361" s="101"/>
      <c r="BB361" s="100"/>
      <c r="BC361" s="100"/>
      <c r="BD361" s="101"/>
      <c r="BE361" s="105"/>
      <c r="BF361" s="106"/>
      <c r="BG361" s="100">
        <f t="shared" si="540"/>
        <v>0</v>
      </c>
      <c r="BH361" s="106"/>
      <c r="BI361" s="100">
        <f t="shared" si="541"/>
        <v>0</v>
      </c>
      <c r="BJ361" s="106"/>
      <c r="BK361" s="101">
        <f t="shared" si="554"/>
        <v>0</v>
      </c>
      <c r="BL361" s="106"/>
      <c r="BM361" s="130"/>
      <c r="BN361" s="130"/>
      <c r="BO361" s="105"/>
      <c r="BP361" s="105">
        <f t="shared" si="581"/>
        <v>0</v>
      </c>
      <c r="BQ361" s="106"/>
      <c r="BR361" s="105"/>
      <c r="BS361" s="105"/>
      <c r="BT361" s="106"/>
      <c r="BU361" s="53"/>
      <c r="BV361" s="53"/>
      <c r="BW361" s="54"/>
      <c r="BX361" s="350">
        <f t="shared" si="555"/>
        <v>0</v>
      </c>
      <c r="BY361" s="131"/>
      <c r="BZ361" s="131">
        <f t="shared" si="573"/>
        <v>0</v>
      </c>
      <c r="CA361" s="536"/>
      <c r="CB361" s="148"/>
      <c r="CC361" s="148"/>
      <c r="CD361" s="148"/>
      <c r="CE361" s="504"/>
      <c r="CF361" s="105"/>
      <c r="CG361" s="105">
        <f t="shared" si="520"/>
        <v>0</v>
      </c>
      <c r="CH361" s="105"/>
      <c r="CI361" s="105"/>
      <c r="CJ361" s="105">
        <f t="shared" si="521"/>
        <v>0</v>
      </c>
      <c r="CK361" s="523"/>
      <c r="CL361" s="102"/>
      <c r="CM361" s="103"/>
      <c r="CN361" s="100"/>
      <c r="CO361" s="100">
        <f t="shared" si="578"/>
        <v>0</v>
      </c>
      <c r="CP361" s="515"/>
      <c r="CQ361" s="441"/>
      <c r="CR361" s="504"/>
      <c r="CS361" s="105"/>
      <c r="CT361" s="105">
        <f t="shared" si="574"/>
        <v>0</v>
      </c>
      <c r="CU361" s="105"/>
      <c r="CV361" s="105"/>
      <c r="CW361" s="105">
        <f t="shared" si="575"/>
        <v>0</v>
      </c>
      <c r="CX361" s="53"/>
      <c r="CY361" s="109">
        <f t="shared" si="579"/>
        <v>0</v>
      </c>
      <c r="CZ361" s="54"/>
      <c r="DA361" s="105"/>
      <c r="DB361" s="455">
        <f t="shared" si="556"/>
        <v>0</v>
      </c>
      <c r="DC361" s="495"/>
      <c r="DD361" s="31"/>
      <c r="DF361" s="1133"/>
      <c r="DG361" s="674">
        <f t="shared" si="544"/>
        <v>0</v>
      </c>
      <c r="DH361" s="1119">
        <f t="shared" si="545"/>
        <v>0</v>
      </c>
      <c r="DI361" s="1119"/>
      <c r="DJ361" s="101">
        <f t="shared" si="577"/>
        <v>0</v>
      </c>
      <c r="DK361" s="101"/>
      <c r="DL361" s="101">
        <f t="shared" si="576"/>
        <v>0</v>
      </c>
      <c r="DM361" s="101"/>
      <c r="DN361" s="112"/>
      <c r="DO361" s="112"/>
      <c r="DP361" s="112"/>
      <c r="DQ361" s="112"/>
      <c r="DS361" s="152"/>
      <c r="DT361" s="152"/>
      <c r="DU361" s="152"/>
      <c r="DV361" s="152"/>
      <c r="DW361" s="152"/>
      <c r="DX361" s="152"/>
      <c r="DY361" s="152"/>
      <c r="DZ361" s="152"/>
    </row>
    <row r="362" spans="1:130" ht="21.6" customHeight="1" x14ac:dyDescent="0.25">
      <c r="A362" s="4" t="s">
        <v>130</v>
      </c>
      <c r="B362" s="4">
        <v>7</v>
      </c>
      <c r="C362" s="166" t="s">
        <v>752</v>
      </c>
      <c r="D362" s="167" t="s">
        <v>431</v>
      </c>
      <c r="E362" s="2" t="s">
        <v>529</v>
      </c>
      <c r="F362" s="162">
        <v>30</v>
      </c>
      <c r="G362" s="162">
        <v>8</v>
      </c>
      <c r="H362" s="162">
        <f t="shared" ref="H362:H375" si="582">F362+G362</f>
        <v>38</v>
      </c>
      <c r="I362" s="162"/>
      <c r="J362" s="162">
        <v>38.26</v>
      </c>
      <c r="K362" s="162">
        <f t="shared" ref="K362:K412" si="583">I362+J362</f>
        <v>38.26</v>
      </c>
      <c r="L362" s="168"/>
      <c r="M362" s="414"/>
      <c r="N362" s="46"/>
      <c r="O362" s="6"/>
      <c r="P362" s="165"/>
      <c r="Q362" s="165"/>
      <c r="R362" s="165"/>
      <c r="S362" s="165"/>
      <c r="T362" s="89"/>
      <c r="U362" s="89"/>
      <c r="V362" s="89">
        <f t="shared" ref="V362:V375" si="584">T362+U362</f>
        <v>0</v>
      </c>
      <c r="W362" s="137"/>
      <c r="X362" s="137"/>
      <c r="Y362" s="90">
        <f t="shared" ref="Y362:Y435" si="585">W362+X362</f>
        <v>0</v>
      </c>
      <c r="Z362" s="169"/>
      <c r="AA362" s="92"/>
      <c r="AB362" s="92"/>
      <c r="AC362" s="92">
        <f t="shared" ref="AC362:AC412" si="586">AA362+AB362</f>
        <v>0</v>
      </c>
      <c r="AD362" s="93"/>
      <c r="AE362" s="93"/>
      <c r="AF362" s="94">
        <f t="shared" ref="AF362:AF412" si="587">AD362+AE362</f>
        <v>0</v>
      </c>
      <c r="AG362" s="475"/>
      <c r="AH362" s="99"/>
      <c r="AI362" s="99">
        <f t="shared" si="481"/>
        <v>0</v>
      </c>
      <c r="AJ362" s="138"/>
      <c r="AK362" s="138">
        <f>AJ362/15</f>
        <v>0</v>
      </c>
      <c r="AL362" s="106">
        <f>SUM(AK362:AK365)</f>
        <v>0</v>
      </c>
      <c r="AM362" s="105">
        <v>305</v>
      </c>
      <c r="AN362" s="105">
        <f t="shared" ref="AN362:AN365" si="588">AM362/15</f>
        <v>20.333333333333332</v>
      </c>
      <c r="AO362" s="106">
        <f>SUM(AN362:AN365)</f>
        <v>42.333333333333329</v>
      </c>
      <c r="AP362" s="105"/>
      <c r="AQ362" s="105">
        <f t="shared" si="572"/>
        <v>0</v>
      </c>
      <c r="AR362" s="106">
        <f>SUM(AQ362:AQ365)</f>
        <v>0</v>
      </c>
      <c r="AS362" s="97">
        <f t="shared" si="553"/>
        <v>20.333333333333332</v>
      </c>
      <c r="AT362" s="6">
        <f>SUM(AS362:AS365)</f>
        <v>42.333333333333329</v>
      </c>
      <c r="AU362" s="105"/>
      <c r="AV362" s="455">
        <f t="shared" si="580"/>
        <v>0</v>
      </c>
      <c r="AW362" s="496">
        <f>SUM(AV362:AV365)</f>
        <v>0</v>
      </c>
      <c r="AX362" s="508"/>
      <c r="AY362" s="498"/>
      <c r="AZ362" s="100">
        <f>AY362/15</f>
        <v>0</v>
      </c>
      <c r="BA362" s="106">
        <f>SUM(AZ362:AZ365)</f>
        <v>2</v>
      </c>
      <c r="BB362" s="105"/>
      <c r="BC362" s="105">
        <f t="shared" ref="BC362:BC365" si="589">BB362/15</f>
        <v>0</v>
      </c>
      <c r="BD362" s="106">
        <f>SUM(BC362:BC365)</f>
        <v>0</v>
      </c>
      <c r="BE362" s="105">
        <f>AK362+AZ362</f>
        <v>0</v>
      </c>
      <c r="BF362" s="106">
        <f>SUM(BE362:BE365)</f>
        <v>2</v>
      </c>
      <c r="BG362" s="100">
        <f t="shared" si="540"/>
        <v>20.333333333333332</v>
      </c>
      <c r="BH362" s="106">
        <f>SUM(BG362:BG365)</f>
        <v>42.333333333333329</v>
      </c>
      <c r="BI362" s="100">
        <f t="shared" si="541"/>
        <v>0</v>
      </c>
      <c r="BJ362" s="106">
        <f>SUM(BI362:BI365)</f>
        <v>0</v>
      </c>
      <c r="BK362" s="101">
        <f t="shared" si="554"/>
        <v>20.333333333333332</v>
      </c>
      <c r="BL362" s="106">
        <f>SUM(BK362:BK365)</f>
        <v>44.333333333333329</v>
      </c>
      <c r="BM362" s="104"/>
      <c r="BN362" s="104">
        <f t="shared" ref="BN362:BN435" si="590">BM362/50</f>
        <v>0</v>
      </c>
      <c r="BO362" s="105"/>
      <c r="BP362" s="105">
        <f t="shared" si="581"/>
        <v>0</v>
      </c>
      <c r="BQ362" s="106">
        <f>SUM(BP362:BP365)</f>
        <v>0</v>
      </c>
      <c r="BR362" s="105">
        <v>1000</v>
      </c>
      <c r="BS362" s="105">
        <f t="shared" si="552"/>
        <v>20</v>
      </c>
      <c r="BT362" s="106">
        <f>SUM(BS362:BS365)</f>
        <v>44</v>
      </c>
      <c r="BU362" s="53"/>
      <c r="BV362" s="53">
        <f t="shared" ref="BV362:BV365" si="591">BU362/50</f>
        <v>0</v>
      </c>
      <c r="BW362" s="54">
        <f>SUM(BV362:BV365)</f>
        <v>0</v>
      </c>
      <c r="BX362" s="350">
        <f t="shared" si="555"/>
        <v>20</v>
      </c>
      <c r="BY362" s="6">
        <f>SUM(BX362:BX365)</f>
        <v>44</v>
      </c>
      <c r="BZ362" s="6">
        <f t="shared" si="573"/>
        <v>0.33333333333333215</v>
      </c>
      <c r="CA362" s="508"/>
      <c r="CB362" s="165"/>
      <c r="CC362" s="165"/>
      <c r="CD362" s="165"/>
      <c r="CE362" s="504"/>
      <c r="CF362" s="105"/>
      <c r="CG362" s="105">
        <f t="shared" si="520"/>
        <v>0</v>
      </c>
      <c r="CH362" s="105"/>
      <c r="CI362" s="105"/>
      <c r="CJ362" s="105">
        <f t="shared" si="521"/>
        <v>0</v>
      </c>
      <c r="CK362" s="524"/>
      <c r="CL362" s="53">
        <f t="shared" ref="CL362:CL365" si="592">CK362/15</f>
        <v>0</v>
      </c>
      <c r="CM362" s="54">
        <f>SUM(CL362:CL365)</f>
        <v>0</v>
      </c>
      <c r="CN362" s="105"/>
      <c r="CO362" s="100">
        <f t="shared" si="578"/>
        <v>0</v>
      </c>
      <c r="CP362" s="496">
        <f>SUM(CO362:CO365)</f>
        <v>12</v>
      </c>
      <c r="CQ362" s="439"/>
      <c r="CR362" s="504"/>
      <c r="CS362" s="105"/>
      <c r="CT362" s="105">
        <f t="shared" si="574"/>
        <v>0</v>
      </c>
      <c r="CU362" s="105"/>
      <c r="CV362" s="105"/>
      <c r="CW362" s="105">
        <f t="shared" si="575"/>
        <v>0</v>
      </c>
      <c r="CX362" s="53"/>
      <c r="CY362" s="109">
        <f t="shared" si="579"/>
        <v>0</v>
      </c>
      <c r="CZ362" s="54">
        <f>SUM(CY362:CY365)</f>
        <v>0</v>
      </c>
      <c r="DA362" s="105"/>
      <c r="DB362" s="455">
        <f t="shared" si="556"/>
        <v>0</v>
      </c>
      <c r="DC362" s="495">
        <f>SUM(DB362:DB365)</f>
        <v>0</v>
      </c>
      <c r="DD362" s="25"/>
      <c r="DF362" s="1133"/>
      <c r="DG362" s="674">
        <f t="shared" si="544"/>
        <v>0</v>
      </c>
      <c r="DH362" s="1119">
        <f t="shared" si="545"/>
        <v>0</v>
      </c>
      <c r="DI362" s="1119"/>
      <c r="DJ362" s="101">
        <f t="shared" si="577"/>
        <v>20.333333333333332</v>
      </c>
      <c r="DK362" s="101">
        <f>SUM(DJ362:DJ365)</f>
        <v>56.333333333333329</v>
      </c>
      <c r="DL362" s="101">
        <f t="shared" si="576"/>
        <v>0</v>
      </c>
      <c r="DM362" s="101"/>
      <c r="DN362" s="112"/>
      <c r="DO362" s="112"/>
      <c r="DP362" s="112"/>
      <c r="DQ362" s="112"/>
    </row>
    <row r="363" spans="1:130" ht="21.6" customHeight="1" x14ac:dyDescent="0.25">
      <c r="A363" s="4"/>
      <c r="B363" s="4"/>
      <c r="C363" s="166" t="s">
        <v>752</v>
      </c>
      <c r="D363" s="167" t="s">
        <v>431</v>
      </c>
      <c r="E363" s="2" t="s">
        <v>530</v>
      </c>
      <c r="F363" s="162"/>
      <c r="G363" s="162"/>
      <c r="H363" s="162"/>
      <c r="I363" s="162"/>
      <c r="J363" s="162"/>
      <c r="K363" s="162"/>
      <c r="L363" s="168"/>
      <c r="M363" s="414"/>
      <c r="N363" s="46"/>
      <c r="O363" s="6"/>
      <c r="P363" s="165"/>
      <c r="Q363" s="165"/>
      <c r="R363" s="165"/>
      <c r="S363" s="165"/>
      <c r="T363" s="89"/>
      <c r="U363" s="89"/>
      <c r="V363" s="89"/>
      <c r="W363" s="137"/>
      <c r="X363" s="137"/>
      <c r="Y363" s="90"/>
      <c r="Z363" s="169"/>
      <c r="AA363" s="92"/>
      <c r="AB363" s="92"/>
      <c r="AC363" s="92">
        <f t="shared" si="586"/>
        <v>0</v>
      </c>
      <c r="AD363" s="93"/>
      <c r="AE363" s="93"/>
      <c r="AF363" s="94">
        <f t="shared" si="587"/>
        <v>0</v>
      </c>
      <c r="AG363" s="475"/>
      <c r="AH363" s="99"/>
      <c r="AI363" s="99"/>
      <c r="AJ363" s="138"/>
      <c r="AK363" s="138"/>
      <c r="AL363" s="106"/>
      <c r="AM363" s="105">
        <v>150</v>
      </c>
      <c r="AN363" s="105">
        <f t="shared" si="588"/>
        <v>10</v>
      </c>
      <c r="AO363" s="106"/>
      <c r="AP363" s="105"/>
      <c r="AQ363" s="105">
        <f t="shared" si="572"/>
        <v>0</v>
      </c>
      <c r="AR363" s="106"/>
      <c r="AS363" s="97">
        <f t="shared" si="553"/>
        <v>10</v>
      </c>
      <c r="AT363" s="6"/>
      <c r="AU363" s="105"/>
      <c r="AV363" s="455">
        <f t="shared" si="580"/>
        <v>0</v>
      </c>
      <c r="AW363" s="496"/>
      <c r="AX363" s="508"/>
      <c r="AY363" s="498"/>
      <c r="AZ363" s="100">
        <f>AY363/15</f>
        <v>0</v>
      </c>
      <c r="BA363" s="106"/>
      <c r="BB363" s="105"/>
      <c r="BC363" s="105">
        <f t="shared" si="589"/>
        <v>0</v>
      </c>
      <c r="BD363" s="106"/>
      <c r="BE363" s="105">
        <f>AK363+AZ363</f>
        <v>0</v>
      </c>
      <c r="BF363" s="106"/>
      <c r="BG363" s="100">
        <f t="shared" si="540"/>
        <v>10</v>
      </c>
      <c r="BH363" s="106"/>
      <c r="BI363" s="100">
        <f t="shared" si="541"/>
        <v>0</v>
      </c>
      <c r="BJ363" s="106"/>
      <c r="BK363" s="101">
        <f t="shared" si="554"/>
        <v>10</v>
      </c>
      <c r="BL363" s="106"/>
      <c r="BM363" s="104"/>
      <c r="BN363" s="104">
        <f t="shared" si="590"/>
        <v>0</v>
      </c>
      <c r="BO363" s="105"/>
      <c r="BP363" s="105">
        <f t="shared" si="581"/>
        <v>0</v>
      </c>
      <c r="BQ363" s="106"/>
      <c r="BR363" s="105">
        <v>500</v>
      </c>
      <c r="BS363" s="105">
        <f t="shared" si="552"/>
        <v>10</v>
      </c>
      <c r="BT363" s="106"/>
      <c r="BU363" s="53"/>
      <c r="BV363" s="53">
        <f t="shared" si="591"/>
        <v>0</v>
      </c>
      <c r="BW363" s="54"/>
      <c r="BX363" s="350">
        <f t="shared" si="555"/>
        <v>10</v>
      </c>
      <c r="BY363" s="6"/>
      <c r="BZ363" s="6">
        <f t="shared" si="573"/>
        <v>0</v>
      </c>
      <c r="CA363" s="508"/>
      <c r="CB363" s="165"/>
      <c r="CC363" s="165"/>
      <c r="CD363" s="165"/>
      <c r="CE363" s="504"/>
      <c r="CF363" s="105"/>
      <c r="CG363" s="105">
        <f t="shared" si="520"/>
        <v>0</v>
      </c>
      <c r="CH363" s="105"/>
      <c r="CI363" s="105"/>
      <c r="CJ363" s="105">
        <f t="shared" si="521"/>
        <v>0</v>
      </c>
      <c r="CK363" s="524"/>
      <c r="CL363" s="53">
        <f t="shared" si="592"/>
        <v>0</v>
      </c>
      <c r="CM363" s="54"/>
      <c r="CN363" s="105"/>
      <c r="CO363" s="100">
        <f t="shared" si="578"/>
        <v>0</v>
      </c>
      <c r="CP363" s="496"/>
      <c r="CQ363" s="439"/>
      <c r="CR363" s="504"/>
      <c r="CS363" s="105"/>
      <c r="CT363" s="105">
        <f t="shared" si="574"/>
        <v>0</v>
      </c>
      <c r="CU363" s="105"/>
      <c r="CV363" s="105"/>
      <c r="CW363" s="105">
        <f t="shared" si="575"/>
        <v>0</v>
      </c>
      <c r="CX363" s="53"/>
      <c r="CY363" s="109">
        <f t="shared" si="579"/>
        <v>0</v>
      </c>
      <c r="CZ363" s="54"/>
      <c r="DA363" s="105"/>
      <c r="DB363" s="455">
        <f t="shared" si="556"/>
        <v>0</v>
      </c>
      <c r="DC363" s="495"/>
      <c r="DD363" s="25"/>
      <c r="DF363" s="1133"/>
      <c r="DG363" s="674">
        <f t="shared" ref="DG363:DG394" si="593">AV363+CY363+DB363</f>
        <v>0</v>
      </c>
      <c r="DH363" s="1119">
        <f t="shared" ref="DH363:DH394" si="594">BC363+CL363+CO363</f>
        <v>0</v>
      </c>
      <c r="DI363" s="1119"/>
      <c r="DJ363" s="101">
        <f t="shared" si="577"/>
        <v>10</v>
      </c>
      <c r="DK363" s="101"/>
      <c r="DL363" s="101">
        <f t="shared" si="576"/>
        <v>0</v>
      </c>
      <c r="DM363" s="101"/>
      <c r="DN363" s="112"/>
      <c r="DO363" s="112"/>
      <c r="DP363" s="112"/>
      <c r="DQ363" s="112"/>
    </row>
    <row r="364" spans="1:130" ht="21.6" customHeight="1" x14ac:dyDescent="0.25">
      <c r="A364" s="4"/>
      <c r="B364" s="4"/>
      <c r="C364" s="166" t="s">
        <v>752</v>
      </c>
      <c r="D364" s="167" t="s">
        <v>747</v>
      </c>
      <c r="E364" s="2" t="s">
        <v>531</v>
      </c>
      <c r="F364" s="162"/>
      <c r="G364" s="162"/>
      <c r="H364" s="162"/>
      <c r="I364" s="162"/>
      <c r="J364" s="162"/>
      <c r="K364" s="162"/>
      <c r="L364" s="168"/>
      <c r="M364" s="414"/>
      <c r="N364" s="46"/>
      <c r="O364" s="6"/>
      <c r="P364" s="165"/>
      <c r="Q364" s="165"/>
      <c r="R364" s="165"/>
      <c r="S364" s="165"/>
      <c r="T364" s="89"/>
      <c r="U364" s="89"/>
      <c r="V364" s="89"/>
      <c r="W364" s="137"/>
      <c r="X364" s="137"/>
      <c r="Y364" s="90"/>
      <c r="Z364" s="169"/>
      <c r="AA364" s="92"/>
      <c r="AB364" s="92"/>
      <c r="AC364" s="92">
        <f t="shared" si="586"/>
        <v>0</v>
      </c>
      <c r="AD364" s="93"/>
      <c r="AE364" s="93"/>
      <c r="AF364" s="94">
        <f t="shared" si="587"/>
        <v>0</v>
      </c>
      <c r="AG364" s="475"/>
      <c r="AH364" s="99"/>
      <c r="AI364" s="99"/>
      <c r="AJ364" s="138"/>
      <c r="AK364" s="138"/>
      <c r="AL364" s="106"/>
      <c r="AM364" s="105">
        <v>180</v>
      </c>
      <c r="AN364" s="105">
        <f t="shared" si="588"/>
        <v>12</v>
      </c>
      <c r="AO364" s="106"/>
      <c r="AP364" s="105"/>
      <c r="AQ364" s="105">
        <f t="shared" si="572"/>
        <v>0</v>
      </c>
      <c r="AR364" s="106"/>
      <c r="AS364" s="97">
        <f t="shared" si="553"/>
        <v>12</v>
      </c>
      <c r="AT364" s="6"/>
      <c r="AU364" s="105"/>
      <c r="AV364" s="455">
        <f t="shared" si="580"/>
        <v>0</v>
      </c>
      <c r="AW364" s="496"/>
      <c r="AX364" s="508"/>
      <c r="AY364" s="498"/>
      <c r="AZ364" s="100">
        <f>AY364/15</f>
        <v>0</v>
      </c>
      <c r="BA364" s="106"/>
      <c r="BB364" s="105"/>
      <c r="BC364" s="105">
        <f t="shared" si="589"/>
        <v>0</v>
      </c>
      <c r="BD364" s="106"/>
      <c r="BE364" s="105">
        <f>AK364+AZ364</f>
        <v>0</v>
      </c>
      <c r="BF364" s="106"/>
      <c r="BG364" s="100">
        <f t="shared" si="540"/>
        <v>12</v>
      </c>
      <c r="BH364" s="106"/>
      <c r="BI364" s="100">
        <f t="shared" si="541"/>
        <v>0</v>
      </c>
      <c r="BJ364" s="106"/>
      <c r="BK364" s="101">
        <f t="shared" si="554"/>
        <v>12</v>
      </c>
      <c r="BL364" s="106"/>
      <c r="BM364" s="104"/>
      <c r="BN364" s="104">
        <f t="shared" si="590"/>
        <v>0</v>
      </c>
      <c r="BO364" s="105"/>
      <c r="BP364" s="105">
        <f t="shared" si="581"/>
        <v>0</v>
      </c>
      <c r="BQ364" s="106"/>
      <c r="BR364" s="105">
        <v>350</v>
      </c>
      <c r="BS364" s="105">
        <f t="shared" si="552"/>
        <v>7</v>
      </c>
      <c r="BT364" s="106"/>
      <c r="BU364" s="53"/>
      <c r="BV364" s="53">
        <f t="shared" si="591"/>
        <v>0</v>
      </c>
      <c r="BW364" s="54"/>
      <c r="BX364" s="350">
        <f t="shared" si="555"/>
        <v>7</v>
      </c>
      <c r="BY364" s="6"/>
      <c r="BZ364" s="6">
        <f t="shared" si="573"/>
        <v>5</v>
      </c>
      <c r="CA364" s="508"/>
      <c r="CB364" s="165"/>
      <c r="CC364" s="165"/>
      <c r="CD364" s="165"/>
      <c r="CE364" s="504"/>
      <c r="CF364" s="105"/>
      <c r="CG364" s="105">
        <f t="shared" si="520"/>
        <v>0</v>
      </c>
      <c r="CH364" s="105"/>
      <c r="CI364" s="105"/>
      <c r="CJ364" s="105">
        <f t="shared" si="521"/>
        <v>0</v>
      </c>
      <c r="CK364" s="524"/>
      <c r="CL364" s="53">
        <f t="shared" si="592"/>
        <v>0</v>
      </c>
      <c r="CM364" s="54"/>
      <c r="CN364" s="105"/>
      <c r="CO364" s="100">
        <f t="shared" si="578"/>
        <v>0</v>
      </c>
      <c r="CP364" s="496"/>
      <c r="CQ364" s="439"/>
      <c r="CR364" s="504"/>
      <c r="CS364" s="105"/>
      <c r="CT364" s="105">
        <f t="shared" si="574"/>
        <v>0</v>
      </c>
      <c r="CU364" s="105"/>
      <c r="CV364" s="105"/>
      <c r="CW364" s="105">
        <f t="shared" si="575"/>
        <v>0</v>
      </c>
      <c r="CX364" s="53"/>
      <c r="CY364" s="109">
        <f t="shared" si="579"/>
        <v>0</v>
      </c>
      <c r="CZ364" s="54"/>
      <c r="DA364" s="105"/>
      <c r="DB364" s="455">
        <f t="shared" si="556"/>
        <v>0</v>
      </c>
      <c r="DC364" s="495"/>
      <c r="DD364" s="25"/>
      <c r="DF364" s="1133"/>
      <c r="DG364" s="674">
        <f t="shared" si="593"/>
        <v>0</v>
      </c>
      <c r="DH364" s="1119">
        <f t="shared" si="594"/>
        <v>0</v>
      </c>
      <c r="DI364" s="1119"/>
      <c r="DJ364" s="101">
        <f t="shared" si="577"/>
        <v>12</v>
      </c>
      <c r="DK364" s="101"/>
      <c r="DL364" s="101">
        <f t="shared" si="576"/>
        <v>0</v>
      </c>
      <c r="DM364" s="101"/>
      <c r="DN364" s="112"/>
      <c r="DO364" s="112"/>
      <c r="DP364" s="112"/>
      <c r="DQ364" s="112"/>
    </row>
    <row r="365" spans="1:130" s="139" customFormat="1" ht="20.25" customHeight="1" x14ac:dyDescent="0.25">
      <c r="A365" s="4" t="s">
        <v>130</v>
      </c>
      <c r="B365" s="4">
        <v>9</v>
      </c>
      <c r="C365" s="166" t="s">
        <v>752</v>
      </c>
      <c r="D365" s="182" t="s">
        <v>437</v>
      </c>
      <c r="E365" s="13" t="s">
        <v>211</v>
      </c>
      <c r="F365" s="135">
        <v>15</v>
      </c>
      <c r="G365" s="135">
        <v>14</v>
      </c>
      <c r="H365" s="135">
        <f t="shared" si="582"/>
        <v>29</v>
      </c>
      <c r="I365" s="135">
        <v>19.899999999999999</v>
      </c>
      <c r="J365" s="135"/>
      <c r="K365" s="135">
        <f t="shared" si="583"/>
        <v>19.899999999999999</v>
      </c>
      <c r="L365" s="183"/>
      <c r="M365" s="5"/>
      <c r="N365" s="41"/>
      <c r="O365" s="6"/>
      <c r="P365" s="7"/>
      <c r="Q365" s="7"/>
      <c r="R365" s="7"/>
      <c r="S365" s="7"/>
      <c r="T365" s="89"/>
      <c r="U365" s="89"/>
      <c r="V365" s="89">
        <f t="shared" si="584"/>
        <v>0</v>
      </c>
      <c r="W365" s="137"/>
      <c r="X365" s="137"/>
      <c r="Y365" s="90">
        <f t="shared" si="585"/>
        <v>0</v>
      </c>
      <c r="Z365" s="91"/>
      <c r="AA365" s="92"/>
      <c r="AB365" s="92"/>
      <c r="AC365" s="92">
        <f t="shared" si="586"/>
        <v>0</v>
      </c>
      <c r="AD365" s="93"/>
      <c r="AE365" s="93"/>
      <c r="AF365" s="94">
        <f t="shared" si="587"/>
        <v>0</v>
      </c>
      <c r="AG365" s="473"/>
      <c r="AH365" s="99"/>
      <c r="AI365" s="99">
        <f t="shared" si="481"/>
        <v>0</v>
      </c>
      <c r="AJ365" s="138"/>
      <c r="AK365" s="138">
        <f>AJ365/15</f>
        <v>0</v>
      </c>
      <c r="AL365" s="106"/>
      <c r="AM365" s="105"/>
      <c r="AN365" s="105">
        <f t="shared" si="588"/>
        <v>0</v>
      </c>
      <c r="AO365" s="106"/>
      <c r="AP365" s="105"/>
      <c r="AQ365" s="105">
        <f t="shared" si="572"/>
        <v>0</v>
      </c>
      <c r="AR365" s="106"/>
      <c r="AS365" s="97">
        <f t="shared" si="553"/>
        <v>0</v>
      </c>
      <c r="AT365" s="6"/>
      <c r="AU365" s="105"/>
      <c r="AV365" s="455">
        <f t="shared" si="580"/>
        <v>0</v>
      </c>
      <c r="AW365" s="496"/>
      <c r="AX365" s="508"/>
      <c r="AY365" s="498">
        <v>30</v>
      </c>
      <c r="AZ365" s="100">
        <f>AY365/15</f>
        <v>2</v>
      </c>
      <c r="BA365" s="101"/>
      <c r="BB365" s="100"/>
      <c r="BC365" s="100">
        <f t="shared" si="589"/>
        <v>0</v>
      </c>
      <c r="BD365" s="101"/>
      <c r="BE365" s="105">
        <f>AK365+AZ365</f>
        <v>2</v>
      </c>
      <c r="BF365" s="106"/>
      <c r="BG365" s="100">
        <f t="shared" si="540"/>
        <v>0</v>
      </c>
      <c r="BH365" s="106"/>
      <c r="BI365" s="100">
        <f t="shared" si="541"/>
        <v>0</v>
      </c>
      <c r="BJ365" s="106"/>
      <c r="BK365" s="101">
        <f t="shared" si="554"/>
        <v>2</v>
      </c>
      <c r="BL365" s="106"/>
      <c r="BM365" s="104">
        <v>600</v>
      </c>
      <c r="BN365" s="104">
        <f t="shared" si="590"/>
        <v>12</v>
      </c>
      <c r="BO365" s="105"/>
      <c r="BP365" s="105">
        <f t="shared" si="581"/>
        <v>0</v>
      </c>
      <c r="BQ365" s="106"/>
      <c r="BR365" s="105">
        <f>100+250</f>
        <v>350</v>
      </c>
      <c r="BS365" s="105">
        <f t="shared" si="552"/>
        <v>7</v>
      </c>
      <c r="BT365" s="106"/>
      <c r="BU365" s="53"/>
      <c r="BV365" s="53">
        <f t="shared" si="591"/>
        <v>0</v>
      </c>
      <c r="BW365" s="54"/>
      <c r="BX365" s="350">
        <f t="shared" si="555"/>
        <v>7</v>
      </c>
      <c r="BY365" s="6"/>
      <c r="BZ365" s="6">
        <f t="shared" si="573"/>
        <v>-5</v>
      </c>
      <c r="CA365" s="508"/>
      <c r="CB365" s="7"/>
      <c r="CC365" s="7"/>
      <c r="CD365" s="7"/>
      <c r="CE365" s="504"/>
      <c r="CF365" s="105"/>
      <c r="CG365" s="105">
        <f t="shared" si="520"/>
        <v>0</v>
      </c>
      <c r="CH365" s="105"/>
      <c r="CI365" s="105"/>
      <c r="CJ365" s="105">
        <f t="shared" si="521"/>
        <v>0</v>
      </c>
      <c r="CK365" s="523"/>
      <c r="CL365" s="102">
        <f t="shared" si="592"/>
        <v>0</v>
      </c>
      <c r="CM365" s="103"/>
      <c r="CN365" s="100">
        <v>180</v>
      </c>
      <c r="CO365" s="100">
        <f t="shared" si="578"/>
        <v>12</v>
      </c>
      <c r="CP365" s="515"/>
      <c r="CQ365" s="441"/>
      <c r="CR365" s="504"/>
      <c r="CS365" s="105"/>
      <c r="CT365" s="105">
        <f t="shared" si="574"/>
        <v>0</v>
      </c>
      <c r="CU365" s="105"/>
      <c r="CV365" s="105"/>
      <c r="CW365" s="105">
        <f t="shared" si="575"/>
        <v>0</v>
      </c>
      <c r="CX365" s="53"/>
      <c r="CY365" s="109">
        <f t="shared" si="579"/>
        <v>0</v>
      </c>
      <c r="CZ365" s="54"/>
      <c r="DA365" s="105"/>
      <c r="DB365" s="455">
        <f t="shared" si="556"/>
        <v>0</v>
      </c>
      <c r="DC365" s="495"/>
      <c r="DD365" s="24"/>
      <c r="DF365" s="1133"/>
      <c r="DG365" s="674">
        <f t="shared" si="593"/>
        <v>0</v>
      </c>
      <c r="DH365" s="1119">
        <f t="shared" si="594"/>
        <v>12</v>
      </c>
      <c r="DI365" s="1119"/>
      <c r="DJ365" s="101">
        <f t="shared" si="577"/>
        <v>14</v>
      </c>
      <c r="DK365" s="101"/>
      <c r="DL365" s="101">
        <f t="shared" si="576"/>
        <v>0</v>
      </c>
      <c r="DM365" s="101"/>
      <c r="DN365" s="112"/>
      <c r="DO365" s="112">
        <f>DJ365</f>
        <v>14</v>
      </c>
      <c r="DP365" s="112"/>
      <c r="DQ365" s="112"/>
      <c r="DS365" s="140"/>
      <c r="DT365" s="140"/>
      <c r="DU365" s="140"/>
      <c r="DV365" s="140"/>
      <c r="DW365" s="140"/>
      <c r="DX365" s="140"/>
      <c r="DY365" s="140"/>
      <c r="DZ365" s="140"/>
    </row>
    <row r="366" spans="1:130" s="151" customFormat="1" ht="21.6" customHeight="1" x14ac:dyDescent="0.25">
      <c r="A366" s="141"/>
      <c r="B366" s="141"/>
      <c r="C366" s="159"/>
      <c r="D366" s="143"/>
      <c r="E366" s="22"/>
      <c r="F366" s="144"/>
      <c r="G366" s="144"/>
      <c r="H366" s="144"/>
      <c r="I366" s="144"/>
      <c r="J366" s="144"/>
      <c r="K366" s="144"/>
      <c r="L366" s="145"/>
      <c r="M366" s="146"/>
      <c r="N366" s="147"/>
      <c r="O366" s="131"/>
      <c r="P366" s="148"/>
      <c r="Q366" s="148"/>
      <c r="R366" s="148"/>
      <c r="S366" s="148"/>
      <c r="T366" s="123"/>
      <c r="U366" s="123"/>
      <c r="V366" s="123"/>
      <c r="W366" s="149"/>
      <c r="X366" s="149"/>
      <c r="Y366" s="124"/>
      <c r="Z366" s="125"/>
      <c r="AA366" s="123"/>
      <c r="AB366" s="123"/>
      <c r="AC366" s="123"/>
      <c r="AD366" s="124"/>
      <c r="AE366" s="124"/>
      <c r="AF366" s="126"/>
      <c r="AG366" s="474"/>
      <c r="AH366" s="129"/>
      <c r="AI366" s="129"/>
      <c r="AJ366" s="138"/>
      <c r="AK366" s="138"/>
      <c r="AL366" s="106"/>
      <c r="AM366" s="105"/>
      <c r="AN366" s="105"/>
      <c r="AO366" s="106"/>
      <c r="AP366" s="105"/>
      <c r="AQ366" s="105">
        <f t="shared" si="572"/>
        <v>0</v>
      </c>
      <c r="AR366" s="106"/>
      <c r="AS366" s="97">
        <f t="shared" si="553"/>
        <v>0</v>
      </c>
      <c r="AT366" s="6"/>
      <c r="AU366" s="105"/>
      <c r="AV366" s="455">
        <f t="shared" si="580"/>
        <v>0</v>
      </c>
      <c r="AW366" s="496"/>
      <c r="AX366" s="508"/>
      <c r="AY366" s="498"/>
      <c r="AZ366" s="100"/>
      <c r="BA366" s="101"/>
      <c r="BB366" s="100"/>
      <c r="BC366" s="100"/>
      <c r="BD366" s="101"/>
      <c r="BE366" s="105"/>
      <c r="BF366" s="106"/>
      <c r="BG366" s="100">
        <f t="shared" si="540"/>
        <v>0</v>
      </c>
      <c r="BH366" s="106"/>
      <c r="BI366" s="100">
        <f t="shared" si="541"/>
        <v>0</v>
      </c>
      <c r="BJ366" s="106"/>
      <c r="BK366" s="101">
        <f t="shared" si="554"/>
        <v>0</v>
      </c>
      <c r="BL366" s="106"/>
      <c r="BM366" s="130"/>
      <c r="BN366" s="130"/>
      <c r="BO366" s="105"/>
      <c r="BP366" s="105">
        <f t="shared" si="581"/>
        <v>0</v>
      </c>
      <c r="BQ366" s="106"/>
      <c r="BR366" s="105"/>
      <c r="BS366" s="105"/>
      <c r="BT366" s="106"/>
      <c r="BU366" s="53"/>
      <c r="BV366" s="53"/>
      <c r="BW366" s="54"/>
      <c r="BX366" s="350">
        <f t="shared" si="555"/>
        <v>0</v>
      </c>
      <c r="BY366" s="131"/>
      <c r="BZ366" s="131">
        <f t="shared" si="573"/>
        <v>0</v>
      </c>
      <c r="CA366" s="536"/>
      <c r="CB366" s="148"/>
      <c r="CC366" s="148"/>
      <c r="CD366" s="148"/>
      <c r="CE366" s="504"/>
      <c r="CF366" s="105"/>
      <c r="CG366" s="105">
        <f t="shared" si="520"/>
        <v>0</v>
      </c>
      <c r="CH366" s="105"/>
      <c r="CI366" s="105"/>
      <c r="CJ366" s="105">
        <f t="shared" si="521"/>
        <v>0</v>
      </c>
      <c r="CK366" s="523"/>
      <c r="CL366" s="102"/>
      <c r="CM366" s="103"/>
      <c r="CN366" s="100"/>
      <c r="CO366" s="100">
        <f t="shared" si="578"/>
        <v>0</v>
      </c>
      <c r="CP366" s="515"/>
      <c r="CQ366" s="441"/>
      <c r="CR366" s="504"/>
      <c r="CS366" s="105"/>
      <c r="CT366" s="105">
        <f t="shared" si="574"/>
        <v>0</v>
      </c>
      <c r="CU366" s="105"/>
      <c r="CV366" s="105"/>
      <c r="CW366" s="105">
        <f t="shared" si="575"/>
        <v>0</v>
      </c>
      <c r="CX366" s="53"/>
      <c r="CY366" s="109">
        <f t="shared" si="579"/>
        <v>0</v>
      </c>
      <c r="CZ366" s="54"/>
      <c r="DA366" s="105"/>
      <c r="DB366" s="455">
        <f t="shared" si="556"/>
        <v>0</v>
      </c>
      <c r="DC366" s="495"/>
      <c r="DD366" s="31"/>
      <c r="DF366" s="1133"/>
      <c r="DG366" s="674">
        <f t="shared" si="593"/>
        <v>0</v>
      </c>
      <c r="DH366" s="1119">
        <f t="shared" si="594"/>
        <v>0</v>
      </c>
      <c r="DI366" s="1119"/>
      <c r="DJ366" s="101">
        <f t="shared" si="577"/>
        <v>0</v>
      </c>
      <c r="DK366" s="101"/>
      <c r="DL366" s="101">
        <f t="shared" si="576"/>
        <v>0</v>
      </c>
      <c r="DM366" s="101"/>
      <c r="DN366" s="112"/>
      <c r="DO366" s="112"/>
      <c r="DP366" s="112"/>
      <c r="DQ366" s="112"/>
      <c r="DS366" s="152"/>
      <c r="DT366" s="152"/>
      <c r="DU366" s="152"/>
      <c r="DV366" s="152"/>
      <c r="DW366" s="152"/>
      <c r="DX366" s="152"/>
      <c r="DY366" s="152"/>
      <c r="DZ366" s="152"/>
    </row>
    <row r="367" spans="1:130" ht="21.6" customHeight="1" x14ac:dyDescent="0.25">
      <c r="A367" s="4" t="s">
        <v>130</v>
      </c>
      <c r="B367" s="4">
        <v>1</v>
      </c>
      <c r="C367" s="166" t="s">
        <v>212</v>
      </c>
      <c r="D367" s="167"/>
      <c r="E367" s="3" t="s">
        <v>213</v>
      </c>
      <c r="F367" s="162">
        <v>39</v>
      </c>
      <c r="G367" s="162">
        <v>12</v>
      </c>
      <c r="H367" s="162">
        <f t="shared" si="582"/>
        <v>51</v>
      </c>
      <c r="I367" s="162"/>
      <c r="J367" s="162">
        <v>11.6</v>
      </c>
      <c r="K367" s="162">
        <f t="shared" si="583"/>
        <v>11.6</v>
      </c>
      <c r="L367" s="168"/>
      <c r="M367" s="414"/>
      <c r="N367" s="46"/>
      <c r="O367" s="164"/>
      <c r="P367" s="165"/>
      <c r="Q367" s="165"/>
      <c r="R367" s="165"/>
      <c r="S367" s="165"/>
      <c r="T367" s="89"/>
      <c r="U367" s="89"/>
      <c r="V367" s="89">
        <f t="shared" si="584"/>
        <v>0</v>
      </c>
      <c r="W367" s="137"/>
      <c r="X367" s="137"/>
      <c r="Y367" s="90">
        <f t="shared" si="585"/>
        <v>0</v>
      </c>
      <c r="Z367" s="169"/>
      <c r="AA367" s="92"/>
      <c r="AB367" s="92"/>
      <c r="AC367" s="92">
        <f t="shared" si="586"/>
        <v>0</v>
      </c>
      <c r="AD367" s="93"/>
      <c r="AE367" s="93"/>
      <c r="AF367" s="94">
        <f t="shared" si="587"/>
        <v>0</v>
      </c>
      <c r="AG367" s="475"/>
      <c r="AH367" s="99"/>
      <c r="AI367" s="99">
        <f t="shared" si="481"/>
        <v>0</v>
      </c>
      <c r="AJ367" s="138"/>
      <c r="AK367" s="138">
        <f t="shared" ref="AK367:AK375" si="595">AJ367/15</f>
        <v>0</v>
      </c>
      <c r="AL367" s="106">
        <f>SUM(AK367:AK375)</f>
        <v>0</v>
      </c>
      <c r="AM367" s="105"/>
      <c r="AN367" s="105">
        <f t="shared" ref="AN367:AN375" si="596">AM367/15</f>
        <v>0</v>
      </c>
      <c r="AO367" s="106">
        <f>SUM(AN367:AN375)</f>
        <v>25.666666666666664</v>
      </c>
      <c r="AP367" s="105"/>
      <c r="AQ367" s="105">
        <f t="shared" si="572"/>
        <v>0</v>
      </c>
      <c r="AR367" s="106">
        <f>SUM(AQ367:AQ375)</f>
        <v>11</v>
      </c>
      <c r="AS367" s="97">
        <f t="shared" si="553"/>
        <v>0</v>
      </c>
      <c r="AT367" s="6">
        <f>SUM(AS367:AS375)</f>
        <v>36.666666666666664</v>
      </c>
      <c r="AU367" s="105"/>
      <c r="AV367" s="455">
        <f t="shared" si="580"/>
        <v>0</v>
      </c>
      <c r="AW367" s="496">
        <f>SUM(AV367:AV375)</f>
        <v>0</v>
      </c>
      <c r="AX367" s="508"/>
      <c r="AY367" s="498"/>
      <c r="AZ367" s="100">
        <f t="shared" ref="AZ367:AZ375" si="597">AY367/15</f>
        <v>0</v>
      </c>
      <c r="BA367" s="106">
        <f>SUM(AZ367:AZ375)</f>
        <v>0</v>
      </c>
      <c r="BB367" s="105"/>
      <c r="BC367" s="105">
        <f t="shared" ref="BC367:BC375" si="598">BB367/15</f>
        <v>0</v>
      </c>
      <c r="BD367" s="106">
        <f>SUM(BC367:BC375)</f>
        <v>0</v>
      </c>
      <c r="BE367" s="105">
        <f>AK367+AZ367</f>
        <v>0</v>
      </c>
      <c r="BF367" s="106">
        <f>SUM(BE367:BE375)</f>
        <v>0</v>
      </c>
      <c r="BG367" s="100">
        <f t="shared" si="540"/>
        <v>0</v>
      </c>
      <c r="BH367" s="106">
        <f>SUM(BG367:BG375)</f>
        <v>36.666666666666664</v>
      </c>
      <c r="BI367" s="100">
        <f t="shared" si="541"/>
        <v>0</v>
      </c>
      <c r="BJ367" s="106">
        <f>SUM(BI367:BI375)</f>
        <v>0</v>
      </c>
      <c r="BK367" s="101">
        <f t="shared" si="554"/>
        <v>0</v>
      </c>
      <c r="BL367" s="106">
        <f>SUM(BK367:BK375)</f>
        <v>36.666666666666664</v>
      </c>
      <c r="BM367" s="104"/>
      <c r="BN367" s="104">
        <f t="shared" si="590"/>
        <v>0</v>
      </c>
      <c r="BO367" s="105"/>
      <c r="BP367" s="105">
        <f t="shared" si="581"/>
        <v>0</v>
      </c>
      <c r="BQ367" s="106">
        <f>SUM(BP367:BP375)</f>
        <v>0</v>
      </c>
      <c r="BR367" s="105"/>
      <c r="BS367" s="105">
        <f t="shared" si="552"/>
        <v>0</v>
      </c>
      <c r="BT367" s="106">
        <f>SUM(BS367:BS375)</f>
        <v>36</v>
      </c>
      <c r="BU367" s="53"/>
      <c r="BV367" s="53">
        <f t="shared" ref="BV367:BV375" si="599">BU367/50</f>
        <v>0</v>
      </c>
      <c r="BW367" s="54">
        <f>SUM(BV367:BV375)</f>
        <v>0</v>
      </c>
      <c r="BX367" s="350">
        <f t="shared" si="555"/>
        <v>0</v>
      </c>
      <c r="BY367" s="6">
        <f>SUM(BX367:BX375)</f>
        <v>36</v>
      </c>
      <c r="BZ367" s="6">
        <f t="shared" si="573"/>
        <v>0</v>
      </c>
      <c r="CA367" s="508"/>
      <c r="CB367" s="165"/>
      <c r="CC367" s="165"/>
      <c r="CD367" s="165"/>
      <c r="CE367" s="504"/>
      <c r="CF367" s="105"/>
      <c r="CG367" s="105">
        <f t="shared" si="520"/>
        <v>0</v>
      </c>
      <c r="CH367" s="105"/>
      <c r="CI367" s="105"/>
      <c r="CJ367" s="105">
        <f t="shared" si="521"/>
        <v>0</v>
      </c>
      <c r="CK367" s="524"/>
      <c r="CL367" s="53">
        <f t="shared" ref="CL367:CL375" si="600">CK367/15</f>
        <v>0</v>
      </c>
      <c r="CM367" s="54">
        <f>SUM(CL367:CL375)</f>
        <v>0</v>
      </c>
      <c r="CN367" s="105"/>
      <c r="CO367" s="100">
        <f t="shared" si="578"/>
        <v>0</v>
      </c>
      <c r="CP367" s="496">
        <f>SUM(CO367:CO375)</f>
        <v>0</v>
      </c>
      <c r="CQ367" s="439"/>
      <c r="CR367" s="504"/>
      <c r="CS367" s="105"/>
      <c r="CT367" s="105">
        <f t="shared" si="574"/>
        <v>0</v>
      </c>
      <c r="CU367" s="105"/>
      <c r="CV367" s="105"/>
      <c r="CW367" s="105">
        <f t="shared" si="575"/>
        <v>0</v>
      </c>
      <c r="CX367" s="53"/>
      <c r="CY367" s="109">
        <f t="shared" si="579"/>
        <v>0</v>
      </c>
      <c r="CZ367" s="54">
        <f>SUM(CY367:CY375)</f>
        <v>0</v>
      </c>
      <c r="DA367" s="105"/>
      <c r="DB367" s="455">
        <f t="shared" si="556"/>
        <v>0</v>
      </c>
      <c r="DC367" s="495">
        <f>SUM(DB367:DB375)</f>
        <v>7.333333333333333</v>
      </c>
      <c r="DD367" s="25"/>
      <c r="DF367" s="1133"/>
      <c r="DG367" s="674">
        <f t="shared" si="593"/>
        <v>0</v>
      </c>
      <c r="DH367" s="1119">
        <f t="shared" si="594"/>
        <v>0</v>
      </c>
      <c r="DI367" s="1119"/>
      <c r="DJ367" s="101">
        <f t="shared" si="577"/>
        <v>7.333333333333333</v>
      </c>
      <c r="DK367" s="101">
        <f>SUM(DJ367:DJ375)</f>
        <v>44</v>
      </c>
      <c r="DL367" s="101">
        <f t="shared" si="576"/>
        <v>0</v>
      </c>
      <c r="DM367" s="101"/>
      <c r="DN367" s="112"/>
      <c r="DO367" s="112"/>
      <c r="DP367" s="112"/>
      <c r="DQ367" s="112"/>
    </row>
    <row r="368" spans="1:130" ht="21.6" customHeight="1" x14ac:dyDescent="0.25">
      <c r="A368" s="4" t="s">
        <v>130</v>
      </c>
      <c r="B368" s="4">
        <v>2</v>
      </c>
      <c r="C368" s="166" t="s">
        <v>212</v>
      </c>
      <c r="D368" s="167" t="s">
        <v>431</v>
      </c>
      <c r="E368" s="2" t="s">
        <v>620</v>
      </c>
      <c r="F368" s="162">
        <v>20</v>
      </c>
      <c r="G368" s="162">
        <v>5</v>
      </c>
      <c r="H368" s="162">
        <f t="shared" si="582"/>
        <v>25</v>
      </c>
      <c r="I368" s="162"/>
      <c r="J368" s="162">
        <v>10.4</v>
      </c>
      <c r="K368" s="162">
        <f t="shared" si="583"/>
        <v>10.4</v>
      </c>
      <c r="L368" s="168"/>
      <c r="M368" s="414"/>
      <c r="N368" s="46"/>
      <c r="O368" s="164"/>
      <c r="P368" s="165"/>
      <c r="Q368" s="165"/>
      <c r="R368" s="165"/>
      <c r="S368" s="165"/>
      <c r="T368" s="89"/>
      <c r="U368" s="89"/>
      <c r="V368" s="89">
        <f t="shared" si="584"/>
        <v>0</v>
      </c>
      <c r="W368" s="137"/>
      <c r="X368" s="137"/>
      <c r="Y368" s="90">
        <f t="shared" si="585"/>
        <v>0</v>
      </c>
      <c r="Z368" s="169"/>
      <c r="AA368" s="92"/>
      <c r="AB368" s="92"/>
      <c r="AC368" s="92">
        <f t="shared" si="586"/>
        <v>0</v>
      </c>
      <c r="AD368" s="93"/>
      <c r="AE368" s="93"/>
      <c r="AF368" s="94">
        <f t="shared" si="587"/>
        <v>0</v>
      </c>
      <c r="AG368" s="475"/>
      <c r="AH368" s="99"/>
      <c r="AI368" s="99">
        <f t="shared" si="481"/>
        <v>0</v>
      </c>
      <c r="AJ368" s="138"/>
      <c r="AK368" s="138">
        <f t="shared" si="595"/>
        <v>0</v>
      </c>
      <c r="AL368" s="106"/>
      <c r="AM368" s="105"/>
      <c r="AN368" s="105">
        <f t="shared" si="596"/>
        <v>0</v>
      </c>
      <c r="AO368" s="106"/>
      <c r="AP368" s="105">
        <v>165</v>
      </c>
      <c r="AQ368" s="105">
        <f t="shared" si="572"/>
        <v>11</v>
      </c>
      <c r="AR368" s="106"/>
      <c r="AS368" s="97">
        <f t="shared" si="553"/>
        <v>11</v>
      </c>
      <c r="AT368" s="6"/>
      <c r="AU368" s="105"/>
      <c r="AV368" s="455">
        <f t="shared" si="580"/>
        <v>0</v>
      </c>
      <c r="AW368" s="496"/>
      <c r="AX368" s="508"/>
      <c r="AY368" s="498"/>
      <c r="AZ368" s="100">
        <f t="shared" si="597"/>
        <v>0</v>
      </c>
      <c r="BA368" s="101"/>
      <c r="BB368" s="100"/>
      <c r="BC368" s="100">
        <f t="shared" si="598"/>
        <v>0</v>
      </c>
      <c r="BD368" s="101"/>
      <c r="BE368" s="105">
        <f>AK368+AZ368</f>
        <v>0</v>
      </c>
      <c r="BF368" s="106"/>
      <c r="BG368" s="100">
        <f t="shared" si="540"/>
        <v>11</v>
      </c>
      <c r="BH368" s="106"/>
      <c r="BI368" s="100">
        <f t="shared" si="541"/>
        <v>0</v>
      </c>
      <c r="BJ368" s="106"/>
      <c r="BK368" s="101">
        <f t="shared" si="554"/>
        <v>11</v>
      </c>
      <c r="BL368" s="106"/>
      <c r="BM368" s="104"/>
      <c r="BN368" s="104">
        <f t="shared" si="590"/>
        <v>0</v>
      </c>
      <c r="BO368" s="105"/>
      <c r="BP368" s="105">
        <f t="shared" si="581"/>
        <v>0</v>
      </c>
      <c r="BQ368" s="106"/>
      <c r="BR368" s="105">
        <v>550</v>
      </c>
      <c r="BS368" s="105">
        <f t="shared" si="552"/>
        <v>11</v>
      </c>
      <c r="BT368" s="106"/>
      <c r="BU368" s="53"/>
      <c r="BV368" s="53">
        <f t="shared" si="599"/>
        <v>0</v>
      </c>
      <c r="BW368" s="54"/>
      <c r="BX368" s="350">
        <f t="shared" si="555"/>
        <v>11</v>
      </c>
      <c r="BY368" s="6"/>
      <c r="BZ368" s="6">
        <f t="shared" si="573"/>
        <v>0</v>
      </c>
      <c r="CA368" s="508"/>
      <c r="CB368" s="165"/>
      <c r="CE368" s="504">
        <v>25</v>
      </c>
      <c r="CF368" s="105">
        <v>7</v>
      </c>
      <c r="CG368" s="105">
        <f t="shared" si="520"/>
        <v>32</v>
      </c>
      <c r="CH368" s="105">
        <v>11</v>
      </c>
      <c r="CI368" s="105"/>
      <c r="CJ368" s="105">
        <f t="shared" si="521"/>
        <v>11</v>
      </c>
      <c r="CK368" s="523"/>
      <c r="CL368" s="102">
        <f t="shared" si="600"/>
        <v>0</v>
      </c>
      <c r="CM368" s="103"/>
      <c r="CN368" s="100"/>
      <c r="CO368" s="100">
        <f t="shared" si="578"/>
        <v>0</v>
      </c>
      <c r="CP368" s="515"/>
      <c r="CQ368" s="441"/>
      <c r="CR368" s="504">
        <v>25</v>
      </c>
      <c r="CS368" s="105">
        <v>7</v>
      </c>
      <c r="CT368" s="105">
        <f t="shared" si="574"/>
        <v>32</v>
      </c>
      <c r="CU368" s="105">
        <v>11</v>
      </c>
      <c r="CV368" s="105"/>
      <c r="CW368" s="105">
        <f t="shared" si="575"/>
        <v>11</v>
      </c>
      <c r="CX368" s="53"/>
      <c r="CY368" s="109">
        <f t="shared" si="579"/>
        <v>0</v>
      </c>
      <c r="CZ368" s="54"/>
      <c r="DA368" s="105"/>
      <c r="DB368" s="455">
        <f t="shared" si="556"/>
        <v>0</v>
      </c>
      <c r="DC368" s="495"/>
      <c r="DD368" s="25"/>
      <c r="DF368" s="1133"/>
      <c r="DG368" s="674">
        <f t="shared" si="593"/>
        <v>0</v>
      </c>
      <c r="DH368" s="1119">
        <f t="shared" si="594"/>
        <v>0</v>
      </c>
      <c r="DI368" s="1119"/>
      <c r="DJ368" s="101">
        <f t="shared" si="577"/>
        <v>11</v>
      </c>
      <c r="DK368" s="101"/>
      <c r="DL368" s="101">
        <f t="shared" si="576"/>
        <v>64</v>
      </c>
      <c r="DM368" s="101"/>
      <c r="DN368" s="112"/>
      <c r="DO368" s="112"/>
      <c r="DP368" s="112"/>
      <c r="DQ368" s="112"/>
    </row>
    <row r="369" spans="1:195" ht="21.6" customHeight="1" x14ac:dyDescent="0.25">
      <c r="A369" s="4" t="s">
        <v>130</v>
      </c>
      <c r="B369" s="4">
        <v>3</v>
      </c>
      <c r="C369" s="166" t="s">
        <v>212</v>
      </c>
      <c r="D369" s="167" t="s">
        <v>431</v>
      </c>
      <c r="E369" s="2" t="s">
        <v>658</v>
      </c>
      <c r="F369" s="162">
        <v>26</v>
      </c>
      <c r="G369" s="162">
        <v>4</v>
      </c>
      <c r="H369" s="162">
        <f t="shared" si="582"/>
        <v>30</v>
      </c>
      <c r="I369" s="162">
        <v>10.119999999999999</v>
      </c>
      <c r="J369" s="162"/>
      <c r="K369" s="162">
        <f t="shared" si="583"/>
        <v>10.119999999999999</v>
      </c>
      <c r="L369" s="168"/>
      <c r="M369" s="414"/>
      <c r="N369" s="46"/>
      <c r="O369" s="164"/>
      <c r="P369" s="165"/>
      <c r="Q369" s="165"/>
      <c r="R369" s="165"/>
      <c r="S369" s="165"/>
      <c r="T369" s="89"/>
      <c r="U369" s="89"/>
      <c r="V369" s="89">
        <f t="shared" si="584"/>
        <v>0</v>
      </c>
      <c r="W369" s="137"/>
      <c r="X369" s="137"/>
      <c r="Y369" s="90">
        <f t="shared" si="585"/>
        <v>0</v>
      </c>
      <c r="Z369" s="169"/>
      <c r="AA369" s="92"/>
      <c r="AB369" s="92"/>
      <c r="AC369" s="92">
        <f t="shared" si="586"/>
        <v>0</v>
      </c>
      <c r="AD369" s="93"/>
      <c r="AE369" s="93"/>
      <c r="AF369" s="94">
        <f t="shared" si="587"/>
        <v>0</v>
      </c>
      <c r="AG369" s="475"/>
      <c r="AH369" s="99"/>
      <c r="AI369" s="99">
        <f t="shared" si="481"/>
        <v>0</v>
      </c>
      <c r="AJ369" s="138"/>
      <c r="AK369" s="138">
        <f t="shared" si="595"/>
        <v>0</v>
      </c>
      <c r="AL369" s="106"/>
      <c r="AM369" s="105"/>
      <c r="AN369" s="105">
        <f t="shared" si="596"/>
        <v>0</v>
      </c>
      <c r="AO369" s="106"/>
      <c r="AP369" s="105"/>
      <c r="AQ369" s="105">
        <f t="shared" si="572"/>
        <v>0</v>
      </c>
      <c r="AR369" s="106"/>
      <c r="AS369" s="97">
        <f t="shared" si="553"/>
        <v>0</v>
      </c>
      <c r="AT369" s="6"/>
      <c r="AU369" s="105"/>
      <c r="AV369" s="455">
        <f t="shared" si="580"/>
        <v>0</v>
      </c>
      <c r="AW369" s="496"/>
      <c r="AX369" s="508"/>
      <c r="AY369" s="498"/>
      <c r="AZ369" s="100">
        <f t="shared" si="597"/>
        <v>0</v>
      </c>
      <c r="BA369" s="101"/>
      <c r="BB369" s="100"/>
      <c r="BC369" s="100">
        <f t="shared" si="598"/>
        <v>0</v>
      </c>
      <c r="BD369" s="101"/>
      <c r="BE369" s="105">
        <f>AK369+AZ369</f>
        <v>0</v>
      </c>
      <c r="BF369" s="106"/>
      <c r="BG369" s="100">
        <f t="shared" si="540"/>
        <v>0</v>
      </c>
      <c r="BH369" s="106"/>
      <c r="BI369" s="100">
        <f t="shared" si="541"/>
        <v>0</v>
      </c>
      <c r="BJ369" s="106"/>
      <c r="BK369" s="101">
        <f t="shared" si="554"/>
        <v>0</v>
      </c>
      <c r="BL369" s="106"/>
      <c r="BM369" s="104"/>
      <c r="BN369" s="104">
        <f t="shared" si="590"/>
        <v>0</v>
      </c>
      <c r="BO369" s="105"/>
      <c r="BP369" s="105">
        <f t="shared" si="581"/>
        <v>0</v>
      </c>
      <c r="BQ369" s="106"/>
      <c r="BR369" s="105"/>
      <c r="BS369" s="105">
        <f t="shared" si="552"/>
        <v>0</v>
      </c>
      <c r="BT369" s="106"/>
      <c r="BU369" s="53"/>
      <c r="BV369" s="53">
        <f t="shared" si="599"/>
        <v>0</v>
      </c>
      <c r="BW369" s="54"/>
      <c r="BX369" s="350">
        <f t="shared" si="555"/>
        <v>0</v>
      </c>
      <c r="BY369" s="6"/>
      <c r="BZ369" s="6">
        <f t="shared" si="573"/>
        <v>0</v>
      </c>
      <c r="CA369" s="508"/>
      <c r="CB369" s="165"/>
      <c r="CC369" s="165" t="s">
        <v>265</v>
      </c>
      <c r="CD369" s="165" t="s">
        <v>618</v>
      </c>
      <c r="CE369" s="504"/>
      <c r="CF369" s="105"/>
      <c r="CG369" s="105">
        <f t="shared" si="520"/>
        <v>0</v>
      </c>
      <c r="CH369" s="105"/>
      <c r="CI369" s="105"/>
      <c r="CJ369" s="105">
        <f t="shared" si="521"/>
        <v>0</v>
      </c>
      <c r="CK369" s="523"/>
      <c r="CL369" s="102">
        <f t="shared" si="600"/>
        <v>0</v>
      </c>
      <c r="CM369" s="103"/>
      <c r="CN369" s="100"/>
      <c r="CO369" s="100">
        <f t="shared" si="578"/>
        <v>0</v>
      </c>
      <c r="CP369" s="515"/>
      <c r="CQ369" s="441"/>
      <c r="CR369" s="504"/>
      <c r="CS369" s="105"/>
      <c r="CT369" s="105">
        <f t="shared" si="574"/>
        <v>0</v>
      </c>
      <c r="CU369" s="105"/>
      <c r="CV369" s="105"/>
      <c r="CW369" s="105">
        <f t="shared" si="575"/>
        <v>0</v>
      </c>
      <c r="CX369" s="53"/>
      <c r="CY369" s="109">
        <f t="shared" si="579"/>
        <v>0</v>
      </c>
      <c r="CZ369" s="54"/>
      <c r="DA369" s="105">
        <v>110</v>
      </c>
      <c r="DB369" s="455">
        <f t="shared" si="556"/>
        <v>7.333333333333333</v>
      </c>
      <c r="DC369" s="495"/>
      <c r="DD369" s="25"/>
      <c r="DF369" s="1133"/>
      <c r="DG369" s="674">
        <f t="shared" si="593"/>
        <v>7.333333333333333</v>
      </c>
      <c r="DH369" s="1119">
        <f t="shared" si="594"/>
        <v>0</v>
      </c>
      <c r="DI369" s="1119"/>
      <c r="DJ369" s="101">
        <f t="shared" si="577"/>
        <v>0</v>
      </c>
      <c r="DK369" s="101"/>
      <c r="DL369" s="101">
        <f t="shared" si="576"/>
        <v>0</v>
      </c>
      <c r="DM369" s="101"/>
      <c r="DN369" s="112"/>
      <c r="DO369" s="112"/>
      <c r="DP369" s="112"/>
      <c r="DQ369" s="112"/>
    </row>
    <row r="370" spans="1:195" ht="21.6" customHeight="1" x14ac:dyDescent="0.25">
      <c r="A370" s="4" t="s">
        <v>130</v>
      </c>
      <c r="B370" s="4">
        <v>4</v>
      </c>
      <c r="C370" s="174" t="s">
        <v>212</v>
      </c>
      <c r="D370" s="171"/>
      <c r="E370" s="2" t="s">
        <v>214</v>
      </c>
      <c r="F370" s="162">
        <v>17</v>
      </c>
      <c r="G370" s="162">
        <v>5</v>
      </c>
      <c r="H370" s="162">
        <f t="shared" si="582"/>
        <v>22</v>
      </c>
      <c r="I370" s="162">
        <v>10.75</v>
      </c>
      <c r="J370" s="162"/>
      <c r="K370" s="162">
        <f t="shared" si="583"/>
        <v>10.75</v>
      </c>
      <c r="L370" s="168"/>
      <c r="M370" s="414"/>
      <c r="N370" s="46"/>
      <c r="O370" s="164"/>
      <c r="P370" s="165"/>
      <c r="Q370" s="165"/>
      <c r="R370" s="165"/>
      <c r="S370" s="165"/>
      <c r="T370" s="89"/>
      <c r="U370" s="89"/>
      <c r="V370" s="89">
        <f t="shared" si="584"/>
        <v>0</v>
      </c>
      <c r="W370" s="137"/>
      <c r="X370" s="137"/>
      <c r="Y370" s="90">
        <f t="shared" si="585"/>
        <v>0</v>
      </c>
      <c r="Z370" s="169"/>
      <c r="AA370" s="92"/>
      <c r="AB370" s="92"/>
      <c r="AC370" s="92">
        <f t="shared" si="586"/>
        <v>0</v>
      </c>
      <c r="AD370" s="93"/>
      <c r="AE370" s="93"/>
      <c r="AF370" s="94">
        <f t="shared" si="587"/>
        <v>0</v>
      </c>
      <c r="AG370" s="475"/>
      <c r="AH370" s="99"/>
      <c r="AI370" s="99">
        <f t="shared" si="481"/>
        <v>0</v>
      </c>
      <c r="AJ370" s="138"/>
      <c r="AK370" s="138">
        <f t="shared" si="595"/>
        <v>0</v>
      </c>
      <c r="AL370" s="106"/>
      <c r="AM370" s="105"/>
      <c r="AN370" s="105">
        <f t="shared" si="596"/>
        <v>0</v>
      </c>
      <c r="AO370" s="106"/>
      <c r="AP370" s="105"/>
      <c r="AQ370" s="105">
        <f t="shared" si="572"/>
        <v>0</v>
      </c>
      <c r="AR370" s="106"/>
      <c r="AS370" s="97">
        <f t="shared" si="553"/>
        <v>0</v>
      </c>
      <c r="AT370" s="6"/>
      <c r="AU370" s="105"/>
      <c r="AV370" s="455">
        <f t="shared" si="580"/>
        <v>0</v>
      </c>
      <c r="AW370" s="496"/>
      <c r="AX370" s="508"/>
      <c r="AY370" s="498"/>
      <c r="AZ370" s="100">
        <f t="shared" si="597"/>
        <v>0</v>
      </c>
      <c r="BA370" s="101"/>
      <c r="BB370" s="100"/>
      <c r="BC370" s="100">
        <f t="shared" si="598"/>
        <v>0</v>
      </c>
      <c r="BD370" s="101"/>
      <c r="BE370" s="105">
        <f>AK370+AZ370</f>
        <v>0</v>
      </c>
      <c r="BF370" s="106"/>
      <c r="BG370" s="100">
        <f t="shared" si="540"/>
        <v>0</v>
      </c>
      <c r="BH370" s="106"/>
      <c r="BI370" s="100">
        <f t="shared" si="541"/>
        <v>0</v>
      </c>
      <c r="BJ370" s="106"/>
      <c r="BK370" s="101">
        <f t="shared" si="554"/>
        <v>0</v>
      </c>
      <c r="BL370" s="106"/>
      <c r="BM370" s="104"/>
      <c r="BN370" s="104">
        <f t="shared" si="590"/>
        <v>0</v>
      </c>
      <c r="BO370" s="105"/>
      <c r="BP370" s="105">
        <f t="shared" si="581"/>
        <v>0</v>
      </c>
      <c r="BQ370" s="106"/>
      <c r="BR370" s="105"/>
      <c r="BS370" s="105">
        <f t="shared" si="552"/>
        <v>0</v>
      </c>
      <c r="BT370" s="106"/>
      <c r="BU370" s="53"/>
      <c r="BV370" s="53">
        <f t="shared" si="599"/>
        <v>0</v>
      </c>
      <c r="BW370" s="54"/>
      <c r="BX370" s="350">
        <f t="shared" si="555"/>
        <v>0</v>
      </c>
      <c r="BY370" s="6"/>
      <c r="BZ370" s="6">
        <f t="shared" si="573"/>
        <v>0</v>
      </c>
      <c r="CA370" s="508"/>
      <c r="CB370" s="165"/>
      <c r="CC370" s="165"/>
      <c r="CD370" s="165"/>
      <c r="CE370" s="504"/>
      <c r="CF370" s="105"/>
      <c r="CG370" s="105">
        <f t="shared" si="520"/>
        <v>0</v>
      </c>
      <c r="CH370" s="105"/>
      <c r="CI370" s="105"/>
      <c r="CJ370" s="105">
        <f t="shared" si="521"/>
        <v>0</v>
      </c>
      <c r="CK370" s="523"/>
      <c r="CL370" s="102">
        <f t="shared" si="600"/>
        <v>0</v>
      </c>
      <c r="CM370" s="103"/>
      <c r="CN370" s="100"/>
      <c r="CO370" s="100">
        <f t="shared" si="578"/>
        <v>0</v>
      </c>
      <c r="CP370" s="515"/>
      <c r="CQ370" s="441"/>
      <c r="CR370" s="504"/>
      <c r="CS370" s="105"/>
      <c r="CT370" s="105">
        <f t="shared" si="574"/>
        <v>0</v>
      </c>
      <c r="CU370" s="105"/>
      <c r="CV370" s="105"/>
      <c r="CW370" s="105">
        <f t="shared" si="575"/>
        <v>0</v>
      </c>
      <c r="CX370" s="53"/>
      <c r="CY370" s="109">
        <f t="shared" si="579"/>
        <v>0</v>
      </c>
      <c r="CZ370" s="54"/>
      <c r="DA370" s="105"/>
      <c r="DB370" s="455">
        <f t="shared" si="556"/>
        <v>0</v>
      </c>
      <c r="DC370" s="495"/>
      <c r="DD370" s="25"/>
      <c r="DF370" s="1133"/>
      <c r="DG370" s="674">
        <f t="shared" si="593"/>
        <v>0</v>
      </c>
      <c r="DH370" s="1119">
        <f t="shared" si="594"/>
        <v>0</v>
      </c>
      <c r="DI370" s="1119"/>
      <c r="DJ370" s="101">
        <f t="shared" si="577"/>
        <v>0</v>
      </c>
      <c r="DK370" s="101"/>
      <c r="DL370" s="101">
        <f t="shared" si="576"/>
        <v>0</v>
      </c>
      <c r="DM370" s="101"/>
      <c r="DN370" s="112"/>
      <c r="DO370" s="112"/>
      <c r="DP370" s="112"/>
      <c r="DQ370" s="112"/>
    </row>
    <row r="371" spans="1:195" ht="21.6" customHeight="1" x14ac:dyDescent="0.25">
      <c r="A371" s="4"/>
      <c r="B371" s="4"/>
      <c r="C371" s="174" t="s">
        <v>212</v>
      </c>
      <c r="D371" s="171"/>
      <c r="E371" s="2" t="s">
        <v>707</v>
      </c>
      <c r="F371" s="162"/>
      <c r="G371" s="162"/>
      <c r="H371" s="162"/>
      <c r="I371" s="162"/>
      <c r="J371" s="162"/>
      <c r="K371" s="162"/>
      <c r="L371" s="168"/>
      <c r="M371" s="589"/>
      <c r="N371" s="46"/>
      <c r="O371" s="164"/>
      <c r="P371" s="165"/>
      <c r="Q371" s="165"/>
      <c r="R371" s="165"/>
      <c r="S371" s="165"/>
      <c r="T371" s="89"/>
      <c r="U371" s="89"/>
      <c r="V371" s="89"/>
      <c r="W371" s="137"/>
      <c r="X371" s="137"/>
      <c r="Y371" s="90"/>
      <c r="Z371" s="169"/>
      <c r="AA371" s="92"/>
      <c r="AB371" s="92"/>
      <c r="AC371" s="92"/>
      <c r="AD371" s="93"/>
      <c r="AE371" s="93"/>
      <c r="AF371" s="94"/>
      <c r="AG371" s="475"/>
      <c r="AH371" s="99"/>
      <c r="AI371" s="99"/>
      <c r="AJ371" s="138"/>
      <c r="AK371" s="138"/>
      <c r="AL371" s="106"/>
      <c r="AM371" s="105"/>
      <c r="AN371" s="105"/>
      <c r="AO371" s="106"/>
      <c r="AP371" s="105"/>
      <c r="AQ371" s="105"/>
      <c r="AR371" s="106"/>
      <c r="AS371" s="97"/>
      <c r="AT371" s="6"/>
      <c r="AU371" s="105"/>
      <c r="AV371" s="455"/>
      <c r="AW371" s="496"/>
      <c r="AX371" s="508"/>
      <c r="AY371" s="498"/>
      <c r="AZ371" s="100"/>
      <c r="BA371" s="101"/>
      <c r="BB371" s="100"/>
      <c r="BC371" s="100"/>
      <c r="BD371" s="101"/>
      <c r="BE371" s="105"/>
      <c r="BF371" s="106"/>
      <c r="BG371" s="100"/>
      <c r="BH371" s="106"/>
      <c r="BI371" s="100"/>
      <c r="BJ371" s="106"/>
      <c r="BK371" s="101"/>
      <c r="BL371" s="106"/>
      <c r="BM371" s="104"/>
      <c r="BN371" s="104"/>
      <c r="BO371" s="105"/>
      <c r="BP371" s="105"/>
      <c r="BQ371" s="106"/>
      <c r="BR371" s="105"/>
      <c r="BS371" s="105"/>
      <c r="BT371" s="106"/>
      <c r="BU371" s="53"/>
      <c r="BV371" s="53"/>
      <c r="BW371" s="54"/>
      <c r="BX371" s="350">
        <f t="shared" si="555"/>
        <v>0</v>
      </c>
      <c r="BY371" s="6"/>
      <c r="BZ371" s="6"/>
      <c r="CA371" s="508"/>
      <c r="CB371" s="165"/>
      <c r="CC371" s="165"/>
      <c r="CD371" s="165"/>
      <c r="CE371" s="504"/>
      <c r="CF371" s="105"/>
      <c r="CG371" s="105"/>
      <c r="CH371" s="105"/>
      <c r="CI371" s="105"/>
      <c r="CJ371" s="105"/>
      <c r="CK371" s="523"/>
      <c r="CL371" s="102"/>
      <c r="CM371" s="103"/>
      <c r="CN371" s="100"/>
      <c r="CO371" s="100"/>
      <c r="CP371" s="515"/>
      <c r="CQ371" s="441"/>
      <c r="CR371" s="504"/>
      <c r="CS371" s="105"/>
      <c r="CT371" s="105"/>
      <c r="CU371" s="105"/>
      <c r="CV371" s="105"/>
      <c r="CW371" s="105"/>
      <c r="CX371" s="53"/>
      <c r="CY371" s="109"/>
      <c r="CZ371" s="54"/>
      <c r="DA371" s="105"/>
      <c r="DB371" s="455"/>
      <c r="DC371" s="495"/>
      <c r="DD371" s="25"/>
      <c r="DF371" s="1133"/>
      <c r="DG371" s="674">
        <f t="shared" si="593"/>
        <v>0</v>
      </c>
      <c r="DH371" s="1119">
        <f t="shared" si="594"/>
        <v>0</v>
      </c>
      <c r="DI371" s="1119"/>
      <c r="DJ371" s="101">
        <f t="shared" si="577"/>
        <v>0</v>
      </c>
      <c r="DK371" s="101"/>
      <c r="DL371" s="101">
        <f t="shared" si="576"/>
        <v>0</v>
      </c>
      <c r="DM371" s="101"/>
      <c r="DN371" s="112"/>
      <c r="DO371" s="112"/>
      <c r="DP371" s="112"/>
      <c r="DQ371" s="112"/>
    </row>
    <row r="372" spans="1:195" ht="21.6" customHeight="1" x14ac:dyDescent="0.25">
      <c r="A372" s="4" t="s">
        <v>130</v>
      </c>
      <c r="B372" s="4">
        <v>6</v>
      </c>
      <c r="C372" s="166" t="s">
        <v>212</v>
      </c>
      <c r="D372" s="167" t="s">
        <v>431</v>
      </c>
      <c r="E372" s="2" t="s">
        <v>215</v>
      </c>
      <c r="F372" s="162">
        <v>18</v>
      </c>
      <c r="G372" s="162">
        <v>4</v>
      </c>
      <c r="H372" s="162">
        <f t="shared" si="582"/>
        <v>22</v>
      </c>
      <c r="I372" s="162"/>
      <c r="J372" s="162">
        <v>16.5</v>
      </c>
      <c r="K372" s="162">
        <f t="shared" si="583"/>
        <v>16.5</v>
      </c>
      <c r="L372" s="168"/>
      <c r="M372" s="414"/>
      <c r="N372" s="46"/>
      <c r="O372" s="164"/>
      <c r="P372" s="165"/>
      <c r="Q372" s="165"/>
      <c r="R372" s="165"/>
      <c r="S372" s="165"/>
      <c r="T372" s="89"/>
      <c r="U372" s="89"/>
      <c r="V372" s="89">
        <f t="shared" si="584"/>
        <v>0</v>
      </c>
      <c r="W372" s="137"/>
      <c r="X372" s="137"/>
      <c r="Y372" s="90">
        <f t="shared" si="585"/>
        <v>0</v>
      </c>
      <c r="Z372" s="169"/>
      <c r="AA372" s="92"/>
      <c r="AB372" s="92"/>
      <c r="AC372" s="92">
        <f t="shared" si="586"/>
        <v>0</v>
      </c>
      <c r="AD372" s="93"/>
      <c r="AE372" s="93"/>
      <c r="AF372" s="94">
        <f t="shared" si="587"/>
        <v>0</v>
      </c>
      <c r="AG372" s="475"/>
      <c r="AH372" s="99"/>
      <c r="AI372" s="99">
        <f t="shared" si="481"/>
        <v>0</v>
      </c>
      <c r="AJ372" s="138"/>
      <c r="AK372" s="138">
        <f t="shared" si="595"/>
        <v>0</v>
      </c>
      <c r="AL372" s="106"/>
      <c r="AM372" s="105">
        <v>220</v>
      </c>
      <c r="AN372" s="105">
        <f t="shared" si="596"/>
        <v>14.666666666666666</v>
      </c>
      <c r="AO372" s="106"/>
      <c r="AP372" s="105"/>
      <c r="AQ372" s="105">
        <f t="shared" si="572"/>
        <v>0</v>
      </c>
      <c r="AR372" s="106"/>
      <c r="AS372" s="97">
        <f t="shared" si="553"/>
        <v>14.666666666666666</v>
      </c>
      <c r="AT372" s="6"/>
      <c r="AU372" s="105"/>
      <c r="AV372" s="455">
        <f t="shared" si="580"/>
        <v>0</v>
      </c>
      <c r="AW372" s="496"/>
      <c r="AX372" s="508"/>
      <c r="AY372" s="498"/>
      <c r="AZ372" s="100">
        <f t="shared" si="597"/>
        <v>0</v>
      </c>
      <c r="BA372" s="101"/>
      <c r="BB372" s="100"/>
      <c r="BC372" s="100">
        <f t="shared" si="598"/>
        <v>0</v>
      </c>
      <c r="BD372" s="101"/>
      <c r="BE372" s="105">
        <f>AK372+AZ372</f>
        <v>0</v>
      </c>
      <c r="BF372" s="106"/>
      <c r="BG372" s="100">
        <f t="shared" ref="BG372:BG416" si="601">BC372+AQ372+AN372</f>
        <v>14.666666666666666</v>
      </c>
      <c r="BH372" s="106"/>
      <c r="BI372" s="100">
        <f t="shared" ref="BI372:BI416" si="602">AV372</f>
        <v>0</v>
      </c>
      <c r="BJ372" s="106"/>
      <c r="BK372" s="101">
        <f t="shared" si="554"/>
        <v>14.666666666666666</v>
      </c>
      <c r="BL372" s="106"/>
      <c r="BM372" s="104"/>
      <c r="BN372" s="104">
        <f t="shared" si="590"/>
        <v>0</v>
      </c>
      <c r="BO372" s="105"/>
      <c r="BP372" s="105">
        <f t="shared" si="581"/>
        <v>0</v>
      </c>
      <c r="BQ372" s="106"/>
      <c r="BR372" s="105">
        <v>700</v>
      </c>
      <c r="BS372" s="105">
        <f t="shared" si="552"/>
        <v>14</v>
      </c>
      <c r="BT372" s="106"/>
      <c r="BU372" s="53"/>
      <c r="BV372" s="53">
        <f t="shared" si="599"/>
        <v>0</v>
      </c>
      <c r="BW372" s="54"/>
      <c r="BX372" s="350">
        <f t="shared" si="555"/>
        <v>14</v>
      </c>
      <c r="BY372" s="6"/>
      <c r="BZ372" s="6">
        <f t="shared" ref="BZ372:BZ401" si="603">BK372-BX372</f>
        <v>0.66666666666666607</v>
      </c>
      <c r="CA372" s="508"/>
      <c r="CB372" s="165"/>
      <c r="CC372" s="165"/>
      <c r="CD372" s="165"/>
      <c r="CE372" s="504"/>
      <c r="CF372" s="105"/>
      <c r="CG372" s="105">
        <f t="shared" si="520"/>
        <v>0</v>
      </c>
      <c r="CH372" s="105"/>
      <c r="CI372" s="105"/>
      <c r="CJ372" s="105">
        <f t="shared" si="521"/>
        <v>0</v>
      </c>
      <c r="CK372" s="523"/>
      <c r="CL372" s="102">
        <f t="shared" si="600"/>
        <v>0</v>
      </c>
      <c r="CM372" s="103"/>
      <c r="CN372" s="100"/>
      <c r="CO372" s="100">
        <f t="shared" si="578"/>
        <v>0</v>
      </c>
      <c r="CP372" s="515"/>
      <c r="CQ372" s="441"/>
      <c r="CR372" s="504"/>
      <c r="CS372" s="105"/>
      <c r="CT372" s="105">
        <f t="shared" si="574"/>
        <v>0</v>
      </c>
      <c r="CU372" s="105"/>
      <c r="CV372" s="105"/>
      <c r="CW372" s="105">
        <f t="shared" si="575"/>
        <v>0</v>
      </c>
      <c r="CX372" s="53"/>
      <c r="CY372" s="109">
        <f t="shared" si="579"/>
        <v>0</v>
      </c>
      <c r="CZ372" s="54"/>
      <c r="DA372" s="105"/>
      <c r="DB372" s="455">
        <f t="shared" si="556"/>
        <v>0</v>
      </c>
      <c r="DC372" s="495"/>
      <c r="DD372" s="25"/>
      <c r="DF372" s="1133"/>
      <c r="DG372" s="674">
        <f t="shared" si="593"/>
        <v>0</v>
      </c>
      <c r="DH372" s="1119">
        <f t="shared" si="594"/>
        <v>0</v>
      </c>
      <c r="DI372" s="1119"/>
      <c r="DJ372" s="101">
        <f t="shared" si="577"/>
        <v>14.666666666666666</v>
      </c>
      <c r="DK372" s="101"/>
      <c r="DL372" s="101">
        <f t="shared" si="576"/>
        <v>0</v>
      </c>
      <c r="DM372" s="101"/>
      <c r="DN372" s="112"/>
      <c r="DO372" s="112"/>
      <c r="DP372" s="112"/>
      <c r="DQ372" s="112"/>
    </row>
    <row r="373" spans="1:195" ht="21.6" customHeight="1" x14ac:dyDescent="0.25">
      <c r="A373" s="4" t="s">
        <v>130</v>
      </c>
      <c r="B373" s="4">
        <v>7</v>
      </c>
      <c r="C373" s="166" t="s">
        <v>212</v>
      </c>
      <c r="D373" s="167"/>
      <c r="E373" s="2" t="s">
        <v>216</v>
      </c>
      <c r="F373" s="162">
        <v>26</v>
      </c>
      <c r="G373" s="162">
        <v>39</v>
      </c>
      <c r="H373" s="162">
        <f t="shared" si="582"/>
        <v>65</v>
      </c>
      <c r="I373" s="162"/>
      <c r="J373" s="162">
        <v>21.84</v>
      </c>
      <c r="K373" s="162">
        <f t="shared" si="583"/>
        <v>21.84</v>
      </c>
      <c r="L373" s="168"/>
      <c r="M373" s="414"/>
      <c r="N373" s="46"/>
      <c r="O373" s="164"/>
      <c r="P373" s="165"/>
      <c r="Q373" s="165"/>
      <c r="R373" s="165"/>
      <c r="S373" s="165"/>
      <c r="T373" s="89"/>
      <c r="U373" s="89"/>
      <c r="V373" s="89">
        <f t="shared" si="584"/>
        <v>0</v>
      </c>
      <c r="W373" s="137"/>
      <c r="X373" s="137"/>
      <c r="Y373" s="90">
        <f t="shared" si="585"/>
        <v>0</v>
      </c>
      <c r="Z373" s="169"/>
      <c r="AA373" s="92"/>
      <c r="AB373" s="92"/>
      <c r="AC373" s="92">
        <f t="shared" si="586"/>
        <v>0</v>
      </c>
      <c r="AD373" s="93"/>
      <c r="AE373" s="93"/>
      <c r="AF373" s="94">
        <f t="shared" si="587"/>
        <v>0</v>
      </c>
      <c r="AG373" s="475"/>
      <c r="AH373" s="99"/>
      <c r="AI373" s="99">
        <f t="shared" si="481"/>
        <v>0</v>
      </c>
      <c r="AJ373" s="138"/>
      <c r="AK373" s="138">
        <f t="shared" si="595"/>
        <v>0</v>
      </c>
      <c r="AL373" s="106"/>
      <c r="AM373" s="105"/>
      <c r="AN373" s="105">
        <f t="shared" si="596"/>
        <v>0</v>
      </c>
      <c r="AO373" s="106"/>
      <c r="AP373" s="105"/>
      <c r="AQ373" s="105">
        <f t="shared" si="572"/>
        <v>0</v>
      </c>
      <c r="AR373" s="106"/>
      <c r="AS373" s="97">
        <f t="shared" si="553"/>
        <v>0</v>
      </c>
      <c r="AT373" s="6"/>
      <c r="AU373" s="105"/>
      <c r="AV373" s="455">
        <f t="shared" si="580"/>
        <v>0</v>
      </c>
      <c r="AW373" s="496"/>
      <c r="AX373" s="508"/>
      <c r="AY373" s="498"/>
      <c r="AZ373" s="100">
        <f t="shared" si="597"/>
        <v>0</v>
      </c>
      <c r="BA373" s="101"/>
      <c r="BB373" s="100"/>
      <c r="BC373" s="100">
        <f t="shared" si="598"/>
        <v>0</v>
      </c>
      <c r="BD373" s="101"/>
      <c r="BE373" s="105">
        <f>AK373+AZ373</f>
        <v>0</v>
      </c>
      <c r="BF373" s="106"/>
      <c r="BG373" s="100">
        <f t="shared" si="601"/>
        <v>0</v>
      </c>
      <c r="BH373" s="106"/>
      <c r="BI373" s="100">
        <f t="shared" si="602"/>
        <v>0</v>
      </c>
      <c r="BJ373" s="106"/>
      <c r="BK373" s="101">
        <f t="shared" si="554"/>
        <v>0</v>
      </c>
      <c r="BL373" s="106"/>
      <c r="BM373" s="104"/>
      <c r="BN373" s="104">
        <f t="shared" si="590"/>
        <v>0</v>
      </c>
      <c r="BO373" s="105"/>
      <c r="BP373" s="105">
        <f t="shared" si="581"/>
        <v>0</v>
      </c>
      <c r="BQ373" s="106"/>
      <c r="BR373" s="105"/>
      <c r="BS373" s="105">
        <f t="shared" si="552"/>
        <v>0</v>
      </c>
      <c r="BT373" s="106"/>
      <c r="BU373" s="53"/>
      <c r="BV373" s="53">
        <f t="shared" si="599"/>
        <v>0</v>
      </c>
      <c r="BW373" s="54"/>
      <c r="BX373" s="350">
        <f t="shared" si="555"/>
        <v>0</v>
      </c>
      <c r="BY373" s="6"/>
      <c r="BZ373" s="6">
        <f t="shared" si="603"/>
        <v>0</v>
      </c>
      <c r="CA373" s="508"/>
      <c r="CB373" s="165"/>
      <c r="CC373" s="165"/>
      <c r="CD373" s="165"/>
      <c r="CE373" s="504"/>
      <c r="CF373" s="105"/>
      <c r="CG373" s="105">
        <f t="shared" si="520"/>
        <v>0</v>
      </c>
      <c r="CH373" s="105"/>
      <c r="CI373" s="105"/>
      <c r="CJ373" s="105">
        <f t="shared" si="521"/>
        <v>0</v>
      </c>
      <c r="CK373" s="523"/>
      <c r="CL373" s="102">
        <f t="shared" si="600"/>
        <v>0</v>
      </c>
      <c r="CM373" s="103"/>
      <c r="CN373" s="100"/>
      <c r="CO373" s="100">
        <f t="shared" si="578"/>
        <v>0</v>
      </c>
      <c r="CP373" s="515"/>
      <c r="CQ373" s="441"/>
      <c r="CR373" s="504"/>
      <c r="CS373" s="105"/>
      <c r="CT373" s="105">
        <f t="shared" si="574"/>
        <v>0</v>
      </c>
      <c r="CU373" s="105"/>
      <c r="CV373" s="105"/>
      <c r="CW373" s="105">
        <f t="shared" si="575"/>
        <v>0</v>
      </c>
      <c r="CX373" s="53"/>
      <c r="CY373" s="109">
        <f t="shared" si="579"/>
        <v>0</v>
      </c>
      <c r="CZ373" s="54"/>
      <c r="DA373" s="105"/>
      <c r="DB373" s="455">
        <f t="shared" si="556"/>
        <v>0</v>
      </c>
      <c r="DC373" s="495"/>
      <c r="DD373" s="25"/>
      <c r="DF373" s="1133"/>
      <c r="DG373" s="674">
        <f t="shared" si="593"/>
        <v>0</v>
      </c>
      <c r="DH373" s="1119">
        <f t="shared" si="594"/>
        <v>0</v>
      </c>
      <c r="DI373" s="1119"/>
      <c r="DJ373" s="101">
        <f t="shared" si="577"/>
        <v>0</v>
      </c>
      <c r="DK373" s="101"/>
      <c r="DL373" s="101">
        <f t="shared" si="576"/>
        <v>0</v>
      </c>
      <c r="DM373" s="101"/>
      <c r="DN373" s="112"/>
      <c r="DO373" s="112"/>
      <c r="DP373" s="112"/>
      <c r="DQ373" s="112"/>
    </row>
    <row r="374" spans="1:195" ht="27" customHeight="1" x14ac:dyDescent="0.25">
      <c r="A374" s="4" t="s">
        <v>130</v>
      </c>
      <c r="B374" s="4">
        <v>8</v>
      </c>
      <c r="C374" s="166" t="s">
        <v>212</v>
      </c>
      <c r="D374" s="167" t="s">
        <v>431</v>
      </c>
      <c r="E374" s="2" t="s">
        <v>607</v>
      </c>
      <c r="F374" s="162">
        <v>57</v>
      </c>
      <c r="G374" s="162">
        <v>13</v>
      </c>
      <c r="H374" s="162">
        <f t="shared" si="582"/>
        <v>70</v>
      </c>
      <c r="I374" s="162"/>
      <c r="J374" s="162">
        <v>26.75</v>
      </c>
      <c r="K374" s="162">
        <f t="shared" si="583"/>
        <v>26.75</v>
      </c>
      <c r="L374" s="168"/>
      <c r="M374" s="414"/>
      <c r="N374" s="46"/>
      <c r="O374" s="164"/>
      <c r="P374" s="165"/>
      <c r="Q374" s="165"/>
      <c r="R374" s="165"/>
      <c r="S374" s="165"/>
      <c r="T374" s="89"/>
      <c r="U374" s="89"/>
      <c r="V374" s="89">
        <f t="shared" si="584"/>
        <v>0</v>
      </c>
      <c r="W374" s="137"/>
      <c r="X374" s="137"/>
      <c r="Y374" s="90">
        <f t="shared" si="585"/>
        <v>0</v>
      </c>
      <c r="Z374" s="169"/>
      <c r="AA374" s="92"/>
      <c r="AB374" s="92"/>
      <c r="AC374" s="92">
        <f t="shared" si="586"/>
        <v>0</v>
      </c>
      <c r="AD374" s="93"/>
      <c r="AE374" s="93"/>
      <c r="AF374" s="94">
        <f t="shared" si="587"/>
        <v>0</v>
      </c>
      <c r="AG374" s="475"/>
      <c r="AH374" s="99"/>
      <c r="AI374" s="99">
        <f t="shared" ref="AI374:AI467" si="604">AH374/15</f>
        <v>0</v>
      </c>
      <c r="AJ374" s="138"/>
      <c r="AK374" s="138">
        <f t="shared" si="595"/>
        <v>0</v>
      </c>
      <c r="AL374" s="106"/>
      <c r="AM374" s="105">
        <v>165</v>
      </c>
      <c r="AN374" s="105">
        <f t="shared" si="596"/>
        <v>11</v>
      </c>
      <c r="AO374" s="106"/>
      <c r="AP374" s="105"/>
      <c r="AQ374" s="105">
        <f t="shared" si="572"/>
        <v>0</v>
      </c>
      <c r="AR374" s="106"/>
      <c r="AS374" s="97">
        <f t="shared" si="553"/>
        <v>11</v>
      </c>
      <c r="AT374" s="6"/>
      <c r="AU374" s="105"/>
      <c r="AV374" s="455">
        <f t="shared" si="580"/>
        <v>0</v>
      </c>
      <c r="AW374" s="496"/>
      <c r="AX374" s="508"/>
      <c r="AY374" s="498"/>
      <c r="AZ374" s="100">
        <f t="shared" si="597"/>
        <v>0</v>
      </c>
      <c r="BA374" s="101"/>
      <c r="BB374" s="100"/>
      <c r="BC374" s="100">
        <f t="shared" si="598"/>
        <v>0</v>
      </c>
      <c r="BD374" s="101"/>
      <c r="BE374" s="105">
        <f>AK374+AZ374</f>
        <v>0</v>
      </c>
      <c r="BF374" s="106"/>
      <c r="BG374" s="100">
        <f t="shared" si="601"/>
        <v>11</v>
      </c>
      <c r="BH374" s="106"/>
      <c r="BI374" s="100">
        <f t="shared" si="602"/>
        <v>0</v>
      </c>
      <c r="BJ374" s="106"/>
      <c r="BK374" s="101">
        <f t="shared" si="554"/>
        <v>11</v>
      </c>
      <c r="BL374" s="106"/>
      <c r="BM374" s="104"/>
      <c r="BN374" s="104">
        <f t="shared" si="590"/>
        <v>0</v>
      </c>
      <c r="BO374" s="105"/>
      <c r="BP374" s="105">
        <f t="shared" si="581"/>
        <v>0</v>
      </c>
      <c r="BQ374" s="106"/>
      <c r="BR374" s="105">
        <v>550</v>
      </c>
      <c r="BS374" s="105">
        <f t="shared" si="552"/>
        <v>11</v>
      </c>
      <c r="BT374" s="106"/>
      <c r="BU374" s="53"/>
      <c r="BV374" s="53">
        <f t="shared" si="599"/>
        <v>0</v>
      </c>
      <c r="BW374" s="54"/>
      <c r="BX374" s="350">
        <f t="shared" si="555"/>
        <v>11</v>
      </c>
      <c r="BY374" s="6"/>
      <c r="BZ374" s="6">
        <f t="shared" si="603"/>
        <v>0</v>
      </c>
      <c r="CA374" s="508"/>
      <c r="CB374" s="165"/>
      <c r="CC374" s="165"/>
      <c r="CD374" s="165"/>
      <c r="CE374" s="504"/>
      <c r="CF374" s="105"/>
      <c r="CG374" s="105">
        <f t="shared" si="520"/>
        <v>0</v>
      </c>
      <c r="CH374" s="105"/>
      <c r="CI374" s="105"/>
      <c r="CJ374" s="105">
        <f t="shared" si="521"/>
        <v>0</v>
      </c>
      <c r="CK374" s="523"/>
      <c r="CL374" s="102">
        <f t="shared" si="600"/>
        <v>0</v>
      </c>
      <c r="CM374" s="103"/>
      <c r="CN374" s="100"/>
      <c r="CO374" s="100">
        <f t="shared" si="578"/>
        <v>0</v>
      </c>
      <c r="CP374" s="515"/>
      <c r="CQ374" s="441"/>
      <c r="CR374" s="504"/>
      <c r="CS374" s="105"/>
      <c r="CT374" s="105">
        <f t="shared" si="574"/>
        <v>0</v>
      </c>
      <c r="CU374" s="105"/>
      <c r="CV374" s="105"/>
      <c r="CW374" s="105">
        <f t="shared" si="575"/>
        <v>0</v>
      </c>
      <c r="CX374" s="53"/>
      <c r="CY374" s="109">
        <f t="shared" si="579"/>
        <v>0</v>
      </c>
      <c r="CZ374" s="54"/>
      <c r="DA374" s="105"/>
      <c r="DB374" s="455">
        <f t="shared" si="556"/>
        <v>0</v>
      </c>
      <c r="DC374" s="495"/>
      <c r="DD374" s="25"/>
      <c r="DF374" s="1133"/>
      <c r="DG374" s="674">
        <f t="shared" si="593"/>
        <v>0</v>
      </c>
      <c r="DH374" s="1119">
        <f t="shared" si="594"/>
        <v>0</v>
      </c>
      <c r="DI374" s="1119"/>
      <c r="DJ374" s="101">
        <f t="shared" si="577"/>
        <v>11</v>
      </c>
      <c r="DK374" s="101"/>
      <c r="DL374" s="101">
        <f t="shared" si="576"/>
        <v>0</v>
      </c>
      <c r="DM374" s="101"/>
      <c r="DN374" s="112"/>
      <c r="DO374" s="112"/>
      <c r="DP374" s="112"/>
      <c r="DQ374" s="112"/>
    </row>
    <row r="375" spans="1:195" ht="21.6" customHeight="1" x14ac:dyDescent="0.25">
      <c r="A375" s="4" t="s">
        <v>130</v>
      </c>
      <c r="B375" s="4">
        <v>9</v>
      </c>
      <c r="C375" s="166" t="s">
        <v>212</v>
      </c>
      <c r="D375" s="167"/>
      <c r="E375" s="2" t="s">
        <v>217</v>
      </c>
      <c r="F375" s="162">
        <v>30</v>
      </c>
      <c r="G375" s="162">
        <v>5</v>
      </c>
      <c r="H375" s="162">
        <f t="shared" si="582"/>
        <v>35</v>
      </c>
      <c r="I375" s="162">
        <v>19.5</v>
      </c>
      <c r="J375" s="162"/>
      <c r="K375" s="162">
        <f t="shared" si="583"/>
        <v>19.5</v>
      </c>
      <c r="L375" s="168"/>
      <c r="M375" s="414"/>
      <c r="N375" s="46"/>
      <c r="O375" s="164"/>
      <c r="P375" s="165"/>
      <c r="Q375" s="165"/>
      <c r="R375" s="165"/>
      <c r="S375" s="165"/>
      <c r="T375" s="89"/>
      <c r="U375" s="89"/>
      <c r="V375" s="89">
        <f t="shared" si="584"/>
        <v>0</v>
      </c>
      <c r="W375" s="137"/>
      <c r="X375" s="137"/>
      <c r="Y375" s="90">
        <f t="shared" si="585"/>
        <v>0</v>
      </c>
      <c r="Z375" s="169"/>
      <c r="AA375" s="92"/>
      <c r="AB375" s="92"/>
      <c r="AC375" s="92">
        <f t="shared" si="586"/>
        <v>0</v>
      </c>
      <c r="AD375" s="93"/>
      <c r="AE375" s="93"/>
      <c r="AF375" s="94">
        <f t="shared" si="587"/>
        <v>0</v>
      </c>
      <c r="AG375" s="475"/>
      <c r="AH375" s="99"/>
      <c r="AI375" s="99">
        <f t="shared" si="604"/>
        <v>0</v>
      </c>
      <c r="AJ375" s="138"/>
      <c r="AK375" s="138">
        <f t="shared" si="595"/>
        <v>0</v>
      </c>
      <c r="AL375" s="106"/>
      <c r="AM375" s="105"/>
      <c r="AN375" s="105">
        <f t="shared" si="596"/>
        <v>0</v>
      </c>
      <c r="AO375" s="106"/>
      <c r="AP375" s="105"/>
      <c r="AQ375" s="105">
        <f t="shared" si="572"/>
        <v>0</v>
      </c>
      <c r="AR375" s="106"/>
      <c r="AS375" s="97">
        <f t="shared" si="553"/>
        <v>0</v>
      </c>
      <c r="AT375" s="6"/>
      <c r="AU375" s="105"/>
      <c r="AV375" s="455">
        <f t="shared" si="580"/>
        <v>0</v>
      </c>
      <c r="AW375" s="496"/>
      <c r="AX375" s="508"/>
      <c r="AY375" s="498"/>
      <c r="AZ375" s="100">
        <f t="shared" si="597"/>
        <v>0</v>
      </c>
      <c r="BA375" s="101"/>
      <c r="BB375" s="100"/>
      <c r="BC375" s="100">
        <f t="shared" si="598"/>
        <v>0</v>
      </c>
      <c r="BD375" s="101"/>
      <c r="BE375" s="105">
        <f>AK375+AZ375</f>
        <v>0</v>
      </c>
      <c r="BF375" s="106"/>
      <c r="BG375" s="100">
        <f t="shared" si="601"/>
        <v>0</v>
      </c>
      <c r="BH375" s="106"/>
      <c r="BI375" s="100">
        <f t="shared" si="602"/>
        <v>0</v>
      </c>
      <c r="BJ375" s="106"/>
      <c r="BK375" s="101">
        <f t="shared" si="554"/>
        <v>0</v>
      </c>
      <c r="BL375" s="106"/>
      <c r="BM375" s="104"/>
      <c r="BN375" s="104">
        <f t="shared" si="590"/>
        <v>0</v>
      </c>
      <c r="BO375" s="105"/>
      <c r="BP375" s="105">
        <f t="shared" si="581"/>
        <v>0</v>
      </c>
      <c r="BQ375" s="106"/>
      <c r="BR375" s="105"/>
      <c r="BS375" s="105">
        <f t="shared" si="552"/>
        <v>0</v>
      </c>
      <c r="BT375" s="106"/>
      <c r="BU375" s="53"/>
      <c r="BV375" s="53">
        <f t="shared" si="599"/>
        <v>0</v>
      </c>
      <c r="BW375" s="54"/>
      <c r="BX375" s="350">
        <f t="shared" si="555"/>
        <v>0</v>
      </c>
      <c r="BY375" s="6"/>
      <c r="BZ375" s="6">
        <f t="shared" si="603"/>
        <v>0</v>
      </c>
      <c r="CA375" s="508"/>
      <c r="CB375" s="165"/>
      <c r="CC375" s="165"/>
      <c r="CD375" s="165"/>
      <c r="CE375" s="504"/>
      <c r="CF375" s="105"/>
      <c r="CG375" s="105">
        <f t="shared" si="520"/>
        <v>0</v>
      </c>
      <c r="CH375" s="105"/>
      <c r="CI375" s="105"/>
      <c r="CJ375" s="105">
        <f t="shared" si="521"/>
        <v>0</v>
      </c>
      <c r="CK375" s="523"/>
      <c r="CL375" s="102">
        <f t="shared" si="600"/>
        <v>0</v>
      </c>
      <c r="CM375" s="103"/>
      <c r="CN375" s="100"/>
      <c r="CO375" s="100">
        <f t="shared" si="578"/>
        <v>0</v>
      </c>
      <c r="CP375" s="515"/>
      <c r="CQ375" s="441"/>
      <c r="CR375" s="504"/>
      <c r="CS375" s="105"/>
      <c r="CT375" s="105">
        <f t="shared" si="574"/>
        <v>0</v>
      </c>
      <c r="CU375" s="105"/>
      <c r="CV375" s="105"/>
      <c r="CW375" s="105">
        <f t="shared" si="575"/>
        <v>0</v>
      </c>
      <c r="CX375" s="53"/>
      <c r="CY375" s="109">
        <f t="shared" si="579"/>
        <v>0</v>
      </c>
      <c r="CZ375" s="54"/>
      <c r="DA375" s="105"/>
      <c r="DB375" s="455">
        <f t="shared" si="556"/>
        <v>0</v>
      </c>
      <c r="DC375" s="495"/>
      <c r="DD375" s="25"/>
      <c r="DF375" s="1133"/>
      <c r="DG375" s="674">
        <f t="shared" si="593"/>
        <v>0</v>
      </c>
      <c r="DH375" s="1119">
        <f t="shared" si="594"/>
        <v>0</v>
      </c>
      <c r="DI375" s="1119"/>
      <c r="DJ375" s="101">
        <f t="shared" si="577"/>
        <v>0</v>
      </c>
      <c r="DK375" s="101"/>
      <c r="DL375" s="101">
        <f t="shared" si="576"/>
        <v>0</v>
      </c>
      <c r="DM375" s="101"/>
      <c r="DN375" s="112"/>
      <c r="DO375" s="112"/>
      <c r="DP375" s="112"/>
      <c r="DQ375" s="112"/>
    </row>
    <row r="376" spans="1:195" s="151" customFormat="1" ht="21.6" customHeight="1" x14ac:dyDescent="0.25">
      <c r="A376" s="141"/>
      <c r="B376" s="141"/>
      <c r="C376" s="159"/>
      <c r="D376" s="143"/>
      <c r="E376" s="22"/>
      <c r="F376" s="144"/>
      <c r="G376" s="144"/>
      <c r="H376" s="144"/>
      <c r="I376" s="144"/>
      <c r="J376" s="144"/>
      <c r="K376" s="144"/>
      <c r="L376" s="145"/>
      <c r="M376" s="146"/>
      <c r="N376" s="147"/>
      <c r="O376" s="131"/>
      <c r="P376" s="148"/>
      <c r="Q376" s="148"/>
      <c r="R376" s="148"/>
      <c r="S376" s="148"/>
      <c r="T376" s="123"/>
      <c r="U376" s="123"/>
      <c r="V376" s="123"/>
      <c r="W376" s="149"/>
      <c r="X376" s="149"/>
      <c r="Y376" s="124"/>
      <c r="Z376" s="125"/>
      <c r="AA376" s="123"/>
      <c r="AB376" s="123"/>
      <c r="AC376" s="123"/>
      <c r="AD376" s="124"/>
      <c r="AE376" s="124"/>
      <c r="AF376" s="126"/>
      <c r="AG376" s="474"/>
      <c r="AH376" s="129"/>
      <c r="AI376" s="129"/>
      <c r="AJ376" s="138"/>
      <c r="AK376" s="138"/>
      <c r="AL376" s="106"/>
      <c r="AM376" s="105"/>
      <c r="AN376" s="105"/>
      <c r="AO376" s="106"/>
      <c r="AP376" s="105"/>
      <c r="AQ376" s="105">
        <f t="shared" si="572"/>
        <v>0</v>
      </c>
      <c r="AR376" s="106"/>
      <c r="AS376" s="97">
        <f t="shared" si="553"/>
        <v>0</v>
      </c>
      <c r="AT376" s="6"/>
      <c r="AU376" s="105"/>
      <c r="AV376" s="455">
        <f t="shared" si="580"/>
        <v>0</v>
      </c>
      <c r="AW376" s="496"/>
      <c r="AX376" s="508"/>
      <c r="AY376" s="498"/>
      <c r="AZ376" s="100"/>
      <c r="BA376" s="101"/>
      <c r="BB376" s="100"/>
      <c r="BC376" s="100"/>
      <c r="BD376" s="101"/>
      <c r="BE376" s="105"/>
      <c r="BF376" s="106"/>
      <c r="BG376" s="100">
        <f t="shared" si="601"/>
        <v>0</v>
      </c>
      <c r="BH376" s="106"/>
      <c r="BI376" s="100">
        <f t="shared" si="602"/>
        <v>0</v>
      </c>
      <c r="BJ376" s="106"/>
      <c r="BK376" s="101">
        <f t="shared" si="554"/>
        <v>0</v>
      </c>
      <c r="BL376" s="106"/>
      <c r="BM376" s="130"/>
      <c r="BN376" s="130"/>
      <c r="BO376" s="105"/>
      <c r="BP376" s="105">
        <f t="shared" si="581"/>
        <v>0</v>
      </c>
      <c r="BQ376" s="106"/>
      <c r="BR376" s="105"/>
      <c r="BS376" s="105"/>
      <c r="BT376" s="106"/>
      <c r="BU376" s="53"/>
      <c r="BV376" s="53"/>
      <c r="BW376" s="54"/>
      <c r="BX376" s="350">
        <f t="shared" si="555"/>
        <v>0</v>
      </c>
      <c r="BY376" s="131"/>
      <c r="BZ376" s="131">
        <f t="shared" si="603"/>
        <v>0</v>
      </c>
      <c r="CA376" s="536"/>
      <c r="CB376" s="148"/>
      <c r="CC376" s="148"/>
      <c r="CD376" s="148"/>
      <c r="CE376" s="504"/>
      <c r="CF376" s="105"/>
      <c r="CG376" s="105">
        <f t="shared" si="520"/>
        <v>0</v>
      </c>
      <c r="CH376" s="105"/>
      <c r="CI376" s="105"/>
      <c r="CJ376" s="105">
        <f t="shared" si="521"/>
        <v>0</v>
      </c>
      <c r="CK376" s="523"/>
      <c r="CL376" s="102"/>
      <c r="CM376" s="103"/>
      <c r="CN376" s="100"/>
      <c r="CO376" s="100">
        <f t="shared" si="578"/>
        <v>0</v>
      </c>
      <c r="CP376" s="515"/>
      <c r="CQ376" s="441"/>
      <c r="CR376" s="504"/>
      <c r="CS376" s="105"/>
      <c r="CT376" s="105">
        <f t="shared" si="574"/>
        <v>0</v>
      </c>
      <c r="CU376" s="105"/>
      <c r="CV376" s="105"/>
      <c r="CW376" s="105">
        <f t="shared" si="575"/>
        <v>0</v>
      </c>
      <c r="CX376" s="53"/>
      <c r="CY376" s="109">
        <f t="shared" si="579"/>
        <v>0</v>
      </c>
      <c r="CZ376" s="54"/>
      <c r="DA376" s="105"/>
      <c r="DB376" s="455">
        <f t="shared" si="556"/>
        <v>0</v>
      </c>
      <c r="DC376" s="495"/>
      <c r="DD376" s="31"/>
      <c r="DF376" s="1133"/>
      <c r="DG376" s="674">
        <f t="shared" si="593"/>
        <v>0</v>
      </c>
      <c r="DH376" s="1119">
        <f t="shared" si="594"/>
        <v>0</v>
      </c>
      <c r="DI376" s="1119"/>
      <c r="DJ376" s="101">
        <f t="shared" si="577"/>
        <v>0</v>
      </c>
      <c r="DK376" s="101"/>
      <c r="DL376" s="101">
        <f t="shared" si="576"/>
        <v>0</v>
      </c>
      <c r="DM376" s="101"/>
      <c r="DN376" s="112"/>
      <c r="DO376" s="112"/>
      <c r="DP376" s="112"/>
      <c r="DQ376" s="112"/>
      <c r="DS376" s="152"/>
      <c r="DT376" s="152"/>
      <c r="DU376" s="152"/>
      <c r="DV376" s="152"/>
      <c r="DW376" s="152"/>
      <c r="DX376" s="152"/>
      <c r="DY376" s="152"/>
      <c r="DZ376" s="152"/>
    </row>
    <row r="377" spans="1:195" s="139" customFormat="1" ht="21.6" customHeight="1" x14ac:dyDescent="0.25">
      <c r="A377" s="4" t="s">
        <v>130</v>
      </c>
      <c r="B377" s="4">
        <v>1</v>
      </c>
      <c r="C377" s="294" t="s">
        <v>218</v>
      </c>
      <c r="D377" s="182" t="s">
        <v>437</v>
      </c>
      <c r="E377" s="13" t="s">
        <v>219</v>
      </c>
      <c r="F377" s="135">
        <v>72</v>
      </c>
      <c r="G377" s="135">
        <v>23</v>
      </c>
      <c r="H377" s="135">
        <f>F377+G377</f>
        <v>95</v>
      </c>
      <c r="I377" s="135">
        <v>102.6</v>
      </c>
      <c r="J377" s="135"/>
      <c r="K377" s="135">
        <f>I377+J377</f>
        <v>102.6</v>
      </c>
      <c r="L377" s="183"/>
      <c r="M377" s="5"/>
      <c r="N377" s="41"/>
      <c r="O377" s="6"/>
      <c r="P377" s="6"/>
      <c r="Q377" s="6"/>
      <c r="R377" s="6"/>
      <c r="S377" s="7"/>
      <c r="T377" s="89"/>
      <c r="U377" s="89"/>
      <c r="V377" s="89">
        <f t="shared" ref="V377:V384" si="605">T377+U377</f>
        <v>0</v>
      </c>
      <c r="W377" s="137"/>
      <c r="X377" s="137"/>
      <c r="Y377" s="90">
        <f>W377+X377</f>
        <v>0</v>
      </c>
      <c r="Z377" s="91"/>
      <c r="AA377" s="92"/>
      <c r="AB377" s="92"/>
      <c r="AC377" s="92">
        <f t="shared" ref="AC377:AC394" si="606">AA377+AB377</f>
        <v>0</v>
      </c>
      <c r="AD377" s="93"/>
      <c r="AE377" s="93"/>
      <c r="AF377" s="94">
        <f t="shared" ref="AF377:AF394" si="607">AD377+AE377</f>
        <v>0</v>
      </c>
      <c r="AG377" s="473"/>
      <c r="AH377" s="99">
        <v>235.65</v>
      </c>
      <c r="AI377" s="99">
        <f>AH377/15</f>
        <v>15.71</v>
      </c>
      <c r="AJ377" s="138"/>
      <c r="AK377" s="138">
        <f>AJ377/15</f>
        <v>0</v>
      </c>
      <c r="AL377" s="106">
        <f>SUM(AK377:AK394)</f>
        <v>66</v>
      </c>
      <c r="AM377" s="105">
        <v>235</v>
      </c>
      <c r="AN377" s="105">
        <f>AM377/15</f>
        <v>15.666666666666666</v>
      </c>
      <c r="AO377" s="106">
        <f>SUM(AN377:AN394)</f>
        <v>33.666666666666664</v>
      </c>
      <c r="AP377" s="105"/>
      <c r="AQ377" s="105">
        <f t="shared" ref="AQ377:AQ394" si="608">AP377/15</f>
        <v>0</v>
      </c>
      <c r="AR377" s="106">
        <f>SUM(AQ377:AQ394)</f>
        <v>0</v>
      </c>
      <c r="AS377" s="97">
        <f t="shared" ref="AS377:AS394" si="609">AN377+AK377+AQ377</f>
        <v>15.666666666666666</v>
      </c>
      <c r="AT377" s="6">
        <f>SUM(AS377:AS394)</f>
        <v>99.666666666666671</v>
      </c>
      <c r="AU377" s="105"/>
      <c r="AV377" s="455">
        <f t="shared" ref="AV377:AV394" si="610">AU377/15</f>
        <v>0</v>
      </c>
      <c r="AW377" s="496">
        <f>SUM(AV377:AV394)</f>
        <v>0</v>
      </c>
      <c r="AX377" s="508"/>
      <c r="AY377" s="498">
        <v>150</v>
      </c>
      <c r="AZ377" s="100">
        <f>AY377/15</f>
        <v>10</v>
      </c>
      <c r="BA377" s="106">
        <f>SUM(AZ377:AZ394)</f>
        <v>37.333333333333336</v>
      </c>
      <c r="BB377" s="105"/>
      <c r="BC377" s="105">
        <f>BB377/15</f>
        <v>0</v>
      </c>
      <c r="BD377" s="106">
        <f>SUM(BC377:BC394)</f>
        <v>0</v>
      </c>
      <c r="BE377" s="105">
        <f t="shared" ref="BE377:BE394" si="611">AK377+AZ377</f>
        <v>10</v>
      </c>
      <c r="BF377" s="106">
        <f>SUM(BE377:BE394)</f>
        <v>103.33333333333334</v>
      </c>
      <c r="BG377" s="100">
        <f t="shared" si="601"/>
        <v>15.666666666666666</v>
      </c>
      <c r="BH377" s="106">
        <f>SUM(BG377:BG394)</f>
        <v>33.666666666666664</v>
      </c>
      <c r="BI377" s="100">
        <f t="shared" si="602"/>
        <v>0</v>
      </c>
      <c r="BJ377" s="106">
        <f>SUM(BI377:BI394)</f>
        <v>0</v>
      </c>
      <c r="BK377" s="101">
        <f t="shared" ref="BK377:BK394" si="612">BG377+BE377+BI377</f>
        <v>25.666666666666664</v>
      </c>
      <c r="BL377" s="106">
        <f>SUM(BK377:BK394)</f>
        <v>137</v>
      </c>
      <c r="BM377" s="104">
        <v>1287</v>
      </c>
      <c r="BN377" s="104">
        <f>BM377/50</f>
        <v>25.74</v>
      </c>
      <c r="BO377" s="105"/>
      <c r="BP377" s="105">
        <f t="shared" ref="BP377:BP394" si="613">BO377/50</f>
        <v>0</v>
      </c>
      <c r="BQ377" s="106">
        <f>SUM(BP377:BP394)</f>
        <v>67</v>
      </c>
      <c r="BR377" s="105">
        <v>1250</v>
      </c>
      <c r="BS377" s="105">
        <f t="shared" ref="BS377:BS394" si="614">BR377/50</f>
        <v>25</v>
      </c>
      <c r="BT377" s="106">
        <f>SUM(BS377:BS394)</f>
        <v>66</v>
      </c>
      <c r="BU377" s="53"/>
      <c r="BV377" s="53">
        <f t="shared" ref="BV377:BV394" si="615">BU377/50</f>
        <v>0</v>
      </c>
      <c r="BW377" s="54">
        <f>SUM(BV377:BV394)</f>
        <v>0</v>
      </c>
      <c r="BX377" s="350">
        <f t="shared" ref="BX377:BX394" si="616">BP377+BS377+BV377</f>
        <v>25</v>
      </c>
      <c r="BY377" s="6">
        <f>SUM(BX377:BX394)</f>
        <v>133</v>
      </c>
      <c r="BZ377" s="6">
        <f t="shared" ref="BZ377:BZ394" si="617">BK377-BX377</f>
        <v>0.6666666666666643</v>
      </c>
      <c r="CA377" s="508"/>
      <c r="CB377" s="6"/>
      <c r="CC377" s="6"/>
      <c r="CD377" s="7"/>
      <c r="CE377" s="504"/>
      <c r="CF377" s="105"/>
      <c r="CG377" s="105">
        <f t="shared" ref="CG377:CG394" si="618">CE377+CF377</f>
        <v>0</v>
      </c>
      <c r="CH377" s="105"/>
      <c r="CI377" s="105"/>
      <c r="CJ377" s="105">
        <f t="shared" ref="CJ377:CJ394" si="619">CH377+CI377</f>
        <v>0</v>
      </c>
      <c r="CK377" s="524"/>
      <c r="CL377" s="53">
        <f>CK377/15</f>
        <v>0</v>
      </c>
      <c r="CM377" s="54">
        <f>SUM(CL377:CL394)</f>
        <v>0</v>
      </c>
      <c r="CN377" s="105"/>
      <c r="CO377" s="100">
        <f t="shared" ref="CO377:CO394" si="620">CN377/15</f>
        <v>0</v>
      </c>
      <c r="CP377" s="496">
        <f>SUM(CO377:CO394)</f>
        <v>5</v>
      </c>
      <c r="CQ377" s="439"/>
      <c r="CR377" s="504"/>
      <c r="CS377" s="105"/>
      <c r="CT377" s="105">
        <f t="shared" ref="CT377:CT394" si="621">CR377+CS377</f>
        <v>0</v>
      </c>
      <c r="CU377" s="105"/>
      <c r="CV377" s="105"/>
      <c r="CW377" s="105">
        <f t="shared" ref="CW377:CW394" si="622">CU377+CV377</f>
        <v>0</v>
      </c>
      <c r="CX377" s="53"/>
      <c r="CY377" s="109">
        <f t="shared" ref="CY377:CY394" si="623">CX377/15</f>
        <v>0</v>
      </c>
      <c r="CZ377" s="54">
        <f>SUM(CY377:CY394)</f>
        <v>0</v>
      </c>
      <c r="DA377" s="105"/>
      <c r="DB377" s="455">
        <f t="shared" ref="DB377:DB394" si="624">DA377/15</f>
        <v>0</v>
      </c>
      <c r="DC377" s="495">
        <f>SUM(DB377:DB394)</f>
        <v>0</v>
      </c>
      <c r="DD377" s="24"/>
      <c r="DF377" s="1133"/>
      <c r="DG377" s="674">
        <f t="shared" si="593"/>
        <v>0</v>
      </c>
      <c r="DH377" s="1119">
        <f t="shared" si="594"/>
        <v>0</v>
      </c>
      <c r="DI377" s="1119"/>
      <c r="DJ377" s="101">
        <f t="shared" si="577"/>
        <v>25.666666666666664</v>
      </c>
      <c r="DK377" s="101">
        <f>SUM(DJ377:DJ394)</f>
        <v>142</v>
      </c>
      <c r="DL377" s="101">
        <f t="shared" si="576"/>
        <v>0</v>
      </c>
      <c r="DM377" s="101"/>
      <c r="DN377" s="112"/>
      <c r="DO377" s="112">
        <f>DJ377</f>
        <v>25.666666666666664</v>
      </c>
      <c r="DP377" s="112"/>
      <c r="DQ377" s="112"/>
      <c r="DS377" s="140"/>
      <c r="DT377" s="140"/>
      <c r="DU377" s="140"/>
      <c r="DV377" s="140"/>
      <c r="DW377" s="140"/>
      <c r="DX377" s="140"/>
      <c r="DY377" s="140"/>
      <c r="DZ377" s="140"/>
    </row>
    <row r="378" spans="1:195" s="139" customFormat="1" ht="21.6" customHeight="1" x14ac:dyDescent="0.25">
      <c r="A378" s="4" t="s">
        <v>130</v>
      </c>
      <c r="B378" s="4">
        <v>2</v>
      </c>
      <c r="C378" s="294" t="s">
        <v>218</v>
      </c>
      <c r="D378" s="182" t="s">
        <v>437</v>
      </c>
      <c r="E378" s="13" t="s">
        <v>220</v>
      </c>
      <c r="F378" s="135">
        <v>138</v>
      </c>
      <c r="G378" s="135">
        <v>31</v>
      </c>
      <c r="H378" s="135">
        <f>F378+G378</f>
        <v>169</v>
      </c>
      <c r="I378" s="135">
        <v>63.3</v>
      </c>
      <c r="J378" s="135"/>
      <c r="K378" s="135">
        <f>I378+J378</f>
        <v>63.3</v>
      </c>
      <c r="L378" s="183"/>
      <c r="M378" s="5"/>
      <c r="N378" s="41"/>
      <c r="O378" s="6"/>
      <c r="P378" s="7"/>
      <c r="Q378" s="7"/>
      <c r="R378" s="7"/>
      <c r="S378" s="7"/>
      <c r="T378" s="89"/>
      <c r="U378" s="89"/>
      <c r="V378" s="89">
        <f t="shared" si="605"/>
        <v>0</v>
      </c>
      <c r="W378" s="137"/>
      <c r="X378" s="137"/>
      <c r="Y378" s="90">
        <f>W378+X378</f>
        <v>0</v>
      </c>
      <c r="Z378" s="91"/>
      <c r="AA378" s="92"/>
      <c r="AB378" s="92"/>
      <c r="AC378" s="92">
        <f t="shared" si="606"/>
        <v>0</v>
      </c>
      <c r="AD378" s="93"/>
      <c r="AE378" s="93"/>
      <c r="AF378" s="94">
        <f t="shared" si="607"/>
        <v>0</v>
      </c>
      <c r="AG378" s="473"/>
      <c r="AH378" s="99">
        <v>111.75</v>
      </c>
      <c r="AI378" s="99">
        <f>AH378/15</f>
        <v>7.45</v>
      </c>
      <c r="AJ378" s="138">
        <v>110</v>
      </c>
      <c r="AK378" s="138">
        <f>AJ378/15</f>
        <v>7.333333333333333</v>
      </c>
      <c r="AL378" s="106"/>
      <c r="AM378" s="105"/>
      <c r="AN378" s="105">
        <f>AM378/15</f>
        <v>0</v>
      </c>
      <c r="AO378" s="106"/>
      <c r="AP378" s="105"/>
      <c r="AQ378" s="105">
        <f t="shared" si="608"/>
        <v>0</v>
      </c>
      <c r="AR378" s="106"/>
      <c r="AS378" s="97">
        <f t="shared" si="609"/>
        <v>7.333333333333333</v>
      </c>
      <c r="AT378" s="6"/>
      <c r="AU378" s="105"/>
      <c r="AV378" s="455">
        <f t="shared" si="610"/>
        <v>0</v>
      </c>
      <c r="AW378" s="496"/>
      <c r="AX378" s="508"/>
      <c r="AY378" s="498"/>
      <c r="AZ378" s="100">
        <f>AY378/15</f>
        <v>0</v>
      </c>
      <c r="BA378" s="101"/>
      <c r="BB378" s="100"/>
      <c r="BC378" s="100">
        <f>BB378/15</f>
        <v>0</v>
      </c>
      <c r="BD378" s="101"/>
      <c r="BE378" s="105">
        <f t="shared" si="611"/>
        <v>7.333333333333333</v>
      </c>
      <c r="BF378" s="106"/>
      <c r="BG378" s="100">
        <f t="shared" si="601"/>
        <v>0</v>
      </c>
      <c r="BH378" s="106"/>
      <c r="BI378" s="100">
        <f t="shared" si="602"/>
        <v>0</v>
      </c>
      <c r="BJ378" s="106"/>
      <c r="BK378" s="101">
        <f t="shared" si="612"/>
        <v>7.333333333333333</v>
      </c>
      <c r="BL378" s="106"/>
      <c r="BM378" s="104"/>
      <c r="BN378" s="104">
        <f>BM378/50</f>
        <v>0</v>
      </c>
      <c r="BO378" s="105"/>
      <c r="BP378" s="105">
        <f t="shared" si="613"/>
        <v>0</v>
      </c>
      <c r="BQ378" s="106"/>
      <c r="BR378" s="105">
        <v>350</v>
      </c>
      <c r="BS378" s="105">
        <f t="shared" si="614"/>
        <v>7</v>
      </c>
      <c r="BT378" s="106"/>
      <c r="BU378" s="53"/>
      <c r="BV378" s="53">
        <f t="shared" si="615"/>
        <v>0</v>
      </c>
      <c r="BW378" s="54"/>
      <c r="BX378" s="350">
        <f t="shared" si="616"/>
        <v>7</v>
      </c>
      <c r="BY378" s="6"/>
      <c r="BZ378" s="6">
        <f t="shared" si="617"/>
        <v>0.33333333333333304</v>
      </c>
      <c r="CA378" s="508"/>
      <c r="CB378" s="7"/>
      <c r="CC378" s="7"/>
      <c r="CD378" s="7"/>
      <c r="CE378" s="504"/>
      <c r="CF378" s="105"/>
      <c r="CG378" s="105">
        <f t="shared" si="618"/>
        <v>0</v>
      </c>
      <c r="CH378" s="105"/>
      <c r="CI378" s="105"/>
      <c r="CJ378" s="105">
        <f t="shared" si="619"/>
        <v>0</v>
      </c>
      <c r="CK378" s="523"/>
      <c r="CL378" s="102">
        <f>CK378/15</f>
        <v>0</v>
      </c>
      <c r="CM378" s="103"/>
      <c r="CN378" s="100"/>
      <c r="CO378" s="100">
        <f t="shared" si="620"/>
        <v>0</v>
      </c>
      <c r="CP378" s="515"/>
      <c r="CQ378" s="441"/>
      <c r="CR378" s="504"/>
      <c r="CS378" s="105"/>
      <c r="CT378" s="105">
        <f t="shared" si="621"/>
        <v>0</v>
      </c>
      <c r="CU378" s="105"/>
      <c r="CV378" s="105"/>
      <c r="CW378" s="105">
        <f t="shared" si="622"/>
        <v>0</v>
      </c>
      <c r="CX378" s="53"/>
      <c r="CY378" s="109">
        <f t="shared" si="623"/>
        <v>0</v>
      </c>
      <c r="CZ378" s="54"/>
      <c r="DA378" s="105"/>
      <c r="DB378" s="455">
        <f t="shared" si="624"/>
        <v>0</v>
      </c>
      <c r="DC378" s="495"/>
      <c r="DD378" s="24"/>
      <c r="DF378" s="1133"/>
      <c r="DG378" s="674">
        <f t="shared" si="593"/>
        <v>0</v>
      </c>
      <c r="DH378" s="1119">
        <f t="shared" si="594"/>
        <v>0</v>
      </c>
      <c r="DI378" s="1119"/>
      <c r="DJ378" s="101">
        <f t="shared" si="577"/>
        <v>7.333333333333333</v>
      </c>
      <c r="DK378" s="101"/>
      <c r="DL378" s="101">
        <f t="shared" si="576"/>
        <v>0</v>
      </c>
      <c r="DM378" s="101"/>
      <c r="DN378" s="112"/>
      <c r="DO378" s="112">
        <f>DJ378</f>
        <v>7.333333333333333</v>
      </c>
      <c r="DP378" s="112"/>
      <c r="DQ378" s="112"/>
      <c r="DS378" s="140"/>
      <c r="DT378" s="140"/>
      <c r="DU378" s="140"/>
      <c r="DV378" s="140"/>
      <c r="DW378" s="140"/>
      <c r="DX378" s="140"/>
      <c r="DY378" s="140"/>
      <c r="DZ378" s="140"/>
    </row>
    <row r="379" spans="1:195" ht="21.6" customHeight="1" x14ac:dyDescent="0.25">
      <c r="A379" s="4"/>
      <c r="B379" s="4"/>
      <c r="C379" s="295" t="s">
        <v>218</v>
      </c>
      <c r="D379" s="182" t="s">
        <v>431</v>
      </c>
      <c r="E379" s="3" t="s">
        <v>527</v>
      </c>
      <c r="F379" s="135"/>
      <c r="G379" s="135"/>
      <c r="H379" s="135"/>
      <c r="I379" s="135"/>
      <c r="J379" s="135"/>
      <c r="K379" s="135"/>
      <c r="L379" s="183"/>
      <c r="M379" s="5"/>
      <c r="N379" s="177"/>
      <c r="O379" s="6"/>
      <c r="P379" s="7"/>
      <c r="Q379" s="7"/>
      <c r="R379" s="7"/>
      <c r="S379" s="7"/>
      <c r="T379" s="89"/>
      <c r="U379" s="89"/>
      <c r="V379" s="89">
        <f t="shared" si="605"/>
        <v>0</v>
      </c>
      <c r="W379" s="137"/>
      <c r="X379" s="137"/>
      <c r="Y379" s="90">
        <f>W379+X379</f>
        <v>0</v>
      </c>
      <c r="Z379" s="91"/>
      <c r="AA379" s="92"/>
      <c r="AB379" s="92"/>
      <c r="AC379" s="92">
        <f t="shared" si="606"/>
        <v>0</v>
      </c>
      <c r="AD379" s="93"/>
      <c r="AE379" s="93"/>
      <c r="AF379" s="94">
        <f t="shared" si="607"/>
        <v>0</v>
      </c>
      <c r="AG379" s="473"/>
      <c r="AH379" s="99"/>
      <c r="AI379" s="99"/>
      <c r="AJ379" s="138"/>
      <c r="AK379" s="138"/>
      <c r="AL379" s="106"/>
      <c r="AM379" s="105"/>
      <c r="AN379" s="105"/>
      <c r="AO379" s="106"/>
      <c r="AP379" s="105"/>
      <c r="AQ379" s="105">
        <f t="shared" si="608"/>
        <v>0</v>
      </c>
      <c r="AR379" s="106"/>
      <c r="AS379" s="97">
        <f t="shared" si="609"/>
        <v>0</v>
      </c>
      <c r="AT379" s="6"/>
      <c r="AU379" s="105"/>
      <c r="AV379" s="455">
        <f t="shared" si="610"/>
        <v>0</v>
      </c>
      <c r="AW379" s="496"/>
      <c r="AX379" s="508"/>
      <c r="AY379" s="498">
        <v>50</v>
      </c>
      <c r="AZ379" s="100">
        <f>AY379/15</f>
        <v>3.3333333333333335</v>
      </c>
      <c r="BA379" s="101"/>
      <c r="BB379" s="100"/>
      <c r="BC379" s="100"/>
      <c r="BD379" s="101"/>
      <c r="BE379" s="105">
        <f t="shared" si="611"/>
        <v>3.3333333333333335</v>
      </c>
      <c r="BF379" s="106"/>
      <c r="BG379" s="100">
        <f t="shared" si="601"/>
        <v>0</v>
      </c>
      <c r="BH379" s="106"/>
      <c r="BI379" s="100">
        <f t="shared" si="602"/>
        <v>0</v>
      </c>
      <c r="BJ379" s="106"/>
      <c r="BK379" s="101">
        <f t="shared" si="612"/>
        <v>3.3333333333333335</v>
      </c>
      <c r="BL379" s="106"/>
      <c r="BM379" s="104">
        <v>185.5</v>
      </c>
      <c r="BN379" s="104">
        <f>BM379/50</f>
        <v>3.71</v>
      </c>
      <c r="BO379" s="105">
        <v>150</v>
      </c>
      <c r="BP379" s="105">
        <f t="shared" si="613"/>
        <v>3</v>
      </c>
      <c r="BQ379" s="106"/>
      <c r="BR379" s="105"/>
      <c r="BS379" s="105">
        <f t="shared" si="614"/>
        <v>0</v>
      </c>
      <c r="BT379" s="106"/>
      <c r="BU379" s="53"/>
      <c r="BV379" s="53">
        <f t="shared" si="615"/>
        <v>0</v>
      </c>
      <c r="BW379" s="54"/>
      <c r="BX379" s="350">
        <f t="shared" si="616"/>
        <v>3</v>
      </c>
      <c r="BY379" s="6"/>
      <c r="BZ379" s="6">
        <f t="shared" si="617"/>
        <v>0.33333333333333348</v>
      </c>
      <c r="CA379" s="508"/>
      <c r="CB379" s="7"/>
      <c r="CC379" s="7"/>
      <c r="CD379" s="7"/>
      <c r="CE379" s="504"/>
      <c r="CF379" s="105"/>
      <c r="CG379" s="105">
        <f t="shared" si="618"/>
        <v>0</v>
      </c>
      <c r="CH379" s="105"/>
      <c r="CI379" s="105"/>
      <c r="CJ379" s="105">
        <f t="shared" si="619"/>
        <v>0</v>
      </c>
      <c r="CK379" s="523"/>
      <c r="CL379" s="102"/>
      <c r="CM379" s="103"/>
      <c r="CN379" s="100"/>
      <c r="CO379" s="100">
        <f t="shared" si="620"/>
        <v>0</v>
      </c>
      <c r="CP379" s="515"/>
      <c r="CQ379" s="441"/>
      <c r="CR379" s="504"/>
      <c r="CS379" s="105"/>
      <c r="CT379" s="105">
        <f t="shared" si="621"/>
        <v>0</v>
      </c>
      <c r="CU379" s="105"/>
      <c r="CV379" s="105"/>
      <c r="CW379" s="105">
        <f t="shared" si="622"/>
        <v>0</v>
      </c>
      <c r="CX379" s="53"/>
      <c r="CY379" s="109">
        <f t="shared" si="623"/>
        <v>0</v>
      </c>
      <c r="CZ379" s="54"/>
      <c r="DA379" s="105"/>
      <c r="DB379" s="455">
        <f t="shared" si="624"/>
        <v>0</v>
      </c>
      <c r="DC379" s="495"/>
      <c r="DD379" s="24"/>
      <c r="DE379" s="776"/>
      <c r="DF379" s="1133"/>
      <c r="DG379" s="674">
        <f t="shared" si="593"/>
        <v>0</v>
      </c>
      <c r="DH379" s="1119">
        <f t="shared" si="594"/>
        <v>0</v>
      </c>
      <c r="DI379" s="1119"/>
      <c r="DJ379" s="101">
        <f t="shared" si="577"/>
        <v>3.3333333333333335</v>
      </c>
      <c r="DK379" s="101"/>
      <c r="DL379" s="101">
        <f t="shared" si="576"/>
        <v>0</v>
      </c>
      <c r="DM379" s="101"/>
      <c r="DN379" s="112"/>
      <c r="DO379" s="112"/>
      <c r="DP379" s="112"/>
      <c r="DQ379" s="112"/>
      <c r="DR379" s="776"/>
      <c r="DS379" s="140"/>
      <c r="DT379" s="140"/>
      <c r="DU379" s="140"/>
      <c r="DV379" s="140"/>
      <c r="DW379" s="140"/>
      <c r="DX379" s="140"/>
      <c r="DY379" s="140"/>
      <c r="DZ379" s="140"/>
      <c r="EA379" s="776"/>
      <c r="EB379" s="776"/>
      <c r="EC379" s="776"/>
      <c r="ED379" s="776"/>
      <c r="EE379" s="776"/>
      <c r="EF379" s="776"/>
      <c r="EG379" s="776"/>
      <c r="EH379" s="776"/>
      <c r="EI379" s="776"/>
      <c r="EJ379" s="776"/>
      <c r="EK379" s="776"/>
      <c r="EL379" s="776"/>
      <c r="EM379" s="776"/>
      <c r="EN379" s="776"/>
      <c r="EO379" s="776"/>
      <c r="EP379" s="776"/>
      <c r="EQ379" s="776"/>
      <c r="ER379" s="776"/>
      <c r="ES379" s="776"/>
      <c r="ET379" s="776"/>
      <c r="EU379" s="776"/>
      <c r="EV379" s="776"/>
      <c r="EW379" s="776"/>
      <c r="EX379" s="776"/>
      <c r="EY379" s="776"/>
      <c r="EZ379" s="776"/>
      <c r="FA379" s="776"/>
      <c r="FB379" s="776"/>
      <c r="FC379" s="776"/>
      <c r="FD379" s="776"/>
      <c r="FE379" s="776"/>
      <c r="FF379" s="776"/>
      <c r="FG379" s="776"/>
      <c r="FH379" s="776"/>
      <c r="FI379" s="776"/>
      <c r="FJ379" s="776"/>
      <c r="FK379" s="776"/>
      <c r="FL379" s="776"/>
      <c r="FM379" s="776"/>
      <c r="FN379" s="776"/>
      <c r="FO379" s="776"/>
      <c r="FP379" s="776"/>
      <c r="FQ379" s="776"/>
      <c r="FR379" s="776"/>
      <c r="FS379" s="776"/>
      <c r="FT379" s="776"/>
      <c r="FU379" s="776"/>
      <c r="FV379" s="776"/>
      <c r="FW379" s="776"/>
      <c r="FX379" s="776"/>
      <c r="FY379" s="776"/>
      <c r="FZ379" s="776"/>
      <c r="GA379" s="776"/>
      <c r="GB379" s="776"/>
      <c r="GC379" s="776"/>
      <c r="GD379" s="776"/>
      <c r="GE379" s="776"/>
      <c r="GF379" s="776"/>
      <c r="GG379" s="776"/>
      <c r="GH379" s="776"/>
      <c r="GI379" s="776"/>
      <c r="GJ379" s="776"/>
      <c r="GK379" s="776"/>
      <c r="GL379" s="776"/>
      <c r="GM379" s="776"/>
    </row>
    <row r="380" spans="1:195" ht="21.6" customHeight="1" x14ac:dyDescent="0.25">
      <c r="A380" s="4"/>
      <c r="B380" s="4"/>
      <c r="C380" s="295" t="s">
        <v>218</v>
      </c>
      <c r="D380" s="182" t="s">
        <v>431</v>
      </c>
      <c r="E380" s="3" t="s">
        <v>527</v>
      </c>
      <c r="F380" s="135"/>
      <c r="G380" s="135"/>
      <c r="H380" s="135"/>
      <c r="I380" s="135"/>
      <c r="J380" s="135"/>
      <c r="K380" s="135"/>
      <c r="L380" s="183"/>
      <c r="M380" s="5"/>
      <c r="N380" s="177"/>
      <c r="O380" s="6"/>
      <c r="P380" s="7"/>
      <c r="Q380" s="7"/>
      <c r="R380" s="7"/>
      <c r="S380" s="7"/>
      <c r="T380" s="89"/>
      <c r="U380" s="89"/>
      <c r="V380" s="89">
        <f t="shared" si="605"/>
        <v>0</v>
      </c>
      <c r="W380" s="137"/>
      <c r="X380" s="137"/>
      <c r="Y380" s="90"/>
      <c r="Z380" s="91"/>
      <c r="AA380" s="92"/>
      <c r="AB380" s="92"/>
      <c r="AC380" s="92">
        <f t="shared" si="606"/>
        <v>0</v>
      </c>
      <c r="AD380" s="93"/>
      <c r="AE380" s="93"/>
      <c r="AF380" s="94">
        <f t="shared" si="607"/>
        <v>0</v>
      </c>
      <c r="AG380" s="473"/>
      <c r="AH380" s="99">
        <v>51</v>
      </c>
      <c r="AI380" s="99">
        <f t="shared" ref="AI380:AI394" si="625">AH380/15</f>
        <v>3.4</v>
      </c>
      <c r="AJ380" s="138">
        <v>50</v>
      </c>
      <c r="AK380" s="138">
        <f t="shared" ref="AK380:AK394" si="626">AJ380/15</f>
        <v>3.3333333333333335</v>
      </c>
      <c r="AL380" s="106"/>
      <c r="AM380" s="105"/>
      <c r="AN380" s="105">
        <f t="shared" ref="AN380:AN394" si="627">AM380/15</f>
        <v>0</v>
      </c>
      <c r="AO380" s="106"/>
      <c r="AP380" s="105"/>
      <c r="AQ380" s="105">
        <f t="shared" si="608"/>
        <v>0</v>
      </c>
      <c r="AR380" s="106"/>
      <c r="AS380" s="97">
        <f t="shared" si="609"/>
        <v>3.3333333333333335</v>
      </c>
      <c r="AT380" s="6"/>
      <c r="AU380" s="105"/>
      <c r="AV380" s="455">
        <f t="shared" si="610"/>
        <v>0</v>
      </c>
      <c r="AW380" s="496"/>
      <c r="AX380" s="508"/>
      <c r="AY380" s="498"/>
      <c r="AZ380" s="100"/>
      <c r="BA380" s="101"/>
      <c r="BB380" s="100"/>
      <c r="BC380" s="100">
        <f t="shared" ref="BC380:BC394" si="628">BB380/15</f>
        <v>0</v>
      </c>
      <c r="BD380" s="101"/>
      <c r="BE380" s="105">
        <f t="shared" si="611"/>
        <v>3.3333333333333335</v>
      </c>
      <c r="BF380" s="106"/>
      <c r="BG380" s="100">
        <f t="shared" si="601"/>
        <v>0</v>
      </c>
      <c r="BH380" s="106"/>
      <c r="BI380" s="100">
        <f t="shared" si="602"/>
        <v>0</v>
      </c>
      <c r="BJ380" s="106"/>
      <c r="BK380" s="101">
        <f t="shared" si="612"/>
        <v>3.3333333333333335</v>
      </c>
      <c r="BL380" s="106"/>
      <c r="BM380" s="104"/>
      <c r="BN380" s="104"/>
      <c r="BO380" s="105"/>
      <c r="BP380" s="105">
        <f t="shared" si="613"/>
        <v>0</v>
      </c>
      <c r="BQ380" s="106"/>
      <c r="BR380" s="105">
        <v>150</v>
      </c>
      <c r="BS380" s="105">
        <f t="shared" si="614"/>
        <v>3</v>
      </c>
      <c r="BT380" s="106"/>
      <c r="BU380" s="53"/>
      <c r="BV380" s="53">
        <f t="shared" si="615"/>
        <v>0</v>
      </c>
      <c r="BW380" s="54"/>
      <c r="BX380" s="350">
        <f t="shared" si="616"/>
        <v>3</v>
      </c>
      <c r="BY380" s="6"/>
      <c r="BZ380" s="6">
        <f t="shared" si="617"/>
        <v>0.33333333333333348</v>
      </c>
      <c r="CA380" s="508"/>
      <c r="CB380" s="7"/>
      <c r="CC380" s="7"/>
      <c r="CD380" s="7"/>
      <c r="CE380" s="504"/>
      <c r="CF380" s="105"/>
      <c r="CG380" s="105">
        <f t="shared" si="618"/>
        <v>0</v>
      </c>
      <c r="CH380" s="105"/>
      <c r="CI380" s="105"/>
      <c r="CJ380" s="105">
        <f t="shared" si="619"/>
        <v>0</v>
      </c>
      <c r="CK380" s="523"/>
      <c r="CL380" s="102">
        <f t="shared" ref="CL380:CL394" si="629">CK380/15</f>
        <v>0</v>
      </c>
      <c r="CM380" s="103"/>
      <c r="CN380" s="100"/>
      <c r="CO380" s="100">
        <f t="shared" si="620"/>
        <v>0</v>
      </c>
      <c r="CP380" s="515"/>
      <c r="CQ380" s="441"/>
      <c r="CR380" s="504"/>
      <c r="CS380" s="105"/>
      <c r="CT380" s="105">
        <f t="shared" si="621"/>
        <v>0</v>
      </c>
      <c r="CU380" s="105"/>
      <c r="CV380" s="105"/>
      <c r="CW380" s="105">
        <f t="shared" si="622"/>
        <v>0</v>
      </c>
      <c r="CX380" s="53"/>
      <c r="CY380" s="109">
        <f t="shared" si="623"/>
        <v>0</v>
      </c>
      <c r="CZ380" s="54"/>
      <c r="DA380" s="105"/>
      <c r="DB380" s="455">
        <f t="shared" si="624"/>
        <v>0</v>
      </c>
      <c r="DC380" s="495"/>
      <c r="DD380" s="24"/>
      <c r="DE380" s="776"/>
      <c r="DF380" s="1133"/>
      <c r="DG380" s="674">
        <f t="shared" si="593"/>
        <v>0</v>
      </c>
      <c r="DH380" s="1119">
        <f t="shared" si="594"/>
        <v>0</v>
      </c>
      <c r="DI380" s="1119"/>
      <c r="DJ380" s="101">
        <f t="shared" si="577"/>
        <v>3.3333333333333335</v>
      </c>
      <c r="DK380" s="101"/>
      <c r="DL380" s="101">
        <f t="shared" si="576"/>
        <v>0</v>
      </c>
      <c r="DM380" s="101"/>
      <c r="DN380" s="112"/>
      <c r="DO380" s="112"/>
      <c r="DP380" s="112"/>
      <c r="DQ380" s="112"/>
      <c r="DR380" s="776"/>
      <c r="DS380" s="140"/>
      <c r="DT380" s="140"/>
      <c r="DU380" s="140"/>
      <c r="DV380" s="140"/>
      <c r="DW380" s="140"/>
      <c r="DX380" s="140"/>
      <c r="DY380" s="140"/>
      <c r="DZ380" s="140"/>
      <c r="EA380" s="776"/>
      <c r="EB380" s="776"/>
      <c r="EC380" s="776"/>
      <c r="ED380" s="776"/>
      <c r="EE380" s="776"/>
      <c r="EF380" s="776"/>
      <c r="EG380" s="776"/>
      <c r="EH380" s="776"/>
      <c r="EI380" s="776"/>
      <c r="EJ380" s="776"/>
      <c r="EK380" s="776"/>
      <c r="EL380" s="776"/>
      <c r="EM380" s="776"/>
      <c r="EN380" s="776"/>
      <c r="EO380" s="776"/>
      <c r="EP380" s="776"/>
      <c r="EQ380" s="776"/>
      <c r="ER380" s="776"/>
      <c r="ES380" s="776"/>
      <c r="ET380" s="776"/>
      <c r="EU380" s="776"/>
      <c r="EV380" s="776"/>
      <c r="EW380" s="776"/>
      <c r="EX380" s="776"/>
      <c r="EY380" s="776"/>
      <c r="EZ380" s="776"/>
      <c r="FA380" s="776"/>
      <c r="FB380" s="776"/>
      <c r="FC380" s="776"/>
      <c r="FD380" s="776"/>
      <c r="FE380" s="776"/>
      <c r="FF380" s="776"/>
      <c r="FG380" s="776"/>
      <c r="FH380" s="776"/>
      <c r="FI380" s="776"/>
      <c r="FJ380" s="776"/>
      <c r="FK380" s="776"/>
      <c r="FL380" s="776"/>
      <c r="FM380" s="776"/>
      <c r="FN380" s="776"/>
      <c r="FO380" s="776"/>
      <c r="FP380" s="776"/>
      <c r="FQ380" s="776"/>
      <c r="FR380" s="776"/>
      <c r="FS380" s="776"/>
      <c r="FT380" s="776"/>
      <c r="FU380" s="776"/>
      <c r="FV380" s="776"/>
      <c r="FW380" s="776"/>
      <c r="FX380" s="776"/>
      <c r="FY380" s="776"/>
      <c r="FZ380" s="776"/>
      <c r="GA380" s="776"/>
      <c r="GB380" s="776"/>
      <c r="GC380" s="776"/>
      <c r="GD380" s="776"/>
      <c r="GE380" s="776"/>
      <c r="GF380" s="776"/>
      <c r="GG380" s="776"/>
      <c r="GH380" s="776"/>
      <c r="GI380" s="776"/>
      <c r="GJ380" s="776"/>
      <c r="GK380" s="776"/>
      <c r="GL380" s="776"/>
      <c r="GM380" s="776"/>
    </row>
    <row r="381" spans="1:195" s="139" customFormat="1" ht="21.6" customHeight="1" x14ac:dyDescent="0.25">
      <c r="A381" s="4" t="s">
        <v>130</v>
      </c>
      <c r="B381" s="4">
        <v>5</v>
      </c>
      <c r="C381" s="294" t="s">
        <v>218</v>
      </c>
      <c r="D381" s="167" t="s">
        <v>431</v>
      </c>
      <c r="E381" s="1" t="s">
        <v>67</v>
      </c>
      <c r="F381" s="162">
        <v>20</v>
      </c>
      <c r="G381" s="162">
        <v>8</v>
      </c>
      <c r="H381" s="162">
        <f>F381+G381</f>
        <v>28</v>
      </c>
      <c r="I381" s="162"/>
      <c r="J381" s="162">
        <v>16.7</v>
      </c>
      <c r="K381" s="162">
        <f>I381+J381</f>
        <v>16.7</v>
      </c>
      <c r="L381" s="168"/>
      <c r="M381" s="589"/>
      <c r="N381" s="41"/>
      <c r="O381" s="6"/>
      <c r="P381" s="7"/>
      <c r="Q381" s="7"/>
      <c r="R381" s="7"/>
      <c r="S381" s="165"/>
      <c r="T381" s="89"/>
      <c r="U381" s="89"/>
      <c r="V381" s="89">
        <f t="shared" si="605"/>
        <v>0</v>
      </c>
      <c r="W381" s="137"/>
      <c r="X381" s="137"/>
      <c r="Y381" s="90">
        <f t="shared" ref="Y381:Y394" si="630">W381+X381</f>
        <v>0</v>
      </c>
      <c r="Z381" s="169"/>
      <c r="AA381" s="92"/>
      <c r="AB381" s="92"/>
      <c r="AC381" s="92">
        <f t="shared" si="606"/>
        <v>0</v>
      </c>
      <c r="AD381" s="93"/>
      <c r="AE381" s="93"/>
      <c r="AF381" s="94">
        <f t="shared" si="607"/>
        <v>0</v>
      </c>
      <c r="AG381" s="475"/>
      <c r="AH381" s="99">
        <v>70.95</v>
      </c>
      <c r="AI381" s="99">
        <f t="shared" si="625"/>
        <v>4.7300000000000004</v>
      </c>
      <c r="AJ381" s="138">
        <v>70</v>
      </c>
      <c r="AK381" s="138">
        <f t="shared" si="626"/>
        <v>4.666666666666667</v>
      </c>
      <c r="AL381" s="106"/>
      <c r="AM381" s="105"/>
      <c r="AN381" s="105">
        <f t="shared" si="627"/>
        <v>0</v>
      </c>
      <c r="AO381" s="106"/>
      <c r="AP381" s="105"/>
      <c r="AQ381" s="105">
        <f t="shared" si="608"/>
        <v>0</v>
      </c>
      <c r="AR381" s="106"/>
      <c r="AS381" s="97">
        <f t="shared" si="609"/>
        <v>4.666666666666667</v>
      </c>
      <c r="AT381" s="6"/>
      <c r="AU381" s="105"/>
      <c r="AV381" s="455">
        <f t="shared" si="610"/>
        <v>0</v>
      </c>
      <c r="AW381" s="496"/>
      <c r="AX381" s="508"/>
      <c r="AY381" s="498">
        <v>20</v>
      </c>
      <c r="AZ381" s="100">
        <f t="shared" ref="AZ381:AZ387" si="631">AY381/15</f>
        <v>1.3333333333333333</v>
      </c>
      <c r="BA381" s="101"/>
      <c r="BB381" s="100"/>
      <c r="BC381" s="100">
        <f t="shared" si="628"/>
        <v>0</v>
      </c>
      <c r="BD381" s="101"/>
      <c r="BE381" s="105">
        <f t="shared" si="611"/>
        <v>6</v>
      </c>
      <c r="BF381" s="106"/>
      <c r="BG381" s="100">
        <f t="shared" si="601"/>
        <v>0</v>
      </c>
      <c r="BH381" s="106"/>
      <c r="BI381" s="100">
        <f t="shared" si="602"/>
        <v>0</v>
      </c>
      <c r="BJ381" s="106"/>
      <c r="BK381" s="101">
        <f t="shared" si="612"/>
        <v>6</v>
      </c>
      <c r="BL381" s="106"/>
      <c r="BM381" s="104">
        <v>304</v>
      </c>
      <c r="BN381" s="104">
        <f t="shared" ref="BN381:BN387" si="632">BM381/50</f>
        <v>6.08</v>
      </c>
      <c r="BO381" s="105">
        <v>300</v>
      </c>
      <c r="BP381" s="105">
        <f t="shared" si="613"/>
        <v>6</v>
      </c>
      <c r="BQ381" s="106"/>
      <c r="BR381" s="105"/>
      <c r="BS381" s="105">
        <f t="shared" si="614"/>
        <v>0</v>
      </c>
      <c r="BT381" s="106"/>
      <c r="BU381" s="53"/>
      <c r="BV381" s="53">
        <f t="shared" si="615"/>
        <v>0</v>
      </c>
      <c r="BW381" s="54"/>
      <c r="BX381" s="350">
        <f t="shared" si="616"/>
        <v>6</v>
      </c>
      <c r="BY381" s="6"/>
      <c r="BZ381" s="6">
        <f t="shared" si="617"/>
        <v>0</v>
      </c>
      <c r="CA381" s="508"/>
      <c r="CB381" s="7"/>
      <c r="CC381" s="7"/>
      <c r="CD381" s="165"/>
      <c r="CE381" s="504"/>
      <c r="CF381" s="105"/>
      <c r="CG381" s="105">
        <f t="shared" si="618"/>
        <v>0</v>
      </c>
      <c r="CH381" s="105"/>
      <c r="CI381" s="105"/>
      <c r="CJ381" s="105">
        <f t="shared" si="619"/>
        <v>0</v>
      </c>
      <c r="CK381" s="523"/>
      <c r="CL381" s="102">
        <f t="shared" si="629"/>
        <v>0</v>
      </c>
      <c r="CM381" s="103"/>
      <c r="CN381" s="100"/>
      <c r="CO381" s="100">
        <f t="shared" si="620"/>
        <v>0</v>
      </c>
      <c r="CP381" s="515"/>
      <c r="CQ381" s="441"/>
      <c r="CR381" s="504"/>
      <c r="CS381" s="105"/>
      <c r="CT381" s="105">
        <f t="shared" si="621"/>
        <v>0</v>
      </c>
      <c r="CU381" s="105"/>
      <c r="CV381" s="105"/>
      <c r="CW381" s="105">
        <f t="shared" si="622"/>
        <v>0</v>
      </c>
      <c r="CX381" s="53"/>
      <c r="CY381" s="109">
        <f t="shared" si="623"/>
        <v>0</v>
      </c>
      <c r="CZ381" s="54"/>
      <c r="DA381" s="105"/>
      <c r="DB381" s="455">
        <f t="shared" si="624"/>
        <v>0</v>
      </c>
      <c r="DC381" s="495"/>
      <c r="DD381" s="25"/>
      <c r="DE381" s="44"/>
      <c r="DF381" s="1133"/>
      <c r="DG381" s="674">
        <f t="shared" si="593"/>
        <v>0</v>
      </c>
      <c r="DH381" s="1119">
        <f t="shared" si="594"/>
        <v>0</v>
      </c>
      <c r="DI381" s="1119"/>
      <c r="DJ381" s="101">
        <f t="shared" si="577"/>
        <v>6</v>
      </c>
      <c r="DK381" s="101"/>
      <c r="DL381" s="101">
        <f t="shared" si="576"/>
        <v>0</v>
      </c>
      <c r="DM381" s="101"/>
      <c r="DN381" s="112"/>
      <c r="DO381" s="112"/>
      <c r="DP381" s="112"/>
      <c r="DQ381" s="112"/>
      <c r="DR381" s="44"/>
      <c r="DS381" s="45"/>
      <c r="DT381" s="45"/>
      <c r="DU381" s="45"/>
      <c r="DV381" s="45"/>
      <c r="DW381" s="45"/>
      <c r="DX381" s="45"/>
      <c r="DY381" s="45"/>
      <c r="DZ381" s="45"/>
      <c r="EA381" s="44"/>
      <c r="EB381" s="44"/>
      <c r="EC381" s="44"/>
      <c r="ED381" s="44"/>
      <c r="EE381" s="44"/>
      <c r="EF381" s="44"/>
      <c r="EG381" s="44"/>
      <c r="EH381" s="44"/>
      <c r="EI381" s="44"/>
      <c r="EJ381" s="44"/>
      <c r="EK381" s="44"/>
      <c r="EL381" s="44"/>
      <c r="EM381" s="44"/>
      <c r="EN381" s="44"/>
      <c r="EO381" s="44"/>
      <c r="EP381" s="44"/>
      <c r="EQ381" s="44"/>
      <c r="ER381" s="44"/>
      <c r="ES381" s="44"/>
      <c r="ET381" s="44"/>
      <c r="EU381" s="44"/>
      <c r="EV381" s="44"/>
      <c r="EW381" s="44"/>
      <c r="EX381" s="44"/>
      <c r="EY381" s="44"/>
      <c r="EZ381" s="44"/>
      <c r="FA381" s="44"/>
      <c r="FB381" s="44"/>
      <c r="FC381" s="44"/>
      <c r="FD381" s="44"/>
      <c r="FE381" s="44"/>
      <c r="FF381" s="44"/>
      <c r="FG381" s="44"/>
      <c r="FH381" s="44"/>
      <c r="FI381" s="44"/>
      <c r="FJ381" s="44"/>
      <c r="FK381" s="44"/>
      <c r="FL381" s="44"/>
      <c r="FM381" s="44"/>
      <c r="FN381" s="44"/>
      <c r="FO381" s="44"/>
      <c r="FP381" s="44"/>
      <c r="FQ381" s="44"/>
      <c r="FR381" s="44"/>
      <c r="FS381" s="44"/>
      <c r="FT381" s="44"/>
      <c r="FU381" s="44"/>
      <c r="FV381" s="44"/>
      <c r="FW381" s="44"/>
      <c r="FX381" s="44"/>
      <c r="FY381" s="44"/>
      <c r="FZ381" s="44"/>
      <c r="GA381" s="44"/>
      <c r="GB381" s="44"/>
      <c r="GC381" s="44"/>
      <c r="GD381" s="44"/>
      <c r="GE381" s="44"/>
      <c r="GF381" s="44"/>
      <c r="GG381" s="44"/>
      <c r="GH381" s="44"/>
      <c r="GI381" s="44"/>
      <c r="GJ381" s="44"/>
      <c r="GK381" s="44"/>
      <c r="GL381" s="44"/>
      <c r="GM381" s="44"/>
    </row>
    <row r="382" spans="1:195" s="139" customFormat="1" ht="21.6" customHeight="1" x14ac:dyDescent="0.25">
      <c r="A382" s="4" t="s">
        <v>130</v>
      </c>
      <c r="B382" s="4">
        <v>6</v>
      </c>
      <c r="C382" s="294" t="s">
        <v>218</v>
      </c>
      <c r="D382" s="167" t="s">
        <v>437</v>
      </c>
      <c r="E382" s="13" t="s">
        <v>337</v>
      </c>
      <c r="F382" s="162">
        <v>95</v>
      </c>
      <c r="G382" s="162">
        <v>12</v>
      </c>
      <c r="H382" s="162">
        <f>F382+G382</f>
        <v>107</v>
      </c>
      <c r="I382" s="162">
        <v>32.1</v>
      </c>
      <c r="J382" s="162"/>
      <c r="K382" s="162">
        <f>I382+J382</f>
        <v>32.1</v>
      </c>
      <c r="L382" s="168"/>
      <c r="M382" s="589"/>
      <c r="N382" s="46"/>
      <c r="O382" s="164"/>
      <c r="P382" s="7"/>
      <c r="Q382" s="7"/>
      <c r="R382" s="7"/>
      <c r="S382" s="7"/>
      <c r="T382" s="89"/>
      <c r="U382" s="89"/>
      <c r="V382" s="89">
        <f t="shared" si="605"/>
        <v>0</v>
      </c>
      <c r="W382" s="137"/>
      <c r="X382" s="137"/>
      <c r="Y382" s="90">
        <f t="shared" si="630"/>
        <v>0</v>
      </c>
      <c r="Z382" s="169"/>
      <c r="AA382" s="92"/>
      <c r="AB382" s="92"/>
      <c r="AC382" s="92">
        <f t="shared" si="606"/>
        <v>0</v>
      </c>
      <c r="AD382" s="93"/>
      <c r="AE382" s="93"/>
      <c r="AF382" s="94">
        <f t="shared" si="607"/>
        <v>0</v>
      </c>
      <c r="AG382" s="475"/>
      <c r="AH382" s="99">
        <v>101.1</v>
      </c>
      <c r="AI382" s="99">
        <f t="shared" si="625"/>
        <v>6.7399999999999993</v>
      </c>
      <c r="AJ382" s="138">
        <v>100</v>
      </c>
      <c r="AK382" s="138">
        <f t="shared" si="626"/>
        <v>6.666666666666667</v>
      </c>
      <c r="AL382" s="106"/>
      <c r="AM382" s="105"/>
      <c r="AN382" s="105">
        <f t="shared" si="627"/>
        <v>0</v>
      </c>
      <c r="AO382" s="106"/>
      <c r="AP382" s="105"/>
      <c r="AQ382" s="105">
        <f t="shared" si="608"/>
        <v>0</v>
      </c>
      <c r="AR382" s="106"/>
      <c r="AS382" s="97">
        <f t="shared" si="609"/>
        <v>6.666666666666667</v>
      </c>
      <c r="AT382" s="6"/>
      <c r="AU382" s="105"/>
      <c r="AV382" s="455">
        <f t="shared" si="610"/>
        <v>0</v>
      </c>
      <c r="AW382" s="496"/>
      <c r="AX382" s="508"/>
      <c r="AY382" s="498">
        <v>80</v>
      </c>
      <c r="AZ382" s="100">
        <f t="shared" si="631"/>
        <v>5.333333333333333</v>
      </c>
      <c r="BA382" s="101"/>
      <c r="BB382" s="100"/>
      <c r="BC382" s="100">
        <f t="shared" si="628"/>
        <v>0</v>
      </c>
      <c r="BD382" s="101"/>
      <c r="BE382" s="105">
        <f t="shared" si="611"/>
        <v>12</v>
      </c>
      <c r="BF382" s="106"/>
      <c r="BG382" s="100">
        <f t="shared" si="601"/>
        <v>0</v>
      </c>
      <c r="BH382" s="106"/>
      <c r="BI382" s="100">
        <f t="shared" si="602"/>
        <v>0</v>
      </c>
      <c r="BJ382" s="106"/>
      <c r="BK382" s="101">
        <f t="shared" si="612"/>
        <v>12</v>
      </c>
      <c r="BL382" s="106"/>
      <c r="BM382" s="104">
        <v>607.5</v>
      </c>
      <c r="BN382" s="104">
        <f t="shared" si="632"/>
        <v>12.15</v>
      </c>
      <c r="BO382" s="105"/>
      <c r="BP382" s="105">
        <f t="shared" si="613"/>
        <v>0</v>
      </c>
      <c r="BQ382" s="106"/>
      <c r="BR382" s="105">
        <v>600</v>
      </c>
      <c r="BS382" s="105">
        <f t="shared" si="614"/>
        <v>12</v>
      </c>
      <c r="BT382" s="106"/>
      <c r="BU382" s="53"/>
      <c r="BV382" s="53">
        <f t="shared" si="615"/>
        <v>0</v>
      </c>
      <c r="BW382" s="54"/>
      <c r="BX382" s="350">
        <f t="shared" si="616"/>
        <v>12</v>
      </c>
      <c r="BY382" s="6"/>
      <c r="BZ382" s="6">
        <f t="shared" si="617"/>
        <v>0</v>
      </c>
      <c r="CA382" s="508"/>
      <c r="CB382" s="7"/>
      <c r="CC382" s="7"/>
      <c r="CD382" s="7"/>
      <c r="CE382" s="504"/>
      <c r="CF382" s="105"/>
      <c r="CG382" s="105">
        <f t="shared" si="618"/>
        <v>0</v>
      </c>
      <c r="CH382" s="105"/>
      <c r="CI382" s="105"/>
      <c r="CJ382" s="105">
        <f t="shared" si="619"/>
        <v>0</v>
      </c>
      <c r="CK382" s="523"/>
      <c r="CL382" s="102">
        <f t="shared" si="629"/>
        <v>0</v>
      </c>
      <c r="CM382" s="103"/>
      <c r="CN382" s="100"/>
      <c r="CO382" s="100">
        <f t="shared" si="620"/>
        <v>0</v>
      </c>
      <c r="CP382" s="515"/>
      <c r="CQ382" s="441"/>
      <c r="CR382" s="504"/>
      <c r="CS382" s="105"/>
      <c r="CT382" s="105">
        <f t="shared" si="621"/>
        <v>0</v>
      </c>
      <c r="CU382" s="105"/>
      <c r="CV382" s="105"/>
      <c r="CW382" s="105">
        <f t="shared" si="622"/>
        <v>0</v>
      </c>
      <c r="CX382" s="53"/>
      <c r="CY382" s="109">
        <f t="shared" si="623"/>
        <v>0</v>
      </c>
      <c r="CZ382" s="54"/>
      <c r="DA382" s="105"/>
      <c r="DB382" s="455">
        <f t="shared" si="624"/>
        <v>0</v>
      </c>
      <c r="DC382" s="495"/>
      <c r="DD382" s="25"/>
      <c r="DE382" s="44"/>
      <c r="DF382" s="1133"/>
      <c r="DG382" s="674">
        <f t="shared" si="593"/>
        <v>0</v>
      </c>
      <c r="DH382" s="1119">
        <f t="shared" si="594"/>
        <v>0</v>
      </c>
      <c r="DI382" s="1119"/>
      <c r="DJ382" s="101">
        <f t="shared" si="577"/>
        <v>12</v>
      </c>
      <c r="DK382" s="101"/>
      <c r="DL382" s="101">
        <f t="shared" si="576"/>
        <v>0</v>
      </c>
      <c r="DM382" s="101"/>
      <c r="DN382" s="112"/>
      <c r="DO382" s="112">
        <f>DJ382</f>
        <v>12</v>
      </c>
      <c r="DP382" s="112"/>
      <c r="DQ382" s="112"/>
      <c r="DR382" s="44"/>
      <c r="DS382" s="45"/>
      <c r="DT382" s="45"/>
      <c r="DU382" s="45"/>
      <c r="DV382" s="45"/>
      <c r="DW382" s="45"/>
      <c r="DX382" s="45"/>
      <c r="DY382" s="45"/>
      <c r="DZ382" s="45"/>
      <c r="EA382" s="44"/>
      <c r="EB382" s="44"/>
      <c r="EC382" s="44"/>
      <c r="ED382" s="44"/>
      <c r="EE382" s="44"/>
      <c r="EF382" s="44"/>
      <c r="EG382" s="44"/>
      <c r="EH382" s="44"/>
      <c r="EI382" s="44"/>
      <c r="EJ382" s="44"/>
      <c r="EK382" s="44"/>
      <c r="EL382" s="44"/>
      <c r="EM382" s="44"/>
      <c r="EN382" s="44"/>
      <c r="EO382" s="44"/>
      <c r="EP382" s="44"/>
      <c r="EQ382" s="44"/>
      <c r="ER382" s="44"/>
      <c r="ES382" s="44"/>
      <c r="ET382" s="44"/>
      <c r="EU382" s="44"/>
      <c r="EV382" s="44"/>
      <c r="EW382" s="44"/>
      <c r="EX382" s="44"/>
      <c r="EY382" s="44"/>
      <c r="EZ382" s="44"/>
      <c r="FA382" s="44"/>
      <c r="FB382" s="44"/>
      <c r="FC382" s="44"/>
      <c r="FD382" s="44"/>
      <c r="FE382" s="44"/>
      <c r="FF382" s="44"/>
      <c r="FG382" s="44"/>
      <c r="FH382" s="44"/>
      <c r="FI382" s="44"/>
      <c r="FJ382" s="44"/>
      <c r="FK382" s="44"/>
      <c r="FL382" s="44"/>
      <c r="FM382" s="44"/>
      <c r="FN382" s="44"/>
      <c r="FO382" s="44"/>
      <c r="FP382" s="44"/>
      <c r="FQ382" s="44"/>
      <c r="FR382" s="44"/>
      <c r="FS382" s="44"/>
      <c r="FT382" s="44"/>
      <c r="FU382" s="44"/>
      <c r="FV382" s="44"/>
      <c r="FW382" s="44"/>
      <c r="FX382" s="44"/>
      <c r="FY382" s="44"/>
      <c r="FZ382" s="44"/>
      <c r="GA382" s="44"/>
      <c r="GB382" s="44"/>
      <c r="GC382" s="44"/>
      <c r="GD382" s="44"/>
      <c r="GE382" s="44"/>
      <c r="GF382" s="44"/>
      <c r="GG382" s="44"/>
      <c r="GH382" s="44"/>
      <c r="GI382" s="44"/>
      <c r="GJ382" s="44"/>
      <c r="GK382" s="44"/>
      <c r="GL382" s="44"/>
      <c r="GM382" s="44"/>
    </row>
    <row r="383" spans="1:195" s="139" customFormat="1" ht="21.6" customHeight="1" x14ac:dyDescent="0.25">
      <c r="A383" s="4" t="s">
        <v>130</v>
      </c>
      <c r="B383" s="4">
        <v>7</v>
      </c>
      <c r="C383" s="153" t="s">
        <v>218</v>
      </c>
      <c r="D383" s="182"/>
      <c r="E383" s="2" t="s">
        <v>525</v>
      </c>
      <c r="F383" s="135">
        <v>156</v>
      </c>
      <c r="G383" s="135">
        <v>17</v>
      </c>
      <c r="H383" s="135">
        <f>F383+G383</f>
        <v>173</v>
      </c>
      <c r="I383" s="135">
        <v>82</v>
      </c>
      <c r="J383" s="135"/>
      <c r="K383" s="135">
        <f>I383+J383</f>
        <v>82</v>
      </c>
      <c r="L383" s="183"/>
      <c r="M383" s="5"/>
      <c r="N383" s="41"/>
      <c r="O383" s="6"/>
      <c r="P383" s="135"/>
      <c r="Q383" s="135"/>
      <c r="R383" s="135"/>
      <c r="S383" s="135"/>
      <c r="T383" s="89"/>
      <c r="U383" s="89"/>
      <c r="V383" s="89">
        <f t="shared" si="605"/>
        <v>0</v>
      </c>
      <c r="W383" s="137"/>
      <c r="X383" s="137"/>
      <c r="Y383" s="90">
        <f t="shared" si="630"/>
        <v>0</v>
      </c>
      <c r="Z383" s="91"/>
      <c r="AA383" s="92"/>
      <c r="AB383" s="92"/>
      <c r="AC383" s="92">
        <f t="shared" si="606"/>
        <v>0</v>
      </c>
      <c r="AD383" s="93"/>
      <c r="AE383" s="93"/>
      <c r="AF383" s="94">
        <f t="shared" si="607"/>
        <v>0</v>
      </c>
      <c r="AG383" s="473"/>
      <c r="AH383" s="99"/>
      <c r="AI383" s="99">
        <f t="shared" si="625"/>
        <v>0</v>
      </c>
      <c r="AJ383" s="138"/>
      <c r="AK383" s="138">
        <f t="shared" si="626"/>
        <v>0</v>
      </c>
      <c r="AL383" s="106"/>
      <c r="AM383" s="105"/>
      <c r="AN383" s="105">
        <f t="shared" si="627"/>
        <v>0</v>
      </c>
      <c r="AO383" s="106"/>
      <c r="AP383" s="105"/>
      <c r="AQ383" s="105">
        <f t="shared" si="608"/>
        <v>0</v>
      </c>
      <c r="AR383" s="106"/>
      <c r="AS383" s="97">
        <f t="shared" si="609"/>
        <v>0</v>
      </c>
      <c r="AT383" s="6"/>
      <c r="AU383" s="105"/>
      <c r="AV383" s="455">
        <f t="shared" si="610"/>
        <v>0</v>
      </c>
      <c r="AW383" s="496"/>
      <c r="AX383" s="508"/>
      <c r="AY383" s="498"/>
      <c r="AZ383" s="100">
        <f t="shared" si="631"/>
        <v>0</v>
      </c>
      <c r="BA383" s="101"/>
      <c r="BB383" s="100"/>
      <c r="BC383" s="100">
        <f t="shared" si="628"/>
        <v>0</v>
      </c>
      <c r="BD383" s="101"/>
      <c r="BE383" s="105">
        <f t="shared" si="611"/>
        <v>0</v>
      </c>
      <c r="BF383" s="106"/>
      <c r="BG383" s="100">
        <f t="shared" si="601"/>
        <v>0</v>
      </c>
      <c r="BH383" s="106"/>
      <c r="BI383" s="100">
        <f t="shared" si="602"/>
        <v>0</v>
      </c>
      <c r="BJ383" s="106"/>
      <c r="BK383" s="101">
        <f t="shared" si="612"/>
        <v>0</v>
      </c>
      <c r="BL383" s="106"/>
      <c r="BM383" s="104"/>
      <c r="BN383" s="104">
        <f t="shared" si="632"/>
        <v>0</v>
      </c>
      <c r="BO383" s="105"/>
      <c r="BP383" s="105">
        <f t="shared" si="613"/>
        <v>0</v>
      </c>
      <c r="BQ383" s="106"/>
      <c r="BR383" s="105"/>
      <c r="BS383" s="105">
        <f t="shared" si="614"/>
        <v>0</v>
      </c>
      <c r="BT383" s="106"/>
      <c r="BU383" s="53"/>
      <c r="BV383" s="53">
        <f t="shared" si="615"/>
        <v>0</v>
      </c>
      <c r="BW383" s="54"/>
      <c r="BX383" s="350">
        <f t="shared" si="616"/>
        <v>0</v>
      </c>
      <c r="BY383" s="6"/>
      <c r="BZ383" s="6">
        <f t="shared" si="617"/>
        <v>0</v>
      </c>
      <c r="CA383" s="508"/>
      <c r="CB383" s="135"/>
      <c r="CC383" s="135"/>
      <c r="CD383" s="135"/>
      <c r="CE383" s="504">
        <v>2</v>
      </c>
      <c r="CF383" s="105"/>
      <c r="CG383" s="105">
        <f t="shared" si="618"/>
        <v>2</v>
      </c>
      <c r="CH383" s="105">
        <v>2.34</v>
      </c>
      <c r="CI383" s="105"/>
      <c r="CJ383" s="105">
        <f t="shared" si="619"/>
        <v>2.34</v>
      </c>
      <c r="CK383" s="523"/>
      <c r="CL383" s="102">
        <f t="shared" si="629"/>
        <v>0</v>
      </c>
      <c r="CM383" s="103"/>
      <c r="CN383" s="494">
        <f>35+40</f>
        <v>75</v>
      </c>
      <c r="CO383" s="100">
        <f t="shared" si="620"/>
        <v>5</v>
      </c>
      <c r="CP383" s="515"/>
      <c r="CQ383" s="441"/>
      <c r="CR383" s="504"/>
      <c r="CS383" s="105"/>
      <c r="CT383" s="105">
        <f t="shared" si="621"/>
        <v>0</v>
      </c>
      <c r="CU383" s="105"/>
      <c r="CV383" s="105"/>
      <c r="CW383" s="105">
        <f t="shared" si="622"/>
        <v>0</v>
      </c>
      <c r="CX383" s="53"/>
      <c r="CY383" s="109">
        <f t="shared" si="623"/>
        <v>0</v>
      </c>
      <c r="CZ383" s="54"/>
      <c r="DA383" s="105"/>
      <c r="DB383" s="455">
        <f t="shared" si="624"/>
        <v>0</v>
      </c>
      <c r="DC383" s="495"/>
      <c r="DD383" s="24"/>
      <c r="DF383" s="1133"/>
      <c r="DG383" s="674">
        <f t="shared" si="593"/>
        <v>0</v>
      </c>
      <c r="DH383" s="1119">
        <f t="shared" si="594"/>
        <v>5</v>
      </c>
      <c r="DI383" s="1119"/>
      <c r="DJ383" s="101">
        <f t="shared" si="577"/>
        <v>5</v>
      </c>
      <c r="DK383" s="101"/>
      <c r="DL383" s="101">
        <f t="shared" si="576"/>
        <v>2</v>
      </c>
      <c r="DM383" s="101"/>
      <c r="DN383" s="112"/>
      <c r="DO383" s="112"/>
      <c r="DP383" s="112"/>
      <c r="DQ383" s="112"/>
      <c r="DS383" s="140"/>
      <c r="DT383" s="140"/>
      <c r="DU383" s="140"/>
      <c r="DV383" s="140"/>
      <c r="DW383" s="140"/>
      <c r="DX383" s="140"/>
      <c r="DY383" s="140"/>
      <c r="DZ383" s="140"/>
    </row>
    <row r="384" spans="1:195" s="139" customFormat="1" ht="21.6" customHeight="1" x14ac:dyDescent="0.25">
      <c r="A384" s="4" t="s">
        <v>130</v>
      </c>
      <c r="B384" s="4">
        <v>8</v>
      </c>
      <c r="C384" s="294" t="s">
        <v>218</v>
      </c>
      <c r="D384" s="182" t="s">
        <v>437</v>
      </c>
      <c r="E384" s="13" t="s">
        <v>221</v>
      </c>
      <c r="F384" s="135">
        <v>89</v>
      </c>
      <c r="G384" s="135">
        <v>6</v>
      </c>
      <c r="H384" s="135">
        <f>F384+G384</f>
        <v>95</v>
      </c>
      <c r="I384" s="135">
        <v>40.1</v>
      </c>
      <c r="J384" s="135"/>
      <c r="K384" s="135">
        <f>I384+J384</f>
        <v>40.1</v>
      </c>
      <c r="L384" s="183"/>
      <c r="M384" s="5"/>
      <c r="N384" s="41"/>
      <c r="O384" s="6"/>
      <c r="P384" s="6"/>
      <c r="Q384" s="6"/>
      <c r="R384" s="6"/>
      <c r="S384" s="7"/>
      <c r="T384" s="89"/>
      <c r="U384" s="89"/>
      <c r="V384" s="89">
        <f t="shared" si="605"/>
        <v>0</v>
      </c>
      <c r="W384" s="137"/>
      <c r="X384" s="137"/>
      <c r="Y384" s="90">
        <f t="shared" si="630"/>
        <v>0</v>
      </c>
      <c r="Z384" s="91"/>
      <c r="AA384" s="92"/>
      <c r="AB384" s="92"/>
      <c r="AC384" s="92">
        <f t="shared" si="606"/>
        <v>0</v>
      </c>
      <c r="AD384" s="93"/>
      <c r="AE384" s="93"/>
      <c r="AF384" s="94">
        <f t="shared" si="607"/>
        <v>0</v>
      </c>
      <c r="AG384" s="473"/>
      <c r="AH384" s="99">
        <v>61.2</v>
      </c>
      <c r="AI384" s="99">
        <f t="shared" si="625"/>
        <v>4.08</v>
      </c>
      <c r="AJ384" s="138"/>
      <c r="AK384" s="138">
        <f t="shared" si="626"/>
        <v>0</v>
      </c>
      <c r="AL384" s="106"/>
      <c r="AM384" s="105">
        <v>60</v>
      </c>
      <c r="AN384" s="105">
        <f t="shared" si="627"/>
        <v>4</v>
      </c>
      <c r="AO384" s="106"/>
      <c r="AP384" s="105"/>
      <c r="AQ384" s="105">
        <f t="shared" si="608"/>
        <v>0</v>
      </c>
      <c r="AR384" s="106"/>
      <c r="AS384" s="97">
        <f t="shared" si="609"/>
        <v>4</v>
      </c>
      <c r="AT384" s="6"/>
      <c r="AU384" s="105"/>
      <c r="AV384" s="455">
        <f t="shared" si="610"/>
        <v>0</v>
      </c>
      <c r="AW384" s="496"/>
      <c r="AX384" s="508"/>
      <c r="AY384" s="498"/>
      <c r="AZ384" s="100">
        <f t="shared" si="631"/>
        <v>0</v>
      </c>
      <c r="BA384" s="101"/>
      <c r="BB384" s="100"/>
      <c r="BC384" s="100">
        <f t="shared" si="628"/>
        <v>0</v>
      </c>
      <c r="BD384" s="101"/>
      <c r="BE384" s="254">
        <f t="shared" si="611"/>
        <v>0</v>
      </c>
      <c r="BF384" s="255"/>
      <c r="BG384" s="100">
        <f t="shared" si="601"/>
        <v>4</v>
      </c>
      <c r="BH384" s="255"/>
      <c r="BI384" s="100">
        <f t="shared" si="602"/>
        <v>0</v>
      </c>
      <c r="BJ384" s="255"/>
      <c r="BK384" s="101">
        <f t="shared" si="612"/>
        <v>4</v>
      </c>
      <c r="BL384" s="255"/>
      <c r="BM384" s="293">
        <v>204</v>
      </c>
      <c r="BN384" s="293">
        <f t="shared" si="632"/>
        <v>4.08</v>
      </c>
      <c r="BO384" s="254">
        <v>200</v>
      </c>
      <c r="BP384" s="254">
        <f t="shared" si="613"/>
        <v>4</v>
      </c>
      <c r="BQ384" s="106"/>
      <c r="BR384" s="105"/>
      <c r="BS384" s="105">
        <f t="shared" si="614"/>
        <v>0</v>
      </c>
      <c r="BT384" s="106"/>
      <c r="BU384" s="53"/>
      <c r="BV384" s="53">
        <f t="shared" si="615"/>
        <v>0</v>
      </c>
      <c r="BW384" s="54"/>
      <c r="BX384" s="350">
        <f t="shared" si="616"/>
        <v>4</v>
      </c>
      <c r="BY384" s="6"/>
      <c r="BZ384" s="6">
        <f t="shared" si="617"/>
        <v>0</v>
      </c>
      <c r="CA384" s="508"/>
      <c r="CB384" s="6"/>
      <c r="CC384" s="6"/>
      <c r="CD384" s="7"/>
      <c r="CE384" s="504"/>
      <c r="CF384" s="105"/>
      <c r="CG384" s="105">
        <f t="shared" si="618"/>
        <v>0</v>
      </c>
      <c r="CH384" s="105"/>
      <c r="CI384" s="105"/>
      <c r="CJ384" s="105">
        <f t="shared" si="619"/>
        <v>0</v>
      </c>
      <c r="CK384" s="523"/>
      <c r="CL384" s="102">
        <f t="shared" si="629"/>
        <v>0</v>
      </c>
      <c r="CM384" s="103"/>
      <c r="CN384" s="100"/>
      <c r="CO384" s="100">
        <f t="shared" si="620"/>
        <v>0</v>
      </c>
      <c r="CP384" s="515"/>
      <c r="CQ384" s="441"/>
      <c r="CR384" s="504"/>
      <c r="CS384" s="105"/>
      <c r="CT384" s="105">
        <f t="shared" si="621"/>
        <v>0</v>
      </c>
      <c r="CU384" s="105"/>
      <c r="CV384" s="105"/>
      <c r="CW384" s="105">
        <f t="shared" si="622"/>
        <v>0</v>
      </c>
      <c r="CX384" s="53"/>
      <c r="CY384" s="109">
        <f t="shared" si="623"/>
        <v>0</v>
      </c>
      <c r="CZ384" s="54"/>
      <c r="DA384" s="105"/>
      <c r="DB384" s="455">
        <f t="shared" si="624"/>
        <v>0</v>
      </c>
      <c r="DC384" s="495"/>
      <c r="DD384" s="24" t="s">
        <v>603</v>
      </c>
      <c r="DF384" s="1133"/>
      <c r="DG384" s="674">
        <f t="shared" si="593"/>
        <v>0</v>
      </c>
      <c r="DH384" s="1119">
        <f t="shared" si="594"/>
        <v>0</v>
      </c>
      <c r="DI384" s="1119"/>
      <c r="DJ384" s="101">
        <f t="shared" si="577"/>
        <v>4</v>
      </c>
      <c r="DK384" s="101"/>
      <c r="DL384" s="101">
        <f t="shared" si="576"/>
        <v>0</v>
      </c>
      <c r="DM384" s="101"/>
      <c r="DN384" s="112"/>
      <c r="DO384" s="112">
        <f>DJ384</f>
        <v>4</v>
      </c>
      <c r="DP384" s="112"/>
      <c r="DQ384" s="112"/>
      <c r="DS384" s="140"/>
      <c r="DT384" s="140"/>
      <c r="DU384" s="140"/>
      <c r="DV384" s="140"/>
      <c r="DW384" s="140"/>
      <c r="DX384" s="140"/>
      <c r="DY384" s="140"/>
      <c r="DZ384" s="140"/>
    </row>
    <row r="385" spans="1:195" ht="21.6" customHeight="1" x14ac:dyDescent="0.25">
      <c r="A385" s="4"/>
      <c r="B385" s="4"/>
      <c r="C385" s="784" t="s">
        <v>218</v>
      </c>
      <c r="D385" s="176" t="s">
        <v>437</v>
      </c>
      <c r="E385" s="3" t="s">
        <v>338</v>
      </c>
      <c r="F385" s="135"/>
      <c r="G385" s="135"/>
      <c r="H385" s="135"/>
      <c r="I385" s="135"/>
      <c r="J385" s="135"/>
      <c r="K385" s="135"/>
      <c r="L385" s="183"/>
      <c r="M385" s="5"/>
      <c r="N385" s="177"/>
      <c r="O385" s="637"/>
      <c r="P385" s="274"/>
      <c r="Q385" s="274"/>
      <c r="R385" s="274"/>
      <c r="S385" s="296"/>
      <c r="T385" s="89"/>
      <c r="U385" s="89"/>
      <c r="V385" s="89"/>
      <c r="W385" s="137"/>
      <c r="X385" s="137"/>
      <c r="Y385" s="90">
        <f t="shared" si="630"/>
        <v>0</v>
      </c>
      <c r="Z385" s="91"/>
      <c r="AA385" s="92"/>
      <c r="AB385" s="92"/>
      <c r="AC385" s="92">
        <f t="shared" si="606"/>
        <v>0</v>
      </c>
      <c r="AD385" s="93"/>
      <c r="AE385" s="93"/>
      <c r="AF385" s="94">
        <f t="shared" si="607"/>
        <v>0</v>
      </c>
      <c r="AG385" s="473"/>
      <c r="AH385" s="99">
        <v>106.35</v>
      </c>
      <c r="AI385" s="99">
        <f t="shared" si="625"/>
        <v>7.09</v>
      </c>
      <c r="AJ385" s="138">
        <v>105</v>
      </c>
      <c r="AK385" s="138">
        <f t="shared" si="626"/>
        <v>7</v>
      </c>
      <c r="AL385" s="106"/>
      <c r="AM385" s="105"/>
      <c r="AN385" s="105">
        <f t="shared" si="627"/>
        <v>0</v>
      </c>
      <c r="AO385" s="106"/>
      <c r="AP385" s="105"/>
      <c r="AQ385" s="105">
        <f t="shared" si="608"/>
        <v>0</v>
      </c>
      <c r="AR385" s="106"/>
      <c r="AS385" s="97">
        <f t="shared" si="609"/>
        <v>7</v>
      </c>
      <c r="AT385" s="6"/>
      <c r="AU385" s="105"/>
      <c r="AV385" s="455">
        <f t="shared" si="610"/>
        <v>0</v>
      </c>
      <c r="AW385" s="496"/>
      <c r="AX385" s="508"/>
      <c r="AY385" s="498">
        <v>25</v>
      </c>
      <c r="AZ385" s="100">
        <f t="shared" si="631"/>
        <v>1.6666666666666667</v>
      </c>
      <c r="BA385" s="101"/>
      <c r="BB385" s="100"/>
      <c r="BC385" s="100">
        <f t="shared" si="628"/>
        <v>0</v>
      </c>
      <c r="BD385" s="101"/>
      <c r="BE385" s="105">
        <f t="shared" si="611"/>
        <v>8.6666666666666661</v>
      </c>
      <c r="BF385" s="106"/>
      <c r="BG385" s="100">
        <f t="shared" si="601"/>
        <v>0</v>
      </c>
      <c r="BH385" s="106"/>
      <c r="BI385" s="100">
        <f t="shared" si="602"/>
        <v>0</v>
      </c>
      <c r="BJ385" s="106"/>
      <c r="BK385" s="101">
        <f t="shared" si="612"/>
        <v>8.6666666666666661</v>
      </c>
      <c r="BL385" s="106"/>
      <c r="BM385" s="104">
        <v>439</v>
      </c>
      <c r="BN385" s="104">
        <f t="shared" si="632"/>
        <v>8.7799999999999994</v>
      </c>
      <c r="BO385" s="105">
        <v>400</v>
      </c>
      <c r="BP385" s="105">
        <f t="shared" si="613"/>
        <v>8</v>
      </c>
      <c r="BQ385" s="106"/>
      <c r="BR385" s="105"/>
      <c r="BS385" s="105">
        <f t="shared" si="614"/>
        <v>0</v>
      </c>
      <c r="BT385" s="106"/>
      <c r="BU385" s="53"/>
      <c r="BV385" s="53">
        <f t="shared" si="615"/>
        <v>0</v>
      </c>
      <c r="BW385" s="54"/>
      <c r="BX385" s="350">
        <f t="shared" si="616"/>
        <v>8</v>
      </c>
      <c r="BY385" s="6"/>
      <c r="BZ385" s="6">
        <f t="shared" si="617"/>
        <v>0.66666666666666607</v>
      </c>
      <c r="CA385" s="508"/>
      <c r="CB385" s="274"/>
      <c r="CC385" s="274"/>
      <c r="CD385" s="296"/>
      <c r="CE385" s="504"/>
      <c r="CF385" s="105"/>
      <c r="CG385" s="105">
        <f t="shared" si="618"/>
        <v>0</v>
      </c>
      <c r="CH385" s="105"/>
      <c r="CI385" s="105"/>
      <c r="CJ385" s="105">
        <f t="shared" si="619"/>
        <v>0</v>
      </c>
      <c r="CK385" s="523"/>
      <c r="CL385" s="102">
        <f t="shared" si="629"/>
        <v>0</v>
      </c>
      <c r="CM385" s="103"/>
      <c r="CN385" s="100"/>
      <c r="CO385" s="100">
        <f t="shared" si="620"/>
        <v>0</v>
      </c>
      <c r="CP385" s="515"/>
      <c r="CQ385" s="441"/>
      <c r="CR385" s="504"/>
      <c r="CS385" s="105"/>
      <c r="CT385" s="105">
        <f t="shared" si="621"/>
        <v>0</v>
      </c>
      <c r="CU385" s="105"/>
      <c r="CV385" s="105"/>
      <c r="CW385" s="105">
        <f t="shared" si="622"/>
        <v>0</v>
      </c>
      <c r="CX385" s="53"/>
      <c r="CY385" s="109">
        <f t="shared" si="623"/>
        <v>0</v>
      </c>
      <c r="CZ385" s="54"/>
      <c r="DA385" s="105"/>
      <c r="DB385" s="455">
        <f t="shared" si="624"/>
        <v>0</v>
      </c>
      <c r="DC385" s="495"/>
      <c r="DD385" s="24"/>
      <c r="DE385" s="776"/>
      <c r="DF385" s="1133"/>
      <c r="DG385" s="674">
        <f t="shared" si="593"/>
        <v>0</v>
      </c>
      <c r="DH385" s="1119">
        <f t="shared" si="594"/>
        <v>0</v>
      </c>
      <c r="DI385" s="1119"/>
      <c r="DJ385" s="101">
        <f t="shared" si="577"/>
        <v>8.6666666666666661</v>
      </c>
      <c r="DK385" s="101"/>
      <c r="DL385" s="101">
        <f t="shared" si="576"/>
        <v>0</v>
      </c>
      <c r="DM385" s="101"/>
      <c r="DN385" s="112"/>
      <c r="DO385" s="112">
        <f>DJ385</f>
        <v>8.6666666666666661</v>
      </c>
      <c r="DP385" s="112"/>
      <c r="DQ385" s="112"/>
      <c r="DR385" s="776"/>
      <c r="DS385" s="140"/>
      <c r="DT385" s="140"/>
      <c r="DU385" s="140"/>
      <c r="DV385" s="140"/>
      <c r="DW385" s="140"/>
      <c r="DX385" s="140"/>
      <c r="DY385" s="140"/>
      <c r="DZ385" s="140"/>
      <c r="EA385" s="776"/>
      <c r="EB385" s="776"/>
      <c r="EC385" s="776"/>
      <c r="ED385" s="776"/>
      <c r="EE385" s="776"/>
      <c r="EF385" s="776"/>
      <c r="EG385" s="776"/>
      <c r="EH385" s="776"/>
      <c r="EI385" s="776"/>
      <c r="EJ385" s="776"/>
      <c r="EK385" s="776"/>
      <c r="EL385" s="776"/>
      <c r="EM385" s="776"/>
      <c r="EN385" s="776"/>
      <c r="EO385" s="776"/>
      <c r="EP385" s="776"/>
      <c r="EQ385" s="776"/>
      <c r="ER385" s="776"/>
      <c r="ES385" s="776"/>
      <c r="ET385" s="776"/>
      <c r="EU385" s="776"/>
      <c r="EV385" s="776"/>
      <c r="EW385" s="776"/>
      <c r="EX385" s="776"/>
      <c r="EY385" s="776"/>
      <c r="EZ385" s="776"/>
      <c r="FA385" s="776"/>
      <c r="FB385" s="776"/>
      <c r="FC385" s="776"/>
      <c r="FD385" s="776"/>
      <c r="FE385" s="776"/>
      <c r="FF385" s="776"/>
      <c r="FG385" s="776"/>
      <c r="FH385" s="776"/>
      <c r="FI385" s="776"/>
      <c r="FJ385" s="776"/>
      <c r="FK385" s="776"/>
      <c r="FL385" s="776"/>
      <c r="FM385" s="776"/>
      <c r="FN385" s="776"/>
      <c r="FO385" s="776"/>
      <c r="FP385" s="776"/>
      <c r="FQ385" s="776"/>
      <c r="FR385" s="776"/>
      <c r="FS385" s="776"/>
      <c r="FT385" s="776"/>
      <c r="FU385" s="776"/>
      <c r="FV385" s="776"/>
      <c r="FW385" s="776"/>
      <c r="FX385" s="776"/>
      <c r="FY385" s="776"/>
      <c r="FZ385" s="776"/>
      <c r="GA385" s="776"/>
      <c r="GB385" s="776"/>
      <c r="GC385" s="776"/>
      <c r="GD385" s="776"/>
      <c r="GE385" s="776"/>
      <c r="GF385" s="776"/>
      <c r="GG385" s="776"/>
      <c r="GH385" s="776"/>
      <c r="GI385" s="776"/>
      <c r="GJ385" s="776"/>
      <c r="GK385" s="776"/>
      <c r="GL385" s="776"/>
      <c r="GM385" s="776"/>
    </row>
    <row r="386" spans="1:195" ht="21.6" customHeight="1" x14ac:dyDescent="0.25">
      <c r="A386" s="4" t="s">
        <v>130</v>
      </c>
      <c r="B386" s="4">
        <v>11</v>
      </c>
      <c r="C386" s="294" t="s">
        <v>218</v>
      </c>
      <c r="D386" s="182" t="s">
        <v>437</v>
      </c>
      <c r="E386" s="13" t="s">
        <v>222</v>
      </c>
      <c r="F386" s="135">
        <v>53</v>
      </c>
      <c r="G386" s="135">
        <v>3</v>
      </c>
      <c r="H386" s="135">
        <f>F386+G386</f>
        <v>56</v>
      </c>
      <c r="I386" s="135">
        <v>14.9</v>
      </c>
      <c r="J386" s="135"/>
      <c r="K386" s="135">
        <f>I386+J386</f>
        <v>14.9</v>
      </c>
      <c r="L386" s="183"/>
      <c r="M386" s="5"/>
      <c r="N386" s="41"/>
      <c r="O386" s="6"/>
      <c r="P386" s="7"/>
      <c r="Q386" s="7"/>
      <c r="R386" s="7"/>
      <c r="S386" s="7"/>
      <c r="T386" s="89"/>
      <c r="U386" s="89"/>
      <c r="V386" s="89">
        <f t="shared" ref="V386:V394" si="633">T386+U386</f>
        <v>0</v>
      </c>
      <c r="W386" s="137"/>
      <c r="X386" s="137"/>
      <c r="Y386" s="90">
        <f t="shared" si="630"/>
        <v>0</v>
      </c>
      <c r="Z386" s="91"/>
      <c r="AA386" s="92"/>
      <c r="AB386" s="92"/>
      <c r="AC386" s="92">
        <f t="shared" si="606"/>
        <v>0</v>
      </c>
      <c r="AD386" s="93"/>
      <c r="AE386" s="93"/>
      <c r="AF386" s="94">
        <f t="shared" si="607"/>
        <v>0</v>
      </c>
      <c r="AG386" s="473"/>
      <c r="AH386" s="99">
        <v>186</v>
      </c>
      <c r="AI386" s="99">
        <f t="shared" si="625"/>
        <v>12.4</v>
      </c>
      <c r="AJ386" s="138">
        <v>185</v>
      </c>
      <c r="AK386" s="138">
        <f t="shared" si="626"/>
        <v>12.333333333333334</v>
      </c>
      <c r="AL386" s="106"/>
      <c r="AM386" s="105"/>
      <c r="AN386" s="105">
        <f t="shared" si="627"/>
        <v>0</v>
      </c>
      <c r="AO386" s="106"/>
      <c r="AP386" s="105"/>
      <c r="AQ386" s="105">
        <f t="shared" si="608"/>
        <v>0</v>
      </c>
      <c r="AR386" s="106"/>
      <c r="AS386" s="97">
        <f t="shared" si="609"/>
        <v>12.333333333333334</v>
      </c>
      <c r="AT386" s="6"/>
      <c r="AU386" s="105"/>
      <c r="AV386" s="455">
        <f t="shared" si="610"/>
        <v>0</v>
      </c>
      <c r="AW386" s="496"/>
      <c r="AX386" s="508"/>
      <c r="AY386" s="498"/>
      <c r="AZ386" s="100">
        <f t="shared" si="631"/>
        <v>0</v>
      </c>
      <c r="BA386" s="101"/>
      <c r="BB386" s="100"/>
      <c r="BC386" s="100">
        <f t="shared" si="628"/>
        <v>0</v>
      </c>
      <c r="BD386" s="101"/>
      <c r="BE386" s="105">
        <f t="shared" si="611"/>
        <v>12.333333333333334</v>
      </c>
      <c r="BF386" s="106"/>
      <c r="BG386" s="100">
        <f t="shared" si="601"/>
        <v>0</v>
      </c>
      <c r="BH386" s="106"/>
      <c r="BI386" s="100">
        <f t="shared" si="602"/>
        <v>0</v>
      </c>
      <c r="BJ386" s="106"/>
      <c r="BK386" s="101">
        <f t="shared" si="612"/>
        <v>12.333333333333334</v>
      </c>
      <c r="BL386" s="106"/>
      <c r="BM386" s="104">
        <v>621</v>
      </c>
      <c r="BN386" s="104">
        <f t="shared" si="632"/>
        <v>12.42</v>
      </c>
      <c r="BO386" s="105">
        <v>600</v>
      </c>
      <c r="BP386" s="105">
        <f t="shared" si="613"/>
        <v>12</v>
      </c>
      <c r="BQ386" s="106"/>
      <c r="BR386" s="105"/>
      <c r="BS386" s="105">
        <f t="shared" si="614"/>
        <v>0</v>
      </c>
      <c r="BT386" s="106"/>
      <c r="BU386" s="53"/>
      <c r="BV386" s="53">
        <f t="shared" si="615"/>
        <v>0</v>
      </c>
      <c r="BW386" s="54"/>
      <c r="BX386" s="350">
        <f t="shared" si="616"/>
        <v>12</v>
      </c>
      <c r="BY386" s="6"/>
      <c r="BZ386" s="6">
        <f t="shared" si="617"/>
        <v>0.33333333333333393</v>
      </c>
      <c r="CA386" s="508"/>
      <c r="CB386" s="7"/>
      <c r="CC386" s="7"/>
      <c r="CD386" s="7"/>
      <c r="CE386" s="504"/>
      <c r="CF386" s="105"/>
      <c r="CG386" s="105">
        <f t="shared" si="618"/>
        <v>0</v>
      </c>
      <c r="CH386" s="105"/>
      <c r="CI386" s="105"/>
      <c r="CJ386" s="105">
        <f t="shared" si="619"/>
        <v>0</v>
      </c>
      <c r="CK386" s="523"/>
      <c r="CL386" s="102">
        <f t="shared" si="629"/>
        <v>0</v>
      </c>
      <c r="CM386" s="103"/>
      <c r="CN386" s="100"/>
      <c r="CO386" s="100">
        <f t="shared" si="620"/>
        <v>0</v>
      </c>
      <c r="CP386" s="515"/>
      <c r="CQ386" s="441"/>
      <c r="CR386" s="504"/>
      <c r="CS386" s="105"/>
      <c r="CT386" s="105">
        <f t="shared" si="621"/>
        <v>0</v>
      </c>
      <c r="CU386" s="105"/>
      <c r="CV386" s="105"/>
      <c r="CW386" s="105">
        <f t="shared" si="622"/>
        <v>0</v>
      </c>
      <c r="CX386" s="53"/>
      <c r="CY386" s="109">
        <f t="shared" si="623"/>
        <v>0</v>
      </c>
      <c r="CZ386" s="54"/>
      <c r="DA386" s="105"/>
      <c r="DB386" s="455">
        <f t="shared" si="624"/>
        <v>0</v>
      </c>
      <c r="DC386" s="495"/>
      <c r="DD386" s="24"/>
      <c r="DE386" s="776"/>
      <c r="DF386" s="1133"/>
      <c r="DG386" s="674">
        <f t="shared" si="593"/>
        <v>0</v>
      </c>
      <c r="DH386" s="1119">
        <f t="shared" si="594"/>
        <v>0</v>
      </c>
      <c r="DI386" s="1119"/>
      <c r="DJ386" s="101">
        <f t="shared" si="577"/>
        <v>12.333333333333334</v>
      </c>
      <c r="DK386" s="101"/>
      <c r="DL386" s="101">
        <f t="shared" si="576"/>
        <v>0</v>
      </c>
      <c r="DM386" s="101"/>
      <c r="DN386" s="112"/>
      <c r="DO386" s="112">
        <f>DJ386</f>
        <v>12.333333333333334</v>
      </c>
      <c r="DP386" s="112"/>
      <c r="DQ386" s="112"/>
      <c r="DR386" s="776"/>
      <c r="DS386" s="140"/>
      <c r="DT386" s="140"/>
      <c r="DU386" s="140"/>
      <c r="DV386" s="140"/>
      <c r="DW386" s="140"/>
      <c r="DX386" s="140"/>
      <c r="DY386" s="140"/>
      <c r="DZ386" s="140"/>
      <c r="EA386" s="776"/>
      <c r="EB386" s="776"/>
      <c r="EC386" s="776"/>
      <c r="ED386" s="776"/>
      <c r="EE386" s="776"/>
      <c r="EF386" s="776"/>
      <c r="EG386" s="776"/>
      <c r="EH386" s="776"/>
      <c r="EI386" s="776"/>
      <c r="EJ386" s="776"/>
      <c r="EK386" s="776"/>
      <c r="EL386" s="776"/>
      <c r="EM386" s="776"/>
      <c r="EN386" s="776"/>
      <c r="EO386" s="776"/>
      <c r="EP386" s="776"/>
      <c r="EQ386" s="776"/>
      <c r="ER386" s="776"/>
      <c r="ES386" s="776"/>
      <c r="ET386" s="776"/>
      <c r="EU386" s="776"/>
      <c r="EV386" s="776"/>
      <c r="EW386" s="776"/>
      <c r="EX386" s="776"/>
      <c r="EY386" s="776"/>
      <c r="EZ386" s="776"/>
      <c r="FA386" s="776"/>
      <c r="FB386" s="776"/>
      <c r="FC386" s="776"/>
      <c r="FD386" s="776"/>
      <c r="FE386" s="776"/>
      <c r="FF386" s="776"/>
      <c r="FG386" s="776"/>
      <c r="FH386" s="776"/>
      <c r="FI386" s="776"/>
      <c r="FJ386" s="776"/>
      <c r="FK386" s="776"/>
      <c r="FL386" s="776"/>
      <c r="FM386" s="776"/>
      <c r="FN386" s="776"/>
      <c r="FO386" s="776"/>
      <c r="FP386" s="776"/>
      <c r="FQ386" s="776"/>
      <c r="FR386" s="776"/>
      <c r="FS386" s="776"/>
      <c r="FT386" s="776"/>
      <c r="FU386" s="776"/>
      <c r="FV386" s="776"/>
      <c r="FW386" s="776"/>
      <c r="FX386" s="776"/>
      <c r="FY386" s="776"/>
      <c r="FZ386" s="776"/>
      <c r="GA386" s="776"/>
      <c r="GB386" s="776"/>
      <c r="GC386" s="776"/>
      <c r="GD386" s="776"/>
      <c r="GE386" s="776"/>
      <c r="GF386" s="776"/>
      <c r="GG386" s="776"/>
      <c r="GH386" s="776"/>
      <c r="GI386" s="776"/>
      <c r="GJ386" s="776"/>
      <c r="GK386" s="776"/>
      <c r="GL386" s="776"/>
      <c r="GM386" s="776"/>
    </row>
    <row r="387" spans="1:195" ht="21.6" customHeight="1" x14ac:dyDescent="0.25">
      <c r="A387" s="4" t="s">
        <v>130</v>
      </c>
      <c r="B387" s="4">
        <v>15</v>
      </c>
      <c r="C387" s="294" t="s">
        <v>218</v>
      </c>
      <c r="D387" s="182" t="s">
        <v>437</v>
      </c>
      <c r="E387" s="13" t="s">
        <v>340</v>
      </c>
      <c r="F387" s="135">
        <v>142</v>
      </c>
      <c r="G387" s="135">
        <v>32</v>
      </c>
      <c r="H387" s="135">
        <f>F387+G387</f>
        <v>174</v>
      </c>
      <c r="I387" s="135">
        <v>111.1</v>
      </c>
      <c r="J387" s="135"/>
      <c r="K387" s="135">
        <f>I387+J387</f>
        <v>111.1</v>
      </c>
      <c r="L387" s="183"/>
      <c r="M387" s="5"/>
      <c r="N387" s="41"/>
      <c r="O387" s="6"/>
      <c r="P387" s="6"/>
      <c r="Q387" s="6"/>
      <c r="R387" s="6"/>
      <c r="S387" s="7"/>
      <c r="T387" s="89"/>
      <c r="U387" s="89"/>
      <c r="V387" s="89">
        <f t="shared" si="633"/>
        <v>0</v>
      </c>
      <c r="W387" s="137"/>
      <c r="X387" s="137"/>
      <c r="Y387" s="90">
        <f t="shared" si="630"/>
        <v>0</v>
      </c>
      <c r="Z387" s="91"/>
      <c r="AA387" s="92"/>
      <c r="AB387" s="92"/>
      <c r="AC387" s="92">
        <f t="shared" si="606"/>
        <v>0</v>
      </c>
      <c r="AD387" s="93"/>
      <c r="AE387" s="93"/>
      <c r="AF387" s="94">
        <f t="shared" si="607"/>
        <v>0</v>
      </c>
      <c r="AG387" s="473"/>
      <c r="AH387" s="99">
        <v>96.15</v>
      </c>
      <c r="AI387" s="99">
        <f t="shared" si="625"/>
        <v>6.41</v>
      </c>
      <c r="AJ387" s="138"/>
      <c r="AK387" s="138">
        <f t="shared" si="626"/>
        <v>0</v>
      </c>
      <c r="AL387" s="106"/>
      <c r="AM387" s="105">
        <f>115+95</f>
        <v>210</v>
      </c>
      <c r="AN387" s="105">
        <f t="shared" si="627"/>
        <v>14</v>
      </c>
      <c r="AO387" s="106"/>
      <c r="AP387" s="105"/>
      <c r="AQ387" s="105">
        <f t="shared" si="608"/>
        <v>0</v>
      </c>
      <c r="AR387" s="106"/>
      <c r="AS387" s="97">
        <f t="shared" si="609"/>
        <v>14</v>
      </c>
      <c r="AT387" s="6"/>
      <c r="AU387" s="105"/>
      <c r="AV387" s="455">
        <f t="shared" si="610"/>
        <v>0</v>
      </c>
      <c r="AW387" s="496"/>
      <c r="AX387" s="508"/>
      <c r="AY387" s="498">
        <v>25</v>
      </c>
      <c r="AZ387" s="100">
        <f t="shared" si="631"/>
        <v>1.6666666666666667</v>
      </c>
      <c r="BA387" s="101"/>
      <c r="BB387" s="100"/>
      <c r="BC387" s="100">
        <f t="shared" si="628"/>
        <v>0</v>
      </c>
      <c r="BD387" s="101"/>
      <c r="BE387" s="105">
        <f t="shared" si="611"/>
        <v>1.6666666666666667</v>
      </c>
      <c r="BF387" s="106"/>
      <c r="BG387" s="100">
        <f t="shared" si="601"/>
        <v>14</v>
      </c>
      <c r="BH387" s="106"/>
      <c r="BI387" s="100">
        <f t="shared" si="602"/>
        <v>0</v>
      </c>
      <c r="BJ387" s="106"/>
      <c r="BK387" s="101">
        <f t="shared" si="612"/>
        <v>15.666666666666666</v>
      </c>
      <c r="BL387" s="106"/>
      <c r="BM387" s="104">
        <v>320.5</v>
      </c>
      <c r="BN387" s="104">
        <f t="shared" si="632"/>
        <v>6.41</v>
      </c>
      <c r="BO387" s="105"/>
      <c r="BP387" s="105">
        <f t="shared" si="613"/>
        <v>0</v>
      </c>
      <c r="BQ387" s="106"/>
      <c r="BR387" s="105">
        <f>300+450</f>
        <v>750</v>
      </c>
      <c r="BS387" s="105">
        <f t="shared" si="614"/>
        <v>15</v>
      </c>
      <c r="BT387" s="106"/>
      <c r="BU387" s="53"/>
      <c r="BV387" s="53">
        <f t="shared" si="615"/>
        <v>0</v>
      </c>
      <c r="BW387" s="54"/>
      <c r="BX387" s="350">
        <f t="shared" si="616"/>
        <v>15</v>
      </c>
      <c r="BY387" s="6"/>
      <c r="BZ387" s="6">
        <f t="shared" si="617"/>
        <v>0.66666666666666607</v>
      </c>
      <c r="CA387" s="508"/>
      <c r="CB387" s="6"/>
      <c r="CC387" s="6"/>
      <c r="CD387" s="7"/>
      <c r="CE387" s="504"/>
      <c r="CF387" s="105"/>
      <c r="CG387" s="105">
        <f t="shared" si="618"/>
        <v>0</v>
      </c>
      <c r="CH387" s="105"/>
      <c r="CI387" s="105"/>
      <c r="CJ387" s="105">
        <f t="shared" si="619"/>
        <v>0</v>
      </c>
      <c r="CK387" s="523"/>
      <c r="CL387" s="102">
        <f t="shared" si="629"/>
        <v>0</v>
      </c>
      <c r="CM387" s="103"/>
      <c r="CN387" s="100"/>
      <c r="CO387" s="100">
        <f t="shared" si="620"/>
        <v>0</v>
      </c>
      <c r="CP387" s="515"/>
      <c r="CQ387" s="441"/>
      <c r="CR387" s="504"/>
      <c r="CS387" s="105"/>
      <c r="CT387" s="105">
        <f t="shared" si="621"/>
        <v>0</v>
      </c>
      <c r="CU387" s="105"/>
      <c r="CV387" s="105"/>
      <c r="CW387" s="105">
        <f t="shared" si="622"/>
        <v>0</v>
      </c>
      <c r="CX387" s="53"/>
      <c r="CY387" s="109">
        <f t="shared" si="623"/>
        <v>0</v>
      </c>
      <c r="CZ387" s="54"/>
      <c r="DA387" s="105"/>
      <c r="DB387" s="455">
        <f t="shared" si="624"/>
        <v>0</v>
      </c>
      <c r="DC387" s="495"/>
      <c r="DD387" s="24"/>
      <c r="DE387" s="776"/>
      <c r="DF387" s="1133"/>
      <c r="DG387" s="674">
        <f t="shared" si="593"/>
        <v>0</v>
      </c>
      <c r="DH387" s="1119">
        <f t="shared" si="594"/>
        <v>0</v>
      </c>
      <c r="DI387" s="1119"/>
      <c r="DJ387" s="101">
        <f t="shared" si="577"/>
        <v>15.666666666666666</v>
      </c>
      <c r="DK387" s="101"/>
      <c r="DL387" s="101">
        <f t="shared" si="576"/>
        <v>0</v>
      </c>
      <c r="DM387" s="101"/>
      <c r="DN387" s="112"/>
      <c r="DO387" s="112">
        <f>DJ387</f>
        <v>15.666666666666666</v>
      </c>
      <c r="DP387" s="112"/>
      <c r="DQ387" s="112"/>
      <c r="DR387" s="776"/>
      <c r="DS387" s="140"/>
      <c r="DT387" s="140"/>
      <c r="DU387" s="140"/>
      <c r="DV387" s="140"/>
      <c r="DW387" s="140"/>
      <c r="DX387" s="140"/>
      <c r="DY387" s="140"/>
      <c r="DZ387" s="140"/>
      <c r="EA387" s="776"/>
      <c r="EB387" s="776"/>
      <c r="EC387" s="776"/>
      <c r="ED387" s="776"/>
      <c r="EE387" s="776"/>
      <c r="EF387" s="776"/>
      <c r="EG387" s="776"/>
      <c r="EH387" s="776"/>
      <c r="EI387" s="776"/>
      <c r="EJ387" s="776"/>
      <c r="EK387" s="776"/>
      <c r="EL387" s="776"/>
      <c r="EM387" s="776"/>
      <c r="EN387" s="776"/>
      <c r="EO387" s="776"/>
      <c r="EP387" s="776"/>
      <c r="EQ387" s="776"/>
      <c r="ER387" s="776"/>
      <c r="ES387" s="776"/>
      <c r="ET387" s="776"/>
      <c r="EU387" s="776"/>
      <c r="EV387" s="776"/>
      <c r="EW387" s="776"/>
      <c r="EX387" s="776"/>
      <c r="EY387" s="776"/>
      <c r="EZ387" s="776"/>
      <c r="FA387" s="776"/>
      <c r="FB387" s="776"/>
      <c r="FC387" s="776"/>
      <c r="FD387" s="776"/>
      <c r="FE387" s="776"/>
      <c r="FF387" s="776"/>
      <c r="FG387" s="776"/>
      <c r="FH387" s="776"/>
      <c r="FI387" s="776"/>
      <c r="FJ387" s="776"/>
      <c r="FK387" s="776"/>
      <c r="FL387" s="776"/>
      <c r="FM387" s="776"/>
      <c r="FN387" s="776"/>
      <c r="FO387" s="776"/>
      <c r="FP387" s="776"/>
      <c r="FQ387" s="776"/>
      <c r="FR387" s="776"/>
      <c r="FS387" s="776"/>
      <c r="FT387" s="776"/>
      <c r="FU387" s="776"/>
      <c r="FV387" s="776"/>
      <c r="FW387" s="776"/>
      <c r="FX387" s="776"/>
      <c r="FY387" s="776"/>
      <c r="FZ387" s="776"/>
      <c r="GA387" s="776"/>
      <c r="GB387" s="776"/>
      <c r="GC387" s="776"/>
      <c r="GD387" s="776"/>
      <c r="GE387" s="776"/>
      <c r="GF387" s="776"/>
      <c r="GG387" s="776"/>
      <c r="GH387" s="776"/>
      <c r="GI387" s="776"/>
      <c r="GJ387" s="776"/>
      <c r="GK387" s="776"/>
      <c r="GL387" s="776"/>
      <c r="GM387" s="776"/>
    </row>
    <row r="388" spans="1:195" s="139" customFormat="1" ht="21.6" customHeight="1" x14ac:dyDescent="0.25">
      <c r="A388" s="4"/>
      <c r="B388" s="4"/>
      <c r="C388" s="784" t="s">
        <v>218</v>
      </c>
      <c r="D388" s="176" t="s">
        <v>431</v>
      </c>
      <c r="E388" s="3" t="s">
        <v>526</v>
      </c>
      <c r="F388" s="135"/>
      <c r="G388" s="135"/>
      <c r="H388" s="135"/>
      <c r="I388" s="135"/>
      <c r="J388" s="135"/>
      <c r="K388" s="135"/>
      <c r="L388" s="183"/>
      <c r="M388" s="5"/>
      <c r="N388" s="177"/>
      <c r="O388" s="6"/>
      <c r="P388" s="7"/>
      <c r="Q388" s="7"/>
      <c r="R388" s="7"/>
      <c r="S388" s="7"/>
      <c r="T388" s="89"/>
      <c r="U388" s="89"/>
      <c r="V388" s="89">
        <f t="shared" si="633"/>
        <v>0</v>
      </c>
      <c r="W388" s="137"/>
      <c r="X388" s="137"/>
      <c r="Y388" s="90">
        <f t="shared" si="630"/>
        <v>0</v>
      </c>
      <c r="Z388" s="91"/>
      <c r="AA388" s="92"/>
      <c r="AB388" s="92"/>
      <c r="AC388" s="92">
        <f t="shared" si="606"/>
        <v>0</v>
      </c>
      <c r="AD388" s="93"/>
      <c r="AE388" s="93"/>
      <c r="AF388" s="94">
        <f t="shared" si="607"/>
        <v>0</v>
      </c>
      <c r="AG388" s="473"/>
      <c r="AH388" s="99">
        <v>30.3</v>
      </c>
      <c r="AI388" s="99">
        <f t="shared" si="625"/>
        <v>2.02</v>
      </c>
      <c r="AJ388" s="138">
        <v>30</v>
      </c>
      <c r="AK388" s="138">
        <f t="shared" si="626"/>
        <v>2</v>
      </c>
      <c r="AL388" s="106"/>
      <c r="AM388" s="105"/>
      <c r="AN388" s="105">
        <f t="shared" si="627"/>
        <v>0</v>
      </c>
      <c r="AO388" s="106"/>
      <c r="AP388" s="105"/>
      <c r="AQ388" s="105">
        <f t="shared" si="608"/>
        <v>0</v>
      </c>
      <c r="AR388" s="106"/>
      <c r="AS388" s="97">
        <f t="shared" si="609"/>
        <v>2</v>
      </c>
      <c r="AT388" s="6"/>
      <c r="AU388" s="105"/>
      <c r="AV388" s="455">
        <f t="shared" si="610"/>
        <v>0</v>
      </c>
      <c r="AW388" s="496"/>
      <c r="AX388" s="508"/>
      <c r="AY388" s="498"/>
      <c r="AZ388" s="100"/>
      <c r="BA388" s="101"/>
      <c r="BB388" s="100"/>
      <c r="BC388" s="100">
        <f t="shared" si="628"/>
        <v>0</v>
      </c>
      <c r="BD388" s="101"/>
      <c r="BE388" s="105">
        <f t="shared" si="611"/>
        <v>2</v>
      </c>
      <c r="BF388" s="106"/>
      <c r="BG388" s="100">
        <f t="shared" si="601"/>
        <v>0</v>
      </c>
      <c r="BH388" s="106"/>
      <c r="BI388" s="100">
        <f t="shared" si="602"/>
        <v>0</v>
      </c>
      <c r="BJ388" s="106"/>
      <c r="BK388" s="101">
        <f t="shared" si="612"/>
        <v>2</v>
      </c>
      <c r="BL388" s="106"/>
      <c r="BM388" s="104"/>
      <c r="BN388" s="104"/>
      <c r="BO388" s="105"/>
      <c r="BP388" s="105">
        <f t="shared" si="613"/>
        <v>0</v>
      </c>
      <c r="BQ388" s="106"/>
      <c r="BR388" s="105">
        <v>100</v>
      </c>
      <c r="BS388" s="105">
        <f t="shared" si="614"/>
        <v>2</v>
      </c>
      <c r="BT388" s="106"/>
      <c r="BU388" s="53"/>
      <c r="BV388" s="53">
        <f t="shared" si="615"/>
        <v>0</v>
      </c>
      <c r="BW388" s="54"/>
      <c r="BX388" s="350">
        <f t="shared" si="616"/>
        <v>2</v>
      </c>
      <c r="BY388" s="6"/>
      <c r="BZ388" s="6">
        <f t="shared" si="617"/>
        <v>0</v>
      </c>
      <c r="CA388" s="508"/>
      <c r="CB388" s="7"/>
      <c r="CC388" s="7"/>
      <c r="CD388" s="7"/>
      <c r="CE388" s="504"/>
      <c r="CF388" s="105"/>
      <c r="CG388" s="105">
        <f t="shared" si="618"/>
        <v>0</v>
      </c>
      <c r="CH388" s="105"/>
      <c r="CI388" s="105"/>
      <c r="CJ388" s="105">
        <f t="shared" si="619"/>
        <v>0</v>
      </c>
      <c r="CK388" s="523"/>
      <c r="CL388" s="102">
        <f t="shared" si="629"/>
        <v>0</v>
      </c>
      <c r="CM388" s="103"/>
      <c r="CN388" s="100"/>
      <c r="CO388" s="100">
        <f t="shared" si="620"/>
        <v>0</v>
      </c>
      <c r="CP388" s="515"/>
      <c r="CQ388" s="441"/>
      <c r="CR388" s="504"/>
      <c r="CS388" s="105"/>
      <c r="CT388" s="105">
        <f t="shared" si="621"/>
        <v>0</v>
      </c>
      <c r="CU388" s="105"/>
      <c r="CV388" s="105"/>
      <c r="CW388" s="105">
        <f t="shared" si="622"/>
        <v>0</v>
      </c>
      <c r="CX388" s="53"/>
      <c r="CY388" s="109">
        <f t="shared" si="623"/>
        <v>0</v>
      </c>
      <c r="CZ388" s="54"/>
      <c r="DA388" s="105"/>
      <c r="DB388" s="455">
        <f t="shared" si="624"/>
        <v>0</v>
      </c>
      <c r="DC388" s="495"/>
      <c r="DD388" s="24"/>
      <c r="DF388" s="1133"/>
      <c r="DG388" s="674">
        <f t="shared" si="593"/>
        <v>0</v>
      </c>
      <c r="DH388" s="1119">
        <f t="shared" si="594"/>
        <v>0</v>
      </c>
      <c r="DI388" s="1119"/>
      <c r="DJ388" s="101">
        <f t="shared" si="577"/>
        <v>2</v>
      </c>
      <c r="DK388" s="101"/>
      <c r="DL388" s="101">
        <f t="shared" si="576"/>
        <v>0</v>
      </c>
      <c r="DM388" s="101"/>
      <c r="DN388" s="112"/>
      <c r="DO388" s="112"/>
      <c r="DP388" s="112"/>
      <c r="DQ388" s="112"/>
      <c r="DS388" s="140"/>
      <c r="DT388" s="140"/>
      <c r="DU388" s="140"/>
      <c r="DV388" s="140"/>
      <c r="DW388" s="140"/>
      <c r="DX388" s="140"/>
      <c r="DY388" s="140"/>
      <c r="DZ388" s="140"/>
    </row>
    <row r="389" spans="1:195" ht="21.6" customHeight="1" x14ac:dyDescent="0.25">
      <c r="A389" s="4" t="s">
        <v>130</v>
      </c>
      <c r="B389" s="4">
        <v>12</v>
      </c>
      <c r="C389" s="294" t="s">
        <v>218</v>
      </c>
      <c r="D389" s="167" t="s">
        <v>437</v>
      </c>
      <c r="E389" s="1" t="s">
        <v>223</v>
      </c>
      <c r="F389" s="162">
        <v>243</v>
      </c>
      <c r="G389" s="162">
        <v>21</v>
      </c>
      <c r="H389" s="162">
        <f>F389+G389</f>
        <v>264</v>
      </c>
      <c r="I389" s="162">
        <v>139.4</v>
      </c>
      <c r="J389" s="162"/>
      <c r="K389" s="162">
        <f>I389+J389</f>
        <v>139.4</v>
      </c>
      <c r="L389" s="168"/>
      <c r="M389" s="414"/>
      <c r="N389" s="46"/>
      <c r="O389" s="166"/>
      <c r="P389" s="166"/>
      <c r="Q389" s="166"/>
      <c r="R389" s="166"/>
      <c r="S389" s="165"/>
      <c r="T389" s="89"/>
      <c r="U389" s="89"/>
      <c r="V389" s="89">
        <f t="shared" si="633"/>
        <v>0</v>
      </c>
      <c r="W389" s="137"/>
      <c r="X389" s="137"/>
      <c r="Y389" s="90">
        <f t="shared" si="630"/>
        <v>0</v>
      </c>
      <c r="Z389" s="169"/>
      <c r="AA389" s="92"/>
      <c r="AB389" s="92"/>
      <c r="AC389" s="92">
        <f t="shared" si="606"/>
        <v>0</v>
      </c>
      <c r="AD389" s="93"/>
      <c r="AE389" s="93"/>
      <c r="AF389" s="94">
        <f t="shared" si="607"/>
        <v>0</v>
      </c>
      <c r="AG389" s="475"/>
      <c r="AH389" s="99">
        <v>101.7</v>
      </c>
      <c r="AI389" s="99">
        <f t="shared" si="625"/>
        <v>6.78</v>
      </c>
      <c r="AJ389" s="138">
        <v>100</v>
      </c>
      <c r="AK389" s="138">
        <f t="shared" si="626"/>
        <v>6.666666666666667</v>
      </c>
      <c r="AL389" s="106"/>
      <c r="AM389" s="105"/>
      <c r="AN389" s="105">
        <f t="shared" si="627"/>
        <v>0</v>
      </c>
      <c r="AO389" s="106"/>
      <c r="AP389" s="105"/>
      <c r="AQ389" s="105">
        <f t="shared" si="608"/>
        <v>0</v>
      </c>
      <c r="AR389" s="106"/>
      <c r="AS389" s="97">
        <f t="shared" si="609"/>
        <v>6.666666666666667</v>
      </c>
      <c r="AT389" s="6"/>
      <c r="AU389" s="105"/>
      <c r="AV389" s="455">
        <f t="shared" si="610"/>
        <v>0</v>
      </c>
      <c r="AW389" s="496"/>
      <c r="AX389" s="508"/>
      <c r="AY389" s="498">
        <v>25</v>
      </c>
      <c r="AZ389" s="100">
        <f t="shared" ref="AZ389:AZ394" si="634">AY389/15</f>
        <v>1.6666666666666667</v>
      </c>
      <c r="BA389" s="101"/>
      <c r="BB389" s="100"/>
      <c r="BC389" s="100">
        <f t="shared" si="628"/>
        <v>0</v>
      </c>
      <c r="BD389" s="101"/>
      <c r="BE389" s="105">
        <f t="shared" si="611"/>
        <v>8.3333333333333339</v>
      </c>
      <c r="BF389" s="106"/>
      <c r="BG389" s="100">
        <f t="shared" si="601"/>
        <v>0</v>
      </c>
      <c r="BH389" s="106"/>
      <c r="BI389" s="100">
        <f t="shared" si="602"/>
        <v>0</v>
      </c>
      <c r="BJ389" s="106"/>
      <c r="BK389" s="101">
        <f t="shared" si="612"/>
        <v>8.3333333333333339</v>
      </c>
      <c r="BL389" s="106"/>
      <c r="BM389" s="104">
        <v>304.5</v>
      </c>
      <c r="BN389" s="104">
        <f t="shared" ref="BN389:BN394" si="635">BM389/50</f>
        <v>6.09</v>
      </c>
      <c r="BO389" s="105">
        <v>300</v>
      </c>
      <c r="BP389" s="105">
        <f t="shared" si="613"/>
        <v>6</v>
      </c>
      <c r="BQ389" s="106"/>
      <c r="BR389" s="105">
        <v>100</v>
      </c>
      <c r="BS389" s="105">
        <f t="shared" si="614"/>
        <v>2</v>
      </c>
      <c r="BT389" s="106"/>
      <c r="BU389" s="53"/>
      <c r="BV389" s="53">
        <f t="shared" si="615"/>
        <v>0</v>
      </c>
      <c r="BW389" s="54"/>
      <c r="BX389" s="350">
        <f t="shared" si="616"/>
        <v>8</v>
      </c>
      <c r="BY389" s="6"/>
      <c r="BZ389" s="6">
        <f t="shared" si="617"/>
        <v>0.33333333333333393</v>
      </c>
      <c r="CA389" s="508"/>
      <c r="CB389" s="166"/>
      <c r="CC389" s="166"/>
      <c r="CD389" s="165"/>
      <c r="CE389" s="504"/>
      <c r="CF389" s="105"/>
      <c r="CG389" s="105">
        <f t="shared" si="618"/>
        <v>0</v>
      </c>
      <c r="CH389" s="105"/>
      <c r="CI389" s="105"/>
      <c r="CJ389" s="105">
        <f t="shared" si="619"/>
        <v>0</v>
      </c>
      <c r="CK389" s="523"/>
      <c r="CL389" s="102">
        <f t="shared" si="629"/>
        <v>0</v>
      </c>
      <c r="CM389" s="103"/>
      <c r="CN389" s="100"/>
      <c r="CO389" s="100">
        <f t="shared" si="620"/>
        <v>0</v>
      </c>
      <c r="CP389" s="515"/>
      <c r="CQ389" s="441"/>
      <c r="CR389" s="504"/>
      <c r="CS389" s="105"/>
      <c r="CT389" s="105">
        <f t="shared" si="621"/>
        <v>0</v>
      </c>
      <c r="CU389" s="105"/>
      <c r="CV389" s="105"/>
      <c r="CW389" s="105">
        <f t="shared" si="622"/>
        <v>0</v>
      </c>
      <c r="CX389" s="53"/>
      <c r="CY389" s="109">
        <f t="shared" si="623"/>
        <v>0</v>
      </c>
      <c r="CZ389" s="54"/>
      <c r="DA389" s="105"/>
      <c r="DB389" s="455">
        <f t="shared" si="624"/>
        <v>0</v>
      </c>
      <c r="DC389" s="495"/>
      <c r="DD389" s="25"/>
      <c r="DF389" s="1133"/>
      <c r="DG389" s="674">
        <f t="shared" si="593"/>
        <v>0</v>
      </c>
      <c r="DH389" s="1119">
        <f t="shared" si="594"/>
        <v>0</v>
      </c>
      <c r="DI389" s="1119"/>
      <c r="DJ389" s="101">
        <f t="shared" si="577"/>
        <v>8.3333333333333339</v>
      </c>
      <c r="DK389" s="101"/>
      <c r="DL389" s="101">
        <f t="shared" si="576"/>
        <v>0</v>
      </c>
      <c r="DM389" s="101"/>
      <c r="DN389" s="112"/>
      <c r="DO389" s="112">
        <f>DJ389</f>
        <v>8.3333333333333339</v>
      </c>
      <c r="DP389" s="112"/>
      <c r="DQ389" s="112"/>
    </row>
    <row r="390" spans="1:195" ht="21.6" customHeight="1" x14ac:dyDescent="0.25">
      <c r="A390" s="4" t="s">
        <v>130</v>
      </c>
      <c r="B390" s="4">
        <v>13</v>
      </c>
      <c r="C390" s="166" t="s">
        <v>218</v>
      </c>
      <c r="D390" s="167"/>
      <c r="E390" s="1" t="s">
        <v>224</v>
      </c>
      <c r="F390" s="162">
        <v>39</v>
      </c>
      <c r="G390" s="162"/>
      <c r="H390" s="162">
        <f>F390+G390</f>
        <v>39</v>
      </c>
      <c r="I390" s="162"/>
      <c r="J390" s="162">
        <v>22.4</v>
      </c>
      <c r="K390" s="162">
        <f>I390+J390</f>
        <v>22.4</v>
      </c>
      <c r="L390" s="168"/>
      <c r="M390" s="414"/>
      <c r="N390" s="46"/>
      <c r="O390" s="164"/>
      <c r="P390" s="165"/>
      <c r="Q390" s="165"/>
      <c r="R390" s="165"/>
      <c r="S390" s="165"/>
      <c r="T390" s="89"/>
      <c r="U390" s="89"/>
      <c r="V390" s="89">
        <f t="shared" si="633"/>
        <v>0</v>
      </c>
      <c r="W390" s="137"/>
      <c r="X390" s="137"/>
      <c r="Y390" s="90">
        <f t="shared" si="630"/>
        <v>0</v>
      </c>
      <c r="Z390" s="169"/>
      <c r="AA390" s="92"/>
      <c r="AB390" s="92"/>
      <c r="AC390" s="92">
        <f t="shared" si="606"/>
        <v>0</v>
      </c>
      <c r="AD390" s="93"/>
      <c r="AE390" s="93"/>
      <c r="AF390" s="94">
        <f t="shared" si="607"/>
        <v>0</v>
      </c>
      <c r="AG390" s="475"/>
      <c r="AH390" s="99"/>
      <c r="AI390" s="99">
        <f t="shared" si="625"/>
        <v>0</v>
      </c>
      <c r="AJ390" s="138"/>
      <c r="AK390" s="138">
        <f t="shared" si="626"/>
        <v>0</v>
      </c>
      <c r="AL390" s="106"/>
      <c r="AM390" s="105"/>
      <c r="AN390" s="105">
        <f t="shared" si="627"/>
        <v>0</v>
      </c>
      <c r="AO390" s="106"/>
      <c r="AP390" s="105"/>
      <c r="AQ390" s="105">
        <f t="shared" si="608"/>
        <v>0</v>
      </c>
      <c r="AR390" s="106"/>
      <c r="AS390" s="97">
        <f t="shared" si="609"/>
        <v>0</v>
      </c>
      <c r="AT390" s="6"/>
      <c r="AU390" s="105"/>
      <c r="AV390" s="455">
        <f t="shared" si="610"/>
        <v>0</v>
      </c>
      <c r="AW390" s="496"/>
      <c r="AX390" s="508"/>
      <c r="AY390" s="498"/>
      <c r="AZ390" s="100">
        <f t="shared" si="634"/>
        <v>0</v>
      </c>
      <c r="BA390" s="101"/>
      <c r="BB390" s="100"/>
      <c r="BC390" s="100">
        <f t="shared" si="628"/>
        <v>0</v>
      </c>
      <c r="BD390" s="101"/>
      <c r="BE390" s="105">
        <f t="shared" si="611"/>
        <v>0</v>
      </c>
      <c r="BF390" s="106"/>
      <c r="BG390" s="100">
        <f t="shared" si="601"/>
        <v>0</v>
      </c>
      <c r="BH390" s="106"/>
      <c r="BI390" s="100">
        <f t="shared" si="602"/>
        <v>0</v>
      </c>
      <c r="BJ390" s="106"/>
      <c r="BK390" s="101">
        <f t="shared" si="612"/>
        <v>0</v>
      </c>
      <c r="BL390" s="106"/>
      <c r="BM390" s="104"/>
      <c r="BN390" s="104">
        <f t="shared" si="635"/>
        <v>0</v>
      </c>
      <c r="BO390" s="105"/>
      <c r="BP390" s="105">
        <f t="shared" si="613"/>
        <v>0</v>
      </c>
      <c r="BQ390" s="106"/>
      <c r="BR390" s="105"/>
      <c r="BS390" s="105">
        <f t="shared" si="614"/>
        <v>0</v>
      </c>
      <c r="BT390" s="106"/>
      <c r="BU390" s="53"/>
      <c r="BV390" s="53">
        <f t="shared" si="615"/>
        <v>0</v>
      </c>
      <c r="BW390" s="54"/>
      <c r="BX390" s="350">
        <f t="shared" si="616"/>
        <v>0</v>
      </c>
      <c r="BY390" s="6"/>
      <c r="BZ390" s="6">
        <f t="shared" si="617"/>
        <v>0</v>
      </c>
      <c r="CA390" s="508"/>
      <c r="CB390" s="165"/>
      <c r="CC390" s="165"/>
      <c r="CD390" s="165"/>
      <c r="CE390" s="504"/>
      <c r="CF390" s="105"/>
      <c r="CG390" s="105">
        <f t="shared" si="618"/>
        <v>0</v>
      </c>
      <c r="CH390" s="105"/>
      <c r="CI390" s="105"/>
      <c r="CJ390" s="105">
        <f t="shared" si="619"/>
        <v>0</v>
      </c>
      <c r="CK390" s="523"/>
      <c r="CL390" s="102">
        <f t="shared" si="629"/>
        <v>0</v>
      </c>
      <c r="CM390" s="103"/>
      <c r="CN390" s="100"/>
      <c r="CO390" s="100">
        <f t="shared" si="620"/>
        <v>0</v>
      </c>
      <c r="CP390" s="515"/>
      <c r="CQ390" s="441"/>
      <c r="CR390" s="504"/>
      <c r="CS390" s="105"/>
      <c r="CT390" s="105">
        <f t="shared" si="621"/>
        <v>0</v>
      </c>
      <c r="CU390" s="105"/>
      <c r="CV390" s="105"/>
      <c r="CW390" s="105">
        <f t="shared" si="622"/>
        <v>0</v>
      </c>
      <c r="CX390" s="53"/>
      <c r="CY390" s="109">
        <f t="shared" si="623"/>
        <v>0</v>
      </c>
      <c r="CZ390" s="54"/>
      <c r="DA390" s="105"/>
      <c r="DB390" s="455">
        <f t="shared" si="624"/>
        <v>0</v>
      </c>
      <c r="DC390" s="495"/>
      <c r="DD390" s="25"/>
      <c r="DF390" s="1133"/>
      <c r="DG390" s="674">
        <f t="shared" si="593"/>
        <v>0</v>
      </c>
      <c r="DH390" s="1119">
        <f t="shared" si="594"/>
        <v>0</v>
      </c>
      <c r="DI390" s="1119"/>
      <c r="DJ390" s="101">
        <f t="shared" si="577"/>
        <v>0</v>
      </c>
      <c r="DK390" s="101"/>
      <c r="DL390" s="101">
        <f t="shared" si="576"/>
        <v>0</v>
      </c>
      <c r="DM390" s="101"/>
      <c r="DN390" s="112"/>
      <c r="DO390" s="112"/>
      <c r="DP390" s="112"/>
      <c r="DQ390" s="112"/>
    </row>
    <row r="391" spans="1:195" s="139" customFormat="1" ht="21.6" customHeight="1" x14ac:dyDescent="0.25">
      <c r="A391" s="4" t="s">
        <v>130</v>
      </c>
      <c r="B391" s="4">
        <v>14</v>
      </c>
      <c r="C391" s="166" t="s">
        <v>218</v>
      </c>
      <c r="D391" s="167"/>
      <c r="E391" s="1" t="s">
        <v>225</v>
      </c>
      <c r="F391" s="162">
        <v>63</v>
      </c>
      <c r="G391" s="162">
        <v>3</v>
      </c>
      <c r="H391" s="162">
        <f>F391+G391</f>
        <v>66</v>
      </c>
      <c r="I391" s="162">
        <v>31.76</v>
      </c>
      <c r="J391" s="162"/>
      <c r="K391" s="162">
        <f>I391+J391</f>
        <v>31.76</v>
      </c>
      <c r="L391" s="168"/>
      <c r="M391" s="589"/>
      <c r="N391" s="46"/>
      <c r="O391" s="164"/>
      <c r="P391" s="165"/>
      <c r="Q391" s="165"/>
      <c r="R391" s="165"/>
      <c r="S391" s="165"/>
      <c r="T391" s="89"/>
      <c r="U391" s="89"/>
      <c r="V391" s="89">
        <f t="shared" si="633"/>
        <v>0</v>
      </c>
      <c r="W391" s="137"/>
      <c r="X391" s="137"/>
      <c r="Y391" s="90">
        <f t="shared" si="630"/>
        <v>0</v>
      </c>
      <c r="Z391" s="169"/>
      <c r="AA391" s="92"/>
      <c r="AB391" s="92"/>
      <c r="AC391" s="92">
        <f t="shared" si="606"/>
        <v>0</v>
      </c>
      <c r="AD391" s="93"/>
      <c r="AE391" s="93"/>
      <c r="AF391" s="94">
        <f t="shared" si="607"/>
        <v>0</v>
      </c>
      <c r="AG391" s="475"/>
      <c r="AH391" s="99"/>
      <c r="AI391" s="99">
        <f t="shared" si="625"/>
        <v>0</v>
      </c>
      <c r="AJ391" s="138"/>
      <c r="AK391" s="138">
        <f t="shared" si="626"/>
        <v>0</v>
      </c>
      <c r="AL391" s="106"/>
      <c r="AM391" s="105"/>
      <c r="AN391" s="105">
        <f t="shared" si="627"/>
        <v>0</v>
      </c>
      <c r="AO391" s="106"/>
      <c r="AP391" s="105"/>
      <c r="AQ391" s="105">
        <f t="shared" si="608"/>
        <v>0</v>
      </c>
      <c r="AR391" s="106"/>
      <c r="AS391" s="97">
        <f t="shared" si="609"/>
        <v>0</v>
      </c>
      <c r="AT391" s="6"/>
      <c r="AU391" s="105"/>
      <c r="AV391" s="455">
        <f t="shared" si="610"/>
        <v>0</v>
      </c>
      <c r="AW391" s="496"/>
      <c r="AX391" s="508"/>
      <c r="AY391" s="498"/>
      <c r="AZ391" s="100">
        <f t="shared" si="634"/>
        <v>0</v>
      </c>
      <c r="BA391" s="101"/>
      <c r="BB391" s="100"/>
      <c r="BC391" s="100">
        <f t="shared" si="628"/>
        <v>0</v>
      </c>
      <c r="BD391" s="101"/>
      <c r="BE391" s="105">
        <f t="shared" si="611"/>
        <v>0</v>
      </c>
      <c r="BF391" s="106"/>
      <c r="BG391" s="100">
        <f t="shared" si="601"/>
        <v>0</v>
      </c>
      <c r="BH391" s="106"/>
      <c r="BI391" s="100">
        <f t="shared" si="602"/>
        <v>0</v>
      </c>
      <c r="BJ391" s="106"/>
      <c r="BK391" s="101">
        <f t="shared" si="612"/>
        <v>0</v>
      </c>
      <c r="BL391" s="106"/>
      <c r="BM391" s="104"/>
      <c r="BN391" s="104">
        <f t="shared" si="635"/>
        <v>0</v>
      </c>
      <c r="BO391" s="105"/>
      <c r="BP391" s="105">
        <f t="shared" si="613"/>
        <v>0</v>
      </c>
      <c r="BQ391" s="106"/>
      <c r="BR391" s="105"/>
      <c r="BS391" s="105">
        <f t="shared" si="614"/>
        <v>0</v>
      </c>
      <c r="BT391" s="106"/>
      <c r="BU391" s="53"/>
      <c r="BV391" s="53">
        <f t="shared" si="615"/>
        <v>0</v>
      </c>
      <c r="BW391" s="54"/>
      <c r="BX391" s="350">
        <f t="shared" si="616"/>
        <v>0</v>
      </c>
      <c r="BY391" s="6"/>
      <c r="BZ391" s="6">
        <f t="shared" si="617"/>
        <v>0</v>
      </c>
      <c r="CA391" s="508"/>
      <c r="CB391" s="165"/>
      <c r="CC391" s="165"/>
      <c r="CD391" s="165"/>
      <c r="CE391" s="504"/>
      <c r="CF391" s="105"/>
      <c r="CG391" s="105">
        <f t="shared" si="618"/>
        <v>0</v>
      </c>
      <c r="CH391" s="105"/>
      <c r="CI391" s="105"/>
      <c r="CJ391" s="105">
        <f t="shared" si="619"/>
        <v>0</v>
      </c>
      <c r="CK391" s="523"/>
      <c r="CL391" s="102">
        <f t="shared" si="629"/>
        <v>0</v>
      </c>
      <c r="CM391" s="103"/>
      <c r="CN391" s="100"/>
      <c r="CO391" s="100">
        <f t="shared" si="620"/>
        <v>0</v>
      </c>
      <c r="CP391" s="515"/>
      <c r="CQ391" s="441"/>
      <c r="CR391" s="504"/>
      <c r="CS391" s="105"/>
      <c r="CT391" s="105">
        <f t="shared" si="621"/>
        <v>0</v>
      </c>
      <c r="CU391" s="105"/>
      <c r="CV391" s="105"/>
      <c r="CW391" s="105">
        <f t="shared" si="622"/>
        <v>0</v>
      </c>
      <c r="CX391" s="53"/>
      <c r="CY391" s="109">
        <f t="shared" si="623"/>
        <v>0</v>
      </c>
      <c r="CZ391" s="54"/>
      <c r="DA391" s="105"/>
      <c r="DB391" s="455">
        <f t="shared" si="624"/>
        <v>0</v>
      </c>
      <c r="DC391" s="495"/>
      <c r="DD391" s="25"/>
      <c r="DE391" s="44"/>
      <c r="DF391" s="1133"/>
      <c r="DG391" s="674">
        <f t="shared" si="593"/>
        <v>0</v>
      </c>
      <c r="DH391" s="1119">
        <f t="shared" si="594"/>
        <v>0</v>
      </c>
      <c r="DI391" s="1119"/>
      <c r="DJ391" s="101">
        <f t="shared" si="577"/>
        <v>0</v>
      </c>
      <c r="DK391" s="101"/>
      <c r="DL391" s="101">
        <f t="shared" si="576"/>
        <v>0</v>
      </c>
      <c r="DM391" s="101"/>
      <c r="DN391" s="112"/>
      <c r="DO391" s="112"/>
      <c r="DP391" s="112"/>
      <c r="DQ391" s="112"/>
      <c r="DR391" s="44"/>
      <c r="DS391" s="45"/>
      <c r="DT391" s="45"/>
      <c r="DU391" s="45"/>
      <c r="DV391" s="45"/>
      <c r="DW391" s="45"/>
      <c r="DX391" s="45"/>
      <c r="DY391" s="45"/>
      <c r="DZ391" s="45"/>
      <c r="EA391" s="44"/>
      <c r="EB391" s="44"/>
      <c r="EC391" s="44"/>
      <c r="ED391" s="44"/>
      <c r="EE391" s="44"/>
      <c r="EF391" s="44"/>
      <c r="EG391" s="44"/>
      <c r="EH391" s="44"/>
      <c r="EI391" s="44"/>
      <c r="EJ391" s="44"/>
      <c r="EK391" s="44"/>
      <c r="EL391" s="44"/>
      <c r="EM391" s="44"/>
      <c r="EN391" s="44"/>
      <c r="EO391" s="44"/>
      <c r="EP391" s="44"/>
      <c r="EQ391" s="44"/>
      <c r="ER391" s="44"/>
      <c r="ES391" s="44"/>
      <c r="ET391" s="44"/>
      <c r="EU391" s="44"/>
      <c r="EV391" s="44"/>
      <c r="EW391" s="44"/>
      <c r="EX391" s="44"/>
      <c r="EY391" s="44"/>
      <c r="EZ391" s="44"/>
      <c r="FA391" s="44"/>
      <c r="FB391" s="44"/>
      <c r="FC391" s="44"/>
      <c r="FD391" s="44"/>
      <c r="FE391" s="44"/>
      <c r="FF391" s="44"/>
      <c r="FG391" s="44"/>
      <c r="FH391" s="44"/>
      <c r="FI391" s="44"/>
      <c r="FJ391" s="44"/>
      <c r="FK391" s="44"/>
      <c r="FL391" s="44"/>
      <c r="FM391" s="44"/>
      <c r="FN391" s="44"/>
      <c r="FO391" s="44"/>
      <c r="FP391" s="44"/>
      <c r="FQ391" s="44"/>
      <c r="FR391" s="44"/>
      <c r="FS391" s="44"/>
      <c r="FT391" s="44"/>
      <c r="FU391" s="44"/>
      <c r="FV391" s="44"/>
      <c r="FW391" s="44"/>
      <c r="FX391" s="44"/>
      <c r="FY391" s="44"/>
      <c r="FZ391" s="44"/>
      <c r="GA391" s="44"/>
      <c r="GB391" s="44"/>
      <c r="GC391" s="44"/>
      <c r="GD391" s="44"/>
      <c r="GE391" s="44"/>
      <c r="GF391" s="44"/>
      <c r="GG391" s="44"/>
      <c r="GH391" s="44"/>
      <c r="GI391" s="44"/>
      <c r="GJ391" s="44"/>
      <c r="GK391" s="44"/>
      <c r="GL391" s="44"/>
      <c r="GM391" s="44"/>
    </row>
    <row r="392" spans="1:195" s="139" customFormat="1" ht="21.6" customHeight="1" x14ac:dyDescent="0.25">
      <c r="A392" s="4" t="s">
        <v>130</v>
      </c>
      <c r="B392" s="4">
        <v>16</v>
      </c>
      <c r="C392" s="166" t="s">
        <v>218</v>
      </c>
      <c r="D392" s="167"/>
      <c r="E392" s="1" t="s">
        <v>226</v>
      </c>
      <c r="F392" s="162">
        <v>70</v>
      </c>
      <c r="G392" s="162">
        <v>6</v>
      </c>
      <c r="H392" s="162">
        <f>F392+G392</f>
        <v>76</v>
      </c>
      <c r="I392" s="162"/>
      <c r="J392" s="162">
        <v>21.9</v>
      </c>
      <c r="K392" s="162">
        <f>I392+J392</f>
        <v>21.9</v>
      </c>
      <c r="L392" s="168"/>
      <c r="M392" s="589"/>
      <c r="N392" s="46"/>
      <c r="O392" s="164"/>
      <c r="P392" s="165"/>
      <c r="Q392" s="165"/>
      <c r="R392" s="165"/>
      <c r="S392" s="165"/>
      <c r="T392" s="89"/>
      <c r="U392" s="89"/>
      <c r="V392" s="89">
        <f t="shared" si="633"/>
        <v>0</v>
      </c>
      <c r="W392" s="137"/>
      <c r="X392" s="137"/>
      <c r="Y392" s="90">
        <f t="shared" si="630"/>
        <v>0</v>
      </c>
      <c r="Z392" s="169"/>
      <c r="AA392" s="92"/>
      <c r="AB392" s="92"/>
      <c r="AC392" s="92">
        <f t="shared" si="606"/>
        <v>0</v>
      </c>
      <c r="AD392" s="93"/>
      <c r="AE392" s="93"/>
      <c r="AF392" s="94">
        <f t="shared" si="607"/>
        <v>0</v>
      </c>
      <c r="AG392" s="475"/>
      <c r="AH392" s="99"/>
      <c r="AI392" s="99">
        <f t="shared" si="625"/>
        <v>0</v>
      </c>
      <c r="AJ392" s="138"/>
      <c r="AK392" s="138">
        <f t="shared" si="626"/>
        <v>0</v>
      </c>
      <c r="AL392" s="106"/>
      <c r="AM392" s="105"/>
      <c r="AN392" s="105">
        <f t="shared" si="627"/>
        <v>0</v>
      </c>
      <c r="AO392" s="106"/>
      <c r="AP392" s="105"/>
      <c r="AQ392" s="105">
        <f t="shared" si="608"/>
        <v>0</v>
      </c>
      <c r="AR392" s="106"/>
      <c r="AS392" s="97">
        <f t="shared" si="609"/>
        <v>0</v>
      </c>
      <c r="AT392" s="6"/>
      <c r="AU392" s="105"/>
      <c r="AV392" s="455">
        <f t="shared" si="610"/>
        <v>0</v>
      </c>
      <c r="AW392" s="496"/>
      <c r="AX392" s="508"/>
      <c r="AY392" s="498"/>
      <c r="AZ392" s="100">
        <f t="shared" si="634"/>
        <v>0</v>
      </c>
      <c r="BA392" s="101"/>
      <c r="BB392" s="100"/>
      <c r="BC392" s="100">
        <f t="shared" si="628"/>
        <v>0</v>
      </c>
      <c r="BD392" s="101"/>
      <c r="BE392" s="105">
        <f t="shared" si="611"/>
        <v>0</v>
      </c>
      <c r="BF392" s="106"/>
      <c r="BG392" s="100">
        <f t="shared" si="601"/>
        <v>0</v>
      </c>
      <c r="BH392" s="106"/>
      <c r="BI392" s="100">
        <f t="shared" si="602"/>
        <v>0</v>
      </c>
      <c r="BJ392" s="106"/>
      <c r="BK392" s="101">
        <f t="shared" si="612"/>
        <v>0</v>
      </c>
      <c r="BL392" s="106"/>
      <c r="BM392" s="104"/>
      <c r="BN392" s="104">
        <f t="shared" si="635"/>
        <v>0</v>
      </c>
      <c r="BO392" s="105"/>
      <c r="BP392" s="105">
        <f t="shared" si="613"/>
        <v>0</v>
      </c>
      <c r="BQ392" s="106"/>
      <c r="BR392" s="105"/>
      <c r="BS392" s="105">
        <f t="shared" si="614"/>
        <v>0</v>
      </c>
      <c r="BT392" s="106"/>
      <c r="BU392" s="53"/>
      <c r="BV392" s="53">
        <f t="shared" si="615"/>
        <v>0</v>
      </c>
      <c r="BW392" s="54"/>
      <c r="BX392" s="350">
        <f t="shared" si="616"/>
        <v>0</v>
      </c>
      <c r="BY392" s="6"/>
      <c r="BZ392" s="6">
        <f t="shared" si="617"/>
        <v>0</v>
      </c>
      <c r="CA392" s="508"/>
      <c r="CB392" s="165"/>
      <c r="CC392" s="165"/>
      <c r="CD392" s="165"/>
      <c r="CE392" s="504"/>
      <c r="CF392" s="105"/>
      <c r="CG392" s="105">
        <f t="shared" si="618"/>
        <v>0</v>
      </c>
      <c r="CH392" s="105"/>
      <c r="CI392" s="105"/>
      <c r="CJ392" s="105">
        <f t="shared" si="619"/>
        <v>0</v>
      </c>
      <c r="CK392" s="523"/>
      <c r="CL392" s="102">
        <f t="shared" si="629"/>
        <v>0</v>
      </c>
      <c r="CM392" s="103"/>
      <c r="CN392" s="100"/>
      <c r="CO392" s="100">
        <f t="shared" si="620"/>
        <v>0</v>
      </c>
      <c r="CP392" s="515"/>
      <c r="CQ392" s="441"/>
      <c r="CR392" s="504"/>
      <c r="CS392" s="105"/>
      <c r="CT392" s="105">
        <f t="shared" si="621"/>
        <v>0</v>
      </c>
      <c r="CU392" s="105"/>
      <c r="CV392" s="105"/>
      <c r="CW392" s="105">
        <f t="shared" si="622"/>
        <v>0</v>
      </c>
      <c r="CX392" s="53"/>
      <c r="CY392" s="109">
        <f t="shared" si="623"/>
        <v>0</v>
      </c>
      <c r="CZ392" s="54"/>
      <c r="DA392" s="105"/>
      <c r="DB392" s="455">
        <f t="shared" si="624"/>
        <v>0</v>
      </c>
      <c r="DC392" s="495"/>
      <c r="DD392" s="25"/>
      <c r="DE392" s="44"/>
      <c r="DF392" s="1133"/>
      <c r="DG392" s="674">
        <f t="shared" si="593"/>
        <v>0</v>
      </c>
      <c r="DH392" s="1119">
        <f t="shared" si="594"/>
        <v>0</v>
      </c>
      <c r="DI392" s="1119"/>
      <c r="DJ392" s="101">
        <f t="shared" si="577"/>
        <v>0</v>
      </c>
      <c r="DK392" s="101"/>
      <c r="DL392" s="101">
        <f t="shared" si="576"/>
        <v>0</v>
      </c>
      <c r="DM392" s="101"/>
      <c r="DN392" s="112"/>
      <c r="DO392" s="112"/>
      <c r="DP392" s="112"/>
      <c r="DQ392" s="112"/>
      <c r="DR392" s="44"/>
      <c r="DS392" s="45"/>
      <c r="DT392" s="45"/>
      <c r="DU392" s="45"/>
      <c r="DV392" s="45"/>
      <c r="DW392" s="45"/>
      <c r="DX392" s="45"/>
      <c r="DY392" s="45"/>
      <c r="DZ392" s="45"/>
      <c r="EA392" s="44"/>
      <c r="EB392" s="44"/>
      <c r="EC392" s="44"/>
      <c r="ED392" s="44"/>
      <c r="EE392" s="44"/>
      <c r="EF392" s="44"/>
      <c r="EG392" s="44"/>
      <c r="EH392" s="44"/>
      <c r="EI392" s="44"/>
      <c r="EJ392" s="44"/>
      <c r="EK392" s="44"/>
      <c r="EL392" s="44"/>
      <c r="EM392" s="44"/>
      <c r="EN392" s="44"/>
      <c r="EO392" s="44"/>
      <c r="EP392" s="44"/>
      <c r="EQ392" s="44"/>
      <c r="ER392" s="44"/>
      <c r="ES392" s="44"/>
      <c r="ET392" s="44"/>
      <c r="EU392" s="44"/>
      <c r="EV392" s="44"/>
      <c r="EW392" s="44"/>
      <c r="EX392" s="44"/>
      <c r="EY392" s="44"/>
      <c r="EZ392" s="44"/>
      <c r="FA392" s="44"/>
      <c r="FB392" s="44"/>
      <c r="FC392" s="44"/>
      <c r="FD392" s="44"/>
      <c r="FE392" s="44"/>
      <c r="FF392" s="44"/>
      <c r="FG392" s="44"/>
      <c r="FH392" s="44"/>
      <c r="FI392" s="44"/>
      <c r="FJ392" s="44"/>
      <c r="FK392" s="44"/>
      <c r="FL392" s="44"/>
      <c r="FM392" s="44"/>
      <c r="FN392" s="44"/>
      <c r="FO392" s="44"/>
      <c r="FP392" s="44"/>
      <c r="FQ392" s="44"/>
      <c r="FR392" s="44"/>
      <c r="FS392" s="44"/>
      <c r="FT392" s="44"/>
      <c r="FU392" s="44"/>
      <c r="FV392" s="44"/>
      <c r="FW392" s="44"/>
      <c r="FX392" s="44"/>
      <c r="FY392" s="44"/>
      <c r="FZ392" s="44"/>
      <c r="GA392" s="44"/>
      <c r="GB392" s="44"/>
      <c r="GC392" s="44"/>
      <c r="GD392" s="44"/>
      <c r="GE392" s="44"/>
      <c r="GF392" s="44"/>
      <c r="GG392" s="44"/>
      <c r="GH392" s="44"/>
      <c r="GI392" s="44"/>
      <c r="GJ392" s="44"/>
      <c r="GK392" s="44"/>
      <c r="GL392" s="44"/>
      <c r="GM392" s="44"/>
    </row>
    <row r="393" spans="1:195" s="139" customFormat="1" ht="21.6" customHeight="1" x14ac:dyDescent="0.25">
      <c r="A393" s="4" t="s">
        <v>130</v>
      </c>
      <c r="B393" s="4">
        <v>17</v>
      </c>
      <c r="C393" s="166" t="s">
        <v>218</v>
      </c>
      <c r="D393" s="167"/>
      <c r="E393" s="1" t="s">
        <v>227</v>
      </c>
      <c r="F393" s="162">
        <v>32</v>
      </c>
      <c r="G393" s="162">
        <v>3</v>
      </c>
      <c r="H393" s="162">
        <f>F393+G393</f>
        <v>35</v>
      </c>
      <c r="I393" s="162"/>
      <c r="J393" s="162">
        <v>11.4</v>
      </c>
      <c r="K393" s="162">
        <f>I393+J393</f>
        <v>11.4</v>
      </c>
      <c r="L393" s="168"/>
      <c r="M393" s="589"/>
      <c r="N393" s="46"/>
      <c r="O393" s="164"/>
      <c r="P393" s="165"/>
      <c r="Q393" s="165"/>
      <c r="R393" s="165"/>
      <c r="S393" s="165"/>
      <c r="T393" s="89"/>
      <c r="U393" s="89"/>
      <c r="V393" s="89">
        <f t="shared" si="633"/>
        <v>0</v>
      </c>
      <c r="W393" s="137"/>
      <c r="X393" s="137"/>
      <c r="Y393" s="90">
        <f t="shared" si="630"/>
        <v>0</v>
      </c>
      <c r="Z393" s="169"/>
      <c r="AA393" s="92"/>
      <c r="AB393" s="92"/>
      <c r="AC393" s="92">
        <f t="shared" si="606"/>
        <v>0</v>
      </c>
      <c r="AD393" s="93"/>
      <c r="AE393" s="93"/>
      <c r="AF393" s="94">
        <f t="shared" si="607"/>
        <v>0</v>
      </c>
      <c r="AG393" s="475"/>
      <c r="AH393" s="99"/>
      <c r="AI393" s="99">
        <f t="shared" si="625"/>
        <v>0</v>
      </c>
      <c r="AJ393" s="138"/>
      <c r="AK393" s="138">
        <f t="shared" si="626"/>
        <v>0</v>
      </c>
      <c r="AL393" s="106"/>
      <c r="AM393" s="105"/>
      <c r="AN393" s="105">
        <f t="shared" si="627"/>
        <v>0</v>
      </c>
      <c r="AO393" s="106"/>
      <c r="AP393" s="105"/>
      <c r="AQ393" s="105">
        <f t="shared" si="608"/>
        <v>0</v>
      </c>
      <c r="AR393" s="106"/>
      <c r="AS393" s="97">
        <f t="shared" si="609"/>
        <v>0</v>
      </c>
      <c r="AT393" s="6"/>
      <c r="AU393" s="105"/>
      <c r="AV393" s="455">
        <f t="shared" si="610"/>
        <v>0</v>
      </c>
      <c r="AW393" s="496"/>
      <c r="AX393" s="508"/>
      <c r="AY393" s="498"/>
      <c r="AZ393" s="100">
        <f t="shared" si="634"/>
        <v>0</v>
      </c>
      <c r="BA393" s="101"/>
      <c r="BB393" s="100"/>
      <c r="BC393" s="100">
        <f t="shared" si="628"/>
        <v>0</v>
      </c>
      <c r="BD393" s="101"/>
      <c r="BE393" s="105">
        <f t="shared" si="611"/>
        <v>0</v>
      </c>
      <c r="BF393" s="106"/>
      <c r="BG393" s="100">
        <f t="shared" si="601"/>
        <v>0</v>
      </c>
      <c r="BH393" s="106"/>
      <c r="BI393" s="100">
        <f t="shared" si="602"/>
        <v>0</v>
      </c>
      <c r="BJ393" s="106"/>
      <c r="BK393" s="101">
        <f t="shared" si="612"/>
        <v>0</v>
      </c>
      <c r="BL393" s="106"/>
      <c r="BM393" s="104"/>
      <c r="BN393" s="104">
        <f t="shared" si="635"/>
        <v>0</v>
      </c>
      <c r="BO393" s="105"/>
      <c r="BP393" s="105">
        <f t="shared" si="613"/>
        <v>0</v>
      </c>
      <c r="BQ393" s="106"/>
      <c r="BR393" s="105"/>
      <c r="BS393" s="105">
        <f t="shared" si="614"/>
        <v>0</v>
      </c>
      <c r="BT393" s="106"/>
      <c r="BU393" s="53"/>
      <c r="BV393" s="53">
        <f t="shared" si="615"/>
        <v>0</v>
      </c>
      <c r="BW393" s="54"/>
      <c r="BX393" s="350">
        <f t="shared" si="616"/>
        <v>0</v>
      </c>
      <c r="BY393" s="6"/>
      <c r="BZ393" s="6">
        <f t="shared" si="617"/>
        <v>0</v>
      </c>
      <c r="CA393" s="508"/>
      <c r="CB393" s="165"/>
      <c r="CC393" s="165"/>
      <c r="CD393" s="165"/>
      <c r="CE393" s="504"/>
      <c r="CF393" s="105"/>
      <c r="CG393" s="105">
        <f t="shared" si="618"/>
        <v>0</v>
      </c>
      <c r="CH393" s="105"/>
      <c r="CI393" s="105"/>
      <c r="CJ393" s="105">
        <f t="shared" si="619"/>
        <v>0</v>
      </c>
      <c r="CK393" s="523"/>
      <c r="CL393" s="102">
        <f t="shared" si="629"/>
        <v>0</v>
      </c>
      <c r="CM393" s="103"/>
      <c r="CN393" s="100"/>
      <c r="CO393" s="100">
        <f t="shared" si="620"/>
        <v>0</v>
      </c>
      <c r="CP393" s="515"/>
      <c r="CQ393" s="441"/>
      <c r="CR393" s="504"/>
      <c r="CS393" s="105"/>
      <c r="CT393" s="105">
        <f t="shared" si="621"/>
        <v>0</v>
      </c>
      <c r="CU393" s="105"/>
      <c r="CV393" s="105"/>
      <c r="CW393" s="105">
        <f t="shared" si="622"/>
        <v>0</v>
      </c>
      <c r="CX393" s="53"/>
      <c r="CY393" s="109">
        <f t="shared" si="623"/>
        <v>0</v>
      </c>
      <c r="CZ393" s="54"/>
      <c r="DA393" s="105"/>
      <c r="DB393" s="455">
        <f t="shared" si="624"/>
        <v>0</v>
      </c>
      <c r="DC393" s="495"/>
      <c r="DD393" s="25"/>
      <c r="DE393" s="44"/>
      <c r="DF393" s="1133"/>
      <c r="DG393" s="674">
        <f t="shared" si="593"/>
        <v>0</v>
      </c>
      <c r="DH393" s="1119">
        <f t="shared" si="594"/>
        <v>0</v>
      </c>
      <c r="DI393" s="1119"/>
      <c r="DJ393" s="101">
        <f t="shared" si="577"/>
        <v>0</v>
      </c>
      <c r="DK393" s="101"/>
      <c r="DL393" s="101">
        <f t="shared" si="576"/>
        <v>0</v>
      </c>
      <c r="DM393" s="101"/>
      <c r="DN393" s="112"/>
      <c r="DO393" s="112"/>
      <c r="DP393" s="112"/>
      <c r="DQ393" s="112"/>
      <c r="DR393" s="44"/>
      <c r="DS393" s="45"/>
      <c r="DT393" s="45"/>
      <c r="DU393" s="45"/>
      <c r="DV393" s="45"/>
      <c r="DW393" s="45"/>
      <c r="DX393" s="45"/>
      <c r="DY393" s="45"/>
      <c r="DZ393" s="45"/>
      <c r="EA393" s="44"/>
      <c r="EB393" s="44"/>
      <c r="EC393" s="44"/>
      <c r="ED393" s="44"/>
      <c r="EE393" s="44"/>
      <c r="EF393" s="44"/>
      <c r="EG393" s="44"/>
      <c r="EH393" s="44"/>
      <c r="EI393" s="44"/>
      <c r="EJ393" s="44"/>
      <c r="EK393" s="44"/>
      <c r="EL393" s="44"/>
      <c r="EM393" s="44"/>
      <c r="EN393" s="44"/>
      <c r="EO393" s="44"/>
      <c r="EP393" s="44"/>
      <c r="EQ393" s="44"/>
      <c r="ER393" s="44"/>
      <c r="ES393" s="44"/>
      <c r="ET393" s="44"/>
      <c r="EU393" s="44"/>
      <c r="EV393" s="44"/>
      <c r="EW393" s="44"/>
      <c r="EX393" s="44"/>
      <c r="EY393" s="44"/>
      <c r="EZ393" s="44"/>
      <c r="FA393" s="44"/>
      <c r="FB393" s="44"/>
      <c r="FC393" s="44"/>
      <c r="FD393" s="44"/>
      <c r="FE393" s="44"/>
      <c r="FF393" s="44"/>
      <c r="FG393" s="44"/>
      <c r="FH393" s="44"/>
      <c r="FI393" s="44"/>
      <c r="FJ393" s="44"/>
      <c r="FK393" s="44"/>
      <c r="FL393" s="44"/>
      <c r="FM393" s="44"/>
      <c r="FN393" s="44"/>
      <c r="FO393" s="44"/>
      <c r="FP393" s="44"/>
      <c r="FQ393" s="44"/>
      <c r="FR393" s="44"/>
      <c r="FS393" s="44"/>
      <c r="FT393" s="44"/>
      <c r="FU393" s="44"/>
      <c r="FV393" s="44"/>
      <c r="FW393" s="44"/>
      <c r="FX393" s="44"/>
      <c r="FY393" s="44"/>
      <c r="FZ393" s="44"/>
      <c r="GA393" s="44"/>
      <c r="GB393" s="44"/>
      <c r="GC393" s="44"/>
      <c r="GD393" s="44"/>
      <c r="GE393" s="44"/>
      <c r="GF393" s="44"/>
      <c r="GG393" s="44"/>
      <c r="GH393" s="44"/>
      <c r="GI393" s="44"/>
      <c r="GJ393" s="44"/>
      <c r="GK393" s="44"/>
      <c r="GL393" s="44"/>
      <c r="GM393" s="44"/>
    </row>
    <row r="394" spans="1:195" s="139" customFormat="1" ht="21.6" customHeight="1" x14ac:dyDescent="0.25">
      <c r="A394" s="4"/>
      <c r="B394" s="4"/>
      <c r="C394" s="295" t="s">
        <v>218</v>
      </c>
      <c r="D394" s="182" t="s">
        <v>437</v>
      </c>
      <c r="E394" s="3" t="s">
        <v>339</v>
      </c>
      <c r="F394" s="135"/>
      <c r="G394" s="135"/>
      <c r="H394" s="135"/>
      <c r="I394" s="135"/>
      <c r="J394" s="135"/>
      <c r="K394" s="135"/>
      <c r="L394" s="183"/>
      <c r="M394" s="5"/>
      <c r="N394" s="177"/>
      <c r="O394" s="6"/>
      <c r="P394" s="7"/>
      <c r="Q394" s="7"/>
      <c r="R394" s="7"/>
      <c r="S394" s="7"/>
      <c r="T394" s="89"/>
      <c r="U394" s="89"/>
      <c r="V394" s="89">
        <f t="shared" si="633"/>
        <v>0</v>
      </c>
      <c r="W394" s="137"/>
      <c r="X394" s="137"/>
      <c r="Y394" s="90">
        <f t="shared" si="630"/>
        <v>0</v>
      </c>
      <c r="Z394" s="91"/>
      <c r="AA394" s="92"/>
      <c r="AB394" s="92"/>
      <c r="AC394" s="92">
        <f t="shared" si="606"/>
        <v>0</v>
      </c>
      <c r="AD394" s="93"/>
      <c r="AE394" s="93"/>
      <c r="AF394" s="94">
        <f t="shared" si="607"/>
        <v>0</v>
      </c>
      <c r="AG394" s="473"/>
      <c r="AH394" s="99">
        <v>242.1</v>
      </c>
      <c r="AI394" s="99">
        <f t="shared" si="625"/>
        <v>16.14</v>
      </c>
      <c r="AJ394" s="138">
        <v>240</v>
      </c>
      <c r="AK394" s="138">
        <f t="shared" si="626"/>
        <v>16</v>
      </c>
      <c r="AL394" s="106"/>
      <c r="AM394" s="105"/>
      <c r="AN394" s="105">
        <f t="shared" si="627"/>
        <v>0</v>
      </c>
      <c r="AO394" s="106"/>
      <c r="AP394" s="105"/>
      <c r="AQ394" s="105">
        <f t="shared" si="608"/>
        <v>0</v>
      </c>
      <c r="AR394" s="106"/>
      <c r="AS394" s="97">
        <f t="shared" si="609"/>
        <v>16</v>
      </c>
      <c r="AT394" s="6"/>
      <c r="AU394" s="105"/>
      <c r="AV394" s="455">
        <f t="shared" si="610"/>
        <v>0</v>
      </c>
      <c r="AW394" s="496"/>
      <c r="AX394" s="508"/>
      <c r="AY394" s="498">
        <v>185</v>
      </c>
      <c r="AZ394" s="100">
        <f t="shared" si="634"/>
        <v>12.333333333333334</v>
      </c>
      <c r="BA394" s="101"/>
      <c r="BB394" s="100"/>
      <c r="BC394" s="100">
        <f t="shared" si="628"/>
        <v>0</v>
      </c>
      <c r="BD394" s="101"/>
      <c r="BE394" s="105">
        <f t="shared" si="611"/>
        <v>28.333333333333336</v>
      </c>
      <c r="BF394" s="106"/>
      <c r="BG394" s="100">
        <f t="shared" si="601"/>
        <v>0</v>
      </c>
      <c r="BH394" s="106"/>
      <c r="BI394" s="100">
        <f t="shared" si="602"/>
        <v>0</v>
      </c>
      <c r="BJ394" s="106"/>
      <c r="BK394" s="101">
        <f t="shared" si="612"/>
        <v>28.333333333333336</v>
      </c>
      <c r="BL394" s="106"/>
      <c r="BM394" s="104">
        <v>1434</v>
      </c>
      <c r="BN394" s="104">
        <f t="shared" si="635"/>
        <v>28.68</v>
      </c>
      <c r="BO394" s="105">
        <v>1400</v>
      </c>
      <c r="BP394" s="105">
        <f t="shared" si="613"/>
        <v>28</v>
      </c>
      <c r="BQ394" s="106"/>
      <c r="BR394" s="105"/>
      <c r="BS394" s="105">
        <f t="shared" si="614"/>
        <v>0</v>
      </c>
      <c r="BT394" s="106"/>
      <c r="BU394" s="53"/>
      <c r="BV394" s="53">
        <f t="shared" si="615"/>
        <v>0</v>
      </c>
      <c r="BW394" s="54"/>
      <c r="BX394" s="350">
        <f t="shared" si="616"/>
        <v>28</v>
      </c>
      <c r="BY394" s="6"/>
      <c r="BZ394" s="6">
        <f t="shared" si="617"/>
        <v>0.3333333333333357</v>
      </c>
      <c r="CA394" s="508"/>
      <c r="CB394" s="7"/>
      <c r="CC394" s="7"/>
      <c r="CD394" s="7"/>
      <c r="CE394" s="504"/>
      <c r="CF394" s="105"/>
      <c r="CG394" s="105">
        <f t="shared" si="618"/>
        <v>0</v>
      </c>
      <c r="CH394" s="105"/>
      <c r="CI394" s="105"/>
      <c r="CJ394" s="105">
        <f t="shared" si="619"/>
        <v>0</v>
      </c>
      <c r="CK394" s="523"/>
      <c r="CL394" s="102">
        <f t="shared" si="629"/>
        <v>0</v>
      </c>
      <c r="CM394" s="103"/>
      <c r="CN394" s="100"/>
      <c r="CO394" s="100">
        <f t="shared" si="620"/>
        <v>0</v>
      </c>
      <c r="CP394" s="515"/>
      <c r="CQ394" s="441"/>
      <c r="CR394" s="504"/>
      <c r="CS394" s="105"/>
      <c r="CT394" s="105">
        <f t="shared" si="621"/>
        <v>0</v>
      </c>
      <c r="CU394" s="105"/>
      <c r="CV394" s="105"/>
      <c r="CW394" s="105">
        <f t="shared" si="622"/>
        <v>0</v>
      </c>
      <c r="CX394" s="53"/>
      <c r="CY394" s="109">
        <f t="shared" si="623"/>
        <v>0</v>
      </c>
      <c r="CZ394" s="54"/>
      <c r="DA394" s="105"/>
      <c r="DB394" s="455">
        <f t="shared" si="624"/>
        <v>0</v>
      </c>
      <c r="DC394" s="495"/>
      <c r="DD394" s="24"/>
      <c r="DF394" s="1133"/>
      <c r="DG394" s="674">
        <f t="shared" si="593"/>
        <v>0</v>
      </c>
      <c r="DH394" s="1119">
        <f t="shared" si="594"/>
        <v>0</v>
      </c>
      <c r="DI394" s="1119"/>
      <c r="DJ394" s="101">
        <f t="shared" si="577"/>
        <v>28.333333333333336</v>
      </c>
      <c r="DK394" s="101"/>
      <c r="DL394" s="101">
        <f t="shared" si="576"/>
        <v>0</v>
      </c>
      <c r="DM394" s="101"/>
      <c r="DN394" s="112"/>
      <c r="DO394" s="112">
        <f>DJ394</f>
        <v>28.333333333333336</v>
      </c>
      <c r="DP394" s="112"/>
      <c r="DQ394" s="112"/>
      <c r="DS394" s="140"/>
      <c r="DT394" s="140"/>
      <c r="DU394" s="140"/>
      <c r="DV394" s="140"/>
      <c r="DW394" s="140"/>
      <c r="DX394" s="140"/>
      <c r="DY394" s="140"/>
      <c r="DZ394" s="140"/>
    </row>
    <row r="395" spans="1:195" s="151" customFormat="1" ht="21.6" customHeight="1" x14ac:dyDescent="0.25">
      <c r="A395" s="141"/>
      <c r="B395" s="141"/>
      <c r="C395" s="143"/>
      <c r="D395" s="143"/>
      <c r="E395" s="22"/>
      <c r="F395" s="144"/>
      <c r="G395" s="144"/>
      <c r="H395" s="144"/>
      <c r="I395" s="144"/>
      <c r="J395" s="144"/>
      <c r="K395" s="144"/>
      <c r="L395" s="145"/>
      <c r="M395" s="146"/>
      <c r="N395" s="241"/>
      <c r="O395" s="131"/>
      <c r="P395" s="148"/>
      <c r="Q395" s="148"/>
      <c r="R395" s="148"/>
      <c r="S395" s="148"/>
      <c r="T395" s="123"/>
      <c r="U395" s="123"/>
      <c r="V395" s="123"/>
      <c r="W395" s="149"/>
      <c r="X395" s="149"/>
      <c r="Y395" s="124"/>
      <c r="Z395" s="125"/>
      <c r="AA395" s="123"/>
      <c r="AB395" s="123"/>
      <c r="AC395" s="123"/>
      <c r="AD395" s="124"/>
      <c r="AE395" s="124"/>
      <c r="AF395" s="126"/>
      <c r="AG395" s="474"/>
      <c r="AH395" s="129"/>
      <c r="AI395" s="129"/>
      <c r="AJ395" s="138"/>
      <c r="AK395" s="138"/>
      <c r="AL395" s="106"/>
      <c r="AM395" s="105"/>
      <c r="AN395" s="105"/>
      <c r="AO395" s="106"/>
      <c r="AP395" s="105"/>
      <c r="AQ395" s="105">
        <f t="shared" ref="AQ395:AQ396" si="636">AP395/15</f>
        <v>0</v>
      </c>
      <c r="AR395" s="106"/>
      <c r="AS395" s="97">
        <f t="shared" si="553"/>
        <v>0</v>
      </c>
      <c r="AT395" s="6"/>
      <c r="AU395" s="105"/>
      <c r="AV395" s="455">
        <f t="shared" si="580"/>
        <v>0</v>
      </c>
      <c r="AW395" s="496"/>
      <c r="AX395" s="508"/>
      <c r="AY395" s="498"/>
      <c r="AZ395" s="100"/>
      <c r="BA395" s="101"/>
      <c r="BB395" s="100"/>
      <c r="BC395" s="100"/>
      <c r="BD395" s="101"/>
      <c r="BE395" s="105"/>
      <c r="BF395" s="106"/>
      <c r="BG395" s="100">
        <f t="shared" si="601"/>
        <v>0</v>
      </c>
      <c r="BH395" s="106"/>
      <c r="BI395" s="100">
        <f t="shared" si="602"/>
        <v>0</v>
      </c>
      <c r="BJ395" s="106"/>
      <c r="BK395" s="101">
        <f t="shared" si="554"/>
        <v>0</v>
      </c>
      <c r="BL395" s="106"/>
      <c r="BM395" s="130"/>
      <c r="BN395" s="130"/>
      <c r="BO395" s="105"/>
      <c r="BP395" s="105">
        <f t="shared" si="581"/>
        <v>0</v>
      </c>
      <c r="BQ395" s="106"/>
      <c r="BR395" s="105"/>
      <c r="BS395" s="105"/>
      <c r="BT395" s="106"/>
      <c r="BU395" s="53"/>
      <c r="BV395" s="53"/>
      <c r="BW395" s="54"/>
      <c r="BX395" s="350">
        <f t="shared" si="555"/>
        <v>0</v>
      </c>
      <c r="BY395" s="131"/>
      <c r="BZ395" s="131">
        <f t="shared" si="603"/>
        <v>0</v>
      </c>
      <c r="CA395" s="536"/>
      <c r="CB395" s="148"/>
      <c r="CC395" s="148"/>
      <c r="CD395" s="148"/>
      <c r="CE395" s="504"/>
      <c r="CF395" s="105"/>
      <c r="CG395" s="105">
        <f t="shared" ref="CG395:CG396" si="637">CE395+CF395</f>
        <v>0</v>
      </c>
      <c r="CH395" s="105"/>
      <c r="CI395" s="105"/>
      <c r="CJ395" s="105">
        <f t="shared" ref="CJ395:CJ396" si="638">CH395+CI395</f>
        <v>0</v>
      </c>
      <c r="CK395" s="523"/>
      <c r="CL395" s="102"/>
      <c r="CM395" s="103"/>
      <c r="CN395" s="100"/>
      <c r="CO395" s="100">
        <f t="shared" si="578"/>
        <v>0</v>
      </c>
      <c r="CP395" s="515"/>
      <c r="CQ395" s="441"/>
      <c r="CR395" s="504"/>
      <c r="CS395" s="105"/>
      <c r="CT395" s="105">
        <f t="shared" si="574"/>
        <v>0</v>
      </c>
      <c r="CU395" s="105"/>
      <c r="CV395" s="105"/>
      <c r="CW395" s="105">
        <f t="shared" si="575"/>
        <v>0</v>
      </c>
      <c r="CX395" s="53"/>
      <c r="CY395" s="109">
        <f t="shared" si="579"/>
        <v>0</v>
      </c>
      <c r="CZ395" s="54"/>
      <c r="DA395" s="105"/>
      <c r="DB395" s="455">
        <f t="shared" si="556"/>
        <v>0</v>
      </c>
      <c r="DC395" s="495"/>
      <c r="DD395" s="31"/>
      <c r="DF395" s="1133"/>
      <c r="DG395" s="674">
        <f t="shared" ref="DG395:DG416" si="639">AV395+CY395+DB395</f>
        <v>0</v>
      </c>
      <c r="DH395" s="1119">
        <f t="shared" ref="DH395:DH426" si="640">BC395+CL395+CO395</f>
        <v>0</v>
      </c>
      <c r="DI395" s="1119"/>
      <c r="DJ395" s="101">
        <f t="shared" si="577"/>
        <v>0</v>
      </c>
      <c r="DK395" s="101"/>
      <c r="DL395" s="101">
        <f t="shared" si="576"/>
        <v>0</v>
      </c>
      <c r="DM395" s="101"/>
      <c r="DN395" s="112"/>
      <c r="DO395" s="112"/>
      <c r="DP395" s="112"/>
      <c r="DQ395" s="112"/>
      <c r="DS395" s="152"/>
      <c r="DT395" s="152"/>
      <c r="DU395" s="152"/>
      <c r="DV395" s="152"/>
      <c r="DW395" s="152"/>
      <c r="DX395" s="152"/>
      <c r="DY395" s="152"/>
      <c r="DZ395" s="152"/>
    </row>
    <row r="396" spans="1:195" s="139" customFormat="1" ht="20.45" customHeight="1" x14ac:dyDescent="0.25">
      <c r="A396" s="4"/>
      <c r="B396" s="4"/>
      <c r="C396" s="153" t="s">
        <v>228</v>
      </c>
      <c r="D396" s="182" t="s">
        <v>437</v>
      </c>
      <c r="E396" s="3" t="s">
        <v>322</v>
      </c>
      <c r="F396" s="153"/>
      <c r="G396" s="182"/>
      <c r="H396" s="155"/>
      <c r="I396" s="153"/>
      <c r="J396" s="182"/>
      <c r="K396" s="155"/>
      <c r="L396" s="153"/>
      <c r="M396" s="182"/>
      <c r="N396" s="135"/>
      <c r="O396" s="153"/>
      <c r="P396" s="182"/>
      <c r="Q396" s="135"/>
      <c r="R396" s="153"/>
      <c r="S396" s="182"/>
      <c r="T396" s="155"/>
      <c r="U396" s="153"/>
      <c r="V396" s="182">
        <f t="shared" ref="V396" si="641">T396+U396</f>
        <v>0</v>
      </c>
      <c r="W396" s="155"/>
      <c r="X396" s="153"/>
      <c r="Y396" s="182">
        <f t="shared" ref="Y396" si="642">W396+X396</f>
        <v>0</v>
      </c>
      <c r="Z396" s="155"/>
      <c r="AA396" s="153"/>
      <c r="AB396" s="182"/>
      <c r="AC396" s="155">
        <f t="shared" ref="AC396" si="643">AA396+AB396</f>
        <v>0</v>
      </c>
      <c r="AD396" s="153"/>
      <c r="AE396" s="182"/>
      <c r="AF396" s="155">
        <f t="shared" ref="AF396" si="644">AD396+AE396</f>
        <v>0</v>
      </c>
      <c r="AG396" s="252"/>
      <c r="AH396" s="182">
        <v>240</v>
      </c>
      <c r="AI396" s="155">
        <f t="shared" ref="AI396" si="645">AH396/15</f>
        <v>16</v>
      </c>
      <c r="AJ396" s="397"/>
      <c r="AK396" s="398">
        <f>AJ396/15</f>
        <v>0</v>
      </c>
      <c r="AL396" s="395">
        <f>SUM(AK396:AK408)</f>
        <v>0</v>
      </c>
      <c r="AM396" s="397">
        <v>240</v>
      </c>
      <c r="AN396" s="398">
        <f t="shared" ref="AN396" si="646">AM396/15</f>
        <v>16</v>
      </c>
      <c r="AO396" s="395">
        <f>SUM(AN396:AN403)</f>
        <v>71</v>
      </c>
      <c r="AP396" s="105"/>
      <c r="AQ396" s="105">
        <f t="shared" si="636"/>
        <v>0</v>
      </c>
      <c r="AR396" s="106">
        <f>SUM(AQ396:AQ405)</f>
        <v>0</v>
      </c>
      <c r="AS396" s="97">
        <f t="shared" si="553"/>
        <v>16</v>
      </c>
      <c r="AT396" s="182">
        <f>SUM(AS396:AS405)</f>
        <v>71</v>
      </c>
      <c r="AU396" s="105"/>
      <c r="AV396" s="455">
        <f t="shared" si="580"/>
        <v>0</v>
      </c>
      <c r="AW396" s="496">
        <f>SUM(AV396:AV405)</f>
        <v>0</v>
      </c>
      <c r="AX396" s="508"/>
      <c r="AY396" s="503"/>
      <c r="AZ396" s="395">
        <f>AY396/15</f>
        <v>0</v>
      </c>
      <c r="BA396" s="397">
        <f>SUM(AZ396:AZ403)</f>
        <v>6</v>
      </c>
      <c r="BB396" s="398"/>
      <c r="BC396" s="105">
        <f t="shared" ref="BC396:BC405" si="647">BB396/15</f>
        <v>0</v>
      </c>
      <c r="BD396" s="106">
        <f>SUM(BC396:BC410)</f>
        <v>0</v>
      </c>
      <c r="BE396" s="105">
        <f>AK396+AZ396</f>
        <v>0</v>
      </c>
      <c r="BF396" s="106">
        <f>SUM(BE396:BE403)</f>
        <v>6</v>
      </c>
      <c r="BG396" s="100">
        <f t="shared" si="601"/>
        <v>16</v>
      </c>
      <c r="BH396" s="106">
        <f>SUM(BG396:BG403)</f>
        <v>71</v>
      </c>
      <c r="BI396" s="100">
        <f t="shared" si="602"/>
        <v>0</v>
      </c>
      <c r="BJ396" s="106">
        <f>SUM(BI396:BI403)</f>
        <v>0</v>
      </c>
      <c r="BK396" s="101">
        <f t="shared" si="554"/>
        <v>16</v>
      </c>
      <c r="BL396" s="106">
        <f>SUM(BK396:BK403)</f>
        <v>77</v>
      </c>
      <c r="BM396" s="104">
        <v>800</v>
      </c>
      <c r="BN396" s="104">
        <f t="shared" si="590"/>
        <v>16</v>
      </c>
      <c r="BO396" s="105"/>
      <c r="BP396" s="105">
        <f t="shared" si="581"/>
        <v>0</v>
      </c>
      <c r="BQ396" s="106">
        <f>SUM(BP396:BP405)</f>
        <v>0</v>
      </c>
      <c r="BR396" s="105">
        <v>800</v>
      </c>
      <c r="BS396" s="105">
        <f t="shared" si="552"/>
        <v>16</v>
      </c>
      <c r="BT396" s="106">
        <f>SUM(BS396:BS403)</f>
        <v>77</v>
      </c>
      <c r="BU396" s="53"/>
      <c r="BV396" s="53">
        <f t="shared" ref="BV396:BV410" si="648">BU396/50</f>
        <v>0</v>
      </c>
      <c r="BW396" s="54">
        <f>SUM(BV396:BV405)</f>
        <v>0</v>
      </c>
      <c r="BX396" s="350">
        <f t="shared" si="555"/>
        <v>16</v>
      </c>
      <c r="BY396" s="6">
        <f>SUM(BX396:BX403)</f>
        <v>77</v>
      </c>
      <c r="BZ396" s="6">
        <f t="shared" si="603"/>
        <v>0</v>
      </c>
      <c r="CA396" s="508"/>
      <c r="CB396" s="135"/>
      <c r="CC396" s="182"/>
      <c r="CD396" s="182"/>
      <c r="CE396" s="504"/>
      <c r="CF396" s="105"/>
      <c r="CG396" s="105">
        <f t="shared" si="637"/>
        <v>0</v>
      </c>
      <c r="CH396" s="105"/>
      <c r="CI396" s="105"/>
      <c r="CJ396" s="105">
        <f t="shared" si="638"/>
        <v>0</v>
      </c>
      <c r="CK396" s="524"/>
      <c r="CL396" s="53">
        <f t="shared" ref="CL396:CL405" si="649">CK396/15</f>
        <v>0</v>
      </c>
      <c r="CM396" s="54">
        <f>SUM(CL396:CL410)</f>
        <v>0</v>
      </c>
      <c r="CN396" s="105"/>
      <c r="CO396" s="100">
        <f t="shared" si="578"/>
        <v>0</v>
      </c>
      <c r="CP396" s="496">
        <f>SUM(CO396:CO410)</f>
        <v>10</v>
      </c>
      <c r="CQ396" s="439"/>
      <c r="CR396" s="504"/>
      <c r="CS396" s="105"/>
      <c r="CT396" s="105">
        <f t="shared" si="574"/>
        <v>0</v>
      </c>
      <c r="CU396" s="105"/>
      <c r="CV396" s="105"/>
      <c r="CW396" s="105">
        <f t="shared" si="575"/>
        <v>0</v>
      </c>
      <c r="CX396" s="53"/>
      <c r="CY396" s="109">
        <f t="shared" si="579"/>
        <v>0</v>
      </c>
      <c r="CZ396" s="54">
        <f>SUM(CY396:CY405)</f>
        <v>0</v>
      </c>
      <c r="DA396" s="105"/>
      <c r="DB396" s="455">
        <f t="shared" si="556"/>
        <v>0</v>
      </c>
      <c r="DC396" s="495">
        <f>SUM(DB396:DB405)</f>
        <v>0</v>
      </c>
      <c r="DD396" s="24"/>
      <c r="DE396" s="297"/>
      <c r="DF396" s="1133"/>
      <c r="DG396" s="674">
        <f t="shared" si="639"/>
        <v>0</v>
      </c>
      <c r="DH396" s="1119">
        <f t="shared" si="640"/>
        <v>0</v>
      </c>
      <c r="DI396" s="1119"/>
      <c r="DJ396" s="101">
        <f t="shared" si="577"/>
        <v>16</v>
      </c>
      <c r="DK396" s="101">
        <f>SUM(DJ396:DJ405)</f>
        <v>87</v>
      </c>
      <c r="DL396" s="101">
        <f t="shared" si="576"/>
        <v>0</v>
      </c>
      <c r="DM396" s="101"/>
      <c r="DN396" s="112"/>
      <c r="DO396" s="112">
        <f>DJ396</f>
        <v>16</v>
      </c>
      <c r="DP396" s="112"/>
      <c r="DQ396" s="112"/>
      <c r="DR396" s="297"/>
      <c r="DS396" s="140"/>
      <c r="DT396" s="140"/>
      <c r="DU396" s="140"/>
      <c r="DV396" s="140"/>
      <c r="DW396" s="140"/>
      <c r="DX396" s="140"/>
      <c r="DY396" s="140"/>
      <c r="DZ396" s="140"/>
    </row>
    <row r="397" spans="1:195" s="139" customFormat="1" ht="34.5" customHeight="1" x14ac:dyDescent="0.25">
      <c r="A397" s="4"/>
      <c r="B397" s="4"/>
      <c r="C397" s="153" t="s">
        <v>228</v>
      </c>
      <c r="D397" s="182"/>
      <c r="E397" s="3" t="s">
        <v>322</v>
      </c>
      <c r="F397" s="135"/>
      <c r="G397" s="135"/>
      <c r="H397" s="135"/>
      <c r="I397" s="135"/>
      <c r="J397" s="135"/>
      <c r="K397" s="135"/>
      <c r="L397" s="183"/>
      <c r="M397" s="1216"/>
      <c r="N397" s="41"/>
      <c r="O397" s="6"/>
      <c r="P397" s="1217"/>
      <c r="Q397" s="1217"/>
      <c r="R397" s="1217"/>
      <c r="S397" s="7"/>
      <c r="T397" s="89"/>
      <c r="U397" s="89"/>
      <c r="V397" s="89"/>
      <c r="W397" s="137"/>
      <c r="X397" s="137"/>
      <c r="Y397" s="90"/>
      <c r="Z397" s="91"/>
      <c r="AA397" s="92"/>
      <c r="AB397" s="92"/>
      <c r="AC397" s="92"/>
      <c r="AD397" s="93"/>
      <c r="AE397" s="93"/>
      <c r="AF397" s="94"/>
      <c r="AG397" s="473"/>
      <c r="AH397" s="99"/>
      <c r="AI397" s="99"/>
      <c r="AJ397" s="138"/>
      <c r="AK397" s="138"/>
      <c r="AL397" s="106"/>
      <c r="AM397" s="105"/>
      <c r="AN397" s="105"/>
      <c r="AO397" s="106"/>
      <c r="AP397" s="105"/>
      <c r="AQ397" s="105"/>
      <c r="AR397" s="106"/>
      <c r="AS397" s="97">
        <f t="shared" si="553"/>
        <v>0</v>
      </c>
      <c r="AT397" s="6"/>
      <c r="AU397" s="105"/>
      <c r="AV397" s="455">
        <f t="shared" si="580"/>
        <v>0</v>
      </c>
      <c r="AW397" s="496"/>
      <c r="AX397" s="508"/>
      <c r="AY397" s="498"/>
      <c r="AZ397" s="100"/>
      <c r="BA397" s="106"/>
      <c r="BB397" s="105"/>
      <c r="BC397" s="105"/>
      <c r="BD397" s="106"/>
      <c r="BE397" s="105"/>
      <c r="BF397" s="106"/>
      <c r="BG397" s="100">
        <f t="shared" si="601"/>
        <v>0</v>
      </c>
      <c r="BH397" s="106"/>
      <c r="BI397" s="100">
        <f t="shared" si="602"/>
        <v>0</v>
      </c>
      <c r="BJ397" s="106"/>
      <c r="BK397" s="101">
        <f t="shared" si="554"/>
        <v>0</v>
      </c>
      <c r="BL397" s="106"/>
      <c r="BM397" s="104"/>
      <c r="BN397" s="104"/>
      <c r="BO397" s="105"/>
      <c r="BP397" s="105">
        <f t="shared" si="581"/>
        <v>0</v>
      </c>
      <c r="BQ397" s="106"/>
      <c r="BR397" s="105"/>
      <c r="BS397" s="105"/>
      <c r="BT397" s="106"/>
      <c r="BU397" s="53"/>
      <c r="BV397" s="53"/>
      <c r="BW397" s="54"/>
      <c r="BX397" s="350">
        <f t="shared" si="555"/>
        <v>0</v>
      </c>
      <c r="BY397" s="6"/>
      <c r="BZ397" s="6">
        <f t="shared" si="603"/>
        <v>0</v>
      </c>
      <c r="CA397" s="508"/>
      <c r="CD397" s="7"/>
      <c r="CE397" s="504"/>
      <c r="CF397" s="105"/>
      <c r="CG397" s="105"/>
      <c r="CH397" s="105"/>
      <c r="CI397" s="105"/>
      <c r="CJ397" s="105"/>
      <c r="CK397" s="524"/>
      <c r="CL397" s="53">
        <f t="shared" si="649"/>
        <v>0</v>
      </c>
      <c r="CM397" s="54"/>
      <c r="CN397" s="105"/>
      <c r="CO397" s="100">
        <f t="shared" si="578"/>
        <v>0</v>
      </c>
      <c r="CP397" s="496"/>
      <c r="CQ397" s="439"/>
      <c r="CR397" s="504"/>
      <c r="CS397" s="105"/>
      <c r="CT397" s="105"/>
      <c r="CU397" s="105"/>
      <c r="CV397" s="105"/>
      <c r="CW397" s="105"/>
      <c r="CX397" s="53"/>
      <c r="CY397" s="109">
        <f t="shared" si="579"/>
        <v>0</v>
      </c>
      <c r="CZ397" s="54"/>
      <c r="DA397" s="105"/>
      <c r="DB397" s="455"/>
      <c r="DC397" s="495"/>
      <c r="DD397" s="24"/>
      <c r="DE397" s="297"/>
      <c r="DF397" s="1133"/>
      <c r="DG397" s="674">
        <f t="shared" si="639"/>
        <v>0</v>
      </c>
      <c r="DH397" s="1119">
        <f t="shared" si="640"/>
        <v>0</v>
      </c>
      <c r="DI397" s="1119"/>
      <c r="DJ397" s="101">
        <f t="shared" si="577"/>
        <v>0</v>
      </c>
      <c r="DK397" s="101"/>
      <c r="DL397" s="101">
        <f t="shared" si="576"/>
        <v>0</v>
      </c>
      <c r="DM397" s="101"/>
      <c r="DN397" s="112"/>
      <c r="DO397" s="112"/>
      <c r="DP397" s="112"/>
      <c r="DQ397" s="112"/>
      <c r="DR397" s="297"/>
      <c r="DS397" s="140"/>
      <c r="DT397" s="140"/>
      <c r="DU397" s="140"/>
      <c r="DV397" s="140"/>
      <c r="DW397" s="140"/>
      <c r="DX397" s="140"/>
      <c r="DY397" s="140"/>
      <c r="DZ397" s="140"/>
    </row>
    <row r="398" spans="1:195" s="139" customFormat="1" ht="21.6" customHeight="1" x14ac:dyDescent="0.25">
      <c r="A398" s="4"/>
      <c r="B398" s="4"/>
      <c r="C398" s="153" t="s">
        <v>228</v>
      </c>
      <c r="D398" s="182" t="s">
        <v>437</v>
      </c>
      <c r="E398" s="3" t="s">
        <v>612</v>
      </c>
      <c r="F398" s="135"/>
      <c r="G398" s="135"/>
      <c r="H398" s="135"/>
      <c r="I398" s="135"/>
      <c r="J398" s="135"/>
      <c r="K398" s="135"/>
      <c r="L398" s="183"/>
      <c r="M398" s="1216"/>
      <c r="N398" s="41"/>
      <c r="O398" s="6"/>
      <c r="P398" s="7"/>
      <c r="Q398" s="7"/>
      <c r="R398" s="7"/>
      <c r="S398" s="7"/>
      <c r="T398" s="89"/>
      <c r="U398" s="89"/>
      <c r="V398" s="89"/>
      <c r="W398" s="137"/>
      <c r="X398" s="137"/>
      <c r="Y398" s="90"/>
      <c r="Z398" s="91"/>
      <c r="AA398" s="92"/>
      <c r="AB398" s="92"/>
      <c r="AC398" s="92">
        <f t="shared" si="586"/>
        <v>0</v>
      </c>
      <c r="AD398" s="93"/>
      <c r="AE398" s="93"/>
      <c r="AF398" s="94">
        <f t="shared" si="587"/>
        <v>0</v>
      </c>
      <c r="AG398" s="473"/>
      <c r="AH398" s="99"/>
      <c r="AI398" s="99">
        <f>AH398/15</f>
        <v>0</v>
      </c>
      <c r="AJ398" s="138"/>
      <c r="AK398" s="138">
        <f>AJ398/15</f>
        <v>0</v>
      </c>
      <c r="AL398" s="106"/>
      <c r="AM398" s="105">
        <v>90</v>
      </c>
      <c r="AN398" s="105">
        <f t="shared" ref="AN398:AN405" si="650">AM398/15</f>
        <v>6</v>
      </c>
      <c r="AO398" s="106"/>
      <c r="AP398" s="105"/>
      <c r="AQ398" s="105"/>
      <c r="AR398" s="106"/>
      <c r="AS398" s="97">
        <f t="shared" si="553"/>
        <v>6</v>
      </c>
      <c r="AT398" s="6"/>
      <c r="AU398" s="105"/>
      <c r="AV398" s="455">
        <f t="shared" si="580"/>
        <v>0</v>
      </c>
      <c r="AW398" s="496"/>
      <c r="AX398" s="508"/>
      <c r="AY398" s="498"/>
      <c r="AZ398" s="100">
        <f>AY398/15</f>
        <v>0</v>
      </c>
      <c r="BA398" s="106"/>
      <c r="BB398" s="105"/>
      <c r="BC398" s="100">
        <f t="shared" si="647"/>
        <v>0</v>
      </c>
      <c r="BD398" s="106"/>
      <c r="BE398" s="105">
        <f t="shared" ref="BE398:BE403" si="651">AK398+AZ398</f>
        <v>0</v>
      </c>
      <c r="BF398" s="106"/>
      <c r="BG398" s="100">
        <f t="shared" si="601"/>
        <v>6</v>
      </c>
      <c r="BH398" s="106"/>
      <c r="BI398" s="100">
        <f t="shared" si="602"/>
        <v>0</v>
      </c>
      <c r="BJ398" s="106"/>
      <c r="BK398" s="101">
        <f t="shared" si="554"/>
        <v>6</v>
      </c>
      <c r="BL398" s="106"/>
      <c r="BM398" s="104"/>
      <c r="BN398" s="104">
        <f t="shared" si="590"/>
        <v>0</v>
      </c>
      <c r="BO398" s="105"/>
      <c r="BP398" s="105">
        <f t="shared" si="581"/>
        <v>0</v>
      </c>
      <c r="BQ398" s="106"/>
      <c r="BR398" s="105">
        <v>300</v>
      </c>
      <c r="BS398" s="105">
        <f t="shared" si="552"/>
        <v>6</v>
      </c>
      <c r="BT398" s="106"/>
      <c r="BU398" s="53"/>
      <c r="BV398" s="53">
        <f t="shared" si="648"/>
        <v>0</v>
      </c>
      <c r="BW398" s="54"/>
      <c r="BX398" s="350">
        <f t="shared" si="555"/>
        <v>6</v>
      </c>
      <c r="BY398" s="6"/>
      <c r="BZ398" s="6">
        <f t="shared" si="603"/>
        <v>0</v>
      </c>
      <c r="CA398" s="508"/>
      <c r="CB398" s="7"/>
      <c r="CC398" s="7"/>
      <c r="CD398" s="7"/>
      <c r="CE398" s="504"/>
      <c r="CF398" s="105"/>
      <c r="CG398" s="105"/>
      <c r="CH398" s="105"/>
      <c r="CI398" s="105"/>
      <c r="CJ398" s="105"/>
      <c r="CK398" s="524"/>
      <c r="CL398" s="102">
        <f t="shared" si="649"/>
        <v>0</v>
      </c>
      <c r="CM398" s="54"/>
      <c r="CN398" s="105"/>
      <c r="CO398" s="100">
        <f t="shared" si="578"/>
        <v>0</v>
      </c>
      <c r="CP398" s="496"/>
      <c r="CQ398" s="439"/>
      <c r="CR398" s="504"/>
      <c r="CS398" s="105"/>
      <c r="CT398" s="105"/>
      <c r="CU398" s="105"/>
      <c r="CV398" s="105"/>
      <c r="CW398" s="105"/>
      <c r="CX398" s="53"/>
      <c r="CY398" s="109">
        <f t="shared" si="579"/>
        <v>0</v>
      </c>
      <c r="CZ398" s="54"/>
      <c r="DA398" s="105"/>
      <c r="DB398" s="455">
        <f t="shared" si="556"/>
        <v>0</v>
      </c>
      <c r="DC398" s="495"/>
      <c r="DD398" s="24"/>
      <c r="DE398" s="297"/>
      <c r="DF398" s="1133"/>
      <c r="DG398" s="674">
        <f t="shared" si="639"/>
        <v>0</v>
      </c>
      <c r="DH398" s="1119">
        <f t="shared" si="640"/>
        <v>0</v>
      </c>
      <c r="DI398" s="1119"/>
      <c r="DJ398" s="101">
        <f t="shared" si="577"/>
        <v>6</v>
      </c>
      <c r="DK398" s="101"/>
      <c r="DL398" s="101">
        <f t="shared" si="576"/>
        <v>0</v>
      </c>
      <c r="DM398" s="101"/>
      <c r="DN398" s="112"/>
      <c r="DO398" s="112">
        <f>DJ398</f>
        <v>6</v>
      </c>
      <c r="DP398" s="112"/>
      <c r="DQ398" s="112"/>
      <c r="DR398" s="297"/>
      <c r="DS398" s="140"/>
      <c r="DT398" s="140"/>
      <c r="DU398" s="140"/>
      <c r="DV398" s="140"/>
      <c r="DW398" s="140"/>
      <c r="DX398" s="140"/>
      <c r="DY398" s="140"/>
      <c r="DZ398" s="140"/>
    </row>
    <row r="399" spans="1:195" s="139" customFormat="1" ht="21.6" customHeight="1" x14ac:dyDescent="0.25">
      <c r="A399" s="4"/>
      <c r="B399" s="4"/>
      <c r="C399" s="153" t="s">
        <v>228</v>
      </c>
      <c r="D399" s="182" t="s">
        <v>437</v>
      </c>
      <c r="E399" s="14" t="s">
        <v>230</v>
      </c>
      <c r="F399" s="135"/>
      <c r="G399" s="135"/>
      <c r="H399" s="135"/>
      <c r="I399" s="135">
        <v>12</v>
      </c>
      <c r="J399" s="135"/>
      <c r="K399" s="135">
        <f>I399+J399</f>
        <v>12</v>
      </c>
      <c r="L399" s="183"/>
      <c r="M399" s="1216"/>
      <c r="N399" s="41"/>
      <c r="O399" s="6"/>
      <c r="P399" s="7"/>
      <c r="Q399" s="7"/>
      <c r="R399" s="7"/>
      <c r="S399" s="7"/>
      <c r="T399" s="89"/>
      <c r="U399" s="89"/>
      <c r="V399" s="89">
        <f>T399+U399</f>
        <v>0</v>
      </c>
      <c r="W399" s="137"/>
      <c r="X399" s="137"/>
      <c r="Y399" s="90">
        <f>W399+X399</f>
        <v>0</v>
      </c>
      <c r="Z399" s="91"/>
      <c r="AA399" s="92"/>
      <c r="AB399" s="92"/>
      <c r="AC399" s="92">
        <f t="shared" si="586"/>
        <v>0</v>
      </c>
      <c r="AD399" s="93"/>
      <c r="AE399" s="93"/>
      <c r="AF399" s="94">
        <f t="shared" si="587"/>
        <v>0</v>
      </c>
      <c r="AG399" s="473"/>
      <c r="AH399" s="99">
        <v>180</v>
      </c>
      <c r="AI399" s="99">
        <f>AH399/15</f>
        <v>12</v>
      </c>
      <c r="AJ399" s="138"/>
      <c r="AK399" s="138">
        <f>AJ399/15</f>
        <v>0</v>
      </c>
      <c r="AL399" s="106"/>
      <c r="AM399" s="105">
        <v>180</v>
      </c>
      <c r="AN399" s="105">
        <f t="shared" si="650"/>
        <v>12</v>
      </c>
      <c r="AO399" s="106"/>
      <c r="AP399" s="105"/>
      <c r="AQ399" s="105">
        <f>AP399/15</f>
        <v>0</v>
      </c>
      <c r="AR399" s="106"/>
      <c r="AS399" s="97">
        <f t="shared" si="553"/>
        <v>12</v>
      </c>
      <c r="AT399" s="6"/>
      <c r="AU399" s="105"/>
      <c r="AV399" s="455">
        <f t="shared" si="580"/>
        <v>0</v>
      </c>
      <c r="AW399" s="496"/>
      <c r="AX399" s="508"/>
      <c r="AY399" s="498"/>
      <c r="AZ399" s="100">
        <f>AY399/15</f>
        <v>0</v>
      </c>
      <c r="BA399" s="101"/>
      <c r="BB399" s="100"/>
      <c r="BC399" s="100">
        <f t="shared" si="647"/>
        <v>0</v>
      </c>
      <c r="BD399" s="101"/>
      <c r="BE399" s="105">
        <f t="shared" si="651"/>
        <v>0</v>
      </c>
      <c r="BF399" s="106"/>
      <c r="BG399" s="100">
        <f t="shared" si="601"/>
        <v>12</v>
      </c>
      <c r="BH399" s="106"/>
      <c r="BI399" s="100">
        <f t="shared" si="602"/>
        <v>0</v>
      </c>
      <c r="BJ399" s="106"/>
      <c r="BK399" s="101">
        <f t="shared" si="554"/>
        <v>12</v>
      </c>
      <c r="BL399" s="106"/>
      <c r="BM399" s="104">
        <v>600</v>
      </c>
      <c r="BN399" s="104">
        <f t="shared" si="590"/>
        <v>12</v>
      </c>
      <c r="BO399" s="105"/>
      <c r="BP399" s="105">
        <f t="shared" si="581"/>
        <v>0</v>
      </c>
      <c r="BQ399" s="106"/>
      <c r="BR399" s="105">
        <v>600</v>
      </c>
      <c r="BS399" s="105">
        <f t="shared" si="552"/>
        <v>12</v>
      </c>
      <c r="BT399" s="106"/>
      <c r="BU399" s="53"/>
      <c r="BV399" s="53">
        <f t="shared" si="648"/>
        <v>0</v>
      </c>
      <c r="BW399" s="54"/>
      <c r="BX399" s="350">
        <f t="shared" si="555"/>
        <v>12</v>
      </c>
      <c r="BY399" s="6"/>
      <c r="BZ399" s="6">
        <f t="shared" si="603"/>
        <v>0</v>
      </c>
      <c r="CA399" s="508"/>
      <c r="CB399" s="7"/>
      <c r="CC399" s="7"/>
      <c r="CD399" s="7"/>
      <c r="CE399" s="504"/>
      <c r="CF399" s="105"/>
      <c r="CG399" s="105">
        <f t="shared" ref="CG399" si="652">CE399+CF399</f>
        <v>0</v>
      </c>
      <c r="CH399" s="105"/>
      <c r="CI399" s="105"/>
      <c r="CJ399" s="105">
        <f t="shared" ref="CJ399" si="653">CH399+CI399</f>
        <v>0</v>
      </c>
      <c r="CK399" s="523"/>
      <c r="CL399" s="102">
        <f>CK399/15</f>
        <v>0</v>
      </c>
      <c r="CM399" s="103"/>
      <c r="CN399" s="100"/>
      <c r="CO399" s="100">
        <f t="shared" si="578"/>
        <v>0</v>
      </c>
      <c r="CP399" s="515"/>
      <c r="CQ399" s="441"/>
      <c r="CR399" s="504"/>
      <c r="CS399" s="105"/>
      <c r="CT399" s="105">
        <f t="shared" si="574"/>
        <v>0</v>
      </c>
      <c r="CU399" s="105"/>
      <c r="CV399" s="105"/>
      <c r="CW399" s="105">
        <f t="shared" si="575"/>
        <v>0</v>
      </c>
      <c r="CX399" s="53"/>
      <c r="CY399" s="109">
        <f t="shared" si="579"/>
        <v>0</v>
      </c>
      <c r="CZ399" s="54"/>
      <c r="DA399" s="105"/>
      <c r="DB399" s="455">
        <f t="shared" si="556"/>
        <v>0</v>
      </c>
      <c r="DC399" s="495"/>
      <c r="DD399" s="24"/>
      <c r="DF399" s="1133"/>
      <c r="DG399" s="674">
        <f t="shared" si="639"/>
        <v>0</v>
      </c>
      <c r="DH399" s="1119">
        <f t="shared" si="640"/>
        <v>0</v>
      </c>
      <c r="DI399" s="1119"/>
      <c r="DJ399" s="101">
        <f t="shared" si="577"/>
        <v>12</v>
      </c>
      <c r="DK399" s="101"/>
      <c r="DL399" s="101">
        <f t="shared" si="576"/>
        <v>0</v>
      </c>
      <c r="DM399" s="101"/>
      <c r="DN399" s="112"/>
      <c r="DO399" s="112">
        <f>DJ399</f>
        <v>12</v>
      </c>
      <c r="DP399" s="112"/>
      <c r="DQ399" s="112"/>
      <c r="DS399" s="140"/>
      <c r="DT399" s="140"/>
      <c r="DU399" s="140"/>
      <c r="DV399" s="140"/>
      <c r="DW399" s="140"/>
      <c r="DX399" s="140"/>
      <c r="DY399" s="140"/>
      <c r="DZ399" s="140"/>
    </row>
    <row r="400" spans="1:195" s="139" customFormat="1" ht="21.6" customHeight="1" x14ac:dyDescent="0.25">
      <c r="A400" s="4"/>
      <c r="B400" s="4"/>
      <c r="C400" s="153" t="s">
        <v>228</v>
      </c>
      <c r="D400" s="182" t="s">
        <v>431</v>
      </c>
      <c r="E400" s="15" t="s">
        <v>614</v>
      </c>
      <c r="F400" s="135"/>
      <c r="G400" s="135"/>
      <c r="H400" s="135"/>
      <c r="I400" s="135"/>
      <c r="J400" s="135"/>
      <c r="K400" s="135"/>
      <c r="L400" s="183"/>
      <c r="M400" s="1216"/>
      <c r="N400" s="41"/>
      <c r="O400" s="6"/>
      <c r="P400" s="7"/>
      <c r="Q400" s="7"/>
      <c r="R400" s="7"/>
      <c r="S400" s="7"/>
      <c r="T400" s="89"/>
      <c r="U400" s="89"/>
      <c r="V400" s="89"/>
      <c r="W400" s="137"/>
      <c r="X400" s="137"/>
      <c r="Y400" s="90"/>
      <c r="Z400" s="91"/>
      <c r="AA400" s="92"/>
      <c r="AB400" s="92"/>
      <c r="AC400" s="92">
        <f t="shared" si="586"/>
        <v>0</v>
      </c>
      <c r="AD400" s="93"/>
      <c r="AE400" s="93"/>
      <c r="AF400" s="94">
        <f t="shared" si="587"/>
        <v>0</v>
      </c>
      <c r="AG400" s="473"/>
      <c r="AH400" s="99"/>
      <c r="AI400" s="99"/>
      <c r="AJ400" s="138"/>
      <c r="AK400" s="138"/>
      <c r="AL400" s="106"/>
      <c r="AM400" s="105"/>
      <c r="AN400" s="105"/>
      <c r="AO400" s="106"/>
      <c r="AP400" s="105"/>
      <c r="AQ400" s="105"/>
      <c r="AR400" s="106"/>
      <c r="AS400" s="97">
        <f t="shared" si="553"/>
        <v>0</v>
      </c>
      <c r="AT400" s="6"/>
      <c r="AU400" s="105"/>
      <c r="AV400" s="455">
        <f t="shared" si="580"/>
        <v>0</v>
      </c>
      <c r="AW400" s="496"/>
      <c r="AX400" s="508"/>
      <c r="AY400" s="498">
        <v>90</v>
      </c>
      <c r="AZ400" s="100">
        <f>AY400/15</f>
        <v>6</v>
      </c>
      <c r="BA400" s="101"/>
      <c r="BB400" s="100"/>
      <c r="BC400" s="100">
        <f t="shared" si="647"/>
        <v>0</v>
      </c>
      <c r="BD400" s="101"/>
      <c r="BE400" s="105">
        <f t="shared" si="651"/>
        <v>6</v>
      </c>
      <c r="BF400" s="106"/>
      <c r="BG400" s="100">
        <f t="shared" si="601"/>
        <v>0</v>
      </c>
      <c r="BH400" s="106"/>
      <c r="BI400" s="100">
        <f t="shared" si="602"/>
        <v>0</v>
      </c>
      <c r="BJ400" s="106"/>
      <c r="BK400" s="101">
        <f t="shared" si="554"/>
        <v>6</v>
      </c>
      <c r="BL400" s="106"/>
      <c r="BM400" s="104"/>
      <c r="BN400" s="104"/>
      <c r="BO400" s="105"/>
      <c r="BP400" s="105">
        <f t="shared" si="581"/>
        <v>0</v>
      </c>
      <c r="BQ400" s="106"/>
      <c r="BR400" s="105">
        <v>300</v>
      </c>
      <c r="BS400" s="105">
        <f t="shared" si="552"/>
        <v>6</v>
      </c>
      <c r="BT400" s="106"/>
      <c r="BU400" s="53"/>
      <c r="BV400" s="53">
        <f t="shared" si="648"/>
        <v>0</v>
      </c>
      <c r="BW400" s="54"/>
      <c r="BX400" s="350">
        <f t="shared" si="555"/>
        <v>6</v>
      </c>
      <c r="BY400" s="6"/>
      <c r="BZ400" s="6">
        <f t="shared" si="603"/>
        <v>0</v>
      </c>
      <c r="CA400" s="508"/>
      <c r="CB400" s="7"/>
      <c r="CC400" s="7"/>
      <c r="CD400" s="7"/>
      <c r="CE400" s="504"/>
      <c r="CF400" s="105"/>
      <c r="CG400" s="105"/>
      <c r="CH400" s="105"/>
      <c r="CI400" s="105"/>
      <c r="CJ400" s="105"/>
      <c r="CK400" s="523"/>
      <c r="CL400" s="102">
        <f t="shared" si="649"/>
        <v>0</v>
      </c>
      <c r="CM400" s="103"/>
      <c r="CN400" s="100"/>
      <c r="CO400" s="100">
        <f t="shared" si="578"/>
        <v>0</v>
      </c>
      <c r="CP400" s="515"/>
      <c r="CQ400" s="441"/>
      <c r="CR400" s="504"/>
      <c r="CS400" s="105"/>
      <c r="CT400" s="105"/>
      <c r="CU400" s="105"/>
      <c r="CV400" s="105"/>
      <c r="CW400" s="105"/>
      <c r="CX400" s="53"/>
      <c r="CY400" s="109">
        <f t="shared" si="579"/>
        <v>0</v>
      </c>
      <c r="CZ400" s="54"/>
      <c r="DA400" s="105"/>
      <c r="DB400" s="455">
        <f t="shared" si="556"/>
        <v>0</v>
      </c>
      <c r="DC400" s="495"/>
      <c r="DD400" s="24"/>
      <c r="DF400" s="1133"/>
      <c r="DG400" s="674">
        <f t="shared" si="639"/>
        <v>0</v>
      </c>
      <c r="DH400" s="1119">
        <f t="shared" si="640"/>
        <v>0</v>
      </c>
      <c r="DI400" s="1119"/>
      <c r="DJ400" s="101">
        <f t="shared" si="577"/>
        <v>6</v>
      </c>
      <c r="DK400" s="101"/>
      <c r="DL400" s="101">
        <f t="shared" si="576"/>
        <v>0</v>
      </c>
      <c r="DM400" s="101"/>
      <c r="DN400" s="112"/>
      <c r="DO400" s="112"/>
      <c r="DP400" s="112"/>
      <c r="DQ400" s="112"/>
      <c r="DS400" s="140"/>
      <c r="DT400" s="140"/>
      <c r="DU400" s="140"/>
      <c r="DV400" s="140"/>
      <c r="DW400" s="140"/>
      <c r="DX400" s="140"/>
      <c r="DY400" s="140"/>
      <c r="DZ400" s="140"/>
    </row>
    <row r="401" spans="1:131" s="139" customFormat="1" ht="21.6" customHeight="1" x14ac:dyDescent="0.25">
      <c r="A401" s="4"/>
      <c r="B401" s="4"/>
      <c r="C401" s="153" t="s">
        <v>228</v>
      </c>
      <c r="D401" s="182" t="s">
        <v>437</v>
      </c>
      <c r="E401" s="14" t="s">
        <v>229</v>
      </c>
      <c r="F401" s="135"/>
      <c r="G401" s="135"/>
      <c r="H401" s="135"/>
      <c r="I401" s="135">
        <v>30</v>
      </c>
      <c r="J401" s="135"/>
      <c r="K401" s="135">
        <f>I401+J401</f>
        <v>30</v>
      </c>
      <c r="L401" s="183"/>
      <c r="M401" s="1216"/>
      <c r="N401" s="41"/>
      <c r="O401" s="6"/>
      <c r="P401" s="7"/>
      <c r="Q401" s="7"/>
      <c r="R401" s="7"/>
      <c r="S401" s="7"/>
      <c r="T401" s="89"/>
      <c r="U401" s="89"/>
      <c r="V401" s="89">
        <f>T401+U401</f>
        <v>0</v>
      </c>
      <c r="W401" s="137"/>
      <c r="X401" s="137"/>
      <c r="Y401" s="90">
        <f>W401+X401</f>
        <v>0</v>
      </c>
      <c r="Z401" s="91"/>
      <c r="AA401" s="92"/>
      <c r="AB401" s="92"/>
      <c r="AC401" s="92">
        <f t="shared" si="586"/>
        <v>0</v>
      </c>
      <c r="AD401" s="93"/>
      <c r="AE401" s="93"/>
      <c r="AF401" s="94">
        <f t="shared" si="587"/>
        <v>0</v>
      </c>
      <c r="AG401" s="473"/>
      <c r="AH401" s="99">
        <v>450</v>
      </c>
      <c r="AI401" s="99">
        <f>AH401/15</f>
        <v>30</v>
      </c>
      <c r="AJ401" s="138"/>
      <c r="AK401" s="138">
        <f>AJ401/15</f>
        <v>0</v>
      </c>
      <c r="AL401" s="106"/>
      <c r="AM401" s="105">
        <v>450</v>
      </c>
      <c r="AN401" s="105">
        <f t="shared" si="650"/>
        <v>30</v>
      </c>
      <c r="AO401" s="106"/>
      <c r="AP401" s="105"/>
      <c r="AQ401" s="105">
        <f>AP401/15</f>
        <v>0</v>
      </c>
      <c r="AR401" s="106"/>
      <c r="AS401" s="97">
        <f t="shared" si="553"/>
        <v>30</v>
      </c>
      <c r="AT401" s="6"/>
      <c r="AU401" s="105"/>
      <c r="AV401" s="455">
        <f t="shared" si="580"/>
        <v>0</v>
      </c>
      <c r="AW401" s="496"/>
      <c r="AX401" s="508"/>
      <c r="AY401" s="498"/>
      <c r="AZ401" s="100">
        <f>AY401/15</f>
        <v>0</v>
      </c>
      <c r="BA401" s="101"/>
      <c r="BB401" s="100"/>
      <c r="BC401" s="100">
        <f t="shared" si="647"/>
        <v>0</v>
      </c>
      <c r="BD401" s="101"/>
      <c r="BE401" s="105">
        <f t="shared" si="651"/>
        <v>0</v>
      </c>
      <c r="BF401" s="106"/>
      <c r="BG401" s="100">
        <f t="shared" si="601"/>
        <v>30</v>
      </c>
      <c r="BH401" s="106"/>
      <c r="BI401" s="100">
        <f t="shared" si="602"/>
        <v>0</v>
      </c>
      <c r="BJ401" s="106"/>
      <c r="BK401" s="101">
        <f t="shared" si="554"/>
        <v>30</v>
      </c>
      <c r="BL401" s="106"/>
      <c r="BM401" s="104">
        <v>1500</v>
      </c>
      <c r="BN401" s="104">
        <f t="shared" si="590"/>
        <v>30</v>
      </c>
      <c r="BO401" s="105"/>
      <c r="BP401" s="105">
        <f t="shared" si="581"/>
        <v>0</v>
      </c>
      <c r="BQ401" s="106"/>
      <c r="BR401" s="105">
        <v>1500</v>
      </c>
      <c r="BS401" s="105">
        <f t="shared" si="552"/>
        <v>30</v>
      </c>
      <c r="BT401" s="106"/>
      <c r="BU401" s="53"/>
      <c r="BV401" s="53">
        <f t="shared" si="648"/>
        <v>0</v>
      </c>
      <c r="BW401" s="54"/>
      <c r="BX401" s="350">
        <f t="shared" si="555"/>
        <v>30</v>
      </c>
      <c r="BY401" s="6"/>
      <c r="BZ401" s="6">
        <f t="shared" si="603"/>
        <v>0</v>
      </c>
      <c r="CA401" s="508"/>
      <c r="CB401" s="7"/>
      <c r="CC401" s="7"/>
      <c r="CD401" s="7"/>
      <c r="CE401" s="504"/>
      <c r="CF401" s="105"/>
      <c r="CG401" s="105">
        <f t="shared" ref="CG401" si="654">CE401+CF401</f>
        <v>0</v>
      </c>
      <c r="CH401" s="105"/>
      <c r="CI401" s="105"/>
      <c r="CJ401" s="105">
        <f t="shared" ref="CJ401" si="655">CH401+CI401</f>
        <v>0</v>
      </c>
      <c r="CK401" s="523"/>
      <c r="CL401" s="102">
        <f t="shared" si="649"/>
        <v>0</v>
      </c>
      <c r="CM401" s="103"/>
      <c r="CN401" s="100"/>
      <c r="CO401" s="100">
        <f t="shared" si="578"/>
        <v>0</v>
      </c>
      <c r="CP401" s="515"/>
      <c r="CQ401" s="441"/>
      <c r="CR401" s="504"/>
      <c r="CS401" s="105"/>
      <c r="CT401" s="105">
        <f t="shared" si="574"/>
        <v>0</v>
      </c>
      <c r="CU401" s="105"/>
      <c r="CV401" s="105"/>
      <c r="CW401" s="105">
        <f t="shared" si="575"/>
        <v>0</v>
      </c>
      <c r="CX401" s="53"/>
      <c r="CY401" s="109">
        <f t="shared" si="579"/>
        <v>0</v>
      </c>
      <c r="CZ401" s="54"/>
      <c r="DA401" s="105"/>
      <c r="DB401" s="455">
        <f t="shared" si="556"/>
        <v>0</v>
      </c>
      <c r="DC401" s="495"/>
      <c r="DD401" s="24"/>
      <c r="DF401" s="1133"/>
      <c r="DG401" s="674">
        <f t="shared" si="639"/>
        <v>0</v>
      </c>
      <c r="DH401" s="1119">
        <f t="shared" si="640"/>
        <v>0</v>
      </c>
      <c r="DI401" s="1119"/>
      <c r="DJ401" s="101">
        <f t="shared" si="577"/>
        <v>30</v>
      </c>
      <c r="DK401" s="101"/>
      <c r="DL401" s="101">
        <f t="shared" si="576"/>
        <v>0</v>
      </c>
      <c r="DM401" s="101"/>
      <c r="DN401" s="112"/>
      <c r="DO401" s="112">
        <f>DJ401</f>
        <v>30</v>
      </c>
      <c r="DP401" s="112"/>
      <c r="DQ401" s="112"/>
      <c r="DS401" s="140"/>
      <c r="DT401" s="140"/>
      <c r="DU401" s="140"/>
      <c r="DV401" s="140"/>
      <c r="DW401" s="140"/>
      <c r="DX401" s="140"/>
      <c r="DY401" s="140"/>
      <c r="DZ401" s="140"/>
    </row>
    <row r="402" spans="1:131" s="139" customFormat="1" ht="21.6" customHeight="1" x14ac:dyDescent="0.25">
      <c r="A402" s="4"/>
      <c r="B402" s="4"/>
      <c r="C402" s="153" t="s">
        <v>228</v>
      </c>
      <c r="D402" s="182" t="s">
        <v>437</v>
      </c>
      <c r="E402" s="15" t="s">
        <v>667</v>
      </c>
      <c r="F402" s="135"/>
      <c r="G402" s="135"/>
      <c r="H402" s="135"/>
      <c r="I402" s="135"/>
      <c r="J402" s="135"/>
      <c r="K402" s="135"/>
      <c r="L402" s="183"/>
      <c r="M402" s="1216"/>
      <c r="N402" s="41"/>
      <c r="O402" s="6"/>
      <c r="P402" s="7"/>
      <c r="Q402" s="7"/>
      <c r="R402" s="7"/>
      <c r="S402" s="7"/>
      <c r="T402" s="89"/>
      <c r="U402" s="89"/>
      <c r="V402" s="89"/>
      <c r="W402" s="137"/>
      <c r="X402" s="137"/>
      <c r="Y402" s="90"/>
      <c r="Z402" s="91"/>
      <c r="AA402" s="92"/>
      <c r="AB402" s="92"/>
      <c r="AC402" s="92"/>
      <c r="AD402" s="93"/>
      <c r="AE402" s="93"/>
      <c r="AF402" s="94"/>
      <c r="AG402" s="473"/>
      <c r="AH402" s="99"/>
      <c r="AI402" s="99"/>
      <c r="AJ402" s="138"/>
      <c r="AK402" s="138"/>
      <c r="AL402" s="106"/>
      <c r="AM402" s="105"/>
      <c r="AN402" s="105"/>
      <c r="AO402" s="106"/>
      <c r="AP402" s="105"/>
      <c r="AQ402" s="105"/>
      <c r="AR402" s="106"/>
      <c r="AS402" s="97">
        <f t="shared" si="553"/>
        <v>0</v>
      </c>
      <c r="AT402" s="6"/>
      <c r="AU402" s="105"/>
      <c r="AV402" s="455"/>
      <c r="AW402" s="496"/>
      <c r="AX402" s="508"/>
      <c r="AY402" s="498"/>
      <c r="AZ402" s="100"/>
      <c r="BA402" s="101"/>
      <c r="BB402" s="100"/>
      <c r="BC402" s="100">
        <f t="shared" si="647"/>
        <v>0</v>
      </c>
      <c r="BD402" s="101"/>
      <c r="BE402" s="105">
        <f t="shared" si="651"/>
        <v>0</v>
      </c>
      <c r="BF402" s="106"/>
      <c r="BG402" s="100">
        <f t="shared" si="601"/>
        <v>0</v>
      </c>
      <c r="BH402" s="106"/>
      <c r="BI402" s="100">
        <f t="shared" si="602"/>
        <v>0</v>
      </c>
      <c r="BJ402" s="106"/>
      <c r="BK402" s="101">
        <f t="shared" si="554"/>
        <v>0</v>
      </c>
      <c r="BL402" s="106"/>
      <c r="BM402" s="104"/>
      <c r="BN402" s="104"/>
      <c r="BO402" s="105"/>
      <c r="BP402" s="105"/>
      <c r="BQ402" s="106"/>
      <c r="BR402" s="105"/>
      <c r="BS402" s="105"/>
      <c r="BT402" s="106"/>
      <c r="BU402" s="53"/>
      <c r="BV402" s="53"/>
      <c r="BW402" s="54"/>
      <c r="BX402" s="350">
        <f t="shared" si="555"/>
        <v>0</v>
      </c>
      <c r="BY402" s="6"/>
      <c r="BZ402" s="6"/>
      <c r="CA402" s="508"/>
      <c r="CB402" s="7" t="s">
        <v>265</v>
      </c>
      <c r="CC402" s="7"/>
      <c r="CD402" s="7" t="s">
        <v>668</v>
      </c>
      <c r="CE402" s="504"/>
      <c r="CF402" s="105"/>
      <c r="CG402" s="105"/>
      <c r="CH402" s="105"/>
      <c r="CI402" s="105"/>
      <c r="CJ402" s="105"/>
      <c r="CK402" s="523"/>
      <c r="CL402" s="102"/>
      <c r="CM402" s="103"/>
      <c r="CN402" s="100">
        <v>150</v>
      </c>
      <c r="CO402" s="100">
        <f t="shared" si="578"/>
        <v>10</v>
      </c>
      <c r="CP402" s="515"/>
      <c r="CQ402" s="441"/>
      <c r="CR402" s="504"/>
      <c r="CS402" s="105"/>
      <c r="CT402" s="105"/>
      <c r="CU402" s="105"/>
      <c r="CV402" s="105"/>
      <c r="CW402" s="105"/>
      <c r="CX402" s="53"/>
      <c r="CY402" s="109">
        <f t="shared" si="579"/>
        <v>0</v>
      </c>
      <c r="CZ402" s="54"/>
      <c r="DA402" s="105"/>
      <c r="DB402" s="455"/>
      <c r="DC402" s="495"/>
      <c r="DD402" s="24"/>
      <c r="DF402" s="1133"/>
      <c r="DG402" s="674">
        <f t="shared" si="639"/>
        <v>0</v>
      </c>
      <c r="DH402" s="1119">
        <f t="shared" si="640"/>
        <v>10</v>
      </c>
      <c r="DI402" s="1119"/>
      <c r="DJ402" s="101">
        <f t="shared" si="577"/>
        <v>10</v>
      </c>
      <c r="DK402" s="101"/>
      <c r="DL402" s="101">
        <f t="shared" si="576"/>
        <v>0</v>
      </c>
      <c r="DM402" s="101"/>
      <c r="DN402" s="112"/>
      <c r="DO402" s="112">
        <f>DJ402</f>
        <v>10</v>
      </c>
      <c r="DP402" s="112"/>
      <c r="DQ402" s="112"/>
      <c r="DS402" s="140"/>
      <c r="DT402" s="140"/>
      <c r="DU402" s="140"/>
      <c r="DV402" s="140"/>
      <c r="DW402" s="140"/>
      <c r="DX402" s="140"/>
      <c r="DY402" s="140"/>
      <c r="DZ402" s="140"/>
    </row>
    <row r="403" spans="1:131" s="139" customFormat="1" ht="21.6" customHeight="1" x14ac:dyDescent="0.25">
      <c r="A403" s="4"/>
      <c r="B403" s="4"/>
      <c r="C403" s="153" t="s">
        <v>228</v>
      </c>
      <c r="D403" s="182" t="s">
        <v>437</v>
      </c>
      <c r="E403" s="15" t="s">
        <v>613</v>
      </c>
      <c r="F403" s="135"/>
      <c r="G403" s="135"/>
      <c r="H403" s="135"/>
      <c r="I403" s="135"/>
      <c r="J403" s="135"/>
      <c r="K403" s="135"/>
      <c r="L403" s="183"/>
      <c r="M403" s="1216"/>
      <c r="N403" s="41"/>
      <c r="O403" s="6"/>
      <c r="P403" s="7"/>
      <c r="Q403" s="7"/>
      <c r="R403" s="7"/>
      <c r="S403" s="7"/>
      <c r="T403" s="89"/>
      <c r="U403" s="89"/>
      <c r="V403" s="89"/>
      <c r="W403" s="137"/>
      <c r="X403" s="137"/>
      <c r="Y403" s="90"/>
      <c r="Z403" s="91"/>
      <c r="AA403" s="92"/>
      <c r="AB403" s="92"/>
      <c r="AC403" s="92">
        <f t="shared" si="586"/>
        <v>0</v>
      </c>
      <c r="AD403" s="93"/>
      <c r="AE403" s="93"/>
      <c r="AF403" s="94">
        <f t="shared" si="587"/>
        <v>0</v>
      </c>
      <c r="AG403" s="473"/>
      <c r="AH403" s="99"/>
      <c r="AI403" s="99"/>
      <c r="AJ403" s="138"/>
      <c r="AK403" s="138"/>
      <c r="AL403" s="106"/>
      <c r="AM403" s="105">
        <v>105</v>
      </c>
      <c r="AN403" s="105">
        <f t="shared" si="650"/>
        <v>7</v>
      </c>
      <c r="AO403" s="106"/>
      <c r="AP403" s="105"/>
      <c r="AQ403" s="105">
        <f>AP403/15</f>
        <v>0</v>
      </c>
      <c r="AR403" s="106"/>
      <c r="AS403" s="97">
        <f t="shared" si="553"/>
        <v>7</v>
      </c>
      <c r="AT403" s="6"/>
      <c r="AU403" s="105"/>
      <c r="AV403" s="455">
        <f t="shared" si="580"/>
        <v>0</v>
      </c>
      <c r="AW403" s="496"/>
      <c r="AX403" s="508"/>
      <c r="AY403" s="498"/>
      <c r="AZ403" s="100"/>
      <c r="BA403" s="101"/>
      <c r="BB403" s="100"/>
      <c r="BC403" s="100">
        <f t="shared" si="647"/>
        <v>0</v>
      </c>
      <c r="BD403" s="101"/>
      <c r="BE403" s="105">
        <f t="shared" si="651"/>
        <v>0</v>
      </c>
      <c r="BF403" s="106"/>
      <c r="BG403" s="100">
        <f t="shared" si="601"/>
        <v>7</v>
      </c>
      <c r="BH403" s="106"/>
      <c r="BI403" s="100">
        <f t="shared" si="602"/>
        <v>0</v>
      </c>
      <c r="BJ403" s="106"/>
      <c r="BK403" s="101">
        <f t="shared" si="554"/>
        <v>7</v>
      </c>
      <c r="BL403" s="106"/>
      <c r="BM403" s="104"/>
      <c r="BN403" s="104">
        <f t="shared" si="590"/>
        <v>0</v>
      </c>
      <c r="BO403" s="105"/>
      <c r="BP403" s="105">
        <f t="shared" si="581"/>
        <v>0</v>
      </c>
      <c r="BQ403" s="106"/>
      <c r="BR403" s="105">
        <v>350</v>
      </c>
      <c r="BS403" s="105">
        <f t="shared" si="552"/>
        <v>7</v>
      </c>
      <c r="BT403" s="106"/>
      <c r="BU403" s="53"/>
      <c r="BV403" s="53">
        <f t="shared" si="648"/>
        <v>0</v>
      </c>
      <c r="BW403" s="54"/>
      <c r="BX403" s="350">
        <f>BP403+BS403+BV403</f>
        <v>7</v>
      </c>
      <c r="BY403" s="6"/>
      <c r="BZ403" s="6">
        <f t="shared" ref="BZ403:BZ436" si="656">BK403-BX403</f>
        <v>0</v>
      </c>
      <c r="CA403" s="508"/>
      <c r="CB403" s="7"/>
      <c r="CC403" s="7"/>
      <c r="CD403" s="7"/>
      <c r="CE403" s="504"/>
      <c r="CF403" s="105"/>
      <c r="CG403" s="105">
        <f t="shared" ref="CG403" si="657">CE403+CF403</f>
        <v>0</v>
      </c>
      <c r="CH403" s="105"/>
      <c r="CI403" s="105"/>
      <c r="CJ403" s="105">
        <f t="shared" ref="CJ403" si="658">CH403+CI403</f>
        <v>0</v>
      </c>
      <c r="CK403" s="523"/>
      <c r="CL403" s="102">
        <f t="shared" si="649"/>
        <v>0</v>
      </c>
      <c r="CM403" s="103"/>
      <c r="CN403" s="100"/>
      <c r="CO403" s="100">
        <f t="shared" si="578"/>
        <v>0</v>
      </c>
      <c r="CP403" s="515"/>
      <c r="CQ403" s="441"/>
      <c r="CR403" s="504"/>
      <c r="CS403" s="105"/>
      <c r="CT403" s="105">
        <f t="shared" si="574"/>
        <v>0</v>
      </c>
      <c r="CU403" s="105"/>
      <c r="CV403" s="105"/>
      <c r="CW403" s="105">
        <f t="shared" si="575"/>
        <v>0</v>
      </c>
      <c r="CX403" s="53"/>
      <c r="CY403" s="109">
        <f t="shared" si="579"/>
        <v>0</v>
      </c>
      <c r="CZ403" s="54"/>
      <c r="DA403" s="105"/>
      <c r="DB403" s="455">
        <f t="shared" si="556"/>
        <v>0</v>
      </c>
      <c r="DC403" s="495"/>
      <c r="DD403" s="24"/>
      <c r="DF403" s="1133"/>
      <c r="DG403" s="674">
        <f t="shared" si="639"/>
        <v>0</v>
      </c>
      <c r="DH403" s="1119">
        <f t="shared" si="640"/>
        <v>0</v>
      </c>
      <c r="DI403" s="1119"/>
      <c r="DJ403" s="101">
        <f t="shared" si="577"/>
        <v>7</v>
      </c>
      <c r="DK403" s="101"/>
      <c r="DL403" s="101">
        <f t="shared" si="576"/>
        <v>0</v>
      </c>
      <c r="DM403" s="101"/>
      <c r="DN403" s="112"/>
      <c r="DO403" s="112">
        <f>DJ403</f>
        <v>7</v>
      </c>
      <c r="DP403" s="112"/>
      <c r="DQ403" s="112"/>
      <c r="DS403" s="140"/>
      <c r="DT403" s="140"/>
      <c r="DU403" s="140"/>
      <c r="DV403" s="140"/>
      <c r="DW403" s="140"/>
      <c r="DX403" s="140"/>
      <c r="DY403" s="140"/>
      <c r="DZ403" s="140"/>
    </row>
    <row r="404" spans="1:131" s="151" customFormat="1" ht="21.6" customHeight="1" x14ac:dyDescent="0.25">
      <c r="A404" s="141"/>
      <c r="B404" s="141"/>
      <c r="C404" s="159"/>
      <c r="D404" s="143"/>
      <c r="E404" s="1218"/>
      <c r="F404" s="144"/>
      <c r="G404" s="144"/>
      <c r="H404" s="144"/>
      <c r="I404" s="144"/>
      <c r="J404" s="144"/>
      <c r="K404" s="144"/>
      <c r="L404" s="145"/>
      <c r="M404" s="146"/>
      <c r="N404" s="147"/>
      <c r="O404" s="131"/>
      <c r="P404" s="148"/>
      <c r="Q404" s="148"/>
      <c r="R404" s="148"/>
      <c r="S404" s="148"/>
      <c r="T404" s="123"/>
      <c r="U404" s="123"/>
      <c r="V404" s="123"/>
      <c r="W404" s="149"/>
      <c r="X404" s="149"/>
      <c r="Y404" s="124"/>
      <c r="Z404" s="125"/>
      <c r="AA404" s="123"/>
      <c r="AB404" s="123"/>
      <c r="AC404" s="123"/>
      <c r="AD404" s="124"/>
      <c r="AE404" s="124"/>
      <c r="AF404" s="126"/>
      <c r="AG404" s="474"/>
      <c r="AH404" s="129"/>
      <c r="AI404" s="129"/>
      <c r="AJ404" s="129"/>
      <c r="AK404" s="129"/>
      <c r="AL404" s="131"/>
      <c r="AM404" s="130"/>
      <c r="AN404" s="130"/>
      <c r="AO404" s="131"/>
      <c r="AP404" s="130"/>
      <c r="AQ404" s="130"/>
      <c r="AR404" s="131"/>
      <c r="AS404" s="128">
        <f t="shared" ref="AS404:AS470" si="659">AN404+AK404+AQ404</f>
        <v>0</v>
      </c>
      <c r="AT404" s="131"/>
      <c r="AU404" s="130"/>
      <c r="AV404" s="1219">
        <f t="shared" si="580"/>
        <v>0</v>
      </c>
      <c r="AW404" s="193"/>
      <c r="AX404" s="536"/>
      <c r="AY404" s="150"/>
      <c r="AZ404" s="128"/>
      <c r="BA404" s="1220"/>
      <c r="BB404" s="128"/>
      <c r="BC404" s="128"/>
      <c r="BD404" s="1220"/>
      <c r="BE404" s="130"/>
      <c r="BF404" s="131"/>
      <c r="BG404" s="128">
        <f t="shared" si="601"/>
        <v>0</v>
      </c>
      <c r="BH404" s="131"/>
      <c r="BI404" s="128">
        <f t="shared" si="602"/>
        <v>0</v>
      </c>
      <c r="BJ404" s="131"/>
      <c r="BK404" s="1220">
        <f t="shared" ref="BK404:BK470" si="660">BG404+BE404+BI404</f>
        <v>0</v>
      </c>
      <c r="BL404" s="131"/>
      <c r="BM404" s="130"/>
      <c r="BN404" s="130"/>
      <c r="BO404" s="130"/>
      <c r="BP404" s="130">
        <f t="shared" si="581"/>
        <v>0</v>
      </c>
      <c r="BQ404" s="131"/>
      <c r="BR404" s="130"/>
      <c r="BS404" s="130"/>
      <c r="BT404" s="131"/>
      <c r="BU404" s="130"/>
      <c r="BV404" s="130"/>
      <c r="BW404" s="131"/>
      <c r="BX404" s="1221">
        <f t="shared" ref="BX404:BX469" si="661">BP404+BS404+BV404</f>
        <v>0</v>
      </c>
      <c r="BY404" s="131"/>
      <c r="BZ404" s="131">
        <f t="shared" si="656"/>
        <v>0</v>
      </c>
      <c r="CA404" s="536"/>
      <c r="CB404" s="148"/>
      <c r="CC404" s="148"/>
      <c r="CD404" s="148"/>
      <c r="CE404" s="1222"/>
      <c r="CF404" s="130"/>
      <c r="CG404" s="130"/>
      <c r="CH404" s="130"/>
      <c r="CI404" s="130"/>
      <c r="CJ404" s="130"/>
      <c r="CK404" s="127"/>
      <c r="CL404" s="128"/>
      <c r="CM404" s="1220"/>
      <c r="CN404" s="128"/>
      <c r="CO404" s="128">
        <f t="shared" si="578"/>
        <v>0</v>
      </c>
      <c r="CP404" s="1223"/>
      <c r="CQ404" s="1224"/>
      <c r="CR404" s="1222"/>
      <c r="CS404" s="130"/>
      <c r="CT404" s="130"/>
      <c r="CU404" s="130"/>
      <c r="CV404" s="130"/>
      <c r="CW404" s="130"/>
      <c r="CX404" s="130"/>
      <c r="CY404" s="1219">
        <f t="shared" si="579"/>
        <v>0</v>
      </c>
      <c r="CZ404" s="131"/>
      <c r="DA404" s="130"/>
      <c r="DB404" s="1219"/>
      <c r="DC404" s="1225"/>
      <c r="DD404" s="31"/>
      <c r="DF404" s="1225"/>
      <c r="DG404" s="1226">
        <f t="shared" si="639"/>
        <v>0</v>
      </c>
      <c r="DH404" s="1227">
        <f t="shared" si="640"/>
        <v>0</v>
      </c>
      <c r="DI404" s="1227"/>
      <c r="DJ404" s="1220">
        <f t="shared" si="577"/>
        <v>0</v>
      </c>
      <c r="DK404" s="1220"/>
      <c r="DL404" s="1220">
        <f t="shared" si="576"/>
        <v>0</v>
      </c>
      <c r="DM404" s="1220"/>
      <c r="DN404" s="1228"/>
      <c r="DO404" s="1228"/>
      <c r="DP404" s="1228"/>
      <c r="DQ404" s="1228"/>
      <c r="DS404" s="152"/>
      <c r="DT404" s="152"/>
      <c r="DU404" s="152"/>
      <c r="DV404" s="152"/>
      <c r="DW404" s="152"/>
      <c r="DX404" s="152"/>
      <c r="DY404" s="152"/>
      <c r="DZ404" s="152"/>
    </row>
    <row r="405" spans="1:131" ht="21.6" customHeight="1" x14ac:dyDescent="0.25">
      <c r="A405" s="4" t="s">
        <v>130</v>
      </c>
      <c r="B405" s="4">
        <v>3</v>
      </c>
      <c r="C405" s="166" t="s">
        <v>231</v>
      </c>
      <c r="D405" s="167"/>
      <c r="E405" s="1" t="s">
        <v>232</v>
      </c>
      <c r="F405" s="162">
        <v>11</v>
      </c>
      <c r="G405" s="162">
        <v>2</v>
      </c>
      <c r="H405" s="162">
        <f t="shared" ref="H405:H412" si="662">F405+G405</f>
        <v>13</v>
      </c>
      <c r="I405" s="162">
        <v>10.01</v>
      </c>
      <c r="J405" s="162"/>
      <c r="K405" s="162">
        <f t="shared" si="583"/>
        <v>10.01</v>
      </c>
      <c r="L405" s="168"/>
      <c r="M405" s="414"/>
      <c r="N405" s="46"/>
      <c r="O405" s="164"/>
      <c r="P405" s="165"/>
      <c r="Q405" s="165"/>
      <c r="R405" s="165"/>
      <c r="S405" s="165"/>
      <c r="T405" s="89"/>
      <c r="U405" s="89"/>
      <c r="V405" s="89">
        <f t="shared" ref="V405:V511" si="663">T405+U405</f>
        <v>0</v>
      </c>
      <c r="W405" s="137"/>
      <c r="X405" s="137"/>
      <c r="Y405" s="90">
        <f t="shared" si="585"/>
        <v>0</v>
      </c>
      <c r="Z405" s="169"/>
      <c r="AA405" s="92"/>
      <c r="AB405" s="92"/>
      <c r="AC405" s="92">
        <f t="shared" si="586"/>
        <v>0</v>
      </c>
      <c r="AD405" s="93"/>
      <c r="AE405" s="93"/>
      <c r="AF405" s="94">
        <f t="shared" si="587"/>
        <v>0</v>
      </c>
      <c r="AG405" s="475"/>
      <c r="AH405" s="99"/>
      <c r="AI405" s="99">
        <f t="shared" si="604"/>
        <v>0</v>
      </c>
      <c r="AJ405" s="138"/>
      <c r="AK405" s="138">
        <f>AJ405/15</f>
        <v>0</v>
      </c>
      <c r="AL405" s="106"/>
      <c r="AM405" s="105"/>
      <c r="AN405" s="105">
        <f t="shared" si="650"/>
        <v>0</v>
      </c>
      <c r="AO405" s="106"/>
      <c r="AP405" s="105"/>
      <c r="AQ405" s="105">
        <f t="shared" ref="AQ405:AQ438" si="664">AP405/15</f>
        <v>0</v>
      </c>
      <c r="AR405" s="106"/>
      <c r="AS405" s="97">
        <f t="shared" si="659"/>
        <v>0</v>
      </c>
      <c r="AT405" s="6"/>
      <c r="AU405" s="105"/>
      <c r="AV405" s="455">
        <f t="shared" si="580"/>
        <v>0</v>
      </c>
      <c r="AW405" s="496"/>
      <c r="AX405" s="508"/>
      <c r="AY405" s="498"/>
      <c r="AZ405" s="100">
        <f>AY405/15</f>
        <v>0</v>
      </c>
      <c r="BA405" s="101"/>
      <c r="BB405" s="100"/>
      <c r="BC405" s="100">
        <f t="shared" si="647"/>
        <v>0</v>
      </c>
      <c r="BD405" s="101"/>
      <c r="BE405" s="105">
        <f>AK405+AZ405</f>
        <v>0</v>
      </c>
      <c r="BF405" s="106"/>
      <c r="BG405" s="100">
        <f t="shared" si="601"/>
        <v>0</v>
      </c>
      <c r="BH405" s="106"/>
      <c r="BI405" s="100">
        <f t="shared" si="602"/>
        <v>0</v>
      </c>
      <c r="BJ405" s="106"/>
      <c r="BK405" s="101">
        <f t="shared" si="660"/>
        <v>0</v>
      </c>
      <c r="BL405" s="106"/>
      <c r="BM405" s="104"/>
      <c r="BN405" s="104">
        <f t="shared" si="590"/>
        <v>0</v>
      </c>
      <c r="BO405" s="105"/>
      <c r="BP405" s="105">
        <f t="shared" si="581"/>
        <v>0</v>
      </c>
      <c r="BQ405" s="106"/>
      <c r="BR405" s="105"/>
      <c r="BS405" s="105">
        <f t="shared" ref="BS405:BS468" si="665">BR405/50</f>
        <v>0</v>
      </c>
      <c r="BT405" s="106"/>
      <c r="BU405" s="53"/>
      <c r="BV405" s="53">
        <f t="shared" si="648"/>
        <v>0</v>
      </c>
      <c r="BW405" s="54"/>
      <c r="BX405" s="350">
        <f t="shared" si="661"/>
        <v>0</v>
      </c>
      <c r="BY405" s="6"/>
      <c r="BZ405" s="6">
        <f t="shared" si="656"/>
        <v>0</v>
      </c>
      <c r="CA405" s="508"/>
      <c r="CB405" s="165"/>
      <c r="CC405" s="165"/>
      <c r="CD405" s="165"/>
      <c r="CE405" s="504"/>
      <c r="CF405" s="105"/>
      <c r="CG405" s="105">
        <f t="shared" ref="CG405:CG476" si="666">CE405+CF405</f>
        <v>0</v>
      </c>
      <c r="CH405" s="105"/>
      <c r="CI405" s="105"/>
      <c r="CJ405" s="105">
        <f t="shared" ref="CJ405:CJ476" si="667">CH405+CI405</f>
        <v>0</v>
      </c>
      <c r="CK405" s="523"/>
      <c r="CL405" s="102">
        <f t="shared" si="649"/>
        <v>0</v>
      </c>
      <c r="CM405" s="103"/>
      <c r="CN405" s="100"/>
      <c r="CO405" s="100">
        <f t="shared" si="578"/>
        <v>0</v>
      </c>
      <c r="CP405" s="515"/>
      <c r="CQ405" s="441"/>
      <c r="CR405" s="504"/>
      <c r="CS405" s="105"/>
      <c r="CT405" s="105">
        <f t="shared" si="574"/>
        <v>0</v>
      </c>
      <c r="CU405" s="105"/>
      <c r="CV405" s="105"/>
      <c r="CW405" s="105">
        <f t="shared" si="575"/>
        <v>0</v>
      </c>
      <c r="CX405" s="53"/>
      <c r="CY405" s="109">
        <f t="shared" si="579"/>
        <v>0</v>
      </c>
      <c r="CZ405" s="54"/>
      <c r="DA405" s="105"/>
      <c r="DB405" s="455">
        <f t="shared" si="556"/>
        <v>0</v>
      </c>
      <c r="DC405" s="495"/>
      <c r="DD405" s="25"/>
      <c r="DF405" s="1133"/>
      <c r="DG405" s="674">
        <f t="shared" si="639"/>
        <v>0</v>
      </c>
      <c r="DH405" s="1119">
        <f t="shared" si="640"/>
        <v>0</v>
      </c>
      <c r="DI405" s="1119"/>
      <c r="DJ405" s="101">
        <f t="shared" si="577"/>
        <v>0</v>
      </c>
      <c r="DK405" s="101"/>
      <c r="DL405" s="101">
        <f t="shared" si="576"/>
        <v>0</v>
      </c>
      <c r="DM405" s="101"/>
      <c r="DN405" s="112"/>
      <c r="DO405" s="112"/>
      <c r="DP405" s="112"/>
      <c r="DQ405" s="112"/>
      <c r="EA405" s="44">
        <f>9/15</f>
        <v>0.6</v>
      </c>
    </row>
    <row r="406" spans="1:131" s="151" customFormat="1" ht="21.6" customHeight="1" x14ac:dyDescent="0.25">
      <c r="A406" s="141"/>
      <c r="B406" s="141"/>
      <c r="C406" s="159"/>
      <c r="D406" s="143"/>
      <c r="E406" s="22"/>
      <c r="F406" s="144"/>
      <c r="G406" s="144"/>
      <c r="H406" s="144"/>
      <c r="I406" s="144"/>
      <c r="J406" s="144"/>
      <c r="K406" s="144"/>
      <c r="L406" s="145"/>
      <c r="M406" s="146"/>
      <c r="N406" s="147"/>
      <c r="O406" s="131"/>
      <c r="P406" s="148"/>
      <c r="Q406" s="148"/>
      <c r="R406" s="148"/>
      <c r="S406" s="148"/>
      <c r="T406" s="123"/>
      <c r="U406" s="123"/>
      <c r="V406" s="123"/>
      <c r="W406" s="149"/>
      <c r="X406" s="149"/>
      <c r="Y406" s="124"/>
      <c r="Z406" s="125"/>
      <c r="AA406" s="123"/>
      <c r="AB406" s="123"/>
      <c r="AC406" s="123"/>
      <c r="AD406" s="124"/>
      <c r="AE406" s="124"/>
      <c r="AF406" s="126"/>
      <c r="AG406" s="474"/>
      <c r="AH406" s="129"/>
      <c r="AI406" s="129"/>
      <c r="AJ406" s="138"/>
      <c r="AK406" s="138"/>
      <c r="AL406" s="106"/>
      <c r="AM406" s="105"/>
      <c r="AN406" s="105"/>
      <c r="AO406" s="106"/>
      <c r="AP406" s="105"/>
      <c r="AQ406" s="105">
        <f t="shared" si="664"/>
        <v>0</v>
      </c>
      <c r="AR406" s="106"/>
      <c r="AS406" s="97">
        <f t="shared" si="659"/>
        <v>0</v>
      </c>
      <c r="AT406" s="6"/>
      <c r="AU406" s="105"/>
      <c r="AV406" s="455">
        <f t="shared" si="580"/>
        <v>0</v>
      </c>
      <c r="AW406" s="496"/>
      <c r="AX406" s="508"/>
      <c r="AY406" s="498"/>
      <c r="AZ406" s="100"/>
      <c r="BA406" s="101"/>
      <c r="BB406" s="100"/>
      <c r="BC406" s="100"/>
      <c r="BD406" s="101"/>
      <c r="BE406" s="105"/>
      <c r="BF406" s="106"/>
      <c r="BG406" s="100">
        <f t="shared" si="601"/>
        <v>0</v>
      </c>
      <c r="BH406" s="106"/>
      <c r="BI406" s="100">
        <f t="shared" si="602"/>
        <v>0</v>
      </c>
      <c r="BJ406" s="106"/>
      <c r="BK406" s="101">
        <f t="shared" si="660"/>
        <v>0</v>
      </c>
      <c r="BL406" s="106"/>
      <c r="BM406" s="130"/>
      <c r="BN406" s="130"/>
      <c r="BO406" s="105"/>
      <c r="BP406" s="105">
        <f t="shared" si="581"/>
        <v>0</v>
      </c>
      <c r="BQ406" s="106"/>
      <c r="BR406" s="105"/>
      <c r="BS406" s="105"/>
      <c r="BT406" s="106"/>
      <c r="BU406" s="53"/>
      <c r="BV406" s="53"/>
      <c r="BW406" s="54"/>
      <c r="BX406" s="350">
        <f t="shared" si="661"/>
        <v>0</v>
      </c>
      <c r="BY406" s="131"/>
      <c r="BZ406" s="131">
        <f t="shared" si="656"/>
        <v>0</v>
      </c>
      <c r="CA406" s="536"/>
      <c r="CB406" s="148"/>
      <c r="CC406" s="148"/>
      <c r="CD406" s="148"/>
      <c r="CE406" s="504"/>
      <c r="CF406" s="105"/>
      <c r="CG406" s="105">
        <f t="shared" si="666"/>
        <v>0</v>
      </c>
      <c r="CH406" s="105"/>
      <c r="CI406" s="105"/>
      <c r="CJ406" s="105">
        <f t="shared" si="667"/>
        <v>0</v>
      </c>
      <c r="CK406" s="523"/>
      <c r="CL406" s="102"/>
      <c r="CM406" s="103"/>
      <c r="CN406" s="100"/>
      <c r="CO406" s="100">
        <f t="shared" si="578"/>
        <v>0</v>
      </c>
      <c r="CP406" s="515"/>
      <c r="CQ406" s="441"/>
      <c r="CR406" s="504"/>
      <c r="CS406" s="105"/>
      <c r="CT406" s="105">
        <f t="shared" si="574"/>
        <v>0</v>
      </c>
      <c r="CU406" s="105"/>
      <c r="CV406" s="105"/>
      <c r="CW406" s="105">
        <f t="shared" si="575"/>
        <v>0</v>
      </c>
      <c r="CX406" s="53"/>
      <c r="CY406" s="109">
        <f t="shared" si="579"/>
        <v>0</v>
      </c>
      <c r="CZ406" s="54"/>
      <c r="DA406" s="105"/>
      <c r="DB406" s="455">
        <f t="shared" si="556"/>
        <v>0</v>
      </c>
      <c r="DC406" s="495"/>
      <c r="DD406" s="31"/>
      <c r="DF406" s="1133"/>
      <c r="DG406" s="674">
        <f t="shared" si="639"/>
        <v>0</v>
      </c>
      <c r="DH406" s="1119">
        <f t="shared" si="640"/>
        <v>0</v>
      </c>
      <c r="DI406" s="1119"/>
      <c r="DJ406" s="101">
        <f t="shared" si="577"/>
        <v>0</v>
      </c>
      <c r="DK406" s="101"/>
      <c r="DL406" s="101">
        <f t="shared" si="576"/>
        <v>0</v>
      </c>
      <c r="DM406" s="101"/>
      <c r="DN406" s="112"/>
      <c r="DO406" s="112"/>
      <c r="DP406" s="112"/>
      <c r="DQ406" s="112"/>
      <c r="DS406" s="152"/>
      <c r="DT406" s="152"/>
      <c r="DU406" s="152"/>
      <c r="DV406" s="152"/>
      <c r="DW406" s="152"/>
      <c r="DX406" s="152"/>
      <c r="DY406" s="152"/>
      <c r="DZ406" s="152"/>
    </row>
    <row r="407" spans="1:131" s="139" customFormat="1" ht="21.6" customHeight="1" x14ac:dyDescent="0.25">
      <c r="A407" s="4" t="s">
        <v>130</v>
      </c>
      <c r="B407" s="4">
        <v>2</v>
      </c>
      <c r="C407" s="134" t="s">
        <v>233</v>
      </c>
      <c r="D407" s="182" t="s">
        <v>437</v>
      </c>
      <c r="E407" s="13" t="s">
        <v>234</v>
      </c>
      <c r="F407" s="135">
        <v>33</v>
      </c>
      <c r="G407" s="135">
        <v>5</v>
      </c>
      <c r="H407" s="135">
        <f t="shared" si="662"/>
        <v>38</v>
      </c>
      <c r="I407" s="135">
        <v>13.4</v>
      </c>
      <c r="J407" s="135"/>
      <c r="K407" s="135">
        <f t="shared" si="583"/>
        <v>13.4</v>
      </c>
      <c r="L407" s="183"/>
      <c r="M407" s="1216"/>
      <c r="N407" s="41"/>
      <c r="O407" s="6"/>
      <c r="P407" s="7"/>
      <c r="Q407" s="7"/>
      <c r="R407" s="7"/>
      <c r="S407" s="7"/>
      <c r="T407" s="89"/>
      <c r="U407" s="89"/>
      <c r="V407" s="89">
        <f t="shared" si="663"/>
        <v>0</v>
      </c>
      <c r="W407" s="137"/>
      <c r="X407" s="137"/>
      <c r="Y407" s="90">
        <f>W407+X407</f>
        <v>0</v>
      </c>
      <c r="Z407" s="91"/>
      <c r="AA407" s="92"/>
      <c r="AB407" s="92"/>
      <c r="AC407" s="92">
        <f t="shared" ref="AC407:AC410" si="668">AA407+AB407</f>
        <v>0</v>
      </c>
      <c r="AD407" s="93"/>
      <c r="AE407" s="93"/>
      <c r="AF407" s="94">
        <f t="shared" ref="AF407" si="669">AD407+AE407</f>
        <v>0</v>
      </c>
      <c r="AG407" s="473"/>
      <c r="AH407" s="99">
        <v>10</v>
      </c>
      <c r="AI407" s="99">
        <f t="shared" si="604"/>
        <v>0.66666666666666663</v>
      </c>
      <c r="AJ407" s="138"/>
      <c r="AK407" s="138">
        <f>AJ407/15</f>
        <v>0</v>
      </c>
      <c r="AL407" s="106">
        <f>SUM(AK407:AK410)</f>
        <v>0</v>
      </c>
      <c r="AM407" s="105">
        <v>10</v>
      </c>
      <c r="AN407" s="105">
        <f t="shared" ref="AN407" si="670">AM407/15</f>
        <v>0.66666666666666663</v>
      </c>
      <c r="AO407" s="106">
        <f>SUM(AN407:AN410)</f>
        <v>0.66666666666666663</v>
      </c>
      <c r="AP407" s="105">
        <v>85</v>
      </c>
      <c r="AQ407" s="105">
        <f t="shared" si="664"/>
        <v>5.666666666666667</v>
      </c>
      <c r="AR407" s="106">
        <f>SUM(AQ407:AQ410)</f>
        <v>23.333333333333336</v>
      </c>
      <c r="AS407" s="97">
        <f t="shared" si="659"/>
        <v>6.3333333333333339</v>
      </c>
      <c r="AT407" s="6">
        <f>SUM(AS407:AS410)</f>
        <v>24</v>
      </c>
      <c r="AU407" s="105"/>
      <c r="AV407" s="455">
        <f t="shared" si="580"/>
        <v>0</v>
      </c>
      <c r="AW407" s="496">
        <f>SUM(AV407:AV410)</f>
        <v>0</v>
      </c>
      <c r="AX407" s="508"/>
      <c r="AY407" s="498">
        <v>80</v>
      </c>
      <c r="AZ407" s="100">
        <f>AY407/15</f>
        <v>5.333333333333333</v>
      </c>
      <c r="BA407" s="101">
        <f>SUM(AZ407:AZ410)</f>
        <v>21.666666666666668</v>
      </c>
      <c r="BB407" s="100"/>
      <c r="BC407" s="100">
        <f t="shared" ref="BC407" si="671">BB407/15</f>
        <v>0</v>
      </c>
      <c r="BD407" s="101">
        <f>SUM(BC407:BC410)</f>
        <v>0</v>
      </c>
      <c r="BE407" s="105">
        <f>AK407+AZ407</f>
        <v>5.333333333333333</v>
      </c>
      <c r="BF407" s="106">
        <f>SUM(BE407:BE410)</f>
        <v>21.666666666666668</v>
      </c>
      <c r="BG407" s="100">
        <f t="shared" si="601"/>
        <v>6.3333333333333339</v>
      </c>
      <c r="BH407" s="106">
        <f>SUM(BG407:BG410)</f>
        <v>24</v>
      </c>
      <c r="BI407" s="100">
        <f t="shared" si="602"/>
        <v>0</v>
      </c>
      <c r="BJ407" s="106">
        <f>SUM(BI407:BI410)</f>
        <v>0</v>
      </c>
      <c r="BK407" s="101">
        <f t="shared" si="660"/>
        <v>11.666666666666668</v>
      </c>
      <c r="BL407" s="106">
        <f>SUM(BK407:BK410)</f>
        <v>45.666666666666671</v>
      </c>
      <c r="BM407" s="104">
        <v>300</v>
      </c>
      <c r="BN407" s="104">
        <f t="shared" si="590"/>
        <v>6</v>
      </c>
      <c r="BO407" s="105"/>
      <c r="BP407" s="105">
        <f t="shared" si="581"/>
        <v>0</v>
      </c>
      <c r="BQ407" s="106">
        <f>SUM(BP407:BP410)</f>
        <v>0</v>
      </c>
      <c r="BR407" s="105">
        <f>260.4+289.6</f>
        <v>550</v>
      </c>
      <c r="BS407" s="105">
        <f t="shared" si="665"/>
        <v>11</v>
      </c>
      <c r="BT407" s="106">
        <f>SUM(BS407:BS410)</f>
        <v>43</v>
      </c>
      <c r="BU407" s="53"/>
      <c r="BV407" s="53">
        <f t="shared" si="648"/>
        <v>0</v>
      </c>
      <c r="BW407" s="54">
        <f>SUM(BV407:BV410)</f>
        <v>0</v>
      </c>
      <c r="BX407" s="350">
        <f t="shared" si="661"/>
        <v>11</v>
      </c>
      <c r="BY407" s="6">
        <f>SUM(BX407:BX410)</f>
        <v>43</v>
      </c>
      <c r="BZ407" s="6">
        <f t="shared" si="656"/>
        <v>0.66666666666666785</v>
      </c>
      <c r="CA407" s="508"/>
      <c r="CB407" s="7"/>
      <c r="CC407" s="7"/>
      <c r="CD407" s="7"/>
      <c r="CE407" s="504">
        <v>10</v>
      </c>
      <c r="CF407" s="105"/>
      <c r="CG407" s="105">
        <f t="shared" si="666"/>
        <v>10</v>
      </c>
      <c r="CH407" s="105">
        <v>5.6</v>
      </c>
      <c r="CI407" s="105"/>
      <c r="CJ407" s="105">
        <f t="shared" si="667"/>
        <v>5.6</v>
      </c>
      <c r="CK407" s="523"/>
      <c r="CL407" s="102">
        <f t="shared" ref="CL407" si="672">CK407/15</f>
        <v>0</v>
      </c>
      <c r="CM407" s="103">
        <f>SUM(CL407:CL410)</f>
        <v>0</v>
      </c>
      <c r="CN407" s="100"/>
      <c r="CO407" s="100">
        <f t="shared" si="578"/>
        <v>0</v>
      </c>
      <c r="CP407" s="515">
        <f>SUM(CO407:CO410)</f>
        <v>0</v>
      </c>
      <c r="CQ407" s="441"/>
      <c r="CR407" s="504">
        <v>10</v>
      </c>
      <c r="CS407" s="105"/>
      <c r="CT407" s="105">
        <f t="shared" si="574"/>
        <v>10</v>
      </c>
      <c r="CU407" s="105">
        <v>5.6</v>
      </c>
      <c r="CV407" s="105"/>
      <c r="CW407" s="105">
        <f t="shared" si="575"/>
        <v>5.6</v>
      </c>
      <c r="CX407" s="53"/>
      <c r="CY407" s="109">
        <f t="shared" si="579"/>
        <v>0</v>
      </c>
      <c r="CZ407" s="54">
        <f>SUM(CY407:CY410)</f>
        <v>0</v>
      </c>
      <c r="DA407" s="105"/>
      <c r="DB407" s="455">
        <f t="shared" si="556"/>
        <v>0</v>
      </c>
      <c r="DC407" s="495">
        <f>SUM(DB407:DB410)</f>
        <v>0</v>
      </c>
      <c r="DD407" s="24" t="s">
        <v>401</v>
      </c>
      <c r="DF407" s="1133"/>
      <c r="DG407" s="674">
        <f t="shared" si="639"/>
        <v>0</v>
      </c>
      <c r="DH407" s="1119">
        <f t="shared" si="640"/>
        <v>0</v>
      </c>
      <c r="DI407" s="1119"/>
      <c r="DJ407" s="101">
        <f t="shared" si="577"/>
        <v>11.666666666666668</v>
      </c>
      <c r="DK407" s="101">
        <f>SUM(DJ407:DJ410)</f>
        <v>45.666666666666671</v>
      </c>
      <c r="DL407" s="101">
        <f t="shared" si="576"/>
        <v>20</v>
      </c>
      <c r="DM407" s="101"/>
      <c r="DN407" s="112"/>
      <c r="DO407" s="112">
        <f>DJ407</f>
        <v>11.666666666666668</v>
      </c>
      <c r="DP407" s="112"/>
      <c r="DQ407" s="112"/>
      <c r="DS407" s="140"/>
      <c r="DT407" s="140"/>
      <c r="DU407" s="140"/>
      <c r="DV407" s="140"/>
      <c r="DW407" s="140"/>
      <c r="DX407" s="140"/>
      <c r="DY407" s="140"/>
      <c r="DZ407" s="140"/>
    </row>
    <row r="408" spans="1:131" s="139" customFormat="1" ht="37.5" customHeight="1" x14ac:dyDescent="0.25">
      <c r="A408" s="4"/>
      <c r="B408" s="4"/>
      <c r="C408" s="134" t="s">
        <v>233</v>
      </c>
      <c r="D408" s="182" t="s">
        <v>431</v>
      </c>
      <c r="E408" s="3" t="s">
        <v>415</v>
      </c>
      <c r="F408" s="135"/>
      <c r="G408" s="135"/>
      <c r="H408" s="135"/>
      <c r="I408" s="135"/>
      <c r="J408" s="135"/>
      <c r="K408" s="135"/>
      <c r="L408" s="183"/>
      <c r="M408" s="1216"/>
      <c r="N408" s="41"/>
      <c r="O408" s="6"/>
      <c r="P408" s="7"/>
      <c r="Q408" s="7"/>
      <c r="R408" s="7"/>
      <c r="S408" s="7"/>
      <c r="T408" s="89"/>
      <c r="U408" s="89"/>
      <c r="V408" s="89">
        <f t="shared" si="663"/>
        <v>0</v>
      </c>
      <c r="W408" s="137"/>
      <c r="X408" s="137"/>
      <c r="Y408" s="90">
        <f>W408+X408</f>
        <v>0</v>
      </c>
      <c r="Z408" s="91"/>
      <c r="AA408" s="92"/>
      <c r="AB408" s="92"/>
      <c r="AC408" s="92">
        <f t="shared" si="668"/>
        <v>0</v>
      </c>
      <c r="AD408" s="93"/>
      <c r="AE408" s="93"/>
      <c r="AF408" s="94">
        <f t="shared" si="587"/>
        <v>0</v>
      </c>
      <c r="AG408" s="473"/>
      <c r="AH408" s="99"/>
      <c r="AI408" s="99">
        <f t="shared" si="604"/>
        <v>0</v>
      </c>
      <c r="AJ408" s="138"/>
      <c r="AK408" s="138"/>
      <c r="AL408" s="106"/>
      <c r="AM408" s="105"/>
      <c r="AN408" s="105"/>
      <c r="AO408" s="106"/>
      <c r="AP408" s="105">
        <v>75</v>
      </c>
      <c r="AQ408" s="105">
        <f t="shared" si="664"/>
        <v>5</v>
      </c>
      <c r="AR408" s="106"/>
      <c r="AS408" s="97">
        <f t="shared" si="659"/>
        <v>5</v>
      </c>
      <c r="AT408" s="6"/>
      <c r="AU408" s="105"/>
      <c r="AV408" s="455">
        <f t="shared" si="580"/>
        <v>0</v>
      </c>
      <c r="AW408" s="496"/>
      <c r="AX408" s="508"/>
      <c r="AY408" s="498">
        <v>75</v>
      </c>
      <c r="AZ408" s="100">
        <f>AY408/15</f>
        <v>5</v>
      </c>
      <c r="BA408" s="101"/>
      <c r="BB408" s="100"/>
      <c r="BC408" s="100"/>
      <c r="BD408" s="101"/>
      <c r="BE408" s="105">
        <f>AK408+AZ408</f>
        <v>5</v>
      </c>
      <c r="BF408" s="106"/>
      <c r="BG408" s="100">
        <f t="shared" si="601"/>
        <v>5</v>
      </c>
      <c r="BH408" s="106"/>
      <c r="BI408" s="100">
        <f t="shared" si="602"/>
        <v>0</v>
      </c>
      <c r="BJ408" s="106"/>
      <c r="BK408" s="101">
        <f t="shared" si="660"/>
        <v>10</v>
      </c>
      <c r="BL408" s="106"/>
      <c r="BM408" s="104">
        <v>250</v>
      </c>
      <c r="BN408" s="104">
        <f t="shared" si="590"/>
        <v>5</v>
      </c>
      <c r="BO408" s="105"/>
      <c r="BP408" s="105">
        <f t="shared" si="581"/>
        <v>0</v>
      </c>
      <c r="BQ408" s="106"/>
      <c r="BR408" s="105">
        <f>250+250</f>
        <v>500</v>
      </c>
      <c r="BS408" s="105">
        <f t="shared" si="665"/>
        <v>10</v>
      </c>
      <c r="BT408" s="106"/>
      <c r="BU408" s="53">
        <v>0</v>
      </c>
      <c r="BV408" s="53">
        <f t="shared" si="648"/>
        <v>0</v>
      </c>
      <c r="BW408" s="54"/>
      <c r="BX408" s="350">
        <f t="shared" si="661"/>
        <v>10</v>
      </c>
      <c r="BY408" s="6"/>
      <c r="BZ408" s="6">
        <f t="shared" si="656"/>
        <v>0</v>
      </c>
      <c r="CA408" s="508"/>
      <c r="CB408" s="7"/>
      <c r="CC408" s="7"/>
      <c r="CD408" s="7"/>
      <c r="CE408" s="504">
        <v>8</v>
      </c>
      <c r="CF408" s="105">
        <v>1</v>
      </c>
      <c r="CG408" s="105">
        <f t="shared" si="666"/>
        <v>9</v>
      </c>
      <c r="CH408" s="105"/>
      <c r="CI408" s="105">
        <v>5</v>
      </c>
      <c r="CJ408" s="105">
        <f t="shared" si="667"/>
        <v>5</v>
      </c>
      <c r="CK408" s="523"/>
      <c r="CL408" s="102"/>
      <c r="CM408" s="103"/>
      <c r="CN408" s="100"/>
      <c r="CO408" s="100">
        <f t="shared" si="578"/>
        <v>0</v>
      </c>
      <c r="CP408" s="515"/>
      <c r="CQ408" s="441"/>
      <c r="CR408" s="504">
        <v>8</v>
      </c>
      <c r="CS408" s="105">
        <v>1</v>
      </c>
      <c r="CT408" s="105">
        <f t="shared" si="574"/>
        <v>9</v>
      </c>
      <c r="CU408" s="105"/>
      <c r="CV408" s="105">
        <v>5</v>
      </c>
      <c r="CW408" s="105">
        <f t="shared" si="575"/>
        <v>5</v>
      </c>
      <c r="CX408" s="53"/>
      <c r="CY408" s="109">
        <f t="shared" si="579"/>
        <v>0</v>
      </c>
      <c r="CZ408" s="54"/>
      <c r="DA408" s="105"/>
      <c r="DB408" s="455">
        <f t="shared" si="556"/>
        <v>0</v>
      </c>
      <c r="DC408" s="495"/>
      <c r="DD408" s="24" t="s">
        <v>374</v>
      </c>
      <c r="DF408" s="1133"/>
      <c r="DG408" s="674">
        <f t="shared" si="639"/>
        <v>0</v>
      </c>
      <c r="DH408" s="1119">
        <f t="shared" si="640"/>
        <v>0</v>
      </c>
      <c r="DI408" s="1119"/>
      <c r="DJ408" s="101">
        <f t="shared" si="577"/>
        <v>10</v>
      </c>
      <c r="DK408" s="101"/>
      <c r="DL408" s="101">
        <f t="shared" si="576"/>
        <v>18</v>
      </c>
      <c r="DM408" s="101"/>
      <c r="DN408" s="112"/>
      <c r="DO408" s="112"/>
      <c r="DP408" s="112"/>
      <c r="DQ408" s="112"/>
      <c r="DS408" s="140"/>
      <c r="DT408" s="140"/>
      <c r="DU408" s="140"/>
      <c r="DV408" s="140"/>
      <c r="DW408" s="140"/>
      <c r="DX408" s="140"/>
      <c r="DY408" s="140"/>
      <c r="DZ408" s="140"/>
    </row>
    <row r="409" spans="1:131" s="139" customFormat="1" ht="21.6" customHeight="1" x14ac:dyDescent="0.25">
      <c r="A409" s="4" t="s">
        <v>130</v>
      </c>
      <c r="B409" s="4">
        <v>4</v>
      </c>
      <c r="C409" s="153" t="s">
        <v>233</v>
      </c>
      <c r="D409" s="182" t="s">
        <v>437</v>
      </c>
      <c r="E409" s="13" t="s">
        <v>235</v>
      </c>
      <c r="F409" s="135">
        <v>47</v>
      </c>
      <c r="G409" s="135">
        <v>3</v>
      </c>
      <c r="H409" s="135">
        <f t="shared" si="662"/>
        <v>50</v>
      </c>
      <c r="I409" s="135">
        <v>19.5</v>
      </c>
      <c r="J409" s="135"/>
      <c r="K409" s="135">
        <f t="shared" si="583"/>
        <v>19.5</v>
      </c>
      <c r="L409" s="183"/>
      <c r="M409" s="1216"/>
      <c r="N409" s="41"/>
      <c r="O409" s="6"/>
      <c r="P409" s="7"/>
      <c r="Q409" s="7"/>
      <c r="R409" s="7"/>
      <c r="S409" s="7"/>
      <c r="T409" s="89"/>
      <c r="U409" s="89"/>
      <c r="V409" s="89">
        <f t="shared" si="663"/>
        <v>0</v>
      </c>
      <c r="W409" s="137"/>
      <c r="X409" s="137"/>
      <c r="Y409" s="90">
        <f t="shared" si="585"/>
        <v>0</v>
      </c>
      <c r="Z409" s="91"/>
      <c r="AA409" s="92"/>
      <c r="AB409" s="92"/>
      <c r="AC409" s="92">
        <f t="shared" si="668"/>
        <v>0</v>
      </c>
      <c r="AD409" s="93"/>
      <c r="AE409" s="93"/>
      <c r="AF409" s="94">
        <f t="shared" si="587"/>
        <v>0</v>
      </c>
      <c r="AG409" s="473"/>
      <c r="AH409" s="99">
        <v>25</v>
      </c>
      <c r="AI409" s="99">
        <f t="shared" si="604"/>
        <v>1.6666666666666667</v>
      </c>
      <c r="AJ409" s="138"/>
      <c r="AK409" s="138">
        <f>AJ409/15</f>
        <v>0</v>
      </c>
      <c r="AL409" s="106"/>
      <c r="AM409" s="105"/>
      <c r="AN409" s="105">
        <f t="shared" ref="AN409:AN410" si="673">AM409/15</f>
        <v>0</v>
      </c>
      <c r="AO409" s="106"/>
      <c r="AP409" s="105">
        <v>100</v>
      </c>
      <c r="AQ409" s="105">
        <f t="shared" si="664"/>
        <v>6.666666666666667</v>
      </c>
      <c r="AR409" s="106"/>
      <c r="AS409" s="97">
        <f t="shared" si="659"/>
        <v>6.666666666666667</v>
      </c>
      <c r="AT409" s="6"/>
      <c r="AU409" s="105"/>
      <c r="AV409" s="455">
        <f t="shared" si="580"/>
        <v>0</v>
      </c>
      <c r="AW409" s="496"/>
      <c r="AX409" s="508"/>
      <c r="AY409" s="498">
        <v>85</v>
      </c>
      <c r="AZ409" s="100">
        <f>AY409/15</f>
        <v>5.666666666666667</v>
      </c>
      <c r="BA409" s="101"/>
      <c r="BB409" s="100"/>
      <c r="BC409" s="100">
        <f t="shared" ref="BC409:BC410" si="674">BB409/15</f>
        <v>0</v>
      </c>
      <c r="BD409" s="101"/>
      <c r="BE409" s="105">
        <f>AK409+AZ409</f>
        <v>5.666666666666667</v>
      </c>
      <c r="BF409" s="106"/>
      <c r="BG409" s="100">
        <f t="shared" si="601"/>
        <v>6.666666666666667</v>
      </c>
      <c r="BH409" s="106"/>
      <c r="BI409" s="100">
        <f t="shared" si="602"/>
        <v>0</v>
      </c>
      <c r="BJ409" s="106"/>
      <c r="BK409" s="101">
        <f t="shared" si="660"/>
        <v>12.333333333333334</v>
      </c>
      <c r="BL409" s="106"/>
      <c r="BM409" s="104">
        <v>350</v>
      </c>
      <c r="BN409" s="104">
        <f t="shared" si="590"/>
        <v>7</v>
      </c>
      <c r="BO409" s="105"/>
      <c r="BP409" s="105">
        <f t="shared" si="581"/>
        <v>0</v>
      </c>
      <c r="BQ409" s="106"/>
      <c r="BR409" s="105">
        <f>250</f>
        <v>250</v>
      </c>
      <c r="BS409" s="105">
        <f t="shared" si="665"/>
        <v>5</v>
      </c>
      <c r="BT409" s="106"/>
      <c r="BU409" s="53"/>
      <c r="BV409" s="53">
        <f t="shared" si="648"/>
        <v>0</v>
      </c>
      <c r="BW409" s="54"/>
      <c r="BX409" s="350">
        <f>BP409+BS409+BV409</f>
        <v>5</v>
      </c>
      <c r="BY409" s="6"/>
      <c r="BZ409" s="6">
        <f t="shared" si="656"/>
        <v>7.3333333333333339</v>
      </c>
      <c r="CA409" s="508"/>
      <c r="CB409" s="7"/>
      <c r="CC409" s="7"/>
      <c r="CD409" s="7"/>
      <c r="CE409" s="504">
        <v>16</v>
      </c>
      <c r="CF409" s="105"/>
      <c r="CG409" s="105">
        <f t="shared" si="666"/>
        <v>16</v>
      </c>
      <c r="CH409" s="105">
        <v>6.6</v>
      </c>
      <c r="CI409" s="105"/>
      <c r="CJ409" s="105">
        <f t="shared" si="667"/>
        <v>6.6</v>
      </c>
      <c r="CK409" s="523"/>
      <c r="CL409" s="102">
        <f t="shared" ref="CL409:CL410" si="675">CK409/15</f>
        <v>0</v>
      </c>
      <c r="CM409" s="103"/>
      <c r="CN409" s="100"/>
      <c r="CO409" s="100">
        <f t="shared" si="578"/>
        <v>0</v>
      </c>
      <c r="CP409" s="515"/>
      <c r="CQ409" s="441"/>
      <c r="CR409" s="504">
        <v>16</v>
      </c>
      <c r="CS409" s="105"/>
      <c r="CT409" s="105">
        <f t="shared" si="574"/>
        <v>16</v>
      </c>
      <c r="CU409" s="105">
        <v>6.6</v>
      </c>
      <c r="CV409" s="105"/>
      <c r="CW409" s="105">
        <f t="shared" si="575"/>
        <v>6.6</v>
      </c>
      <c r="CX409" s="53"/>
      <c r="CY409" s="109">
        <f t="shared" si="579"/>
        <v>0</v>
      </c>
      <c r="CZ409" s="54"/>
      <c r="DA409" s="105"/>
      <c r="DB409" s="455">
        <f t="shared" ref="DB409:DB475" si="676">DA409/15</f>
        <v>0</v>
      </c>
      <c r="DC409" s="495"/>
      <c r="DD409" s="24"/>
      <c r="DF409" s="1133"/>
      <c r="DG409" s="674">
        <f t="shared" si="639"/>
        <v>0</v>
      </c>
      <c r="DH409" s="1119">
        <f t="shared" si="640"/>
        <v>0</v>
      </c>
      <c r="DI409" s="1119"/>
      <c r="DJ409" s="101">
        <f t="shared" si="577"/>
        <v>12.333333333333334</v>
      </c>
      <c r="DK409" s="101"/>
      <c r="DL409" s="101">
        <f t="shared" si="576"/>
        <v>32</v>
      </c>
      <c r="DM409" s="101"/>
      <c r="DN409" s="112"/>
      <c r="DO409" s="112">
        <f>DJ409</f>
        <v>12.333333333333334</v>
      </c>
      <c r="DP409" s="112"/>
      <c r="DQ409" s="112"/>
      <c r="DS409" s="140"/>
      <c r="DT409" s="140"/>
      <c r="DU409" s="140"/>
      <c r="DV409" s="140"/>
      <c r="DW409" s="140"/>
      <c r="DX409" s="140"/>
      <c r="DY409" s="140"/>
      <c r="DZ409" s="140"/>
    </row>
    <row r="410" spans="1:131" s="139" customFormat="1" ht="21.6" customHeight="1" x14ac:dyDescent="0.25">
      <c r="A410" s="4" t="s">
        <v>130</v>
      </c>
      <c r="B410" s="4">
        <v>5</v>
      </c>
      <c r="C410" s="153" t="s">
        <v>233</v>
      </c>
      <c r="D410" s="182" t="s">
        <v>437</v>
      </c>
      <c r="E410" s="13" t="s">
        <v>236</v>
      </c>
      <c r="F410" s="135">
        <v>44</v>
      </c>
      <c r="G410" s="135">
        <v>8</v>
      </c>
      <c r="H410" s="135">
        <f t="shared" si="662"/>
        <v>52</v>
      </c>
      <c r="I410" s="135">
        <v>15.2</v>
      </c>
      <c r="J410" s="135"/>
      <c r="K410" s="135">
        <f t="shared" si="583"/>
        <v>15.2</v>
      </c>
      <c r="L410" s="183"/>
      <c r="M410" s="1216"/>
      <c r="N410" s="41"/>
      <c r="O410" s="6"/>
      <c r="P410" s="7"/>
      <c r="Q410" s="7"/>
      <c r="R410" s="7"/>
      <c r="S410" s="7"/>
      <c r="T410" s="89"/>
      <c r="U410" s="89"/>
      <c r="V410" s="89">
        <f t="shared" si="663"/>
        <v>0</v>
      </c>
      <c r="W410" s="137"/>
      <c r="X410" s="137"/>
      <c r="Y410" s="90">
        <f t="shared" si="585"/>
        <v>0</v>
      </c>
      <c r="Z410" s="91"/>
      <c r="AA410" s="92"/>
      <c r="AB410" s="92"/>
      <c r="AC410" s="92">
        <f t="shared" si="668"/>
        <v>0</v>
      </c>
      <c r="AD410" s="93"/>
      <c r="AE410" s="93"/>
      <c r="AF410" s="94">
        <f t="shared" si="587"/>
        <v>0</v>
      </c>
      <c r="AG410" s="473"/>
      <c r="AH410" s="99">
        <v>25</v>
      </c>
      <c r="AI410" s="99">
        <f t="shared" si="604"/>
        <v>1.6666666666666667</v>
      </c>
      <c r="AJ410" s="138"/>
      <c r="AK410" s="138">
        <f>AJ410/15</f>
        <v>0</v>
      </c>
      <c r="AL410" s="106"/>
      <c r="AM410" s="105"/>
      <c r="AN410" s="105">
        <f t="shared" si="673"/>
        <v>0</v>
      </c>
      <c r="AO410" s="106"/>
      <c r="AP410" s="105">
        <v>90</v>
      </c>
      <c r="AQ410" s="105">
        <f t="shared" si="664"/>
        <v>6</v>
      </c>
      <c r="AR410" s="106"/>
      <c r="AS410" s="97">
        <f t="shared" si="659"/>
        <v>6</v>
      </c>
      <c r="AT410" s="6"/>
      <c r="AU410" s="105"/>
      <c r="AV410" s="455">
        <f t="shared" si="580"/>
        <v>0</v>
      </c>
      <c r="AW410" s="496"/>
      <c r="AX410" s="508"/>
      <c r="AY410" s="498">
        <v>85</v>
      </c>
      <c r="AZ410" s="100">
        <f>AY410/15</f>
        <v>5.666666666666667</v>
      </c>
      <c r="BA410" s="101"/>
      <c r="BB410" s="100"/>
      <c r="BC410" s="100">
        <f t="shared" si="674"/>
        <v>0</v>
      </c>
      <c r="BD410" s="101"/>
      <c r="BE410" s="105">
        <f>AK410+AZ410</f>
        <v>5.666666666666667</v>
      </c>
      <c r="BF410" s="106"/>
      <c r="BG410" s="100">
        <f t="shared" si="601"/>
        <v>6</v>
      </c>
      <c r="BH410" s="106"/>
      <c r="BI410" s="100">
        <f t="shared" si="602"/>
        <v>0</v>
      </c>
      <c r="BJ410" s="106"/>
      <c r="BK410" s="101">
        <f t="shared" si="660"/>
        <v>11.666666666666668</v>
      </c>
      <c r="BL410" s="106"/>
      <c r="BM410" s="104">
        <v>350</v>
      </c>
      <c r="BN410" s="104">
        <f t="shared" si="590"/>
        <v>7</v>
      </c>
      <c r="BO410" s="105"/>
      <c r="BP410" s="105">
        <f t="shared" si="581"/>
        <v>0</v>
      </c>
      <c r="BQ410" s="106"/>
      <c r="BR410" s="105">
        <f>250+300+300</f>
        <v>850</v>
      </c>
      <c r="BS410" s="105">
        <f t="shared" si="665"/>
        <v>17</v>
      </c>
      <c r="BT410" s="106"/>
      <c r="BU410" s="53">
        <v>0</v>
      </c>
      <c r="BV410" s="53">
        <f t="shared" si="648"/>
        <v>0</v>
      </c>
      <c r="BW410" s="54"/>
      <c r="BX410" s="350">
        <f t="shared" si="661"/>
        <v>17</v>
      </c>
      <c r="BY410" s="6"/>
      <c r="BZ410" s="6">
        <f t="shared" si="656"/>
        <v>-5.3333333333333321</v>
      </c>
      <c r="CA410" s="508"/>
      <c r="CB410" s="7"/>
      <c r="CC410" s="7"/>
      <c r="CD410" s="7"/>
      <c r="CE410" s="504">
        <v>14</v>
      </c>
      <c r="CF410" s="105"/>
      <c r="CG410" s="105">
        <f t="shared" si="666"/>
        <v>14</v>
      </c>
      <c r="CH410" s="105">
        <v>5.94</v>
      </c>
      <c r="CI410" s="105"/>
      <c r="CJ410" s="105">
        <f t="shared" si="667"/>
        <v>5.94</v>
      </c>
      <c r="CK410" s="523"/>
      <c r="CL410" s="102">
        <f t="shared" si="675"/>
        <v>0</v>
      </c>
      <c r="CM410" s="103"/>
      <c r="CN410" s="100"/>
      <c r="CO410" s="100">
        <f t="shared" si="578"/>
        <v>0</v>
      </c>
      <c r="CP410" s="515"/>
      <c r="CQ410" s="441"/>
      <c r="CR410" s="504">
        <v>14</v>
      </c>
      <c r="CS410" s="105"/>
      <c r="CT410" s="105">
        <f t="shared" si="574"/>
        <v>14</v>
      </c>
      <c r="CU410" s="105">
        <v>5.94</v>
      </c>
      <c r="CV410" s="105"/>
      <c r="CW410" s="105">
        <f t="shared" si="575"/>
        <v>5.94</v>
      </c>
      <c r="CX410" s="53"/>
      <c r="CY410" s="109">
        <f t="shared" si="579"/>
        <v>0</v>
      </c>
      <c r="CZ410" s="54"/>
      <c r="DA410" s="105"/>
      <c r="DB410" s="455">
        <f t="shared" si="676"/>
        <v>0</v>
      </c>
      <c r="DC410" s="495"/>
      <c r="DD410" s="24"/>
      <c r="DF410" s="1133"/>
      <c r="DG410" s="674">
        <f t="shared" si="639"/>
        <v>0</v>
      </c>
      <c r="DH410" s="1119">
        <f t="shared" si="640"/>
        <v>0</v>
      </c>
      <c r="DI410" s="1119"/>
      <c r="DJ410" s="101">
        <f t="shared" si="577"/>
        <v>11.666666666666668</v>
      </c>
      <c r="DK410" s="101"/>
      <c r="DL410" s="101">
        <f t="shared" si="576"/>
        <v>28</v>
      </c>
      <c r="DM410" s="101"/>
      <c r="DN410" s="112"/>
      <c r="DO410" s="112">
        <f>DJ410</f>
        <v>11.666666666666668</v>
      </c>
      <c r="DP410" s="112"/>
      <c r="DQ410" s="112"/>
      <c r="DS410" s="140"/>
      <c r="DT410" s="140"/>
      <c r="DU410" s="140"/>
      <c r="DV410" s="140"/>
      <c r="DW410" s="140"/>
      <c r="DX410" s="140"/>
      <c r="DY410" s="140"/>
      <c r="DZ410" s="140"/>
    </row>
    <row r="411" spans="1:131" s="151" customFormat="1" ht="21.6" customHeight="1" x14ac:dyDescent="0.25">
      <c r="A411" s="141"/>
      <c r="B411" s="141"/>
      <c r="C411" s="172"/>
      <c r="D411" s="173"/>
      <c r="E411" s="22"/>
      <c r="F411" s="144"/>
      <c r="G411" s="144"/>
      <c r="H411" s="144"/>
      <c r="I411" s="144"/>
      <c r="J411" s="144"/>
      <c r="K411" s="144"/>
      <c r="L411" s="145"/>
      <c r="M411" s="146"/>
      <c r="N411" s="147"/>
      <c r="O411" s="131"/>
      <c r="P411" s="148"/>
      <c r="Q411" s="148"/>
      <c r="R411" s="148"/>
      <c r="S411" s="148"/>
      <c r="T411" s="123"/>
      <c r="U411" s="123"/>
      <c r="V411" s="123"/>
      <c r="W411" s="149"/>
      <c r="X411" s="149"/>
      <c r="Y411" s="124"/>
      <c r="Z411" s="125"/>
      <c r="AA411" s="123"/>
      <c r="AB411" s="123"/>
      <c r="AC411" s="123"/>
      <c r="AD411" s="124"/>
      <c r="AE411" s="124"/>
      <c r="AF411" s="126"/>
      <c r="AG411" s="474"/>
      <c r="AH411" s="129"/>
      <c r="AI411" s="129"/>
      <c r="AJ411" s="138"/>
      <c r="AK411" s="138"/>
      <c r="AL411" s="106"/>
      <c r="AM411" s="105"/>
      <c r="AN411" s="105"/>
      <c r="AO411" s="106"/>
      <c r="AP411" s="105"/>
      <c r="AQ411" s="105">
        <f t="shared" si="664"/>
        <v>0</v>
      </c>
      <c r="AR411" s="106"/>
      <c r="AS411" s="97">
        <f t="shared" si="659"/>
        <v>0</v>
      </c>
      <c r="AT411" s="6"/>
      <c r="AU411" s="105"/>
      <c r="AV411" s="455">
        <f t="shared" si="580"/>
        <v>0</v>
      </c>
      <c r="AW411" s="496"/>
      <c r="AX411" s="508"/>
      <c r="AY411" s="498"/>
      <c r="AZ411" s="100"/>
      <c r="BA411" s="101"/>
      <c r="BB411" s="100"/>
      <c r="BC411" s="100"/>
      <c r="BD411" s="101"/>
      <c r="BE411" s="105"/>
      <c r="BF411" s="106"/>
      <c r="BG411" s="100">
        <f t="shared" si="601"/>
        <v>0</v>
      </c>
      <c r="BH411" s="106"/>
      <c r="BI411" s="100">
        <f t="shared" si="602"/>
        <v>0</v>
      </c>
      <c r="BJ411" s="106"/>
      <c r="BK411" s="101">
        <f t="shared" si="660"/>
        <v>0</v>
      </c>
      <c r="BL411" s="106"/>
      <c r="BM411" s="130"/>
      <c r="BN411" s="130"/>
      <c r="BO411" s="105"/>
      <c r="BP411" s="105">
        <f t="shared" si="581"/>
        <v>0</v>
      </c>
      <c r="BQ411" s="106"/>
      <c r="BR411" s="105"/>
      <c r="BS411" s="105"/>
      <c r="BT411" s="106"/>
      <c r="BU411" s="53"/>
      <c r="BV411" s="53"/>
      <c r="BW411" s="54"/>
      <c r="BX411" s="350">
        <f t="shared" si="661"/>
        <v>0</v>
      </c>
      <c r="BY411" s="131"/>
      <c r="BZ411" s="131">
        <f t="shared" si="656"/>
        <v>0</v>
      </c>
      <c r="CA411" s="536"/>
      <c r="CB411" s="148"/>
      <c r="CC411" s="148"/>
      <c r="CD411" s="148"/>
      <c r="CE411" s="504"/>
      <c r="CF411" s="105"/>
      <c r="CG411" s="105">
        <f t="shared" si="666"/>
        <v>0</v>
      </c>
      <c r="CH411" s="105"/>
      <c r="CI411" s="105"/>
      <c r="CJ411" s="105">
        <f t="shared" si="667"/>
        <v>0</v>
      </c>
      <c r="CK411" s="523"/>
      <c r="CL411" s="102"/>
      <c r="CM411" s="103"/>
      <c r="CN411" s="100"/>
      <c r="CO411" s="100">
        <f t="shared" si="578"/>
        <v>0</v>
      </c>
      <c r="CP411" s="515"/>
      <c r="CQ411" s="441"/>
      <c r="CR411" s="504"/>
      <c r="CS411" s="105"/>
      <c r="CT411" s="105">
        <f t="shared" si="574"/>
        <v>0</v>
      </c>
      <c r="CU411" s="105"/>
      <c r="CV411" s="105"/>
      <c r="CW411" s="105">
        <f t="shared" si="575"/>
        <v>0</v>
      </c>
      <c r="CX411" s="53"/>
      <c r="CY411" s="109">
        <f t="shared" si="579"/>
        <v>0</v>
      </c>
      <c r="CZ411" s="54"/>
      <c r="DA411" s="105"/>
      <c r="DB411" s="455">
        <f t="shared" si="676"/>
        <v>0</v>
      </c>
      <c r="DC411" s="495"/>
      <c r="DD411" s="31"/>
      <c r="DF411" s="1133"/>
      <c r="DG411" s="674">
        <f t="shared" si="639"/>
        <v>0</v>
      </c>
      <c r="DH411" s="1119">
        <f t="shared" si="640"/>
        <v>0</v>
      </c>
      <c r="DI411" s="1119"/>
      <c r="DJ411" s="101">
        <f t="shared" si="577"/>
        <v>0</v>
      </c>
      <c r="DK411" s="101"/>
      <c r="DL411" s="101">
        <f t="shared" si="576"/>
        <v>0</v>
      </c>
      <c r="DM411" s="101"/>
      <c r="DN411" s="112"/>
      <c r="DO411" s="112"/>
      <c r="DP411" s="112"/>
      <c r="DQ411" s="112"/>
      <c r="DS411" s="152"/>
      <c r="DT411" s="152"/>
      <c r="DU411" s="152"/>
      <c r="DV411" s="152"/>
      <c r="DW411" s="152"/>
      <c r="DX411" s="152"/>
      <c r="DY411" s="152"/>
      <c r="DZ411" s="152"/>
    </row>
    <row r="412" spans="1:131" ht="21.6" customHeight="1" x14ac:dyDescent="0.25">
      <c r="A412" s="4" t="s">
        <v>130</v>
      </c>
      <c r="B412" s="4">
        <v>1</v>
      </c>
      <c r="C412" s="174" t="s">
        <v>237</v>
      </c>
      <c r="D412" s="171"/>
      <c r="E412" s="1" t="s">
        <v>12</v>
      </c>
      <c r="F412" s="162">
        <v>1425</v>
      </c>
      <c r="G412" s="162">
        <v>245</v>
      </c>
      <c r="H412" s="162">
        <f t="shared" si="662"/>
        <v>1670</v>
      </c>
      <c r="I412" s="162">
        <v>280.8</v>
      </c>
      <c r="J412" s="162">
        <v>1122.5999999999999</v>
      </c>
      <c r="K412" s="162">
        <f t="shared" si="583"/>
        <v>1403.3999999999999</v>
      </c>
      <c r="L412" s="168"/>
      <c r="M412" s="414"/>
      <c r="N412" s="46"/>
      <c r="O412" s="164"/>
      <c r="P412" s="165"/>
      <c r="Q412" s="165"/>
      <c r="R412" s="165"/>
      <c r="S412" s="165"/>
      <c r="T412" s="89"/>
      <c r="U412" s="89"/>
      <c r="V412" s="89">
        <f t="shared" si="663"/>
        <v>0</v>
      </c>
      <c r="W412" s="137"/>
      <c r="X412" s="137"/>
      <c r="Y412" s="90">
        <f t="shared" si="585"/>
        <v>0</v>
      </c>
      <c r="Z412" s="169"/>
      <c r="AA412" s="92"/>
      <c r="AB412" s="92"/>
      <c r="AC412" s="92">
        <f t="shared" si="586"/>
        <v>0</v>
      </c>
      <c r="AD412" s="93"/>
      <c r="AE412" s="93"/>
      <c r="AF412" s="94">
        <f t="shared" si="587"/>
        <v>0</v>
      </c>
      <c r="AG412" s="475"/>
      <c r="AH412" s="99"/>
      <c r="AI412" s="99">
        <f t="shared" si="604"/>
        <v>0</v>
      </c>
      <c r="AJ412" s="138"/>
      <c r="AK412" s="138">
        <f t="shared" ref="AK412" si="677">AJ412/15</f>
        <v>0</v>
      </c>
      <c r="AL412" s="106">
        <f>SUM(AK412:AK435)</f>
        <v>148.33333333333337</v>
      </c>
      <c r="AM412" s="105"/>
      <c r="AN412" s="105">
        <f t="shared" ref="AN412" si="678">AM412/15</f>
        <v>0</v>
      </c>
      <c r="AO412" s="106">
        <f>SUM(AN412:AN435)</f>
        <v>97.000000000000014</v>
      </c>
      <c r="AP412" s="105"/>
      <c r="AQ412" s="105">
        <f t="shared" si="664"/>
        <v>0</v>
      </c>
      <c r="AR412" s="106">
        <f>SUM(AQ412:AQ435)</f>
        <v>0</v>
      </c>
      <c r="AS412" s="97">
        <f t="shared" si="659"/>
        <v>0</v>
      </c>
      <c r="AT412" s="6">
        <f>SUM(AS412:AS435)</f>
        <v>245.33333333333334</v>
      </c>
      <c r="AU412" s="105"/>
      <c r="AV412" s="455">
        <f t="shared" si="580"/>
        <v>0</v>
      </c>
      <c r="AW412" s="496">
        <f>SUM(AV412:AV435)</f>
        <v>0</v>
      </c>
      <c r="AX412" s="508"/>
      <c r="AY412" s="498"/>
      <c r="AZ412" s="100">
        <f t="shared" ref="AZ412:AZ435" si="679">AY412/15</f>
        <v>0</v>
      </c>
      <c r="BA412" s="106">
        <f>SUM(AZ412:AZ435)</f>
        <v>168</v>
      </c>
      <c r="BB412" s="105"/>
      <c r="BC412" s="105">
        <f t="shared" ref="BC412" si="680">BB412/15</f>
        <v>0</v>
      </c>
      <c r="BD412" s="106">
        <f>SUM(BC412:BC435)</f>
        <v>0</v>
      </c>
      <c r="BE412" s="105">
        <f>AK412+AZ412</f>
        <v>0</v>
      </c>
      <c r="BF412" s="106">
        <f>SUM(BE412:BE435)</f>
        <v>316.33333333333331</v>
      </c>
      <c r="BG412" s="100">
        <f t="shared" si="601"/>
        <v>0</v>
      </c>
      <c r="BH412" s="106">
        <f>SUM(BG412:BG435)</f>
        <v>97.000000000000014</v>
      </c>
      <c r="BI412" s="100">
        <f t="shared" si="602"/>
        <v>0</v>
      </c>
      <c r="BJ412" s="106">
        <f>SUM(BI412:BI435)</f>
        <v>0</v>
      </c>
      <c r="BK412" s="101">
        <f t="shared" si="660"/>
        <v>0</v>
      </c>
      <c r="BL412" s="106">
        <f>SUM(BK412:BK435)</f>
        <v>413.33333333333337</v>
      </c>
      <c r="BM412" s="104"/>
      <c r="BN412" s="104">
        <f t="shared" si="590"/>
        <v>0</v>
      </c>
      <c r="BO412" s="105"/>
      <c r="BP412" s="105">
        <f t="shared" si="581"/>
        <v>0</v>
      </c>
      <c r="BQ412" s="106">
        <f>SUM(BP412:BP435)</f>
        <v>297</v>
      </c>
      <c r="BR412" s="105"/>
      <c r="BS412" s="105">
        <f t="shared" si="665"/>
        <v>0</v>
      </c>
      <c r="BT412" s="106">
        <f>SUM(BS412:BS435)</f>
        <v>107</v>
      </c>
      <c r="BU412" s="53"/>
      <c r="BV412" s="53">
        <f t="shared" ref="BV412:BV435" si="681">BU412/50</f>
        <v>0</v>
      </c>
      <c r="BW412" s="54">
        <f>SUM(BV412:BV435)</f>
        <v>0</v>
      </c>
      <c r="BX412" s="350">
        <f t="shared" si="661"/>
        <v>0</v>
      </c>
      <c r="BY412" s="6">
        <f>SUM(BX412:BX435)</f>
        <v>404</v>
      </c>
      <c r="BZ412" s="6">
        <f t="shared" si="656"/>
        <v>0</v>
      </c>
      <c r="CA412" s="508"/>
      <c r="CB412" s="165"/>
      <c r="CC412" s="165"/>
      <c r="CD412" s="165"/>
      <c r="CE412" s="504"/>
      <c r="CF412" s="105"/>
      <c r="CG412" s="105">
        <f t="shared" si="666"/>
        <v>0</v>
      </c>
      <c r="CH412" s="105"/>
      <c r="CI412" s="105"/>
      <c r="CJ412" s="105">
        <f t="shared" si="667"/>
        <v>0</v>
      </c>
      <c r="CK412" s="524"/>
      <c r="CL412" s="53">
        <f t="shared" ref="CL412" si="682">CK412/15</f>
        <v>0</v>
      </c>
      <c r="CM412" s="54">
        <f>SUM(CL412:CL435)</f>
        <v>0</v>
      </c>
      <c r="CN412" s="105"/>
      <c r="CO412" s="100">
        <f t="shared" si="578"/>
        <v>0</v>
      </c>
      <c r="CP412" s="496">
        <f>SUM(CO412:CO435)</f>
        <v>188</v>
      </c>
      <c r="CQ412" s="439"/>
      <c r="CR412" s="504"/>
      <c r="CS412" s="105"/>
      <c r="CT412" s="105">
        <f t="shared" si="574"/>
        <v>0</v>
      </c>
      <c r="CU412" s="105"/>
      <c r="CV412" s="105"/>
      <c r="CW412" s="105">
        <f t="shared" si="575"/>
        <v>0</v>
      </c>
      <c r="CX412" s="53"/>
      <c r="CY412" s="109">
        <f t="shared" si="579"/>
        <v>0</v>
      </c>
      <c r="CZ412" s="54">
        <f>SUM(CY412:CY435)</f>
        <v>0</v>
      </c>
      <c r="DA412" s="105"/>
      <c r="DB412" s="455">
        <f t="shared" si="676"/>
        <v>0</v>
      </c>
      <c r="DC412" s="495">
        <f>SUM(DB412:DB435)</f>
        <v>0</v>
      </c>
      <c r="DD412" s="25"/>
      <c r="DF412" s="1133"/>
      <c r="DG412" s="674">
        <f t="shared" si="639"/>
        <v>0</v>
      </c>
      <c r="DH412" s="1119">
        <f t="shared" si="640"/>
        <v>0</v>
      </c>
      <c r="DI412" s="1119"/>
      <c r="DJ412" s="101">
        <f t="shared" si="577"/>
        <v>0</v>
      </c>
      <c r="DK412" s="101">
        <f>SUM(DJ412:DJ435)</f>
        <v>601.33333333333337</v>
      </c>
      <c r="DL412" s="101">
        <f t="shared" si="576"/>
        <v>0</v>
      </c>
      <c r="DM412" s="101"/>
      <c r="DN412" s="112"/>
      <c r="DO412" s="112"/>
      <c r="DP412" s="112"/>
      <c r="DQ412" s="112"/>
    </row>
    <row r="413" spans="1:131" s="139" customFormat="1" ht="21.6" customHeight="1" x14ac:dyDescent="0.25">
      <c r="A413" s="4"/>
      <c r="B413" s="4"/>
      <c r="C413" s="176" t="s">
        <v>237</v>
      </c>
      <c r="D413" s="176" t="s">
        <v>431</v>
      </c>
      <c r="E413" s="3" t="s">
        <v>328</v>
      </c>
      <c r="F413" s="135"/>
      <c r="G413" s="135"/>
      <c r="H413" s="135"/>
      <c r="I413" s="135"/>
      <c r="J413" s="135"/>
      <c r="K413" s="135"/>
      <c r="L413" s="183"/>
      <c r="M413" s="5"/>
      <c r="N413" s="177"/>
      <c r="O413" s="6"/>
      <c r="P413" s="7"/>
      <c r="Q413" s="7"/>
      <c r="R413" s="7"/>
      <c r="S413" s="7"/>
      <c r="T413" s="89"/>
      <c r="U413" s="89"/>
      <c r="V413" s="89">
        <f>T413+U413</f>
        <v>0</v>
      </c>
      <c r="W413" s="137"/>
      <c r="X413" s="137"/>
      <c r="Y413" s="90">
        <f>W413+X413</f>
        <v>0</v>
      </c>
      <c r="Z413" s="91"/>
      <c r="AA413" s="92"/>
      <c r="AB413" s="92"/>
      <c r="AC413" s="92">
        <f t="shared" ref="AC413:AC434" si="683">AA413+AB413</f>
        <v>0</v>
      </c>
      <c r="AD413" s="93"/>
      <c r="AE413" s="93"/>
      <c r="AF413" s="94">
        <f t="shared" ref="AF413:AF434" si="684">AD413+AE413</f>
        <v>0</v>
      </c>
      <c r="AG413" s="473"/>
      <c r="AH413" s="99">
        <v>300</v>
      </c>
      <c r="AI413" s="99">
        <f>AH413/15</f>
        <v>20</v>
      </c>
      <c r="AJ413" s="138">
        <v>295</v>
      </c>
      <c r="AK413" s="138">
        <f>AJ413/15</f>
        <v>19.666666666666668</v>
      </c>
      <c r="AL413" s="106"/>
      <c r="AM413" s="105"/>
      <c r="AN413" s="105">
        <f>AM413/15</f>
        <v>0</v>
      </c>
      <c r="AO413" s="106"/>
      <c r="AP413" s="105"/>
      <c r="AQ413" s="105">
        <f>AP413/15</f>
        <v>0</v>
      </c>
      <c r="AR413" s="106"/>
      <c r="AS413" s="97">
        <f>AN413+AK413+AQ413</f>
        <v>19.666666666666668</v>
      </c>
      <c r="AT413" s="6"/>
      <c r="AU413" s="105"/>
      <c r="AV413" s="455">
        <f>AU413/15</f>
        <v>0</v>
      </c>
      <c r="AW413" s="496"/>
      <c r="AX413" s="508"/>
      <c r="AY413" s="498"/>
      <c r="AZ413" s="100">
        <f t="shared" ref="AZ413:AZ434" si="685">AY413/15</f>
        <v>0</v>
      </c>
      <c r="BA413" s="101"/>
      <c r="BB413" s="100"/>
      <c r="BC413" s="100">
        <f t="shared" ref="BC413:BC423" si="686">BB413/15</f>
        <v>0</v>
      </c>
      <c r="BD413" s="101"/>
      <c r="BE413" s="105">
        <f>AK413+AZ413</f>
        <v>19.666666666666668</v>
      </c>
      <c r="BF413" s="106"/>
      <c r="BG413" s="100">
        <f t="shared" si="601"/>
        <v>0</v>
      </c>
      <c r="BH413" s="106"/>
      <c r="BI413" s="100">
        <f t="shared" si="602"/>
        <v>0</v>
      </c>
      <c r="BJ413" s="106"/>
      <c r="BK413" s="101">
        <f t="shared" ref="BK413:BK434" si="687">BG413+BE413+BI413</f>
        <v>19.666666666666668</v>
      </c>
      <c r="BL413" s="106"/>
      <c r="BM413" s="104">
        <v>991.5</v>
      </c>
      <c r="BN413" s="104">
        <f>BM413/50</f>
        <v>19.829999999999998</v>
      </c>
      <c r="BO413" s="105">
        <v>950</v>
      </c>
      <c r="BP413" s="105">
        <f>BO413/50</f>
        <v>19</v>
      </c>
      <c r="BQ413" s="106"/>
      <c r="BR413" s="105"/>
      <c r="BS413" s="105">
        <f t="shared" ref="BS413:BS434" si="688">BR413/50</f>
        <v>0</v>
      </c>
      <c r="BT413" s="106"/>
      <c r="BU413" s="53"/>
      <c r="BV413" s="53">
        <f>BU413/50</f>
        <v>0</v>
      </c>
      <c r="BW413" s="54"/>
      <c r="BX413" s="350">
        <f>BP413+BS413+BV413</f>
        <v>19</v>
      </c>
      <c r="BY413" s="6"/>
      <c r="BZ413" s="6">
        <f>BK413-BX413</f>
        <v>0.66666666666666785</v>
      </c>
      <c r="CA413" s="508"/>
      <c r="CB413" s="7"/>
      <c r="CC413" s="7"/>
      <c r="CD413" s="7"/>
      <c r="CE413" s="504"/>
      <c r="CF413" s="105"/>
      <c r="CG413" s="105">
        <f t="shared" ref="CG413:CG434" si="689">CE413+CF413</f>
        <v>0</v>
      </c>
      <c r="CH413" s="105"/>
      <c r="CI413" s="105"/>
      <c r="CJ413" s="105">
        <f t="shared" ref="CJ413:CJ434" si="690">CH413+CI413</f>
        <v>0</v>
      </c>
      <c r="CK413" s="523"/>
      <c r="CL413" s="102">
        <f>CK413/15</f>
        <v>0</v>
      </c>
      <c r="CM413" s="103"/>
      <c r="CN413" s="100"/>
      <c r="CO413" s="100">
        <f t="shared" ref="CO413:CO434" si="691">CN413/15</f>
        <v>0</v>
      </c>
      <c r="CP413" s="515"/>
      <c r="CQ413" s="441"/>
      <c r="CR413" s="504"/>
      <c r="CS413" s="105"/>
      <c r="CT413" s="105">
        <f>CR413+CS413</f>
        <v>0</v>
      </c>
      <c r="CU413" s="105"/>
      <c r="CV413" s="105"/>
      <c r="CW413" s="105">
        <f>CU413+CV413</f>
        <v>0</v>
      </c>
      <c r="CX413" s="53"/>
      <c r="CY413" s="109">
        <f>CX413/15</f>
        <v>0</v>
      </c>
      <c r="CZ413" s="54"/>
      <c r="DA413" s="105"/>
      <c r="DB413" s="455">
        <f>DA413/15</f>
        <v>0</v>
      </c>
      <c r="DC413" s="495"/>
      <c r="DD413" s="24"/>
      <c r="DF413" s="1133"/>
      <c r="DG413" s="674">
        <f t="shared" si="639"/>
        <v>0</v>
      </c>
      <c r="DH413" s="1119">
        <f t="shared" si="640"/>
        <v>0</v>
      </c>
      <c r="DI413" s="1119"/>
      <c r="DJ413" s="101">
        <f t="shared" si="577"/>
        <v>19.666666666666668</v>
      </c>
      <c r="DK413" s="101"/>
      <c r="DL413" s="101">
        <f t="shared" si="576"/>
        <v>0</v>
      </c>
      <c r="DM413" s="101"/>
      <c r="DN413" s="112"/>
      <c r="DO413" s="112"/>
      <c r="DP413" s="112"/>
      <c r="DQ413" s="112"/>
      <c r="DS413" s="140"/>
      <c r="DT413" s="140"/>
      <c r="DU413" s="140"/>
      <c r="DV413" s="140"/>
      <c r="DW413" s="140"/>
      <c r="DX413" s="140"/>
      <c r="DY413" s="140"/>
      <c r="DZ413" s="140"/>
    </row>
    <row r="414" spans="1:131" s="139" customFormat="1" ht="21.6" customHeight="1" x14ac:dyDescent="0.25">
      <c r="A414" s="4"/>
      <c r="B414" s="4"/>
      <c r="C414" s="176" t="s">
        <v>237</v>
      </c>
      <c r="D414" s="176" t="s">
        <v>431</v>
      </c>
      <c r="E414" s="3" t="s">
        <v>433</v>
      </c>
      <c r="F414" s="135"/>
      <c r="G414" s="135"/>
      <c r="H414" s="135"/>
      <c r="I414" s="135"/>
      <c r="J414" s="135"/>
      <c r="K414" s="135"/>
      <c r="L414" s="183"/>
      <c r="M414" s="5"/>
      <c r="N414" s="177"/>
      <c r="O414" s="6"/>
      <c r="P414" s="7"/>
      <c r="Q414" s="7"/>
      <c r="R414" s="7"/>
      <c r="S414" s="7"/>
      <c r="T414" s="89"/>
      <c r="U414" s="89"/>
      <c r="V414" s="89">
        <f>T414+U414</f>
        <v>0</v>
      </c>
      <c r="W414" s="137"/>
      <c r="X414" s="137"/>
      <c r="Y414" s="90">
        <f>W414+X414</f>
        <v>0</v>
      </c>
      <c r="Z414" s="91"/>
      <c r="AA414" s="92"/>
      <c r="AB414" s="92"/>
      <c r="AC414" s="92">
        <f t="shared" si="683"/>
        <v>0</v>
      </c>
      <c r="AD414" s="93"/>
      <c r="AE414" s="93"/>
      <c r="AF414" s="94">
        <f t="shared" si="684"/>
        <v>0</v>
      </c>
      <c r="AG414" s="473"/>
      <c r="AH414" s="99"/>
      <c r="AI414" s="99"/>
      <c r="AJ414" s="138">
        <v>400</v>
      </c>
      <c r="AK414" s="138">
        <f>AJ414/15</f>
        <v>26.666666666666668</v>
      </c>
      <c r="AL414" s="106"/>
      <c r="AM414" s="105"/>
      <c r="AN414" s="105">
        <f>AM414/15</f>
        <v>0</v>
      </c>
      <c r="AO414" s="106"/>
      <c r="AP414" s="105"/>
      <c r="AQ414" s="105">
        <f>AP414/15</f>
        <v>0</v>
      </c>
      <c r="AR414" s="106"/>
      <c r="AS414" s="97">
        <f>AN414+AK414+AQ414</f>
        <v>26.666666666666668</v>
      </c>
      <c r="AT414" s="6"/>
      <c r="AU414" s="105"/>
      <c r="AV414" s="455">
        <f>AU414/15</f>
        <v>0</v>
      </c>
      <c r="AW414" s="496"/>
      <c r="AX414" s="508"/>
      <c r="AY414" s="498"/>
      <c r="AZ414" s="100">
        <f t="shared" si="685"/>
        <v>0</v>
      </c>
      <c r="BA414" s="101"/>
      <c r="BB414" s="100"/>
      <c r="BC414" s="100">
        <f t="shared" si="686"/>
        <v>0</v>
      </c>
      <c r="BD414" s="101"/>
      <c r="BE414" s="105">
        <f>AK414+AZ414</f>
        <v>26.666666666666668</v>
      </c>
      <c r="BF414" s="106"/>
      <c r="BG414" s="100">
        <f t="shared" si="601"/>
        <v>0</v>
      </c>
      <c r="BH414" s="106"/>
      <c r="BI414" s="100">
        <f t="shared" si="602"/>
        <v>0</v>
      </c>
      <c r="BJ414" s="106"/>
      <c r="BK414" s="101">
        <f t="shared" si="687"/>
        <v>26.666666666666668</v>
      </c>
      <c r="BL414" s="106"/>
      <c r="BM414" s="104">
        <v>1391.5</v>
      </c>
      <c r="BN414" s="104">
        <f>BM414/50</f>
        <v>27.83</v>
      </c>
      <c r="BO414" s="105">
        <v>1300</v>
      </c>
      <c r="BP414" s="105">
        <f>BO414/50</f>
        <v>26</v>
      </c>
      <c r="BQ414" s="106"/>
      <c r="BR414" s="105"/>
      <c r="BS414" s="105">
        <f t="shared" si="688"/>
        <v>0</v>
      </c>
      <c r="BT414" s="106"/>
      <c r="BU414" s="53"/>
      <c r="BV414" s="53">
        <f>BU414/50</f>
        <v>0</v>
      </c>
      <c r="BW414" s="54"/>
      <c r="BX414" s="350">
        <f>BP414+BS414+BV414</f>
        <v>26</v>
      </c>
      <c r="BY414" s="6"/>
      <c r="BZ414" s="6">
        <f>BK414-BX414</f>
        <v>0.66666666666666785</v>
      </c>
      <c r="CA414" s="508"/>
      <c r="CB414" s="7"/>
      <c r="CC414" s="7"/>
      <c r="CD414" s="7"/>
      <c r="CE414" s="504"/>
      <c r="CF414" s="105"/>
      <c r="CG414" s="105">
        <f t="shared" si="689"/>
        <v>0</v>
      </c>
      <c r="CH414" s="105"/>
      <c r="CI414" s="105"/>
      <c r="CJ414" s="105">
        <f t="shared" si="690"/>
        <v>0</v>
      </c>
      <c r="CK414" s="523"/>
      <c r="CL414" s="102">
        <f>CK414/15</f>
        <v>0</v>
      </c>
      <c r="CM414" s="103"/>
      <c r="CN414" s="100"/>
      <c r="CO414" s="100">
        <f t="shared" si="691"/>
        <v>0</v>
      </c>
      <c r="CP414" s="515"/>
      <c r="CQ414" s="441"/>
      <c r="CR414" s="504"/>
      <c r="CS414" s="105"/>
      <c r="CT414" s="105">
        <f>CR414+CS414</f>
        <v>0</v>
      </c>
      <c r="CU414" s="105"/>
      <c r="CV414" s="105"/>
      <c r="CW414" s="105">
        <f t="shared" ref="CW414:CW417" si="692">CU414+CV414</f>
        <v>0</v>
      </c>
      <c r="CX414" s="53"/>
      <c r="CY414" s="109">
        <f>CX414/15</f>
        <v>0</v>
      </c>
      <c r="CZ414" s="54"/>
      <c r="DA414" s="105"/>
      <c r="DB414" s="455">
        <f>DA414/15</f>
        <v>0</v>
      </c>
      <c r="DC414" s="495"/>
      <c r="DD414" s="24"/>
      <c r="DF414" s="1133"/>
      <c r="DG414" s="674">
        <f t="shared" si="639"/>
        <v>0</v>
      </c>
      <c r="DH414" s="1119">
        <f t="shared" si="640"/>
        <v>0</v>
      </c>
      <c r="DI414" s="1119"/>
      <c r="DJ414" s="101">
        <f t="shared" si="577"/>
        <v>26.666666666666668</v>
      </c>
      <c r="DK414" s="101"/>
      <c r="DL414" s="101">
        <f t="shared" si="576"/>
        <v>0</v>
      </c>
      <c r="DM414" s="101"/>
      <c r="DN414" s="112"/>
      <c r="DO414" s="112"/>
      <c r="DP414" s="112"/>
      <c r="DQ414" s="112"/>
      <c r="DS414" s="140"/>
      <c r="DT414" s="140"/>
      <c r="DU414" s="140"/>
      <c r="DV414" s="140"/>
      <c r="DW414" s="140"/>
      <c r="DX414" s="140"/>
      <c r="DY414" s="140"/>
      <c r="DZ414" s="140"/>
    </row>
    <row r="415" spans="1:131" s="776" customFormat="1" ht="21.6" customHeight="1" x14ac:dyDescent="0.25">
      <c r="A415" s="4"/>
      <c r="B415" s="4"/>
      <c r="C415" s="176" t="s">
        <v>237</v>
      </c>
      <c r="D415" s="176" t="s">
        <v>431</v>
      </c>
      <c r="E415" s="3" t="s">
        <v>787</v>
      </c>
      <c r="F415" s="135"/>
      <c r="G415" s="135"/>
      <c r="H415" s="135"/>
      <c r="I415" s="135"/>
      <c r="J415" s="135"/>
      <c r="K415" s="135"/>
      <c r="L415" s="183"/>
      <c r="M415" s="5"/>
      <c r="N415" s="177"/>
      <c r="O415" s="6"/>
      <c r="P415" s="7"/>
      <c r="Q415" s="7"/>
      <c r="R415" s="7"/>
      <c r="S415" s="7"/>
      <c r="T415" s="89"/>
      <c r="U415" s="89"/>
      <c r="V415" s="89"/>
      <c r="W415" s="137"/>
      <c r="X415" s="137"/>
      <c r="Y415" s="90"/>
      <c r="Z415" s="91"/>
      <c r="AA415" s="92"/>
      <c r="AB415" s="92"/>
      <c r="AC415" s="92">
        <f t="shared" si="683"/>
        <v>0</v>
      </c>
      <c r="AD415" s="93"/>
      <c r="AE415" s="93"/>
      <c r="AF415" s="94">
        <f t="shared" si="684"/>
        <v>0</v>
      </c>
      <c r="AG415" s="473"/>
      <c r="AH415" s="99"/>
      <c r="AI415" s="99"/>
      <c r="AJ415" s="138"/>
      <c r="AK415" s="138"/>
      <c r="AL415" s="106"/>
      <c r="AM415" s="105"/>
      <c r="AN415" s="105"/>
      <c r="AO415" s="106"/>
      <c r="AP415" s="105"/>
      <c r="AQ415" s="105"/>
      <c r="AR415" s="106"/>
      <c r="AS415" s="97"/>
      <c r="AT415" s="6"/>
      <c r="AU415" s="105"/>
      <c r="AV415" s="455"/>
      <c r="AW415" s="496"/>
      <c r="AX415" s="508"/>
      <c r="AY415" s="498"/>
      <c r="AZ415" s="100">
        <f t="shared" si="685"/>
        <v>0</v>
      </c>
      <c r="BA415" s="101"/>
      <c r="BB415" s="100"/>
      <c r="BC415" s="100">
        <f t="shared" si="686"/>
        <v>0</v>
      </c>
      <c r="BD415" s="101"/>
      <c r="BE415" s="105">
        <f>AK415+AZ415</f>
        <v>0</v>
      </c>
      <c r="BF415" s="106"/>
      <c r="BG415" s="100">
        <f t="shared" si="601"/>
        <v>0</v>
      </c>
      <c r="BH415" s="106"/>
      <c r="BI415" s="100">
        <f t="shared" si="602"/>
        <v>0</v>
      </c>
      <c r="BJ415" s="106"/>
      <c r="BK415" s="101">
        <f t="shared" si="687"/>
        <v>0</v>
      </c>
      <c r="BL415" s="106"/>
      <c r="BM415" s="104"/>
      <c r="BN415" s="104"/>
      <c r="BO415" s="105"/>
      <c r="BP415" s="105"/>
      <c r="BQ415" s="106"/>
      <c r="BR415" s="105"/>
      <c r="BS415" s="105">
        <f t="shared" si="688"/>
        <v>0</v>
      </c>
      <c r="BT415" s="106"/>
      <c r="BU415" s="53"/>
      <c r="BV415" s="53"/>
      <c r="BW415" s="54"/>
      <c r="BX415" s="350"/>
      <c r="BY415" s="6"/>
      <c r="BZ415" s="6"/>
      <c r="CA415" s="508"/>
      <c r="CB415" s="7"/>
      <c r="CC415" s="7"/>
      <c r="CD415" s="7"/>
      <c r="CE415" s="504">
        <v>66</v>
      </c>
      <c r="CF415" s="105">
        <v>10</v>
      </c>
      <c r="CG415" s="105">
        <f t="shared" si="689"/>
        <v>76</v>
      </c>
      <c r="CH415" s="105">
        <v>46.75</v>
      </c>
      <c r="CI415" s="105"/>
      <c r="CJ415" s="105">
        <f t="shared" si="690"/>
        <v>46.75</v>
      </c>
      <c r="CK415" s="523"/>
      <c r="CL415" s="102"/>
      <c r="CM415" s="103"/>
      <c r="CN415" s="100">
        <v>701.25</v>
      </c>
      <c r="CO415" s="100">
        <f t="shared" si="691"/>
        <v>46.75</v>
      </c>
      <c r="CP415" s="515"/>
      <c r="CQ415" s="441"/>
      <c r="CR415" s="504"/>
      <c r="CS415" s="105"/>
      <c r="CT415" s="105"/>
      <c r="CU415" s="105"/>
      <c r="CV415" s="105"/>
      <c r="CW415" s="105">
        <f t="shared" si="692"/>
        <v>0</v>
      </c>
      <c r="CX415" s="53"/>
      <c r="CY415" s="109">
        <f t="shared" ref="CY415:CY417" si="693">CX415/15</f>
        <v>0</v>
      </c>
      <c r="CZ415" s="54"/>
      <c r="DA415" s="105"/>
      <c r="DB415" s="455">
        <f>DA415/15</f>
        <v>0</v>
      </c>
      <c r="DC415" s="495"/>
      <c r="DD415" s="24"/>
      <c r="DF415" s="1133"/>
      <c r="DG415" s="674">
        <f t="shared" si="639"/>
        <v>0</v>
      </c>
      <c r="DH415" s="1119">
        <f t="shared" si="640"/>
        <v>46.75</v>
      </c>
      <c r="DI415" s="1119"/>
      <c r="DJ415" s="101">
        <f t="shared" si="577"/>
        <v>46.75</v>
      </c>
      <c r="DK415" s="101"/>
      <c r="DL415" s="101">
        <f t="shared" si="576"/>
        <v>76</v>
      </c>
      <c r="DM415" s="101"/>
      <c r="DN415" s="112"/>
      <c r="DO415" s="112"/>
      <c r="DP415" s="112"/>
      <c r="DQ415" s="112"/>
      <c r="DS415" s="140"/>
      <c r="DT415" s="140"/>
      <c r="DU415" s="140"/>
      <c r="DV415" s="140"/>
      <c r="DW415" s="140"/>
      <c r="DX415" s="140"/>
      <c r="DY415" s="140"/>
      <c r="DZ415" s="140"/>
    </row>
    <row r="416" spans="1:131" s="139" customFormat="1" ht="21.6" customHeight="1" x14ac:dyDescent="0.25">
      <c r="A416" s="4"/>
      <c r="B416" s="4"/>
      <c r="C416" s="176" t="s">
        <v>237</v>
      </c>
      <c r="D416" s="176" t="s">
        <v>431</v>
      </c>
      <c r="E416" s="3" t="s">
        <v>327</v>
      </c>
      <c r="F416" s="135"/>
      <c r="G416" s="135"/>
      <c r="H416" s="135"/>
      <c r="I416" s="135"/>
      <c r="J416" s="135"/>
      <c r="K416" s="135"/>
      <c r="L416" s="183"/>
      <c r="M416" s="5"/>
      <c r="N416" s="177"/>
      <c r="O416" s="6"/>
      <c r="P416" s="7"/>
      <c r="Q416" s="7"/>
      <c r="R416" s="7"/>
      <c r="S416" s="7"/>
      <c r="T416" s="89"/>
      <c r="U416" s="89"/>
      <c r="V416" s="89">
        <f t="shared" ref="V416:V434" si="694">T416+U416</f>
        <v>0</v>
      </c>
      <c r="W416" s="137"/>
      <c r="X416" s="137"/>
      <c r="Y416" s="90">
        <f t="shared" ref="Y416:Y434" si="695">W416+X416</f>
        <v>0</v>
      </c>
      <c r="Z416" s="91"/>
      <c r="AA416" s="92"/>
      <c r="AB416" s="92"/>
      <c r="AC416" s="92">
        <f t="shared" si="683"/>
        <v>0</v>
      </c>
      <c r="AD416" s="93"/>
      <c r="AE416" s="93"/>
      <c r="AF416" s="94">
        <f t="shared" si="684"/>
        <v>0</v>
      </c>
      <c r="AG416" s="473"/>
      <c r="AH416" s="99">
        <v>278</v>
      </c>
      <c r="AI416" s="99">
        <f>AH416/15</f>
        <v>18.533333333333335</v>
      </c>
      <c r="AJ416" s="138">
        <v>275</v>
      </c>
      <c r="AK416" s="138">
        <f t="shared" ref="AK416:AK423" si="696">AJ416/15</f>
        <v>18.333333333333332</v>
      </c>
      <c r="AL416" s="106"/>
      <c r="AM416" s="105"/>
      <c r="AN416" s="105">
        <f t="shared" ref="AN416:AN423" si="697">AM416/15</f>
        <v>0</v>
      </c>
      <c r="AO416" s="106"/>
      <c r="AP416" s="105"/>
      <c r="AQ416" s="105">
        <f t="shared" ref="AQ416:AQ434" si="698">AP416/15</f>
        <v>0</v>
      </c>
      <c r="AR416" s="106"/>
      <c r="AS416" s="97">
        <f t="shared" ref="AS416:AS434" si="699">AN416+AK416+AQ416</f>
        <v>18.333333333333332</v>
      </c>
      <c r="AT416" s="6"/>
      <c r="AU416" s="105"/>
      <c r="AV416" s="455">
        <f t="shared" ref="AV416:AV434" si="700">AU416/15</f>
        <v>0</v>
      </c>
      <c r="AW416" s="496"/>
      <c r="AX416" s="508"/>
      <c r="AY416" s="498"/>
      <c r="AZ416" s="100">
        <f t="shared" si="685"/>
        <v>0</v>
      </c>
      <c r="BA416" s="101"/>
      <c r="BB416" s="100"/>
      <c r="BC416" s="100">
        <f t="shared" si="686"/>
        <v>0</v>
      </c>
      <c r="BD416" s="101"/>
      <c r="BE416" s="105">
        <f>AK416+AZ416</f>
        <v>18.333333333333332</v>
      </c>
      <c r="BF416" s="106"/>
      <c r="BG416" s="100">
        <f t="shared" si="601"/>
        <v>0</v>
      </c>
      <c r="BH416" s="106"/>
      <c r="BI416" s="100">
        <f t="shared" si="602"/>
        <v>0</v>
      </c>
      <c r="BJ416" s="106"/>
      <c r="BK416" s="101">
        <f t="shared" si="687"/>
        <v>18.333333333333332</v>
      </c>
      <c r="BL416" s="106"/>
      <c r="BM416" s="104">
        <v>926.5</v>
      </c>
      <c r="BN416" s="104">
        <f t="shared" ref="BN416:BN434" si="701">BM416/50</f>
        <v>18.53</v>
      </c>
      <c r="BO416" s="105">
        <v>900</v>
      </c>
      <c r="BP416" s="105">
        <f t="shared" ref="BP416:BP434" si="702">BO416/50</f>
        <v>18</v>
      </c>
      <c r="BQ416" s="106"/>
      <c r="BR416" s="105"/>
      <c r="BS416" s="105">
        <f t="shared" si="688"/>
        <v>0</v>
      </c>
      <c r="BT416" s="106"/>
      <c r="BU416" s="53"/>
      <c r="BV416" s="53">
        <f t="shared" ref="BV416:BV434" si="703">BU416/50</f>
        <v>0</v>
      </c>
      <c r="BW416" s="54"/>
      <c r="BX416" s="350">
        <f t="shared" ref="BX416:BX434" si="704">BP416+BS416+BV416</f>
        <v>18</v>
      </c>
      <c r="BY416" s="6"/>
      <c r="BZ416" s="6">
        <f t="shared" ref="BZ416:BZ434" si="705">BK416-BX416</f>
        <v>0.33333333333333215</v>
      </c>
      <c r="CA416" s="508"/>
      <c r="CB416" s="7"/>
      <c r="CC416" s="7"/>
      <c r="CD416" s="7"/>
      <c r="CE416" s="504"/>
      <c r="CF416" s="105"/>
      <c r="CG416" s="105">
        <f t="shared" si="689"/>
        <v>0</v>
      </c>
      <c r="CH416" s="105"/>
      <c r="CI416" s="105"/>
      <c r="CJ416" s="105">
        <f t="shared" si="690"/>
        <v>0</v>
      </c>
      <c r="CK416" s="523"/>
      <c r="CL416" s="102">
        <f t="shared" ref="CL416:CL434" si="706">CK416/15</f>
        <v>0</v>
      </c>
      <c r="CM416" s="103"/>
      <c r="CN416" s="100"/>
      <c r="CO416" s="100">
        <f t="shared" si="691"/>
        <v>0</v>
      </c>
      <c r="CP416" s="515"/>
      <c r="CQ416" s="441"/>
      <c r="CR416" s="504"/>
      <c r="CS416" s="105"/>
      <c r="CT416" s="105">
        <f t="shared" ref="CT416:CT434" si="707">CR416+CS416</f>
        <v>0</v>
      </c>
      <c r="CU416" s="105"/>
      <c r="CV416" s="105"/>
      <c r="CW416" s="105">
        <f t="shared" si="692"/>
        <v>0</v>
      </c>
      <c r="CX416" s="53"/>
      <c r="CY416" s="109">
        <f t="shared" si="693"/>
        <v>0</v>
      </c>
      <c r="CZ416" s="54"/>
      <c r="DA416" s="105"/>
      <c r="DB416" s="455">
        <f t="shared" ref="DB416:DB434" si="708">DA416/15</f>
        <v>0</v>
      </c>
      <c r="DC416" s="495"/>
      <c r="DD416" s="24" t="s">
        <v>444</v>
      </c>
      <c r="DF416" s="1133"/>
      <c r="DG416" s="674">
        <f t="shared" si="639"/>
        <v>0</v>
      </c>
      <c r="DH416" s="1119">
        <f t="shared" si="640"/>
        <v>0</v>
      </c>
      <c r="DI416" s="1119"/>
      <c r="DJ416" s="101">
        <f t="shared" si="577"/>
        <v>18.333333333333332</v>
      </c>
      <c r="DK416" s="101"/>
      <c r="DL416" s="101">
        <f t="shared" si="576"/>
        <v>0</v>
      </c>
      <c r="DM416" s="101"/>
      <c r="DN416" s="112"/>
      <c r="DO416" s="112"/>
      <c r="DP416" s="112"/>
      <c r="DQ416" s="112"/>
      <c r="DS416" s="140"/>
      <c r="DT416" s="140"/>
      <c r="DU416" s="140"/>
      <c r="DV416" s="140"/>
      <c r="DW416" s="140"/>
      <c r="DX416" s="140"/>
      <c r="DY416" s="140"/>
      <c r="DZ416" s="140"/>
    </row>
    <row r="417" spans="1:130" s="851" customFormat="1" ht="21.6" customHeight="1" x14ac:dyDescent="0.25">
      <c r="A417" s="4"/>
      <c r="B417" s="4"/>
      <c r="C417" s="176" t="s">
        <v>237</v>
      </c>
      <c r="D417" s="176" t="s">
        <v>489</v>
      </c>
      <c r="E417" s="3" t="s">
        <v>842</v>
      </c>
      <c r="F417" s="135"/>
      <c r="G417" s="135"/>
      <c r="H417" s="135"/>
      <c r="I417" s="135"/>
      <c r="J417" s="135"/>
      <c r="K417" s="135"/>
      <c r="L417" s="183"/>
      <c r="M417" s="5"/>
      <c r="N417" s="177"/>
      <c r="O417" s="6"/>
      <c r="P417" s="7"/>
      <c r="Q417" s="7"/>
      <c r="R417" s="7"/>
      <c r="S417" s="7"/>
      <c r="T417" s="89"/>
      <c r="U417" s="89"/>
      <c r="V417" s="89"/>
      <c r="W417" s="137"/>
      <c r="X417" s="137"/>
      <c r="Y417" s="90"/>
      <c r="Z417" s="91"/>
      <c r="AA417" s="92"/>
      <c r="AB417" s="92"/>
      <c r="AC417" s="92"/>
      <c r="AD417" s="93"/>
      <c r="AE417" s="93"/>
      <c r="AF417" s="94"/>
      <c r="AG417" s="473"/>
      <c r="AH417" s="99"/>
      <c r="AI417" s="99"/>
      <c r="AJ417" s="138"/>
      <c r="AK417" s="138"/>
      <c r="AL417" s="106"/>
      <c r="AM417" s="105"/>
      <c r="AN417" s="105"/>
      <c r="AO417" s="106"/>
      <c r="AP417" s="105"/>
      <c r="AQ417" s="105"/>
      <c r="AR417" s="106"/>
      <c r="AS417" s="97"/>
      <c r="AT417" s="6"/>
      <c r="AU417" s="105"/>
      <c r="AV417" s="455"/>
      <c r="AW417" s="496"/>
      <c r="AX417" s="508"/>
      <c r="AY417" s="498"/>
      <c r="AZ417" s="100"/>
      <c r="BA417" s="101"/>
      <c r="BB417" s="100"/>
      <c r="BC417" s="100"/>
      <c r="BD417" s="101"/>
      <c r="BE417" s="105"/>
      <c r="BF417" s="106"/>
      <c r="BG417" s="100"/>
      <c r="BH417" s="106"/>
      <c r="BI417" s="100"/>
      <c r="BJ417" s="106"/>
      <c r="BK417" s="101"/>
      <c r="BL417" s="106"/>
      <c r="BM417" s="104"/>
      <c r="BN417" s="104"/>
      <c r="BO417" s="105"/>
      <c r="BP417" s="105"/>
      <c r="BQ417" s="106"/>
      <c r="BR417" s="105"/>
      <c r="BS417" s="105"/>
      <c r="BT417" s="106"/>
      <c r="BU417" s="53"/>
      <c r="BV417" s="53"/>
      <c r="BW417" s="54"/>
      <c r="BX417" s="350"/>
      <c r="BY417" s="6"/>
      <c r="BZ417" s="6"/>
      <c r="CA417" s="508"/>
      <c r="CB417" s="7" t="s">
        <v>265</v>
      </c>
      <c r="CC417" s="7"/>
      <c r="CD417" s="7" t="s">
        <v>843</v>
      </c>
      <c r="CE417" s="504">
        <f>23+26+22+28</f>
        <v>99</v>
      </c>
      <c r="CF417" s="105">
        <f>12+11+14+9</f>
        <v>46</v>
      </c>
      <c r="CG417" s="105">
        <f t="shared" si="689"/>
        <v>145</v>
      </c>
      <c r="CH417" s="105">
        <f>15+11+28</f>
        <v>54</v>
      </c>
      <c r="CI417" s="105">
        <f>39+39+22+21</f>
        <v>121</v>
      </c>
      <c r="CJ417" s="105">
        <f>CH417+CI417</f>
        <v>175</v>
      </c>
      <c r="CK417" s="523"/>
      <c r="CL417" s="102">
        <f t="shared" si="706"/>
        <v>0</v>
      </c>
      <c r="CM417" s="103"/>
      <c r="CN417" s="100">
        <v>2118.75</v>
      </c>
      <c r="CO417" s="100">
        <f t="shared" si="691"/>
        <v>141.25</v>
      </c>
      <c r="CP417" s="515"/>
      <c r="CQ417" s="441"/>
      <c r="CR417" s="504"/>
      <c r="CS417" s="105"/>
      <c r="CT417" s="105"/>
      <c r="CU417" s="105"/>
      <c r="CV417" s="105"/>
      <c r="CW417" s="105">
        <f t="shared" si="692"/>
        <v>0</v>
      </c>
      <c r="CX417" s="53"/>
      <c r="CY417" s="109">
        <f t="shared" si="693"/>
        <v>0</v>
      </c>
      <c r="CZ417" s="54"/>
      <c r="DA417" s="105"/>
      <c r="DB417" s="455">
        <f t="shared" si="708"/>
        <v>0</v>
      </c>
      <c r="DC417" s="495"/>
      <c r="DD417" s="24"/>
      <c r="DF417" s="1133"/>
      <c r="DG417" s="674"/>
      <c r="DH417" s="1119">
        <f t="shared" si="640"/>
        <v>141.25</v>
      </c>
      <c r="DI417" s="1119"/>
      <c r="DJ417" s="101">
        <f t="shared" si="577"/>
        <v>141.25</v>
      </c>
      <c r="DK417" s="101"/>
      <c r="DL417" s="101">
        <f t="shared" si="576"/>
        <v>145</v>
      </c>
      <c r="DM417" s="101"/>
      <c r="DN417" s="112"/>
      <c r="DO417" s="112"/>
      <c r="DP417" s="112"/>
      <c r="DQ417" s="112"/>
      <c r="DS417" s="140"/>
      <c r="DT417" s="140"/>
      <c r="DU417" s="140"/>
      <c r="DV417" s="140"/>
      <c r="DW417" s="140"/>
      <c r="DX417" s="140"/>
      <c r="DY417" s="140"/>
      <c r="DZ417" s="140"/>
    </row>
    <row r="418" spans="1:130" s="139" customFormat="1" ht="21.6" customHeight="1" x14ac:dyDescent="0.25">
      <c r="A418" s="4"/>
      <c r="B418" s="4"/>
      <c r="C418" s="176" t="s">
        <v>237</v>
      </c>
      <c r="D418" s="176" t="s">
        <v>431</v>
      </c>
      <c r="E418" s="3" t="s">
        <v>334</v>
      </c>
      <c r="F418" s="135"/>
      <c r="G418" s="135"/>
      <c r="H418" s="135"/>
      <c r="I418" s="135"/>
      <c r="J418" s="135"/>
      <c r="K418" s="135"/>
      <c r="L418" s="183"/>
      <c r="M418" s="5"/>
      <c r="N418" s="177"/>
      <c r="O418" s="6"/>
      <c r="P418" s="7"/>
      <c r="Q418" s="7"/>
      <c r="R418" s="7"/>
      <c r="S418" s="7"/>
      <c r="T418" s="89"/>
      <c r="U418" s="89"/>
      <c r="V418" s="89">
        <f t="shared" si="694"/>
        <v>0</v>
      </c>
      <c r="W418" s="137"/>
      <c r="X418" s="137"/>
      <c r="Y418" s="90">
        <f t="shared" si="695"/>
        <v>0</v>
      </c>
      <c r="Z418" s="91"/>
      <c r="AA418" s="92"/>
      <c r="AB418" s="92"/>
      <c r="AC418" s="92">
        <f t="shared" si="683"/>
        <v>0</v>
      </c>
      <c r="AD418" s="93"/>
      <c r="AE418" s="93"/>
      <c r="AF418" s="94">
        <f t="shared" si="684"/>
        <v>0</v>
      </c>
      <c r="AG418" s="473"/>
      <c r="AH418" s="99">
        <v>149</v>
      </c>
      <c r="AI418" s="99">
        <f>AH418/15</f>
        <v>9.9333333333333336</v>
      </c>
      <c r="AJ418" s="138">
        <v>145</v>
      </c>
      <c r="AK418" s="138">
        <f t="shared" si="696"/>
        <v>9.6666666666666661</v>
      </c>
      <c r="AL418" s="106"/>
      <c r="AM418" s="105"/>
      <c r="AN418" s="105">
        <f t="shared" si="697"/>
        <v>0</v>
      </c>
      <c r="AO418" s="106"/>
      <c r="AP418" s="105"/>
      <c r="AQ418" s="105">
        <f t="shared" si="698"/>
        <v>0</v>
      </c>
      <c r="AR418" s="106"/>
      <c r="AS418" s="97">
        <f t="shared" si="699"/>
        <v>9.6666666666666661</v>
      </c>
      <c r="AT418" s="6"/>
      <c r="AU418" s="105"/>
      <c r="AV418" s="455">
        <f t="shared" si="700"/>
        <v>0</v>
      </c>
      <c r="AW418" s="496"/>
      <c r="AX418" s="508"/>
      <c r="AY418" s="498"/>
      <c r="AZ418" s="100">
        <f t="shared" si="685"/>
        <v>0</v>
      </c>
      <c r="BA418" s="101"/>
      <c r="BB418" s="100"/>
      <c r="BC418" s="100">
        <f t="shared" si="686"/>
        <v>0</v>
      </c>
      <c r="BD418" s="101"/>
      <c r="BE418" s="105">
        <f t="shared" ref="BE418:BE435" si="709">AK418+AZ418</f>
        <v>9.6666666666666661</v>
      </c>
      <c r="BF418" s="106"/>
      <c r="BG418" s="100">
        <f t="shared" ref="BG418:BG455" si="710">BC418+AQ418+AN418</f>
        <v>0</v>
      </c>
      <c r="BH418" s="106"/>
      <c r="BI418" s="100">
        <f t="shared" ref="BI418:BI455" si="711">AV418</f>
        <v>0</v>
      </c>
      <c r="BJ418" s="106"/>
      <c r="BK418" s="101">
        <f t="shared" si="687"/>
        <v>9.6666666666666661</v>
      </c>
      <c r="BL418" s="106"/>
      <c r="BM418" s="104">
        <v>496.5</v>
      </c>
      <c r="BN418" s="104">
        <f t="shared" si="701"/>
        <v>9.93</v>
      </c>
      <c r="BO418" s="105">
        <v>450</v>
      </c>
      <c r="BP418" s="105">
        <f t="shared" si="702"/>
        <v>9</v>
      </c>
      <c r="BQ418" s="106"/>
      <c r="BR418" s="105"/>
      <c r="BS418" s="105">
        <f t="shared" si="688"/>
        <v>0</v>
      </c>
      <c r="BT418" s="106"/>
      <c r="BU418" s="53"/>
      <c r="BV418" s="53">
        <f t="shared" si="703"/>
        <v>0</v>
      </c>
      <c r="BW418" s="54"/>
      <c r="BX418" s="350">
        <f t="shared" si="704"/>
        <v>9</v>
      </c>
      <c r="BY418" s="6"/>
      <c r="BZ418" s="6">
        <f t="shared" si="705"/>
        <v>0.66666666666666607</v>
      </c>
      <c r="CA418" s="508"/>
      <c r="CB418" s="7"/>
      <c r="CC418" s="7"/>
      <c r="CD418" s="7"/>
      <c r="CE418" s="504"/>
      <c r="CF418" s="105"/>
      <c r="CG418" s="105">
        <f t="shared" si="689"/>
        <v>0</v>
      </c>
      <c r="CH418" s="105"/>
      <c r="CI418" s="105"/>
      <c r="CJ418" s="105">
        <f t="shared" si="690"/>
        <v>0</v>
      </c>
      <c r="CK418" s="523"/>
      <c r="CL418" s="102">
        <f t="shared" si="706"/>
        <v>0</v>
      </c>
      <c r="CM418" s="103"/>
      <c r="CN418" s="100"/>
      <c r="CO418" s="100">
        <f t="shared" si="691"/>
        <v>0</v>
      </c>
      <c r="CP418" s="515"/>
      <c r="CQ418" s="441"/>
      <c r="CR418" s="504"/>
      <c r="CS418" s="105"/>
      <c r="CT418" s="105">
        <f t="shared" si="707"/>
        <v>0</v>
      </c>
      <c r="CU418" s="105"/>
      <c r="CV418" s="105"/>
      <c r="CW418" s="105">
        <f t="shared" ref="CW418:CW434" si="712">CU418+CV418</f>
        <v>0</v>
      </c>
      <c r="CX418" s="53"/>
      <c r="CY418" s="109">
        <f t="shared" ref="CY418:CY434" si="713">CX418/15</f>
        <v>0</v>
      </c>
      <c r="CZ418" s="54"/>
      <c r="DA418" s="105"/>
      <c r="DB418" s="455">
        <f t="shared" si="708"/>
        <v>0</v>
      </c>
      <c r="DC418" s="495"/>
      <c r="DD418" s="24"/>
      <c r="DF418" s="1133"/>
      <c r="DG418" s="674">
        <f t="shared" ref="DG418:DG455" si="714">AV418+CY418+DB418</f>
        <v>0</v>
      </c>
      <c r="DH418" s="1119">
        <f t="shared" si="640"/>
        <v>0</v>
      </c>
      <c r="DI418" s="1119"/>
      <c r="DJ418" s="101">
        <f t="shared" si="577"/>
        <v>9.6666666666666661</v>
      </c>
      <c r="DK418" s="101"/>
      <c r="DL418" s="101">
        <f t="shared" si="576"/>
        <v>0</v>
      </c>
      <c r="DM418" s="101"/>
      <c r="DN418" s="112"/>
      <c r="DO418" s="112"/>
      <c r="DP418" s="112"/>
      <c r="DQ418" s="112"/>
      <c r="DS418" s="140"/>
      <c r="DT418" s="140"/>
      <c r="DU418" s="140"/>
      <c r="DV418" s="140"/>
      <c r="DW418" s="140"/>
      <c r="DX418" s="140"/>
      <c r="DY418" s="140"/>
      <c r="DZ418" s="140"/>
    </row>
    <row r="419" spans="1:130" s="139" customFormat="1" ht="21.6" customHeight="1" x14ac:dyDescent="0.25">
      <c r="A419" s="4"/>
      <c r="B419" s="4"/>
      <c r="C419" s="176" t="s">
        <v>237</v>
      </c>
      <c r="D419" s="176" t="s">
        <v>431</v>
      </c>
      <c r="E419" s="3" t="s">
        <v>326</v>
      </c>
      <c r="F419" s="135"/>
      <c r="G419" s="135"/>
      <c r="H419" s="135"/>
      <c r="I419" s="135"/>
      <c r="J419" s="135"/>
      <c r="K419" s="135"/>
      <c r="L419" s="183"/>
      <c r="M419" s="5"/>
      <c r="N419" s="177"/>
      <c r="O419" s="5"/>
      <c r="P419" s="7"/>
      <c r="Q419" s="7"/>
      <c r="R419" s="7"/>
      <c r="S419" s="165"/>
      <c r="T419" s="89"/>
      <c r="U419" s="89"/>
      <c r="V419" s="89">
        <f t="shared" si="694"/>
        <v>0</v>
      </c>
      <c r="W419" s="137"/>
      <c r="X419" s="137"/>
      <c r="Y419" s="90">
        <f t="shared" si="695"/>
        <v>0</v>
      </c>
      <c r="Z419" s="91"/>
      <c r="AA419" s="92"/>
      <c r="AB419" s="92"/>
      <c r="AC419" s="92">
        <f t="shared" si="683"/>
        <v>0</v>
      </c>
      <c r="AD419" s="93"/>
      <c r="AE419" s="93"/>
      <c r="AF419" s="94">
        <f t="shared" si="684"/>
        <v>0</v>
      </c>
      <c r="AG419" s="473"/>
      <c r="AH419" s="99">
        <v>150</v>
      </c>
      <c r="AI419" s="99">
        <f>AH419/15</f>
        <v>10</v>
      </c>
      <c r="AJ419" s="138">
        <v>145</v>
      </c>
      <c r="AK419" s="138">
        <f t="shared" si="696"/>
        <v>9.6666666666666661</v>
      </c>
      <c r="AL419" s="106"/>
      <c r="AM419" s="105"/>
      <c r="AN419" s="105">
        <f t="shared" si="697"/>
        <v>0</v>
      </c>
      <c r="AO419" s="106"/>
      <c r="AP419" s="105"/>
      <c r="AQ419" s="105">
        <f t="shared" si="698"/>
        <v>0</v>
      </c>
      <c r="AR419" s="106"/>
      <c r="AS419" s="97">
        <f t="shared" si="699"/>
        <v>9.6666666666666661</v>
      </c>
      <c r="AT419" s="6"/>
      <c r="AU419" s="105"/>
      <c r="AV419" s="455">
        <f t="shared" si="700"/>
        <v>0</v>
      </c>
      <c r="AW419" s="496"/>
      <c r="AX419" s="508"/>
      <c r="AY419" s="498"/>
      <c r="AZ419" s="100">
        <f t="shared" si="685"/>
        <v>0</v>
      </c>
      <c r="BA419" s="101"/>
      <c r="BB419" s="100"/>
      <c r="BC419" s="100">
        <f t="shared" si="686"/>
        <v>0</v>
      </c>
      <c r="BD419" s="101"/>
      <c r="BE419" s="105">
        <f t="shared" si="709"/>
        <v>9.6666666666666661</v>
      </c>
      <c r="BF419" s="106"/>
      <c r="BG419" s="100">
        <f t="shared" si="710"/>
        <v>0</v>
      </c>
      <c r="BH419" s="106"/>
      <c r="BI419" s="100">
        <f t="shared" si="711"/>
        <v>0</v>
      </c>
      <c r="BJ419" s="106"/>
      <c r="BK419" s="101">
        <f t="shared" si="687"/>
        <v>9.6666666666666661</v>
      </c>
      <c r="BL419" s="106"/>
      <c r="BM419" s="104">
        <v>500</v>
      </c>
      <c r="BN419" s="104">
        <f t="shared" si="701"/>
        <v>10</v>
      </c>
      <c r="BO419" s="105">
        <v>450</v>
      </c>
      <c r="BP419" s="105">
        <f t="shared" si="702"/>
        <v>9</v>
      </c>
      <c r="BQ419" s="106"/>
      <c r="BR419" s="105"/>
      <c r="BS419" s="105">
        <f t="shared" si="688"/>
        <v>0</v>
      </c>
      <c r="BT419" s="106"/>
      <c r="BU419" s="53"/>
      <c r="BV419" s="53">
        <f t="shared" si="703"/>
        <v>0</v>
      </c>
      <c r="BW419" s="54"/>
      <c r="BX419" s="350">
        <f t="shared" si="704"/>
        <v>9</v>
      </c>
      <c r="BY419" s="6"/>
      <c r="BZ419" s="6">
        <f t="shared" si="705"/>
        <v>0.66666666666666607</v>
      </c>
      <c r="CA419" s="508"/>
      <c r="CB419" s="7"/>
      <c r="CC419" s="7"/>
      <c r="CD419" s="165"/>
      <c r="CE419" s="504"/>
      <c r="CF419" s="105"/>
      <c r="CG419" s="105">
        <f t="shared" si="689"/>
        <v>0</v>
      </c>
      <c r="CH419" s="105"/>
      <c r="CI419" s="105"/>
      <c r="CJ419" s="105">
        <f t="shared" si="690"/>
        <v>0</v>
      </c>
      <c r="CK419" s="523"/>
      <c r="CL419" s="102">
        <f t="shared" si="706"/>
        <v>0</v>
      </c>
      <c r="CM419" s="103"/>
      <c r="CN419" s="100"/>
      <c r="CO419" s="100">
        <f t="shared" si="691"/>
        <v>0</v>
      </c>
      <c r="CP419" s="515"/>
      <c r="CQ419" s="441"/>
      <c r="CR419" s="504"/>
      <c r="CS419" s="105"/>
      <c r="CT419" s="105">
        <f t="shared" si="707"/>
        <v>0</v>
      </c>
      <c r="CU419" s="105"/>
      <c r="CV419" s="105"/>
      <c r="CW419" s="105">
        <f t="shared" si="712"/>
        <v>0</v>
      </c>
      <c r="CX419" s="53"/>
      <c r="CY419" s="109">
        <f t="shared" si="713"/>
        <v>0</v>
      </c>
      <c r="CZ419" s="54"/>
      <c r="DA419" s="105"/>
      <c r="DB419" s="455">
        <f t="shared" si="708"/>
        <v>0</v>
      </c>
      <c r="DC419" s="495"/>
      <c r="DD419" s="24"/>
      <c r="DF419" s="1133"/>
      <c r="DG419" s="674">
        <f t="shared" si="714"/>
        <v>0</v>
      </c>
      <c r="DH419" s="1119">
        <f t="shared" si="640"/>
        <v>0</v>
      </c>
      <c r="DI419" s="1119"/>
      <c r="DJ419" s="101">
        <f t="shared" si="577"/>
        <v>9.6666666666666661</v>
      </c>
      <c r="DK419" s="101"/>
      <c r="DL419" s="101">
        <f t="shared" ref="DL419:DL455" si="715">CT419+CG419+AC419</f>
        <v>0</v>
      </c>
      <c r="DM419" s="101"/>
      <c r="DN419" s="112"/>
      <c r="DO419" s="112"/>
      <c r="DP419" s="112"/>
      <c r="DQ419" s="112"/>
      <c r="DS419" s="140"/>
      <c r="DT419" s="140"/>
      <c r="DU419" s="140"/>
      <c r="DV419" s="140"/>
      <c r="DW419" s="140"/>
      <c r="DX419" s="140"/>
      <c r="DY419" s="140"/>
      <c r="DZ419" s="140"/>
    </row>
    <row r="420" spans="1:130" s="139" customFormat="1" ht="21.6" customHeight="1" x14ac:dyDescent="0.25">
      <c r="A420" s="4"/>
      <c r="B420" s="4"/>
      <c r="C420" s="176" t="s">
        <v>237</v>
      </c>
      <c r="D420" s="176" t="s">
        <v>431</v>
      </c>
      <c r="E420" s="3" t="s">
        <v>329</v>
      </c>
      <c r="F420" s="135"/>
      <c r="G420" s="135"/>
      <c r="H420" s="135"/>
      <c r="I420" s="135"/>
      <c r="J420" s="135"/>
      <c r="K420" s="135"/>
      <c r="L420" s="183"/>
      <c r="M420" s="5"/>
      <c r="N420" s="177"/>
      <c r="O420" s="6"/>
      <c r="P420" s="7"/>
      <c r="Q420" s="7"/>
      <c r="R420" s="7"/>
      <c r="S420" s="7"/>
      <c r="T420" s="89"/>
      <c r="U420" s="89"/>
      <c r="V420" s="89">
        <f t="shared" si="694"/>
        <v>0</v>
      </c>
      <c r="W420" s="137"/>
      <c r="X420" s="137"/>
      <c r="Y420" s="90">
        <f t="shared" si="695"/>
        <v>0</v>
      </c>
      <c r="Z420" s="91"/>
      <c r="AA420" s="92"/>
      <c r="AB420" s="92"/>
      <c r="AC420" s="92">
        <f t="shared" si="683"/>
        <v>0</v>
      </c>
      <c r="AD420" s="93"/>
      <c r="AE420" s="93"/>
      <c r="AF420" s="94">
        <f t="shared" si="684"/>
        <v>0</v>
      </c>
      <c r="AG420" s="473"/>
      <c r="AH420" s="99">
        <v>149</v>
      </c>
      <c r="AI420" s="99">
        <f>AH420/15</f>
        <v>9.9333333333333336</v>
      </c>
      <c r="AJ420" s="138">
        <v>145</v>
      </c>
      <c r="AK420" s="138">
        <f t="shared" si="696"/>
        <v>9.6666666666666661</v>
      </c>
      <c r="AL420" s="106"/>
      <c r="AM420" s="105"/>
      <c r="AN420" s="105">
        <f t="shared" si="697"/>
        <v>0</v>
      </c>
      <c r="AO420" s="106"/>
      <c r="AP420" s="105"/>
      <c r="AQ420" s="105">
        <f t="shared" si="698"/>
        <v>0</v>
      </c>
      <c r="AR420" s="106"/>
      <c r="AS420" s="97">
        <f t="shared" si="699"/>
        <v>9.6666666666666661</v>
      </c>
      <c r="AT420" s="6"/>
      <c r="AU420" s="105"/>
      <c r="AV420" s="455">
        <f t="shared" si="700"/>
        <v>0</v>
      </c>
      <c r="AW420" s="496"/>
      <c r="AX420" s="508"/>
      <c r="AY420" s="498"/>
      <c r="AZ420" s="100">
        <f t="shared" si="685"/>
        <v>0</v>
      </c>
      <c r="BA420" s="101"/>
      <c r="BB420" s="100"/>
      <c r="BC420" s="100">
        <f t="shared" si="686"/>
        <v>0</v>
      </c>
      <c r="BD420" s="101"/>
      <c r="BE420" s="105">
        <f t="shared" si="709"/>
        <v>9.6666666666666661</v>
      </c>
      <c r="BF420" s="106"/>
      <c r="BG420" s="100">
        <f t="shared" si="710"/>
        <v>0</v>
      </c>
      <c r="BH420" s="106"/>
      <c r="BI420" s="100">
        <f t="shared" si="711"/>
        <v>0</v>
      </c>
      <c r="BJ420" s="106"/>
      <c r="BK420" s="101">
        <f t="shared" si="687"/>
        <v>9.6666666666666661</v>
      </c>
      <c r="BL420" s="106"/>
      <c r="BM420" s="104">
        <v>496</v>
      </c>
      <c r="BN420" s="104">
        <f t="shared" si="701"/>
        <v>9.92</v>
      </c>
      <c r="BO420" s="105">
        <v>450</v>
      </c>
      <c r="BP420" s="105">
        <f t="shared" si="702"/>
        <v>9</v>
      </c>
      <c r="BQ420" s="106"/>
      <c r="BR420" s="105"/>
      <c r="BS420" s="105">
        <f t="shared" si="688"/>
        <v>0</v>
      </c>
      <c r="BT420" s="106"/>
      <c r="BU420" s="53"/>
      <c r="BV420" s="53">
        <f t="shared" si="703"/>
        <v>0</v>
      </c>
      <c r="BW420" s="54"/>
      <c r="BX420" s="350">
        <f t="shared" si="704"/>
        <v>9</v>
      </c>
      <c r="BY420" s="6"/>
      <c r="BZ420" s="6">
        <f t="shared" si="705"/>
        <v>0.66666666666666607</v>
      </c>
      <c r="CA420" s="508"/>
      <c r="CB420" s="7"/>
      <c r="CC420" s="7"/>
      <c r="CD420" s="7"/>
      <c r="CE420" s="504"/>
      <c r="CF420" s="105"/>
      <c r="CG420" s="105">
        <f t="shared" si="689"/>
        <v>0</v>
      </c>
      <c r="CH420" s="105"/>
      <c r="CI420" s="105"/>
      <c r="CJ420" s="105">
        <f t="shared" si="690"/>
        <v>0</v>
      </c>
      <c r="CK420" s="523"/>
      <c r="CL420" s="102">
        <f t="shared" si="706"/>
        <v>0</v>
      </c>
      <c r="CM420" s="103"/>
      <c r="CN420" s="100"/>
      <c r="CO420" s="100">
        <f t="shared" si="691"/>
        <v>0</v>
      </c>
      <c r="CP420" s="515"/>
      <c r="CQ420" s="441"/>
      <c r="CR420" s="504"/>
      <c r="CS420" s="105"/>
      <c r="CT420" s="105">
        <f t="shared" si="707"/>
        <v>0</v>
      </c>
      <c r="CU420" s="105"/>
      <c r="CV420" s="105"/>
      <c r="CW420" s="105">
        <f t="shared" si="712"/>
        <v>0</v>
      </c>
      <c r="CX420" s="53"/>
      <c r="CY420" s="109">
        <f t="shared" si="713"/>
        <v>0</v>
      </c>
      <c r="CZ420" s="54"/>
      <c r="DA420" s="105"/>
      <c r="DB420" s="455">
        <f t="shared" si="708"/>
        <v>0</v>
      </c>
      <c r="DC420" s="495"/>
      <c r="DD420" s="24"/>
      <c r="DF420" s="1133"/>
      <c r="DG420" s="674">
        <f t="shared" si="714"/>
        <v>0</v>
      </c>
      <c r="DH420" s="1119">
        <f t="shared" si="640"/>
        <v>0</v>
      </c>
      <c r="DI420" s="1119"/>
      <c r="DJ420" s="101">
        <f t="shared" ref="DJ420:DJ483" si="716">DC420+CO420+CL420+BC420+AZ420+AV420+AS420</f>
        <v>9.6666666666666661</v>
      </c>
      <c r="DK420" s="101"/>
      <c r="DL420" s="101">
        <f t="shared" si="715"/>
        <v>0</v>
      </c>
      <c r="DM420" s="101"/>
      <c r="DN420" s="112"/>
      <c r="DO420" s="112"/>
      <c r="DP420" s="112"/>
      <c r="DQ420" s="112"/>
      <c r="DS420" s="140"/>
      <c r="DT420" s="140"/>
      <c r="DU420" s="140"/>
      <c r="DV420" s="140"/>
      <c r="DW420" s="140"/>
      <c r="DX420" s="140"/>
      <c r="DY420" s="140"/>
      <c r="DZ420" s="140"/>
    </row>
    <row r="421" spans="1:130" s="139" customFormat="1" ht="21.6" customHeight="1" x14ac:dyDescent="0.25">
      <c r="A421" s="4"/>
      <c r="B421" s="4"/>
      <c r="C421" s="176" t="s">
        <v>237</v>
      </c>
      <c r="D421" s="176" t="s">
        <v>431</v>
      </c>
      <c r="E421" s="3" t="s">
        <v>445</v>
      </c>
      <c r="F421" s="135"/>
      <c r="G421" s="135"/>
      <c r="H421" s="135"/>
      <c r="I421" s="135"/>
      <c r="J421" s="135"/>
      <c r="K421" s="135"/>
      <c r="L421" s="183"/>
      <c r="M421" s="5"/>
      <c r="N421" s="177"/>
      <c r="O421" s="5"/>
      <c r="P421" s="7"/>
      <c r="Q421" s="7"/>
      <c r="R421" s="7"/>
      <c r="S421" s="7"/>
      <c r="T421" s="89"/>
      <c r="U421" s="89"/>
      <c r="V421" s="89">
        <f t="shared" si="694"/>
        <v>0</v>
      </c>
      <c r="W421" s="137"/>
      <c r="X421" s="137"/>
      <c r="Y421" s="90">
        <f t="shared" si="695"/>
        <v>0</v>
      </c>
      <c r="Z421" s="91"/>
      <c r="AA421" s="92"/>
      <c r="AB421" s="92"/>
      <c r="AC421" s="92">
        <f t="shared" si="683"/>
        <v>0</v>
      </c>
      <c r="AD421" s="93"/>
      <c r="AE421" s="93"/>
      <c r="AF421" s="94">
        <f t="shared" si="684"/>
        <v>0</v>
      </c>
      <c r="AG421" s="473"/>
      <c r="AH421" s="99">
        <v>205</v>
      </c>
      <c r="AI421" s="99">
        <f>AH421/15</f>
        <v>13.666666666666666</v>
      </c>
      <c r="AJ421" s="138">
        <v>190</v>
      </c>
      <c r="AK421" s="138">
        <f t="shared" si="696"/>
        <v>12.666666666666666</v>
      </c>
      <c r="AL421" s="106"/>
      <c r="AM421" s="105"/>
      <c r="AN421" s="105">
        <f t="shared" si="697"/>
        <v>0</v>
      </c>
      <c r="AO421" s="106"/>
      <c r="AP421" s="105"/>
      <c r="AQ421" s="105">
        <f t="shared" si="698"/>
        <v>0</v>
      </c>
      <c r="AR421" s="106"/>
      <c r="AS421" s="97">
        <f t="shared" si="699"/>
        <v>12.666666666666666</v>
      </c>
      <c r="AT421" s="6"/>
      <c r="AU421" s="105"/>
      <c r="AV421" s="455">
        <f t="shared" si="700"/>
        <v>0</v>
      </c>
      <c r="AW421" s="496"/>
      <c r="AX421" s="508"/>
      <c r="AY421" s="498"/>
      <c r="AZ421" s="100">
        <f t="shared" si="685"/>
        <v>0</v>
      </c>
      <c r="BA421" s="101"/>
      <c r="BB421" s="100"/>
      <c r="BC421" s="100">
        <f t="shared" si="686"/>
        <v>0</v>
      </c>
      <c r="BD421" s="101"/>
      <c r="BE421" s="105">
        <f t="shared" si="709"/>
        <v>12.666666666666666</v>
      </c>
      <c r="BF421" s="106"/>
      <c r="BG421" s="100">
        <f t="shared" si="710"/>
        <v>0</v>
      </c>
      <c r="BH421" s="106"/>
      <c r="BI421" s="100">
        <f t="shared" si="711"/>
        <v>0</v>
      </c>
      <c r="BJ421" s="106"/>
      <c r="BK421" s="101">
        <f t="shared" si="687"/>
        <v>12.666666666666666</v>
      </c>
      <c r="BL421" s="106"/>
      <c r="BM421" s="104">
        <v>644.5</v>
      </c>
      <c r="BN421" s="104">
        <f t="shared" si="701"/>
        <v>12.89</v>
      </c>
      <c r="BO421" s="105"/>
      <c r="BP421" s="105">
        <f t="shared" si="702"/>
        <v>0</v>
      </c>
      <c r="BQ421" s="106"/>
      <c r="BR421" s="105">
        <v>600</v>
      </c>
      <c r="BS421" s="105">
        <f t="shared" si="688"/>
        <v>12</v>
      </c>
      <c r="BT421" s="106"/>
      <c r="BU421" s="53"/>
      <c r="BV421" s="53">
        <f t="shared" si="703"/>
        <v>0</v>
      </c>
      <c r="BW421" s="54"/>
      <c r="BX421" s="350">
        <f t="shared" si="704"/>
        <v>12</v>
      </c>
      <c r="BY421" s="6"/>
      <c r="BZ421" s="6">
        <f t="shared" si="705"/>
        <v>0.66666666666666607</v>
      </c>
      <c r="CA421" s="508"/>
      <c r="CB421" s="7"/>
      <c r="CC421" s="7"/>
      <c r="CD421" s="7"/>
      <c r="CE421" s="504"/>
      <c r="CF421" s="105"/>
      <c r="CG421" s="105">
        <f t="shared" si="689"/>
        <v>0</v>
      </c>
      <c r="CH421" s="105"/>
      <c r="CI421" s="105"/>
      <c r="CJ421" s="105">
        <f t="shared" si="690"/>
        <v>0</v>
      </c>
      <c r="CK421" s="523"/>
      <c r="CL421" s="102">
        <f t="shared" si="706"/>
        <v>0</v>
      </c>
      <c r="CM421" s="103"/>
      <c r="CN421" s="100"/>
      <c r="CO421" s="100">
        <f t="shared" si="691"/>
        <v>0</v>
      </c>
      <c r="CP421" s="515"/>
      <c r="CQ421" s="441"/>
      <c r="CR421" s="504"/>
      <c r="CS421" s="105"/>
      <c r="CT421" s="105">
        <f t="shared" si="707"/>
        <v>0</v>
      </c>
      <c r="CU421" s="105"/>
      <c r="CV421" s="105"/>
      <c r="CW421" s="105">
        <f t="shared" si="712"/>
        <v>0</v>
      </c>
      <c r="CX421" s="53"/>
      <c r="CY421" s="109">
        <f t="shared" si="713"/>
        <v>0</v>
      </c>
      <c r="CZ421" s="54"/>
      <c r="DA421" s="105"/>
      <c r="DB421" s="455">
        <f t="shared" si="708"/>
        <v>0</v>
      </c>
      <c r="DC421" s="495"/>
      <c r="DD421" s="24"/>
      <c r="DF421" s="1133"/>
      <c r="DG421" s="674">
        <f t="shared" si="714"/>
        <v>0</v>
      </c>
      <c r="DH421" s="1119">
        <f t="shared" si="640"/>
        <v>0</v>
      </c>
      <c r="DI421" s="1119"/>
      <c r="DJ421" s="101">
        <f t="shared" si="716"/>
        <v>12.666666666666666</v>
      </c>
      <c r="DK421" s="101"/>
      <c r="DL421" s="101">
        <f t="shared" si="715"/>
        <v>0</v>
      </c>
      <c r="DM421" s="101"/>
      <c r="DN421" s="112"/>
      <c r="DO421" s="112"/>
      <c r="DP421" s="112"/>
      <c r="DQ421" s="112"/>
      <c r="DS421" s="140"/>
      <c r="DT421" s="140"/>
      <c r="DU421" s="140"/>
      <c r="DV421" s="140"/>
      <c r="DW421" s="140"/>
      <c r="DX421" s="140"/>
      <c r="DY421" s="140"/>
      <c r="DZ421" s="140"/>
    </row>
    <row r="422" spans="1:130" s="139" customFormat="1" ht="21.6" customHeight="1" x14ac:dyDescent="0.25">
      <c r="A422" s="4"/>
      <c r="B422" s="4"/>
      <c r="C422" s="176" t="s">
        <v>237</v>
      </c>
      <c r="D422" s="176" t="s">
        <v>431</v>
      </c>
      <c r="E422" s="3" t="s">
        <v>435</v>
      </c>
      <c r="F422" s="135"/>
      <c r="G422" s="135"/>
      <c r="H422" s="135"/>
      <c r="I422" s="135"/>
      <c r="J422" s="135"/>
      <c r="K422" s="135"/>
      <c r="L422" s="183"/>
      <c r="M422" s="5"/>
      <c r="N422" s="177"/>
      <c r="O422" s="5"/>
      <c r="P422" s="7"/>
      <c r="Q422" s="7"/>
      <c r="R422" s="7"/>
      <c r="S422" s="7"/>
      <c r="T422" s="89"/>
      <c r="U422" s="89"/>
      <c r="V422" s="89">
        <f t="shared" si="694"/>
        <v>0</v>
      </c>
      <c r="W422" s="137"/>
      <c r="X422" s="137"/>
      <c r="Y422" s="90">
        <f t="shared" si="695"/>
        <v>0</v>
      </c>
      <c r="Z422" s="91"/>
      <c r="AA422" s="92"/>
      <c r="AB422" s="92"/>
      <c r="AC422" s="92">
        <f t="shared" si="683"/>
        <v>0</v>
      </c>
      <c r="AD422" s="93"/>
      <c r="AE422" s="93"/>
      <c r="AF422" s="94">
        <f t="shared" si="684"/>
        <v>0</v>
      </c>
      <c r="AG422" s="473"/>
      <c r="AH422" s="99"/>
      <c r="AI422" s="99"/>
      <c r="AJ422" s="138"/>
      <c r="AK422" s="138">
        <f t="shared" si="696"/>
        <v>0</v>
      </c>
      <c r="AL422" s="106"/>
      <c r="AM422" s="105"/>
      <c r="AN422" s="105">
        <f t="shared" si="697"/>
        <v>0</v>
      </c>
      <c r="AO422" s="106"/>
      <c r="AP422" s="105"/>
      <c r="AQ422" s="105">
        <f t="shared" si="698"/>
        <v>0</v>
      </c>
      <c r="AR422" s="106"/>
      <c r="AS422" s="97">
        <f t="shared" si="699"/>
        <v>0</v>
      </c>
      <c r="AT422" s="6"/>
      <c r="AU422" s="105"/>
      <c r="AV422" s="455">
        <f t="shared" si="700"/>
        <v>0</v>
      </c>
      <c r="AW422" s="496"/>
      <c r="AX422" s="508"/>
      <c r="AY422" s="498">
        <v>590</v>
      </c>
      <c r="AZ422" s="100">
        <f t="shared" si="685"/>
        <v>39.333333333333336</v>
      </c>
      <c r="BA422" s="101"/>
      <c r="BB422" s="100"/>
      <c r="BC422" s="100">
        <f t="shared" si="686"/>
        <v>0</v>
      </c>
      <c r="BD422" s="101"/>
      <c r="BE422" s="105">
        <f t="shared" si="709"/>
        <v>39.333333333333336</v>
      </c>
      <c r="BF422" s="106"/>
      <c r="BG422" s="100">
        <f t="shared" si="710"/>
        <v>0</v>
      </c>
      <c r="BH422" s="106"/>
      <c r="BI422" s="100">
        <f t="shared" si="711"/>
        <v>0</v>
      </c>
      <c r="BJ422" s="106"/>
      <c r="BK422" s="101">
        <f t="shared" si="687"/>
        <v>39.333333333333336</v>
      </c>
      <c r="BL422" s="106"/>
      <c r="BM422" s="104">
        <v>1969</v>
      </c>
      <c r="BN422" s="104">
        <f t="shared" si="701"/>
        <v>39.380000000000003</v>
      </c>
      <c r="BO422" s="105">
        <v>1950</v>
      </c>
      <c r="BP422" s="105">
        <f t="shared" si="702"/>
        <v>39</v>
      </c>
      <c r="BQ422" s="106"/>
      <c r="BR422" s="105"/>
      <c r="BS422" s="105">
        <f t="shared" si="688"/>
        <v>0</v>
      </c>
      <c r="BT422" s="106"/>
      <c r="BU422" s="53"/>
      <c r="BV422" s="53">
        <f t="shared" si="703"/>
        <v>0</v>
      </c>
      <c r="BW422" s="54"/>
      <c r="BX422" s="350">
        <f t="shared" si="704"/>
        <v>39</v>
      </c>
      <c r="BY422" s="6"/>
      <c r="BZ422" s="6">
        <f t="shared" si="705"/>
        <v>0.3333333333333357</v>
      </c>
      <c r="CA422" s="508"/>
      <c r="CB422" s="7"/>
      <c r="CC422" s="7"/>
      <c r="CD422" s="7"/>
      <c r="CE422" s="504"/>
      <c r="CF422" s="105"/>
      <c r="CG422" s="105">
        <f t="shared" si="689"/>
        <v>0</v>
      </c>
      <c r="CH422" s="105"/>
      <c r="CI422" s="105"/>
      <c r="CJ422" s="105">
        <f t="shared" si="690"/>
        <v>0</v>
      </c>
      <c r="CK422" s="523"/>
      <c r="CL422" s="102">
        <f t="shared" si="706"/>
        <v>0</v>
      </c>
      <c r="CM422" s="103"/>
      <c r="CN422" s="100"/>
      <c r="CO422" s="100">
        <f t="shared" si="691"/>
        <v>0</v>
      </c>
      <c r="CP422" s="515"/>
      <c r="CQ422" s="441"/>
      <c r="CR422" s="504"/>
      <c r="CS422" s="105"/>
      <c r="CT422" s="105">
        <f t="shared" si="707"/>
        <v>0</v>
      </c>
      <c r="CU422" s="105"/>
      <c r="CV422" s="105"/>
      <c r="CW422" s="105">
        <f t="shared" si="712"/>
        <v>0</v>
      </c>
      <c r="CX422" s="53"/>
      <c r="CY422" s="109">
        <f t="shared" si="713"/>
        <v>0</v>
      </c>
      <c r="CZ422" s="54"/>
      <c r="DA422" s="105"/>
      <c r="DB422" s="455">
        <f t="shared" si="708"/>
        <v>0</v>
      </c>
      <c r="DC422" s="495"/>
      <c r="DD422" s="24" t="s">
        <v>434</v>
      </c>
      <c r="DF422" s="1133"/>
      <c r="DG422" s="674">
        <f t="shared" si="714"/>
        <v>0</v>
      </c>
      <c r="DH422" s="1119">
        <f t="shared" si="640"/>
        <v>0</v>
      </c>
      <c r="DI422" s="1119"/>
      <c r="DJ422" s="101">
        <f t="shared" si="716"/>
        <v>39.333333333333336</v>
      </c>
      <c r="DK422" s="101"/>
      <c r="DL422" s="101">
        <f t="shared" si="715"/>
        <v>0</v>
      </c>
      <c r="DM422" s="101"/>
      <c r="DN422" s="112"/>
      <c r="DO422" s="112"/>
      <c r="DP422" s="112"/>
      <c r="DQ422" s="112"/>
      <c r="DS422" s="140"/>
      <c r="DT422" s="140"/>
      <c r="DU422" s="140"/>
      <c r="DV422" s="140"/>
      <c r="DW422" s="140"/>
      <c r="DX422" s="140"/>
      <c r="DY422" s="140"/>
      <c r="DZ422" s="140"/>
    </row>
    <row r="423" spans="1:130" s="139" customFormat="1" ht="21.6" customHeight="1" x14ac:dyDescent="0.25">
      <c r="A423" s="4"/>
      <c r="B423" s="4"/>
      <c r="C423" s="176" t="s">
        <v>237</v>
      </c>
      <c r="D423" s="176" t="s">
        <v>431</v>
      </c>
      <c r="E423" s="3" t="s">
        <v>432</v>
      </c>
      <c r="F423" s="135"/>
      <c r="G423" s="135"/>
      <c r="H423" s="135"/>
      <c r="I423" s="135"/>
      <c r="J423" s="135"/>
      <c r="K423" s="135"/>
      <c r="L423" s="183"/>
      <c r="M423" s="5"/>
      <c r="N423" s="177"/>
      <c r="O423" s="5"/>
      <c r="P423" s="7"/>
      <c r="Q423" s="7"/>
      <c r="R423" s="7"/>
      <c r="S423" s="7"/>
      <c r="T423" s="89"/>
      <c r="U423" s="89"/>
      <c r="V423" s="89">
        <f t="shared" si="694"/>
        <v>0</v>
      </c>
      <c r="W423" s="137"/>
      <c r="X423" s="137"/>
      <c r="Y423" s="90">
        <f t="shared" si="695"/>
        <v>0</v>
      </c>
      <c r="Z423" s="91"/>
      <c r="AA423" s="92"/>
      <c r="AB423" s="92"/>
      <c r="AC423" s="92">
        <f t="shared" si="683"/>
        <v>0</v>
      </c>
      <c r="AD423" s="93"/>
      <c r="AE423" s="93"/>
      <c r="AF423" s="94">
        <f t="shared" si="684"/>
        <v>0</v>
      </c>
      <c r="AG423" s="473"/>
      <c r="AH423" s="99">
        <v>314</v>
      </c>
      <c r="AI423" s="99">
        <f>AH423/15</f>
        <v>20.933333333333334</v>
      </c>
      <c r="AJ423" s="138">
        <v>310</v>
      </c>
      <c r="AK423" s="138">
        <f t="shared" si="696"/>
        <v>20.666666666666668</v>
      </c>
      <c r="AL423" s="106"/>
      <c r="AM423" s="105"/>
      <c r="AN423" s="105">
        <f t="shared" si="697"/>
        <v>0</v>
      </c>
      <c r="AO423" s="106"/>
      <c r="AP423" s="105"/>
      <c r="AQ423" s="105">
        <f t="shared" si="698"/>
        <v>0</v>
      </c>
      <c r="AR423" s="106"/>
      <c r="AS423" s="97">
        <f t="shared" si="699"/>
        <v>20.666666666666668</v>
      </c>
      <c r="AT423" s="6"/>
      <c r="AU423" s="105"/>
      <c r="AV423" s="455">
        <f t="shared" si="700"/>
        <v>0</v>
      </c>
      <c r="AW423" s="496"/>
      <c r="AX423" s="508"/>
      <c r="AY423" s="498"/>
      <c r="AZ423" s="100">
        <f t="shared" si="685"/>
        <v>0</v>
      </c>
      <c r="BA423" s="101"/>
      <c r="BB423" s="100"/>
      <c r="BC423" s="100">
        <f t="shared" si="686"/>
        <v>0</v>
      </c>
      <c r="BD423" s="101"/>
      <c r="BE423" s="105">
        <f t="shared" si="709"/>
        <v>20.666666666666668</v>
      </c>
      <c r="BF423" s="106"/>
      <c r="BG423" s="100">
        <f t="shared" si="710"/>
        <v>0</v>
      </c>
      <c r="BH423" s="106"/>
      <c r="BI423" s="100">
        <f t="shared" si="711"/>
        <v>0</v>
      </c>
      <c r="BJ423" s="106"/>
      <c r="BK423" s="101">
        <f t="shared" si="687"/>
        <v>20.666666666666668</v>
      </c>
      <c r="BL423" s="106"/>
      <c r="BM423" s="104">
        <v>1046</v>
      </c>
      <c r="BN423" s="104">
        <f t="shared" si="701"/>
        <v>20.92</v>
      </c>
      <c r="BO423" s="105">
        <v>1000</v>
      </c>
      <c r="BP423" s="105">
        <f t="shared" si="702"/>
        <v>20</v>
      </c>
      <c r="BQ423" s="106"/>
      <c r="BR423" s="105"/>
      <c r="BS423" s="105">
        <f t="shared" si="688"/>
        <v>0</v>
      </c>
      <c r="BT423" s="106"/>
      <c r="BU423" s="53"/>
      <c r="BV423" s="53">
        <f t="shared" si="703"/>
        <v>0</v>
      </c>
      <c r="BW423" s="54"/>
      <c r="BX423" s="350">
        <f t="shared" si="704"/>
        <v>20</v>
      </c>
      <c r="BY423" s="6"/>
      <c r="BZ423" s="6">
        <f t="shared" si="705"/>
        <v>0.66666666666666785</v>
      </c>
      <c r="CA423" s="508"/>
      <c r="CB423" s="7"/>
      <c r="CC423" s="7"/>
      <c r="CD423" s="7"/>
      <c r="CE423" s="504"/>
      <c r="CF423" s="105"/>
      <c r="CG423" s="105">
        <f t="shared" si="689"/>
        <v>0</v>
      </c>
      <c r="CH423" s="105"/>
      <c r="CI423" s="105"/>
      <c r="CJ423" s="105">
        <f t="shared" si="690"/>
        <v>0</v>
      </c>
      <c r="CK423" s="523"/>
      <c r="CL423" s="102">
        <f t="shared" si="706"/>
        <v>0</v>
      </c>
      <c r="CM423" s="103"/>
      <c r="CN423" s="100"/>
      <c r="CO423" s="100">
        <f t="shared" si="691"/>
        <v>0</v>
      </c>
      <c r="CP423" s="515"/>
      <c r="CQ423" s="441"/>
      <c r="CR423" s="504"/>
      <c r="CS423" s="105"/>
      <c r="CT423" s="105">
        <f t="shared" si="707"/>
        <v>0</v>
      </c>
      <c r="CU423" s="105"/>
      <c r="CV423" s="105"/>
      <c r="CW423" s="105">
        <f t="shared" si="712"/>
        <v>0</v>
      </c>
      <c r="CX423" s="53"/>
      <c r="CY423" s="109">
        <f t="shared" si="713"/>
        <v>0</v>
      </c>
      <c r="CZ423" s="54"/>
      <c r="DA423" s="105"/>
      <c r="DB423" s="455">
        <f t="shared" si="708"/>
        <v>0</v>
      </c>
      <c r="DC423" s="495"/>
      <c r="DD423" s="24"/>
      <c r="DF423" s="1133"/>
      <c r="DG423" s="674">
        <f t="shared" si="714"/>
        <v>0</v>
      </c>
      <c r="DH423" s="1119">
        <f t="shared" si="640"/>
        <v>0</v>
      </c>
      <c r="DI423" s="1119"/>
      <c r="DJ423" s="101">
        <f t="shared" si="716"/>
        <v>20.666666666666668</v>
      </c>
      <c r="DK423" s="101"/>
      <c r="DL423" s="101">
        <f t="shared" si="715"/>
        <v>0</v>
      </c>
      <c r="DM423" s="101"/>
      <c r="DN423" s="112"/>
      <c r="DO423" s="112"/>
      <c r="DP423" s="112"/>
      <c r="DQ423" s="112"/>
      <c r="DS423" s="140"/>
      <c r="DT423" s="140"/>
      <c r="DU423" s="140"/>
      <c r="DV423" s="140"/>
      <c r="DW423" s="140"/>
      <c r="DX423" s="140"/>
      <c r="DY423" s="140"/>
      <c r="DZ423" s="140"/>
    </row>
    <row r="424" spans="1:130" s="139" customFormat="1" ht="21.6" customHeight="1" x14ac:dyDescent="0.25">
      <c r="A424" s="4"/>
      <c r="B424" s="4"/>
      <c r="C424" s="176" t="s">
        <v>237</v>
      </c>
      <c r="D424" s="176" t="s">
        <v>437</v>
      </c>
      <c r="E424" s="3" t="s">
        <v>436</v>
      </c>
      <c r="F424" s="135"/>
      <c r="G424" s="135"/>
      <c r="H424" s="135"/>
      <c r="I424" s="135"/>
      <c r="J424" s="135"/>
      <c r="K424" s="135"/>
      <c r="L424" s="183"/>
      <c r="M424" s="5"/>
      <c r="N424" s="177"/>
      <c r="O424" s="5"/>
      <c r="P424" s="7"/>
      <c r="Q424" s="7"/>
      <c r="R424" s="7"/>
      <c r="S424" s="7"/>
      <c r="T424" s="89"/>
      <c r="U424" s="89"/>
      <c r="V424" s="89">
        <f t="shared" si="694"/>
        <v>0</v>
      </c>
      <c r="W424" s="137"/>
      <c r="X424" s="137"/>
      <c r="Y424" s="90">
        <f t="shared" si="695"/>
        <v>0</v>
      </c>
      <c r="Z424" s="91"/>
      <c r="AA424" s="92"/>
      <c r="AB424" s="92"/>
      <c r="AC424" s="92">
        <f t="shared" si="683"/>
        <v>0</v>
      </c>
      <c r="AD424" s="93"/>
      <c r="AE424" s="93"/>
      <c r="AF424" s="94">
        <f t="shared" si="684"/>
        <v>0</v>
      </c>
      <c r="AG424" s="473"/>
      <c r="AH424" s="99"/>
      <c r="AI424" s="99"/>
      <c r="AJ424" s="138"/>
      <c r="AK424" s="138"/>
      <c r="AL424" s="106"/>
      <c r="AM424" s="105"/>
      <c r="AN424" s="105"/>
      <c r="AO424" s="106"/>
      <c r="AP424" s="105"/>
      <c r="AQ424" s="105">
        <f t="shared" si="698"/>
        <v>0</v>
      </c>
      <c r="AR424" s="106"/>
      <c r="AS424" s="97">
        <f t="shared" si="699"/>
        <v>0</v>
      </c>
      <c r="AT424" s="6"/>
      <c r="AU424" s="105"/>
      <c r="AV424" s="455">
        <f t="shared" si="700"/>
        <v>0</v>
      </c>
      <c r="AW424" s="496"/>
      <c r="AX424" s="508"/>
      <c r="AY424" s="498">
        <v>580</v>
      </c>
      <c r="AZ424" s="100">
        <f t="shared" si="685"/>
        <v>38.666666666666664</v>
      </c>
      <c r="BA424" s="101"/>
      <c r="BB424" s="100"/>
      <c r="BC424" s="100"/>
      <c r="BD424" s="101"/>
      <c r="BE424" s="105">
        <f t="shared" si="709"/>
        <v>38.666666666666664</v>
      </c>
      <c r="BF424" s="106"/>
      <c r="BG424" s="100">
        <f t="shared" si="710"/>
        <v>0</v>
      </c>
      <c r="BH424" s="106"/>
      <c r="BI424" s="100">
        <f t="shared" si="711"/>
        <v>0</v>
      </c>
      <c r="BJ424" s="106"/>
      <c r="BK424" s="101">
        <f t="shared" si="687"/>
        <v>38.666666666666664</v>
      </c>
      <c r="BL424" s="106"/>
      <c r="BM424" s="104">
        <v>1940</v>
      </c>
      <c r="BN424" s="104">
        <f t="shared" si="701"/>
        <v>38.799999999999997</v>
      </c>
      <c r="BO424" s="105">
        <v>1900</v>
      </c>
      <c r="BP424" s="105">
        <f t="shared" si="702"/>
        <v>38</v>
      </c>
      <c r="BQ424" s="106"/>
      <c r="BR424" s="105"/>
      <c r="BS424" s="105">
        <f t="shared" si="688"/>
        <v>0</v>
      </c>
      <c r="BT424" s="106"/>
      <c r="BU424" s="53"/>
      <c r="BV424" s="53">
        <f t="shared" si="703"/>
        <v>0</v>
      </c>
      <c r="BW424" s="54"/>
      <c r="BX424" s="350">
        <f t="shared" si="704"/>
        <v>38</v>
      </c>
      <c r="BY424" s="6"/>
      <c r="BZ424" s="6">
        <f t="shared" si="705"/>
        <v>0.6666666666666643</v>
      </c>
      <c r="CA424" s="508"/>
      <c r="CB424" s="7"/>
      <c r="CC424" s="7"/>
      <c r="CD424" s="7"/>
      <c r="CE424" s="504"/>
      <c r="CF424" s="105"/>
      <c r="CG424" s="105">
        <f t="shared" si="689"/>
        <v>0</v>
      </c>
      <c r="CH424" s="105"/>
      <c r="CI424" s="105"/>
      <c r="CJ424" s="105">
        <f t="shared" si="690"/>
        <v>0</v>
      </c>
      <c r="CK424" s="523"/>
      <c r="CL424" s="102">
        <f t="shared" si="706"/>
        <v>0</v>
      </c>
      <c r="CM424" s="103"/>
      <c r="CN424" s="100"/>
      <c r="CO424" s="100">
        <f t="shared" si="691"/>
        <v>0</v>
      </c>
      <c r="CP424" s="515"/>
      <c r="CQ424" s="441"/>
      <c r="CR424" s="504"/>
      <c r="CS424" s="105"/>
      <c r="CT424" s="105">
        <f t="shared" si="707"/>
        <v>0</v>
      </c>
      <c r="CU424" s="105"/>
      <c r="CV424" s="105"/>
      <c r="CW424" s="105">
        <f t="shared" si="712"/>
        <v>0</v>
      </c>
      <c r="CX424" s="53"/>
      <c r="CY424" s="109">
        <f t="shared" si="713"/>
        <v>0</v>
      </c>
      <c r="CZ424" s="54"/>
      <c r="DA424" s="105"/>
      <c r="DB424" s="455">
        <f t="shared" si="708"/>
        <v>0</v>
      </c>
      <c r="DC424" s="495"/>
      <c r="DD424" s="24"/>
      <c r="DF424" s="1133"/>
      <c r="DG424" s="674">
        <f t="shared" si="714"/>
        <v>0</v>
      </c>
      <c r="DH424" s="1119">
        <f t="shared" si="640"/>
        <v>0</v>
      </c>
      <c r="DI424" s="1119"/>
      <c r="DJ424" s="101">
        <f t="shared" si="716"/>
        <v>38.666666666666664</v>
      </c>
      <c r="DK424" s="101"/>
      <c r="DL424" s="101">
        <f t="shared" si="715"/>
        <v>0</v>
      </c>
      <c r="DM424" s="101"/>
      <c r="DN424" s="112"/>
      <c r="DO424" s="112">
        <f>DJ424</f>
        <v>38.666666666666664</v>
      </c>
      <c r="DP424" s="112"/>
      <c r="DQ424" s="112"/>
      <c r="DS424" s="140"/>
      <c r="DT424" s="140"/>
      <c r="DU424" s="140"/>
      <c r="DV424" s="140"/>
      <c r="DW424" s="140"/>
      <c r="DX424" s="140"/>
      <c r="DY424" s="140"/>
      <c r="DZ424" s="140"/>
    </row>
    <row r="425" spans="1:130" s="139" customFormat="1" ht="21.6" customHeight="1" x14ac:dyDescent="0.25">
      <c r="A425" s="4"/>
      <c r="B425" s="4"/>
      <c r="C425" s="175" t="s">
        <v>237</v>
      </c>
      <c r="D425" s="176" t="s">
        <v>437</v>
      </c>
      <c r="E425" s="3" t="s">
        <v>463</v>
      </c>
      <c r="F425" s="135"/>
      <c r="G425" s="135"/>
      <c r="H425" s="135"/>
      <c r="I425" s="135"/>
      <c r="J425" s="135"/>
      <c r="K425" s="135"/>
      <c r="L425" s="183"/>
      <c r="M425" s="5"/>
      <c r="N425" s="177"/>
      <c r="O425" s="5"/>
      <c r="P425" s="7"/>
      <c r="Q425" s="7"/>
      <c r="R425" s="7"/>
      <c r="S425" s="7"/>
      <c r="T425" s="89"/>
      <c r="U425" s="89"/>
      <c r="V425" s="89">
        <f t="shared" si="694"/>
        <v>0</v>
      </c>
      <c r="W425" s="137"/>
      <c r="X425" s="137"/>
      <c r="Y425" s="90">
        <f t="shared" si="695"/>
        <v>0</v>
      </c>
      <c r="Z425" s="91"/>
      <c r="AA425" s="92"/>
      <c r="AB425" s="92"/>
      <c r="AC425" s="92">
        <f t="shared" si="683"/>
        <v>0</v>
      </c>
      <c r="AD425" s="93"/>
      <c r="AE425" s="93"/>
      <c r="AF425" s="94">
        <f t="shared" si="684"/>
        <v>0</v>
      </c>
      <c r="AG425" s="473"/>
      <c r="AH425" s="99"/>
      <c r="AI425" s="99"/>
      <c r="AJ425" s="138"/>
      <c r="AK425" s="138"/>
      <c r="AL425" s="106"/>
      <c r="AM425" s="105"/>
      <c r="AN425" s="105"/>
      <c r="AO425" s="106"/>
      <c r="AP425" s="105"/>
      <c r="AQ425" s="105">
        <f t="shared" si="698"/>
        <v>0</v>
      </c>
      <c r="AR425" s="106"/>
      <c r="AS425" s="97">
        <f t="shared" si="699"/>
        <v>0</v>
      </c>
      <c r="AT425" s="6"/>
      <c r="AU425" s="105"/>
      <c r="AV425" s="455">
        <f t="shared" si="700"/>
        <v>0</v>
      </c>
      <c r="AW425" s="496"/>
      <c r="AX425" s="508"/>
      <c r="AY425" s="498">
        <v>705</v>
      </c>
      <c r="AZ425" s="100">
        <f t="shared" si="685"/>
        <v>47</v>
      </c>
      <c r="BA425" s="101"/>
      <c r="BB425" s="100"/>
      <c r="BC425" s="100"/>
      <c r="BD425" s="101"/>
      <c r="BE425" s="105">
        <f t="shared" si="709"/>
        <v>47</v>
      </c>
      <c r="BF425" s="106"/>
      <c r="BG425" s="100">
        <f t="shared" si="710"/>
        <v>0</v>
      </c>
      <c r="BH425" s="106"/>
      <c r="BI425" s="100">
        <f t="shared" si="711"/>
        <v>0</v>
      </c>
      <c r="BJ425" s="106"/>
      <c r="BK425" s="101">
        <f t="shared" si="687"/>
        <v>47</v>
      </c>
      <c r="BL425" s="106"/>
      <c r="BM425" s="104">
        <v>2337.5</v>
      </c>
      <c r="BN425" s="104">
        <f t="shared" si="701"/>
        <v>46.75</v>
      </c>
      <c r="BO425" s="105">
        <v>2300</v>
      </c>
      <c r="BP425" s="105">
        <f t="shared" si="702"/>
        <v>46</v>
      </c>
      <c r="BQ425" s="106"/>
      <c r="BR425" s="105"/>
      <c r="BS425" s="105">
        <f t="shared" si="688"/>
        <v>0</v>
      </c>
      <c r="BT425" s="106"/>
      <c r="BU425" s="53"/>
      <c r="BV425" s="53">
        <f t="shared" si="703"/>
        <v>0</v>
      </c>
      <c r="BW425" s="54"/>
      <c r="BX425" s="350">
        <f t="shared" si="704"/>
        <v>46</v>
      </c>
      <c r="BY425" s="6"/>
      <c r="BZ425" s="6">
        <f t="shared" si="705"/>
        <v>1</v>
      </c>
      <c r="CA425" s="508"/>
      <c r="CB425" s="7"/>
      <c r="CC425" s="7"/>
      <c r="CD425" s="7"/>
      <c r="CE425" s="504"/>
      <c r="CF425" s="105"/>
      <c r="CG425" s="105">
        <f t="shared" si="689"/>
        <v>0</v>
      </c>
      <c r="CH425" s="105"/>
      <c r="CI425" s="105"/>
      <c r="CJ425" s="105">
        <f t="shared" si="690"/>
        <v>0</v>
      </c>
      <c r="CK425" s="523"/>
      <c r="CL425" s="102">
        <f t="shared" si="706"/>
        <v>0</v>
      </c>
      <c r="CM425" s="103"/>
      <c r="CN425" s="100"/>
      <c r="CO425" s="100">
        <f t="shared" si="691"/>
        <v>0</v>
      </c>
      <c r="CP425" s="515"/>
      <c r="CQ425" s="441"/>
      <c r="CR425" s="504"/>
      <c r="CS425" s="105"/>
      <c r="CT425" s="105">
        <f t="shared" si="707"/>
        <v>0</v>
      </c>
      <c r="CU425" s="105"/>
      <c r="CV425" s="105"/>
      <c r="CW425" s="105">
        <f t="shared" si="712"/>
        <v>0</v>
      </c>
      <c r="CX425" s="53"/>
      <c r="CY425" s="109">
        <f t="shared" si="713"/>
        <v>0</v>
      </c>
      <c r="CZ425" s="54"/>
      <c r="DA425" s="105"/>
      <c r="DB425" s="455">
        <f t="shared" si="708"/>
        <v>0</v>
      </c>
      <c r="DC425" s="495"/>
      <c r="DD425" s="24"/>
      <c r="DF425" s="1133"/>
      <c r="DG425" s="674">
        <f t="shared" si="714"/>
        <v>0</v>
      </c>
      <c r="DH425" s="1119">
        <f t="shared" si="640"/>
        <v>0</v>
      </c>
      <c r="DI425" s="1119"/>
      <c r="DJ425" s="101">
        <f t="shared" si="716"/>
        <v>47</v>
      </c>
      <c r="DK425" s="101"/>
      <c r="DL425" s="101">
        <f t="shared" si="715"/>
        <v>0</v>
      </c>
      <c r="DM425" s="101"/>
      <c r="DN425" s="112"/>
      <c r="DO425" s="112">
        <f>DJ425</f>
        <v>47</v>
      </c>
      <c r="DP425" s="112"/>
      <c r="DQ425" s="112"/>
      <c r="DS425" s="140"/>
      <c r="DT425" s="140"/>
      <c r="DU425" s="140"/>
      <c r="DV425" s="140"/>
      <c r="DW425" s="140"/>
      <c r="DX425" s="140"/>
      <c r="DY425" s="140"/>
      <c r="DZ425" s="140"/>
    </row>
    <row r="426" spans="1:130" s="139" customFormat="1" ht="21.6" customHeight="1" x14ac:dyDescent="0.25">
      <c r="A426" s="4"/>
      <c r="B426" s="4"/>
      <c r="C426" s="176" t="s">
        <v>237</v>
      </c>
      <c r="D426" s="176" t="s">
        <v>431</v>
      </c>
      <c r="E426" s="3" t="s">
        <v>323</v>
      </c>
      <c r="F426" s="135"/>
      <c r="G426" s="135"/>
      <c r="H426" s="135"/>
      <c r="I426" s="135"/>
      <c r="J426" s="135"/>
      <c r="K426" s="135"/>
      <c r="L426" s="183"/>
      <c r="M426" s="5"/>
      <c r="N426" s="177"/>
      <c r="O426" s="5"/>
      <c r="P426" s="7"/>
      <c r="Q426" s="7"/>
      <c r="R426" s="7"/>
      <c r="S426" s="7"/>
      <c r="T426" s="89"/>
      <c r="U426" s="89"/>
      <c r="V426" s="89">
        <f t="shared" si="694"/>
        <v>0</v>
      </c>
      <c r="W426" s="137"/>
      <c r="X426" s="137"/>
      <c r="Y426" s="90">
        <f t="shared" si="695"/>
        <v>0</v>
      </c>
      <c r="Z426" s="91"/>
      <c r="AA426" s="92"/>
      <c r="AB426" s="92"/>
      <c r="AC426" s="92">
        <f t="shared" si="683"/>
        <v>0</v>
      </c>
      <c r="AD426" s="93"/>
      <c r="AE426" s="93"/>
      <c r="AF426" s="94">
        <f t="shared" si="684"/>
        <v>0</v>
      </c>
      <c r="AG426" s="473"/>
      <c r="AH426" s="99"/>
      <c r="AI426" s="99">
        <f t="shared" ref="AI426:AI434" si="717">AH426/15</f>
        <v>0</v>
      </c>
      <c r="AJ426" s="138"/>
      <c r="AK426" s="138">
        <f>AJ426/15</f>
        <v>0</v>
      </c>
      <c r="AL426" s="106"/>
      <c r="AM426" s="105"/>
      <c r="AN426" s="105">
        <f t="shared" ref="AN426:AN434" si="718">AM426/15</f>
        <v>0</v>
      </c>
      <c r="AO426" s="106"/>
      <c r="AP426" s="105"/>
      <c r="AQ426" s="105">
        <f t="shared" si="698"/>
        <v>0</v>
      </c>
      <c r="AR426" s="106"/>
      <c r="AS426" s="97">
        <f t="shared" si="699"/>
        <v>0</v>
      </c>
      <c r="AT426" s="6"/>
      <c r="AU426" s="105"/>
      <c r="AV426" s="455">
        <f t="shared" si="700"/>
        <v>0</v>
      </c>
      <c r="AW426" s="496"/>
      <c r="AX426" s="508"/>
      <c r="AY426" s="498">
        <v>360</v>
      </c>
      <c r="AZ426" s="100">
        <f t="shared" si="685"/>
        <v>24</v>
      </c>
      <c r="BA426" s="101"/>
      <c r="BB426" s="100"/>
      <c r="BC426" s="100">
        <f t="shared" ref="BC426:BC434" si="719">BB426/15</f>
        <v>0</v>
      </c>
      <c r="BD426" s="101"/>
      <c r="BE426" s="105">
        <f t="shared" si="709"/>
        <v>24</v>
      </c>
      <c r="BF426" s="106"/>
      <c r="BG426" s="100">
        <f t="shared" si="710"/>
        <v>0</v>
      </c>
      <c r="BH426" s="106"/>
      <c r="BI426" s="100">
        <f t="shared" si="711"/>
        <v>0</v>
      </c>
      <c r="BJ426" s="106"/>
      <c r="BK426" s="101">
        <f t="shared" si="687"/>
        <v>24</v>
      </c>
      <c r="BL426" s="106"/>
      <c r="BM426" s="104">
        <v>1216.5</v>
      </c>
      <c r="BN426" s="104">
        <f t="shared" si="701"/>
        <v>24.33</v>
      </c>
      <c r="BO426" s="105">
        <v>1200</v>
      </c>
      <c r="BP426" s="105">
        <f t="shared" si="702"/>
        <v>24</v>
      </c>
      <c r="BQ426" s="106"/>
      <c r="BR426" s="105"/>
      <c r="BS426" s="105">
        <f t="shared" si="688"/>
        <v>0</v>
      </c>
      <c r="BT426" s="106"/>
      <c r="BU426" s="53"/>
      <c r="BV426" s="53">
        <f t="shared" si="703"/>
        <v>0</v>
      </c>
      <c r="BW426" s="54"/>
      <c r="BX426" s="350">
        <f t="shared" si="704"/>
        <v>24</v>
      </c>
      <c r="BY426" s="6"/>
      <c r="BZ426" s="6">
        <f t="shared" si="705"/>
        <v>0</v>
      </c>
      <c r="CA426" s="508"/>
      <c r="CB426" s="7"/>
      <c r="CC426" s="7"/>
      <c r="CD426" s="7"/>
      <c r="CE426" s="504"/>
      <c r="CF426" s="105"/>
      <c r="CG426" s="105">
        <f t="shared" si="689"/>
        <v>0</v>
      </c>
      <c r="CH426" s="105"/>
      <c r="CI426" s="105"/>
      <c r="CJ426" s="105">
        <f t="shared" si="690"/>
        <v>0</v>
      </c>
      <c r="CK426" s="523"/>
      <c r="CL426" s="102">
        <f t="shared" si="706"/>
        <v>0</v>
      </c>
      <c r="CM426" s="103"/>
      <c r="CN426" s="100"/>
      <c r="CO426" s="100">
        <f t="shared" si="691"/>
        <v>0</v>
      </c>
      <c r="CP426" s="515"/>
      <c r="CQ426" s="441"/>
      <c r="CR426" s="504"/>
      <c r="CS426" s="105"/>
      <c r="CT426" s="105">
        <f t="shared" si="707"/>
        <v>0</v>
      </c>
      <c r="CU426" s="105"/>
      <c r="CV426" s="105"/>
      <c r="CW426" s="105">
        <f t="shared" si="712"/>
        <v>0</v>
      </c>
      <c r="CX426" s="53"/>
      <c r="CY426" s="109">
        <f t="shared" si="713"/>
        <v>0</v>
      </c>
      <c r="CZ426" s="54"/>
      <c r="DA426" s="105"/>
      <c r="DB426" s="455">
        <f t="shared" si="708"/>
        <v>0</v>
      </c>
      <c r="DC426" s="495"/>
      <c r="DD426" s="24"/>
      <c r="DF426" s="1133"/>
      <c r="DG426" s="674">
        <f t="shared" si="714"/>
        <v>0</v>
      </c>
      <c r="DH426" s="1119">
        <f t="shared" si="640"/>
        <v>0</v>
      </c>
      <c r="DI426" s="1119"/>
      <c r="DJ426" s="101">
        <f t="shared" si="716"/>
        <v>24</v>
      </c>
      <c r="DK426" s="101"/>
      <c r="DL426" s="101">
        <f t="shared" si="715"/>
        <v>0</v>
      </c>
      <c r="DM426" s="101"/>
      <c r="DN426" s="112"/>
      <c r="DO426" s="112"/>
      <c r="DP426" s="112"/>
      <c r="DQ426" s="112"/>
      <c r="DS426" s="140"/>
      <c r="DT426" s="140"/>
      <c r="DU426" s="140"/>
      <c r="DV426" s="140"/>
      <c r="DW426" s="140"/>
      <c r="DX426" s="140"/>
      <c r="DY426" s="140"/>
      <c r="DZ426" s="140"/>
    </row>
    <row r="427" spans="1:130" s="139" customFormat="1" ht="33.75" customHeight="1" x14ac:dyDescent="0.25">
      <c r="A427" s="4"/>
      <c r="B427" s="4"/>
      <c r="C427" s="176" t="s">
        <v>237</v>
      </c>
      <c r="D427" s="176" t="s">
        <v>431</v>
      </c>
      <c r="E427" s="3" t="s">
        <v>325</v>
      </c>
      <c r="F427" s="135"/>
      <c r="G427" s="135"/>
      <c r="H427" s="135"/>
      <c r="I427" s="135"/>
      <c r="J427" s="135"/>
      <c r="K427" s="135"/>
      <c r="L427" s="183"/>
      <c r="M427" s="5"/>
      <c r="N427" s="177"/>
      <c r="O427" s="5"/>
      <c r="P427" s="7"/>
      <c r="Q427" s="7"/>
      <c r="R427" s="7"/>
      <c r="S427" s="7"/>
      <c r="T427" s="89"/>
      <c r="U427" s="89"/>
      <c r="V427" s="89">
        <f t="shared" si="694"/>
        <v>0</v>
      </c>
      <c r="W427" s="137"/>
      <c r="X427" s="137"/>
      <c r="Y427" s="90">
        <f t="shared" si="695"/>
        <v>0</v>
      </c>
      <c r="Z427" s="91"/>
      <c r="AA427" s="92"/>
      <c r="AB427" s="92"/>
      <c r="AC427" s="92">
        <f t="shared" si="683"/>
        <v>0</v>
      </c>
      <c r="AD427" s="93"/>
      <c r="AE427" s="93"/>
      <c r="AF427" s="94">
        <f t="shared" si="684"/>
        <v>0</v>
      </c>
      <c r="AG427" s="473"/>
      <c r="AH427" s="99">
        <v>325</v>
      </c>
      <c r="AI427" s="99">
        <f t="shared" si="717"/>
        <v>21.666666666666668</v>
      </c>
      <c r="AJ427" s="138">
        <v>320</v>
      </c>
      <c r="AK427" s="138">
        <f>AJ427/15</f>
        <v>21.333333333333332</v>
      </c>
      <c r="AL427" s="106"/>
      <c r="AM427" s="105"/>
      <c r="AN427" s="105">
        <f t="shared" si="718"/>
        <v>0</v>
      </c>
      <c r="AO427" s="106"/>
      <c r="AP427" s="105"/>
      <c r="AQ427" s="105">
        <f t="shared" si="698"/>
        <v>0</v>
      </c>
      <c r="AR427" s="106"/>
      <c r="AS427" s="97">
        <f t="shared" si="699"/>
        <v>21.333333333333332</v>
      </c>
      <c r="AT427" s="6"/>
      <c r="AU427" s="105"/>
      <c r="AV427" s="455">
        <f t="shared" si="700"/>
        <v>0</v>
      </c>
      <c r="AW427" s="496"/>
      <c r="AX427" s="508"/>
      <c r="AY427" s="498"/>
      <c r="AZ427" s="100">
        <f t="shared" si="685"/>
        <v>0</v>
      </c>
      <c r="BA427" s="101"/>
      <c r="BB427" s="100"/>
      <c r="BC427" s="100">
        <f t="shared" si="719"/>
        <v>0</v>
      </c>
      <c r="BD427" s="101"/>
      <c r="BE427" s="105">
        <f t="shared" si="709"/>
        <v>21.333333333333332</v>
      </c>
      <c r="BF427" s="106"/>
      <c r="BG427" s="100">
        <f t="shared" si="710"/>
        <v>0</v>
      </c>
      <c r="BH427" s="106"/>
      <c r="BI427" s="100">
        <f t="shared" si="711"/>
        <v>0</v>
      </c>
      <c r="BJ427" s="106"/>
      <c r="BK427" s="101">
        <f t="shared" si="687"/>
        <v>21.333333333333332</v>
      </c>
      <c r="BL427" s="106"/>
      <c r="BM427" s="104">
        <v>1079</v>
      </c>
      <c r="BN427" s="104">
        <f t="shared" si="701"/>
        <v>21.58</v>
      </c>
      <c r="BO427" s="105">
        <v>1050</v>
      </c>
      <c r="BP427" s="105">
        <f t="shared" si="702"/>
        <v>21</v>
      </c>
      <c r="BQ427" s="106"/>
      <c r="BR427" s="105"/>
      <c r="BS427" s="105">
        <f t="shared" si="688"/>
        <v>0</v>
      </c>
      <c r="BT427" s="106"/>
      <c r="BU427" s="53"/>
      <c r="BV427" s="53">
        <f t="shared" si="703"/>
        <v>0</v>
      </c>
      <c r="BW427" s="54"/>
      <c r="BX427" s="350">
        <f t="shared" si="704"/>
        <v>21</v>
      </c>
      <c r="BY427" s="6"/>
      <c r="BZ427" s="6">
        <f t="shared" si="705"/>
        <v>0.33333333333333215</v>
      </c>
      <c r="CA427" s="508"/>
      <c r="CB427" s="7"/>
      <c r="CC427" s="7"/>
      <c r="CD427" s="7"/>
      <c r="CE427" s="504"/>
      <c r="CF427" s="105"/>
      <c r="CG427" s="105">
        <f t="shared" si="689"/>
        <v>0</v>
      </c>
      <c r="CH427" s="105"/>
      <c r="CI427" s="105"/>
      <c r="CJ427" s="105">
        <f t="shared" si="690"/>
        <v>0</v>
      </c>
      <c r="CK427" s="523"/>
      <c r="CL427" s="102">
        <f t="shared" si="706"/>
        <v>0</v>
      </c>
      <c r="CM427" s="103"/>
      <c r="CN427" s="100"/>
      <c r="CO427" s="100">
        <f t="shared" si="691"/>
        <v>0</v>
      </c>
      <c r="CP427" s="515"/>
      <c r="CQ427" s="441"/>
      <c r="CR427" s="504"/>
      <c r="CS427" s="105"/>
      <c r="CT427" s="105">
        <f t="shared" si="707"/>
        <v>0</v>
      </c>
      <c r="CU427" s="105"/>
      <c r="CV427" s="105"/>
      <c r="CW427" s="105">
        <f t="shared" si="712"/>
        <v>0</v>
      </c>
      <c r="CX427" s="53"/>
      <c r="CY427" s="109">
        <f t="shared" si="713"/>
        <v>0</v>
      </c>
      <c r="CZ427" s="54"/>
      <c r="DA427" s="105"/>
      <c r="DB427" s="455">
        <f t="shared" si="708"/>
        <v>0</v>
      </c>
      <c r="DC427" s="495"/>
      <c r="DD427" s="24"/>
      <c r="DF427" s="1133"/>
      <c r="DG427" s="674">
        <f t="shared" si="714"/>
        <v>0</v>
      </c>
      <c r="DH427" s="1119">
        <f t="shared" ref="DH427:DH455" si="720">BC427+CL427+CO427</f>
        <v>0</v>
      </c>
      <c r="DI427" s="1119"/>
      <c r="DJ427" s="101">
        <f t="shared" si="716"/>
        <v>21.333333333333332</v>
      </c>
      <c r="DK427" s="101"/>
      <c r="DL427" s="101">
        <f t="shared" si="715"/>
        <v>0</v>
      </c>
      <c r="DM427" s="101"/>
      <c r="DN427" s="112"/>
      <c r="DO427" s="112"/>
      <c r="DP427" s="112"/>
      <c r="DQ427" s="112"/>
      <c r="DS427" s="140"/>
      <c r="DT427" s="140"/>
      <c r="DU427" s="140"/>
      <c r="DV427" s="140"/>
      <c r="DW427" s="140"/>
      <c r="DX427" s="140"/>
      <c r="DY427" s="140"/>
      <c r="DZ427" s="140"/>
    </row>
    <row r="428" spans="1:130" s="139" customFormat="1" ht="21.6" customHeight="1" x14ac:dyDescent="0.25">
      <c r="A428" s="4"/>
      <c r="B428" s="4"/>
      <c r="C428" s="176" t="s">
        <v>237</v>
      </c>
      <c r="D428" s="176" t="s">
        <v>431</v>
      </c>
      <c r="E428" s="3" t="s">
        <v>324</v>
      </c>
      <c r="F428" s="135"/>
      <c r="G428" s="135"/>
      <c r="H428" s="135"/>
      <c r="I428" s="135"/>
      <c r="J428" s="135"/>
      <c r="K428" s="135"/>
      <c r="L428" s="183"/>
      <c r="M428" s="5"/>
      <c r="N428" s="177"/>
      <c r="O428" s="5"/>
      <c r="P428" s="7"/>
      <c r="Q428" s="7"/>
      <c r="R428" s="7"/>
      <c r="S428" s="7"/>
      <c r="T428" s="89"/>
      <c r="U428" s="89"/>
      <c r="V428" s="89">
        <f t="shared" si="694"/>
        <v>0</v>
      </c>
      <c r="W428" s="137"/>
      <c r="X428" s="137"/>
      <c r="Y428" s="90">
        <f t="shared" si="695"/>
        <v>0</v>
      </c>
      <c r="Z428" s="91"/>
      <c r="AA428" s="92"/>
      <c r="AB428" s="92"/>
      <c r="AC428" s="92">
        <f t="shared" si="683"/>
        <v>0</v>
      </c>
      <c r="AD428" s="93"/>
      <c r="AE428" s="93"/>
      <c r="AF428" s="94">
        <f t="shared" si="684"/>
        <v>0</v>
      </c>
      <c r="AG428" s="473"/>
      <c r="AH428" s="99"/>
      <c r="AI428" s="99">
        <f t="shared" si="717"/>
        <v>0</v>
      </c>
      <c r="AJ428" s="138"/>
      <c r="AK428" s="138">
        <f>AJ428/15</f>
        <v>0</v>
      </c>
      <c r="AL428" s="106"/>
      <c r="AM428" s="105"/>
      <c r="AN428" s="105">
        <f t="shared" si="718"/>
        <v>0</v>
      </c>
      <c r="AO428" s="106"/>
      <c r="AP428" s="105"/>
      <c r="AQ428" s="105">
        <f t="shared" si="698"/>
        <v>0</v>
      </c>
      <c r="AR428" s="106"/>
      <c r="AS428" s="97">
        <f t="shared" si="699"/>
        <v>0</v>
      </c>
      <c r="AT428" s="6"/>
      <c r="AU428" s="105"/>
      <c r="AV428" s="455">
        <f t="shared" si="700"/>
        <v>0</v>
      </c>
      <c r="AW428" s="496"/>
      <c r="AX428" s="508"/>
      <c r="AY428" s="498">
        <v>285</v>
      </c>
      <c r="AZ428" s="100">
        <f t="shared" si="685"/>
        <v>19</v>
      </c>
      <c r="BA428" s="101"/>
      <c r="BB428" s="100"/>
      <c r="BC428" s="100">
        <f t="shared" si="719"/>
        <v>0</v>
      </c>
      <c r="BD428" s="101"/>
      <c r="BE428" s="105">
        <f t="shared" si="709"/>
        <v>19</v>
      </c>
      <c r="BF428" s="106"/>
      <c r="BG428" s="100">
        <f t="shared" si="710"/>
        <v>0</v>
      </c>
      <c r="BH428" s="106"/>
      <c r="BI428" s="100">
        <f t="shared" si="711"/>
        <v>0</v>
      </c>
      <c r="BJ428" s="106"/>
      <c r="BK428" s="101">
        <f t="shared" si="687"/>
        <v>19</v>
      </c>
      <c r="BL428" s="106"/>
      <c r="BM428" s="104">
        <v>950</v>
      </c>
      <c r="BN428" s="104">
        <f t="shared" si="701"/>
        <v>19</v>
      </c>
      <c r="BO428" s="105">
        <v>950</v>
      </c>
      <c r="BP428" s="105">
        <f t="shared" si="702"/>
        <v>19</v>
      </c>
      <c r="BQ428" s="106"/>
      <c r="BR428" s="105"/>
      <c r="BS428" s="105">
        <f t="shared" si="688"/>
        <v>0</v>
      </c>
      <c r="BT428" s="106"/>
      <c r="BU428" s="53"/>
      <c r="BV428" s="53">
        <f t="shared" si="703"/>
        <v>0</v>
      </c>
      <c r="BW428" s="54"/>
      <c r="BX428" s="350">
        <f t="shared" si="704"/>
        <v>19</v>
      </c>
      <c r="BY428" s="6"/>
      <c r="BZ428" s="6">
        <f t="shared" si="705"/>
        <v>0</v>
      </c>
      <c r="CA428" s="508"/>
      <c r="CB428" s="7"/>
      <c r="CC428" s="7"/>
      <c r="CD428" s="7"/>
      <c r="CE428" s="504"/>
      <c r="CF428" s="105"/>
      <c r="CG428" s="105">
        <f t="shared" si="689"/>
        <v>0</v>
      </c>
      <c r="CH428" s="105"/>
      <c r="CI428" s="105"/>
      <c r="CJ428" s="105">
        <f t="shared" si="690"/>
        <v>0</v>
      </c>
      <c r="CK428" s="523"/>
      <c r="CL428" s="102">
        <f t="shared" si="706"/>
        <v>0</v>
      </c>
      <c r="CM428" s="103"/>
      <c r="CN428" s="100"/>
      <c r="CO428" s="100">
        <f t="shared" si="691"/>
        <v>0</v>
      </c>
      <c r="CP428" s="515"/>
      <c r="CQ428" s="441"/>
      <c r="CR428" s="504"/>
      <c r="CS428" s="105"/>
      <c r="CT428" s="105">
        <f t="shared" si="707"/>
        <v>0</v>
      </c>
      <c r="CU428" s="105"/>
      <c r="CV428" s="105"/>
      <c r="CW428" s="105">
        <f t="shared" si="712"/>
        <v>0</v>
      </c>
      <c r="CX428" s="53"/>
      <c r="CY428" s="109">
        <f t="shared" si="713"/>
        <v>0</v>
      </c>
      <c r="CZ428" s="54"/>
      <c r="DA428" s="105"/>
      <c r="DB428" s="455">
        <f t="shared" si="708"/>
        <v>0</v>
      </c>
      <c r="DC428" s="495"/>
      <c r="DD428" s="24"/>
      <c r="DF428" s="1133"/>
      <c r="DG428" s="674">
        <f t="shared" si="714"/>
        <v>0</v>
      </c>
      <c r="DH428" s="1119">
        <f t="shared" si="720"/>
        <v>0</v>
      </c>
      <c r="DI428" s="1119"/>
      <c r="DJ428" s="101">
        <f t="shared" si="716"/>
        <v>19</v>
      </c>
      <c r="DK428" s="101"/>
      <c r="DL428" s="101">
        <f t="shared" si="715"/>
        <v>0</v>
      </c>
      <c r="DM428" s="101"/>
      <c r="DN428" s="112"/>
      <c r="DO428" s="112"/>
      <c r="DP428" s="112"/>
      <c r="DQ428" s="112"/>
      <c r="DS428" s="140"/>
      <c r="DT428" s="140"/>
      <c r="DU428" s="140"/>
      <c r="DV428" s="140"/>
      <c r="DW428" s="140"/>
      <c r="DX428" s="140"/>
      <c r="DY428" s="140"/>
      <c r="DZ428" s="140"/>
    </row>
    <row r="429" spans="1:130" s="139" customFormat="1" ht="28.5" customHeight="1" x14ac:dyDescent="0.25">
      <c r="A429" s="4"/>
      <c r="B429" s="4"/>
      <c r="C429" s="176" t="s">
        <v>237</v>
      </c>
      <c r="D429" s="176" t="s">
        <v>431</v>
      </c>
      <c r="E429" s="3" t="s">
        <v>438</v>
      </c>
      <c r="F429" s="135"/>
      <c r="G429" s="135"/>
      <c r="H429" s="135"/>
      <c r="I429" s="135"/>
      <c r="J429" s="135"/>
      <c r="K429" s="135"/>
      <c r="L429" s="183"/>
      <c r="M429" s="5"/>
      <c r="N429" s="41"/>
      <c r="O429" s="6"/>
      <c r="P429" s="7"/>
      <c r="Q429" s="7"/>
      <c r="R429" s="7"/>
      <c r="S429" s="7"/>
      <c r="T429" s="89"/>
      <c r="U429" s="89"/>
      <c r="V429" s="89">
        <f t="shared" si="694"/>
        <v>0</v>
      </c>
      <c r="W429" s="137"/>
      <c r="X429" s="137"/>
      <c r="Y429" s="90">
        <f t="shared" si="695"/>
        <v>0</v>
      </c>
      <c r="Z429" s="91"/>
      <c r="AA429" s="92"/>
      <c r="AB429" s="92"/>
      <c r="AC429" s="92">
        <f t="shared" si="683"/>
        <v>0</v>
      </c>
      <c r="AD429" s="93"/>
      <c r="AE429" s="93"/>
      <c r="AF429" s="94">
        <f t="shared" si="684"/>
        <v>0</v>
      </c>
      <c r="AG429" s="473"/>
      <c r="AH429" s="99">
        <v>230</v>
      </c>
      <c r="AI429" s="99">
        <f t="shared" si="717"/>
        <v>15.333333333333334</v>
      </c>
      <c r="AJ429" s="138"/>
      <c r="AK429" s="138"/>
      <c r="AL429" s="106"/>
      <c r="AM429" s="105">
        <v>225</v>
      </c>
      <c r="AN429" s="105">
        <f t="shared" si="718"/>
        <v>15</v>
      </c>
      <c r="AO429" s="106"/>
      <c r="AP429" s="105"/>
      <c r="AQ429" s="105">
        <f t="shared" si="698"/>
        <v>0</v>
      </c>
      <c r="AR429" s="106"/>
      <c r="AS429" s="97">
        <f t="shared" si="699"/>
        <v>15</v>
      </c>
      <c r="AT429" s="6"/>
      <c r="AU429" s="105"/>
      <c r="AV429" s="455">
        <f t="shared" si="700"/>
        <v>0</v>
      </c>
      <c r="AW429" s="496"/>
      <c r="AX429" s="508"/>
      <c r="AY429" s="498"/>
      <c r="AZ429" s="100">
        <f t="shared" si="685"/>
        <v>0</v>
      </c>
      <c r="BA429" s="101"/>
      <c r="BB429" s="100"/>
      <c r="BC429" s="100">
        <f t="shared" si="719"/>
        <v>0</v>
      </c>
      <c r="BD429" s="101"/>
      <c r="BE429" s="105">
        <f t="shared" si="709"/>
        <v>0</v>
      </c>
      <c r="BF429" s="106"/>
      <c r="BG429" s="100">
        <f t="shared" si="710"/>
        <v>15</v>
      </c>
      <c r="BH429" s="106"/>
      <c r="BI429" s="100">
        <f t="shared" si="711"/>
        <v>0</v>
      </c>
      <c r="BJ429" s="106"/>
      <c r="BK429" s="101">
        <f t="shared" si="687"/>
        <v>15</v>
      </c>
      <c r="BL429" s="106"/>
      <c r="BM429" s="104"/>
      <c r="BN429" s="104">
        <f t="shared" si="701"/>
        <v>0</v>
      </c>
      <c r="BO429" s="105"/>
      <c r="BP429" s="105">
        <f t="shared" si="702"/>
        <v>0</v>
      </c>
      <c r="BQ429" s="106"/>
      <c r="BR429" s="105">
        <v>750</v>
      </c>
      <c r="BS429" s="105">
        <f t="shared" si="688"/>
        <v>15</v>
      </c>
      <c r="BT429" s="106"/>
      <c r="BU429" s="53"/>
      <c r="BV429" s="53">
        <f t="shared" si="703"/>
        <v>0</v>
      </c>
      <c r="BW429" s="54"/>
      <c r="BX429" s="350">
        <f t="shared" si="704"/>
        <v>15</v>
      </c>
      <c r="BY429" s="6"/>
      <c r="BZ429" s="6">
        <f t="shared" si="705"/>
        <v>0</v>
      </c>
      <c r="CA429" s="508"/>
      <c r="CB429" s="7"/>
      <c r="CC429" s="7"/>
      <c r="CD429" s="7"/>
      <c r="CE429" s="504"/>
      <c r="CF429" s="105"/>
      <c r="CG429" s="105">
        <f t="shared" si="689"/>
        <v>0</v>
      </c>
      <c r="CH429" s="105"/>
      <c r="CI429" s="105"/>
      <c r="CJ429" s="105">
        <f t="shared" si="690"/>
        <v>0</v>
      </c>
      <c r="CK429" s="523"/>
      <c r="CL429" s="102">
        <f t="shared" si="706"/>
        <v>0</v>
      </c>
      <c r="CM429" s="103"/>
      <c r="CN429" s="100"/>
      <c r="CO429" s="100">
        <f t="shared" si="691"/>
        <v>0</v>
      </c>
      <c r="CP429" s="515"/>
      <c r="CQ429" s="441"/>
      <c r="CR429" s="504"/>
      <c r="CS429" s="105"/>
      <c r="CT429" s="105">
        <f t="shared" si="707"/>
        <v>0</v>
      </c>
      <c r="CU429" s="105"/>
      <c r="CV429" s="105"/>
      <c r="CW429" s="105">
        <f t="shared" si="712"/>
        <v>0</v>
      </c>
      <c r="CX429" s="53"/>
      <c r="CY429" s="109">
        <f t="shared" si="713"/>
        <v>0</v>
      </c>
      <c r="CZ429" s="54"/>
      <c r="DA429" s="105"/>
      <c r="DB429" s="455">
        <f t="shared" si="708"/>
        <v>0</v>
      </c>
      <c r="DC429" s="495"/>
      <c r="DD429" s="24"/>
      <c r="DF429" s="1133"/>
      <c r="DG429" s="674">
        <f t="shared" si="714"/>
        <v>0</v>
      </c>
      <c r="DH429" s="1119">
        <f t="shared" si="720"/>
        <v>0</v>
      </c>
      <c r="DI429" s="1119"/>
      <c r="DJ429" s="101">
        <f t="shared" si="716"/>
        <v>15</v>
      </c>
      <c r="DK429" s="101"/>
      <c r="DL429" s="101">
        <f t="shared" si="715"/>
        <v>0</v>
      </c>
      <c r="DM429" s="101"/>
      <c r="DN429" s="112"/>
      <c r="DO429" s="112"/>
      <c r="DP429" s="112"/>
      <c r="DQ429" s="112"/>
      <c r="DS429" s="140"/>
      <c r="DT429" s="140"/>
      <c r="DU429" s="140"/>
      <c r="DV429" s="140"/>
      <c r="DW429" s="140"/>
      <c r="DX429" s="140"/>
      <c r="DY429" s="140"/>
      <c r="DZ429" s="140"/>
    </row>
    <row r="430" spans="1:130" s="139" customFormat="1" ht="21.6" customHeight="1" x14ac:dyDescent="0.25">
      <c r="A430" s="4"/>
      <c r="B430" s="4"/>
      <c r="C430" s="176" t="s">
        <v>237</v>
      </c>
      <c r="D430" s="176" t="s">
        <v>431</v>
      </c>
      <c r="E430" s="3" t="s">
        <v>441</v>
      </c>
      <c r="F430" s="135"/>
      <c r="G430" s="135"/>
      <c r="H430" s="135"/>
      <c r="I430" s="135"/>
      <c r="J430" s="135"/>
      <c r="K430" s="135"/>
      <c r="L430" s="183"/>
      <c r="M430" s="5"/>
      <c r="N430" s="41"/>
      <c r="O430" s="6"/>
      <c r="P430" s="7"/>
      <c r="Q430" s="7"/>
      <c r="R430" s="7"/>
      <c r="S430" s="7"/>
      <c r="T430" s="89"/>
      <c r="U430" s="89"/>
      <c r="V430" s="89">
        <f t="shared" si="694"/>
        <v>0</v>
      </c>
      <c r="W430" s="137"/>
      <c r="X430" s="137"/>
      <c r="Y430" s="90">
        <f t="shared" si="695"/>
        <v>0</v>
      </c>
      <c r="Z430" s="91"/>
      <c r="AA430" s="92"/>
      <c r="AB430" s="92"/>
      <c r="AC430" s="92">
        <f t="shared" si="683"/>
        <v>0</v>
      </c>
      <c r="AD430" s="93"/>
      <c r="AE430" s="93"/>
      <c r="AF430" s="94">
        <f t="shared" si="684"/>
        <v>0</v>
      </c>
      <c r="AG430" s="473"/>
      <c r="AH430" s="99">
        <v>448</v>
      </c>
      <c r="AI430" s="99">
        <f t="shared" si="717"/>
        <v>29.866666666666667</v>
      </c>
      <c r="AJ430" s="138"/>
      <c r="AK430" s="138"/>
      <c r="AL430" s="106"/>
      <c r="AM430" s="105">
        <v>445</v>
      </c>
      <c r="AN430" s="105">
        <f t="shared" si="718"/>
        <v>29.666666666666668</v>
      </c>
      <c r="AO430" s="106"/>
      <c r="AP430" s="105"/>
      <c r="AQ430" s="105">
        <f t="shared" si="698"/>
        <v>0</v>
      </c>
      <c r="AR430" s="106"/>
      <c r="AS430" s="97">
        <f t="shared" si="699"/>
        <v>29.666666666666668</v>
      </c>
      <c r="AT430" s="6"/>
      <c r="AU430" s="105"/>
      <c r="AV430" s="455">
        <f t="shared" si="700"/>
        <v>0</v>
      </c>
      <c r="AW430" s="496"/>
      <c r="AX430" s="508"/>
      <c r="AY430" s="498"/>
      <c r="AZ430" s="100">
        <f t="shared" si="685"/>
        <v>0</v>
      </c>
      <c r="BA430" s="101"/>
      <c r="BB430" s="100"/>
      <c r="BC430" s="100">
        <f t="shared" si="719"/>
        <v>0</v>
      </c>
      <c r="BD430" s="101"/>
      <c r="BE430" s="105">
        <f t="shared" si="709"/>
        <v>0</v>
      </c>
      <c r="BF430" s="106"/>
      <c r="BG430" s="100">
        <f t="shared" si="710"/>
        <v>29.666666666666668</v>
      </c>
      <c r="BH430" s="106"/>
      <c r="BI430" s="100">
        <f t="shared" si="711"/>
        <v>0</v>
      </c>
      <c r="BJ430" s="106"/>
      <c r="BK430" s="101">
        <f t="shared" si="687"/>
        <v>29.666666666666668</v>
      </c>
      <c r="BL430" s="106"/>
      <c r="BM430" s="104"/>
      <c r="BN430" s="104">
        <f t="shared" si="701"/>
        <v>0</v>
      </c>
      <c r="BO430" s="105"/>
      <c r="BP430" s="105">
        <f t="shared" si="702"/>
        <v>0</v>
      </c>
      <c r="BQ430" s="106"/>
      <c r="BR430" s="105">
        <v>1450</v>
      </c>
      <c r="BS430" s="105">
        <f t="shared" si="688"/>
        <v>29</v>
      </c>
      <c r="BT430" s="106"/>
      <c r="BU430" s="53"/>
      <c r="BV430" s="53">
        <f t="shared" si="703"/>
        <v>0</v>
      </c>
      <c r="BW430" s="54"/>
      <c r="BX430" s="350">
        <f t="shared" si="704"/>
        <v>29</v>
      </c>
      <c r="BY430" s="6"/>
      <c r="BZ430" s="6">
        <f t="shared" si="705"/>
        <v>0.66666666666666785</v>
      </c>
      <c r="CA430" s="508"/>
      <c r="CB430" s="7"/>
      <c r="CC430" s="7"/>
      <c r="CD430" s="7"/>
      <c r="CE430" s="504"/>
      <c r="CF430" s="105"/>
      <c r="CG430" s="105">
        <f t="shared" si="689"/>
        <v>0</v>
      </c>
      <c r="CH430" s="105"/>
      <c r="CI430" s="105"/>
      <c r="CJ430" s="105">
        <f t="shared" si="690"/>
        <v>0</v>
      </c>
      <c r="CK430" s="523"/>
      <c r="CL430" s="102">
        <f t="shared" si="706"/>
        <v>0</v>
      </c>
      <c r="CM430" s="103"/>
      <c r="CN430" s="100"/>
      <c r="CO430" s="100">
        <f t="shared" si="691"/>
        <v>0</v>
      </c>
      <c r="CP430" s="515"/>
      <c r="CQ430" s="441"/>
      <c r="CR430" s="504"/>
      <c r="CS430" s="105"/>
      <c r="CT430" s="105">
        <f t="shared" si="707"/>
        <v>0</v>
      </c>
      <c r="CU430" s="105"/>
      <c r="CV430" s="105"/>
      <c r="CW430" s="105">
        <f t="shared" si="712"/>
        <v>0</v>
      </c>
      <c r="CX430" s="53"/>
      <c r="CY430" s="109">
        <f t="shared" si="713"/>
        <v>0</v>
      </c>
      <c r="CZ430" s="54"/>
      <c r="DA430" s="105"/>
      <c r="DB430" s="455">
        <f t="shared" si="708"/>
        <v>0</v>
      </c>
      <c r="DC430" s="495"/>
      <c r="DD430" s="24"/>
      <c r="DF430" s="1133"/>
      <c r="DG430" s="674">
        <f t="shared" si="714"/>
        <v>0</v>
      </c>
      <c r="DH430" s="1119">
        <f t="shared" si="720"/>
        <v>0</v>
      </c>
      <c r="DI430" s="1119"/>
      <c r="DJ430" s="101">
        <f t="shared" si="716"/>
        <v>29.666666666666668</v>
      </c>
      <c r="DK430" s="101"/>
      <c r="DL430" s="101">
        <f t="shared" si="715"/>
        <v>0</v>
      </c>
      <c r="DM430" s="101"/>
      <c r="DN430" s="112"/>
      <c r="DO430" s="112"/>
      <c r="DP430" s="112"/>
      <c r="DQ430" s="112"/>
      <c r="DS430" s="140"/>
      <c r="DT430" s="140"/>
      <c r="DU430" s="140"/>
      <c r="DV430" s="140"/>
      <c r="DW430" s="140"/>
      <c r="DX430" s="140"/>
      <c r="DY430" s="140"/>
      <c r="DZ430" s="140"/>
    </row>
    <row r="431" spans="1:130" s="139" customFormat="1" ht="21.6" customHeight="1" x14ac:dyDescent="0.25">
      <c r="A431" s="4"/>
      <c r="B431" s="4"/>
      <c r="C431" s="176" t="s">
        <v>237</v>
      </c>
      <c r="D431" s="176" t="s">
        <v>431</v>
      </c>
      <c r="E431" s="3" t="s">
        <v>439</v>
      </c>
      <c r="F431" s="135"/>
      <c r="G431" s="135"/>
      <c r="H431" s="135"/>
      <c r="I431" s="135"/>
      <c r="J431" s="135"/>
      <c r="K431" s="135"/>
      <c r="L431" s="183"/>
      <c r="M431" s="5"/>
      <c r="N431" s="41"/>
      <c r="O431" s="6"/>
      <c r="P431" s="7"/>
      <c r="Q431" s="7"/>
      <c r="R431" s="7"/>
      <c r="S431" s="7"/>
      <c r="T431" s="89"/>
      <c r="U431" s="89"/>
      <c r="V431" s="89">
        <f t="shared" si="694"/>
        <v>0</v>
      </c>
      <c r="W431" s="137"/>
      <c r="X431" s="137"/>
      <c r="Y431" s="90">
        <f t="shared" si="695"/>
        <v>0</v>
      </c>
      <c r="Z431" s="91"/>
      <c r="AA431" s="92"/>
      <c r="AB431" s="92"/>
      <c r="AC431" s="92">
        <f t="shared" si="683"/>
        <v>0</v>
      </c>
      <c r="AD431" s="93"/>
      <c r="AE431" s="93"/>
      <c r="AF431" s="94">
        <f t="shared" si="684"/>
        <v>0</v>
      </c>
      <c r="AG431" s="473"/>
      <c r="AH431" s="99">
        <v>240</v>
      </c>
      <c r="AI431" s="99">
        <f t="shared" si="717"/>
        <v>16</v>
      </c>
      <c r="AJ431" s="138"/>
      <c r="AK431" s="138"/>
      <c r="AL431" s="106"/>
      <c r="AM431" s="105">
        <v>235</v>
      </c>
      <c r="AN431" s="105">
        <f t="shared" si="718"/>
        <v>15.666666666666666</v>
      </c>
      <c r="AO431" s="106"/>
      <c r="AP431" s="105"/>
      <c r="AQ431" s="105">
        <f t="shared" si="698"/>
        <v>0</v>
      </c>
      <c r="AR431" s="106"/>
      <c r="AS431" s="97">
        <f t="shared" si="699"/>
        <v>15.666666666666666</v>
      </c>
      <c r="AT431" s="6"/>
      <c r="AU431" s="105"/>
      <c r="AV431" s="455">
        <f t="shared" si="700"/>
        <v>0</v>
      </c>
      <c r="AW431" s="496"/>
      <c r="AX431" s="508"/>
      <c r="AY431" s="498"/>
      <c r="AZ431" s="100">
        <f t="shared" si="685"/>
        <v>0</v>
      </c>
      <c r="BA431" s="101"/>
      <c r="BB431" s="100"/>
      <c r="BC431" s="100">
        <f t="shared" si="719"/>
        <v>0</v>
      </c>
      <c r="BD431" s="101"/>
      <c r="BE431" s="105">
        <f t="shared" si="709"/>
        <v>0</v>
      </c>
      <c r="BF431" s="106"/>
      <c r="BG431" s="100">
        <f t="shared" si="710"/>
        <v>15.666666666666666</v>
      </c>
      <c r="BH431" s="106"/>
      <c r="BI431" s="100">
        <f t="shared" si="711"/>
        <v>0</v>
      </c>
      <c r="BJ431" s="106"/>
      <c r="BK431" s="101">
        <f t="shared" si="687"/>
        <v>15.666666666666666</v>
      </c>
      <c r="BL431" s="106"/>
      <c r="BM431" s="104"/>
      <c r="BN431" s="104">
        <f t="shared" si="701"/>
        <v>0</v>
      </c>
      <c r="BO431" s="105"/>
      <c r="BP431" s="105">
        <f t="shared" si="702"/>
        <v>0</v>
      </c>
      <c r="BQ431" s="106"/>
      <c r="BR431" s="105">
        <v>750</v>
      </c>
      <c r="BS431" s="105">
        <f t="shared" si="688"/>
        <v>15</v>
      </c>
      <c r="BT431" s="106"/>
      <c r="BU431" s="53"/>
      <c r="BV431" s="53">
        <f t="shared" si="703"/>
        <v>0</v>
      </c>
      <c r="BW431" s="54"/>
      <c r="BX431" s="350">
        <f t="shared" si="704"/>
        <v>15</v>
      </c>
      <c r="BY431" s="6"/>
      <c r="BZ431" s="6">
        <f t="shared" si="705"/>
        <v>0.66666666666666607</v>
      </c>
      <c r="CA431" s="508"/>
      <c r="CB431" s="7"/>
      <c r="CC431" s="7"/>
      <c r="CD431" s="7"/>
      <c r="CE431" s="504"/>
      <c r="CF431" s="105"/>
      <c r="CG431" s="105">
        <f t="shared" si="689"/>
        <v>0</v>
      </c>
      <c r="CH431" s="105"/>
      <c r="CI431" s="105"/>
      <c r="CJ431" s="105">
        <f t="shared" si="690"/>
        <v>0</v>
      </c>
      <c r="CK431" s="523"/>
      <c r="CL431" s="102">
        <f t="shared" si="706"/>
        <v>0</v>
      </c>
      <c r="CM431" s="103"/>
      <c r="CN431" s="100"/>
      <c r="CO431" s="100">
        <f t="shared" si="691"/>
        <v>0</v>
      </c>
      <c r="CP431" s="515"/>
      <c r="CQ431" s="441"/>
      <c r="CR431" s="504"/>
      <c r="CS431" s="105"/>
      <c r="CT431" s="105">
        <f t="shared" si="707"/>
        <v>0</v>
      </c>
      <c r="CU431" s="105"/>
      <c r="CV431" s="105"/>
      <c r="CW431" s="105">
        <f t="shared" si="712"/>
        <v>0</v>
      </c>
      <c r="CX431" s="53"/>
      <c r="CY431" s="109">
        <f t="shared" si="713"/>
        <v>0</v>
      </c>
      <c r="CZ431" s="54"/>
      <c r="DA431" s="105"/>
      <c r="DB431" s="455">
        <f t="shared" si="708"/>
        <v>0</v>
      </c>
      <c r="DC431" s="495"/>
      <c r="DD431" s="24"/>
      <c r="DF431" s="1133"/>
      <c r="DG431" s="674">
        <f t="shared" si="714"/>
        <v>0</v>
      </c>
      <c r="DH431" s="1119">
        <f t="shared" si="720"/>
        <v>0</v>
      </c>
      <c r="DI431" s="1119"/>
      <c r="DJ431" s="101">
        <f t="shared" si="716"/>
        <v>15.666666666666666</v>
      </c>
      <c r="DK431" s="101"/>
      <c r="DL431" s="101">
        <f t="shared" si="715"/>
        <v>0</v>
      </c>
      <c r="DM431" s="101"/>
      <c r="DN431" s="112"/>
      <c r="DO431" s="112"/>
      <c r="DP431" s="112"/>
      <c r="DQ431" s="112"/>
      <c r="DS431" s="140"/>
      <c r="DT431" s="140"/>
      <c r="DU431" s="140"/>
      <c r="DV431" s="140"/>
      <c r="DW431" s="140"/>
      <c r="DX431" s="140"/>
      <c r="DY431" s="140"/>
      <c r="DZ431" s="140"/>
    </row>
    <row r="432" spans="1:130" s="139" customFormat="1" ht="21.6" customHeight="1" x14ac:dyDescent="0.25">
      <c r="A432" s="4"/>
      <c r="B432" s="4"/>
      <c r="C432" s="176" t="s">
        <v>237</v>
      </c>
      <c r="D432" s="176" t="s">
        <v>431</v>
      </c>
      <c r="E432" s="3" t="s">
        <v>440</v>
      </c>
      <c r="F432" s="135"/>
      <c r="G432" s="135"/>
      <c r="H432" s="135"/>
      <c r="I432" s="135"/>
      <c r="J432" s="135"/>
      <c r="K432" s="135"/>
      <c r="L432" s="183"/>
      <c r="M432" s="5"/>
      <c r="N432" s="41"/>
      <c r="O432" s="6"/>
      <c r="P432" s="7"/>
      <c r="Q432" s="7"/>
      <c r="R432" s="7"/>
      <c r="S432" s="7"/>
      <c r="T432" s="89"/>
      <c r="U432" s="89"/>
      <c r="V432" s="89">
        <f t="shared" si="694"/>
        <v>0</v>
      </c>
      <c r="W432" s="137"/>
      <c r="X432" s="137"/>
      <c r="Y432" s="90">
        <f t="shared" si="695"/>
        <v>0</v>
      </c>
      <c r="Z432" s="91"/>
      <c r="AA432" s="92"/>
      <c r="AB432" s="92"/>
      <c r="AC432" s="92">
        <f t="shared" si="683"/>
        <v>0</v>
      </c>
      <c r="AD432" s="93"/>
      <c r="AE432" s="93"/>
      <c r="AF432" s="94">
        <f t="shared" si="684"/>
        <v>0</v>
      </c>
      <c r="AG432" s="473"/>
      <c r="AH432" s="99">
        <v>230</v>
      </c>
      <c r="AI432" s="99">
        <f t="shared" si="717"/>
        <v>15.333333333333334</v>
      </c>
      <c r="AJ432" s="138"/>
      <c r="AK432" s="138"/>
      <c r="AL432" s="106"/>
      <c r="AM432" s="105">
        <v>225</v>
      </c>
      <c r="AN432" s="105">
        <f t="shared" si="718"/>
        <v>15</v>
      </c>
      <c r="AO432" s="106"/>
      <c r="AP432" s="105"/>
      <c r="AQ432" s="105">
        <f t="shared" si="698"/>
        <v>0</v>
      </c>
      <c r="AR432" s="106"/>
      <c r="AS432" s="97">
        <f t="shared" si="699"/>
        <v>15</v>
      </c>
      <c r="AT432" s="6"/>
      <c r="AU432" s="105"/>
      <c r="AV432" s="455">
        <f t="shared" si="700"/>
        <v>0</v>
      </c>
      <c r="AW432" s="496"/>
      <c r="AX432" s="508"/>
      <c r="AY432" s="498"/>
      <c r="AZ432" s="100">
        <f t="shared" si="685"/>
        <v>0</v>
      </c>
      <c r="BA432" s="101"/>
      <c r="BB432" s="100"/>
      <c r="BC432" s="100">
        <f t="shared" si="719"/>
        <v>0</v>
      </c>
      <c r="BD432" s="101"/>
      <c r="BE432" s="105">
        <f t="shared" si="709"/>
        <v>0</v>
      </c>
      <c r="BF432" s="106"/>
      <c r="BG432" s="100">
        <f t="shared" si="710"/>
        <v>15</v>
      </c>
      <c r="BH432" s="106"/>
      <c r="BI432" s="100">
        <f t="shared" si="711"/>
        <v>0</v>
      </c>
      <c r="BJ432" s="106"/>
      <c r="BK432" s="101">
        <f t="shared" si="687"/>
        <v>15</v>
      </c>
      <c r="BL432" s="106"/>
      <c r="BM432" s="104"/>
      <c r="BN432" s="104">
        <f t="shared" si="701"/>
        <v>0</v>
      </c>
      <c r="BO432" s="105"/>
      <c r="BP432" s="105">
        <f t="shared" si="702"/>
        <v>0</v>
      </c>
      <c r="BQ432" s="106"/>
      <c r="BR432" s="105">
        <v>750</v>
      </c>
      <c r="BS432" s="105">
        <f t="shared" si="688"/>
        <v>15</v>
      </c>
      <c r="BT432" s="106"/>
      <c r="BU432" s="53"/>
      <c r="BV432" s="53">
        <f t="shared" si="703"/>
        <v>0</v>
      </c>
      <c r="BW432" s="54"/>
      <c r="BX432" s="350">
        <f t="shared" si="704"/>
        <v>15</v>
      </c>
      <c r="BY432" s="6"/>
      <c r="BZ432" s="6">
        <f t="shared" si="705"/>
        <v>0</v>
      </c>
      <c r="CA432" s="508"/>
      <c r="CB432" s="7"/>
      <c r="CC432" s="7"/>
      <c r="CD432" s="7"/>
      <c r="CE432" s="504"/>
      <c r="CF432" s="105"/>
      <c r="CG432" s="105">
        <f t="shared" si="689"/>
        <v>0</v>
      </c>
      <c r="CH432" s="105"/>
      <c r="CI432" s="105"/>
      <c r="CJ432" s="105">
        <f t="shared" si="690"/>
        <v>0</v>
      </c>
      <c r="CK432" s="523"/>
      <c r="CL432" s="102">
        <f t="shared" si="706"/>
        <v>0</v>
      </c>
      <c r="CM432" s="103"/>
      <c r="CN432" s="100"/>
      <c r="CO432" s="100">
        <f t="shared" si="691"/>
        <v>0</v>
      </c>
      <c r="CP432" s="515"/>
      <c r="CQ432" s="441"/>
      <c r="CR432" s="504"/>
      <c r="CS432" s="105"/>
      <c r="CT432" s="105">
        <f t="shared" si="707"/>
        <v>0</v>
      </c>
      <c r="CU432" s="105"/>
      <c r="CV432" s="105"/>
      <c r="CW432" s="105">
        <f t="shared" si="712"/>
        <v>0</v>
      </c>
      <c r="CX432" s="53"/>
      <c r="CY432" s="109">
        <f t="shared" si="713"/>
        <v>0</v>
      </c>
      <c r="CZ432" s="54"/>
      <c r="DA432" s="105"/>
      <c r="DB432" s="455">
        <f t="shared" si="708"/>
        <v>0</v>
      </c>
      <c r="DC432" s="495"/>
      <c r="DD432" s="24"/>
      <c r="DF432" s="1133"/>
      <c r="DG432" s="674">
        <f t="shared" si="714"/>
        <v>0</v>
      </c>
      <c r="DH432" s="1119">
        <f t="shared" si="720"/>
        <v>0</v>
      </c>
      <c r="DI432" s="1119"/>
      <c r="DJ432" s="101">
        <f t="shared" si="716"/>
        <v>15</v>
      </c>
      <c r="DK432" s="101"/>
      <c r="DL432" s="101">
        <f t="shared" si="715"/>
        <v>0</v>
      </c>
      <c r="DM432" s="101"/>
      <c r="DN432" s="112"/>
      <c r="DO432" s="112"/>
      <c r="DP432" s="112"/>
      <c r="DQ432" s="112"/>
      <c r="DS432" s="140"/>
      <c r="DT432" s="140"/>
      <c r="DU432" s="140"/>
      <c r="DV432" s="140"/>
      <c r="DW432" s="140"/>
      <c r="DX432" s="140"/>
      <c r="DY432" s="140"/>
      <c r="DZ432" s="140"/>
    </row>
    <row r="433" spans="1:130" s="139" customFormat="1" ht="21.6" customHeight="1" x14ac:dyDescent="0.25">
      <c r="A433" s="4"/>
      <c r="B433" s="4"/>
      <c r="C433" s="176" t="s">
        <v>237</v>
      </c>
      <c r="D433" s="176" t="s">
        <v>431</v>
      </c>
      <c r="E433" s="3" t="s">
        <v>442</v>
      </c>
      <c r="F433" s="135"/>
      <c r="G433" s="135"/>
      <c r="H433" s="135"/>
      <c r="I433" s="135"/>
      <c r="J433" s="135"/>
      <c r="K433" s="135"/>
      <c r="L433" s="183"/>
      <c r="M433" s="5"/>
      <c r="N433" s="41"/>
      <c r="O433" s="6"/>
      <c r="P433" s="7"/>
      <c r="Q433" s="7"/>
      <c r="R433" s="7"/>
      <c r="S433" s="7"/>
      <c r="T433" s="89"/>
      <c r="U433" s="89"/>
      <c r="V433" s="89">
        <f t="shared" si="694"/>
        <v>0</v>
      </c>
      <c r="W433" s="137"/>
      <c r="X433" s="137"/>
      <c r="Y433" s="90">
        <f t="shared" si="695"/>
        <v>0</v>
      </c>
      <c r="Z433" s="91"/>
      <c r="AA433" s="92"/>
      <c r="AB433" s="92"/>
      <c r="AC433" s="92">
        <f t="shared" si="683"/>
        <v>0</v>
      </c>
      <c r="AD433" s="93"/>
      <c r="AE433" s="93"/>
      <c r="AF433" s="94">
        <f t="shared" si="684"/>
        <v>0</v>
      </c>
      <c r="AG433" s="473"/>
      <c r="AH433" s="99">
        <v>205</v>
      </c>
      <c r="AI433" s="99">
        <f t="shared" si="717"/>
        <v>13.666666666666666</v>
      </c>
      <c r="AJ433" s="138"/>
      <c r="AK433" s="138"/>
      <c r="AL433" s="106"/>
      <c r="AM433" s="105">
        <v>175</v>
      </c>
      <c r="AN433" s="105">
        <f t="shared" si="718"/>
        <v>11.666666666666666</v>
      </c>
      <c r="AO433" s="106"/>
      <c r="AP433" s="105"/>
      <c r="AQ433" s="105">
        <f t="shared" si="698"/>
        <v>0</v>
      </c>
      <c r="AR433" s="106"/>
      <c r="AS433" s="97">
        <f t="shared" si="699"/>
        <v>11.666666666666666</v>
      </c>
      <c r="AT433" s="6"/>
      <c r="AU433" s="105"/>
      <c r="AV433" s="455">
        <f t="shared" si="700"/>
        <v>0</v>
      </c>
      <c r="AW433" s="496"/>
      <c r="AX433" s="508"/>
      <c r="AY433" s="498"/>
      <c r="AZ433" s="100">
        <f t="shared" si="685"/>
        <v>0</v>
      </c>
      <c r="BA433" s="101"/>
      <c r="BB433" s="100"/>
      <c r="BC433" s="100">
        <f t="shared" si="719"/>
        <v>0</v>
      </c>
      <c r="BD433" s="101"/>
      <c r="BE433" s="105">
        <f t="shared" si="709"/>
        <v>0</v>
      </c>
      <c r="BF433" s="106"/>
      <c r="BG433" s="100">
        <f t="shared" si="710"/>
        <v>11.666666666666666</v>
      </c>
      <c r="BH433" s="106"/>
      <c r="BI433" s="100">
        <f t="shared" si="711"/>
        <v>0</v>
      </c>
      <c r="BJ433" s="106"/>
      <c r="BK433" s="101">
        <f t="shared" si="687"/>
        <v>11.666666666666666</v>
      </c>
      <c r="BL433" s="106"/>
      <c r="BM433" s="104"/>
      <c r="BN433" s="104">
        <f t="shared" si="701"/>
        <v>0</v>
      </c>
      <c r="BO433" s="105"/>
      <c r="BP433" s="105">
        <f t="shared" si="702"/>
        <v>0</v>
      </c>
      <c r="BQ433" s="106"/>
      <c r="BR433" s="105">
        <v>550</v>
      </c>
      <c r="BS433" s="105">
        <f t="shared" si="688"/>
        <v>11</v>
      </c>
      <c r="BT433" s="106"/>
      <c r="BU433" s="53"/>
      <c r="BV433" s="53">
        <f t="shared" si="703"/>
        <v>0</v>
      </c>
      <c r="BW433" s="54"/>
      <c r="BX433" s="350">
        <f t="shared" si="704"/>
        <v>11</v>
      </c>
      <c r="BY433" s="6"/>
      <c r="BZ433" s="6">
        <f t="shared" si="705"/>
        <v>0.66666666666666607</v>
      </c>
      <c r="CA433" s="508"/>
      <c r="CB433" s="7"/>
      <c r="CC433" s="7"/>
      <c r="CD433" s="7"/>
      <c r="CE433" s="504"/>
      <c r="CF433" s="105"/>
      <c r="CG433" s="105">
        <f t="shared" si="689"/>
        <v>0</v>
      </c>
      <c r="CH433" s="105"/>
      <c r="CI433" s="105"/>
      <c r="CJ433" s="105">
        <f t="shared" si="690"/>
        <v>0</v>
      </c>
      <c r="CK433" s="523"/>
      <c r="CL433" s="102">
        <f t="shared" si="706"/>
        <v>0</v>
      </c>
      <c r="CM433" s="103"/>
      <c r="CN433" s="100"/>
      <c r="CO433" s="100">
        <f t="shared" si="691"/>
        <v>0</v>
      </c>
      <c r="CP433" s="515"/>
      <c r="CQ433" s="441"/>
      <c r="CR433" s="504"/>
      <c r="CS433" s="105"/>
      <c r="CT433" s="105">
        <f t="shared" si="707"/>
        <v>0</v>
      </c>
      <c r="CU433" s="105"/>
      <c r="CV433" s="105"/>
      <c r="CW433" s="105">
        <f t="shared" si="712"/>
        <v>0</v>
      </c>
      <c r="CX433" s="53"/>
      <c r="CY433" s="109">
        <f t="shared" si="713"/>
        <v>0</v>
      </c>
      <c r="CZ433" s="54"/>
      <c r="DA433" s="105"/>
      <c r="DB433" s="455">
        <f t="shared" si="708"/>
        <v>0</v>
      </c>
      <c r="DC433" s="495"/>
      <c r="DD433" s="24"/>
      <c r="DF433" s="1133"/>
      <c r="DG433" s="674">
        <f t="shared" si="714"/>
        <v>0</v>
      </c>
      <c r="DH433" s="1119">
        <f t="shared" si="720"/>
        <v>0</v>
      </c>
      <c r="DI433" s="1119"/>
      <c r="DJ433" s="101">
        <f t="shared" si="716"/>
        <v>11.666666666666666</v>
      </c>
      <c r="DK433" s="101"/>
      <c r="DL433" s="101">
        <f t="shared" si="715"/>
        <v>0</v>
      </c>
      <c r="DM433" s="101"/>
      <c r="DN433" s="112"/>
      <c r="DO433" s="112"/>
      <c r="DP433" s="112"/>
      <c r="DQ433" s="112"/>
      <c r="DS433" s="140"/>
      <c r="DT433" s="140"/>
      <c r="DU433" s="140"/>
      <c r="DV433" s="140"/>
      <c r="DW433" s="140"/>
      <c r="DX433" s="140"/>
      <c r="DY433" s="140"/>
      <c r="DZ433" s="140"/>
    </row>
    <row r="434" spans="1:130" s="139" customFormat="1" ht="21.6" customHeight="1" x14ac:dyDescent="0.25">
      <c r="A434" s="4"/>
      <c r="B434" s="4"/>
      <c r="C434" s="176" t="s">
        <v>237</v>
      </c>
      <c r="D434" s="176" t="s">
        <v>431</v>
      </c>
      <c r="E434" s="3" t="s">
        <v>443</v>
      </c>
      <c r="F434" s="135"/>
      <c r="G434" s="135"/>
      <c r="H434" s="135"/>
      <c r="I434" s="135"/>
      <c r="J434" s="135"/>
      <c r="K434" s="135"/>
      <c r="L434" s="183"/>
      <c r="M434" s="5"/>
      <c r="N434" s="41"/>
      <c r="O434" s="6"/>
      <c r="P434" s="7"/>
      <c r="Q434" s="7"/>
      <c r="R434" s="7"/>
      <c r="S434" s="7"/>
      <c r="T434" s="89"/>
      <c r="U434" s="89"/>
      <c r="V434" s="89">
        <f t="shared" si="694"/>
        <v>0</v>
      </c>
      <c r="W434" s="137"/>
      <c r="X434" s="137"/>
      <c r="Y434" s="90">
        <f t="shared" si="695"/>
        <v>0</v>
      </c>
      <c r="Z434" s="91"/>
      <c r="AA434" s="92"/>
      <c r="AB434" s="92"/>
      <c r="AC434" s="92">
        <f t="shared" si="683"/>
        <v>0</v>
      </c>
      <c r="AD434" s="93"/>
      <c r="AE434" s="93"/>
      <c r="AF434" s="94">
        <f t="shared" si="684"/>
        <v>0</v>
      </c>
      <c r="AG434" s="473"/>
      <c r="AH434" s="99">
        <v>155</v>
      </c>
      <c r="AI434" s="99">
        <f t="shared" si="717"/>
        <v>10.333333333333334</v>
      </c>
      <c r="AJ434" s="138"/>
      <c r="AK434" s="138"/>
      <c r="AL434" s="106"/>
      <c r="AM434" s="105">
        <v>150</v>
      </c>
      <c r="AN434" s="105">
        <f t="shared" si="718"/>
        <v>10</v>
      </c>
      <c r="AO434" s="106"/>
      <c r="AP434" s="105"/>
      <c r="AQ434" s="105">
        <f t="shared" si="698"/>
        <v>0</v>
      </c>
      <c r="AR434" s="106"/>
      <c r="AS434" s="97">
        <f t="shared" si="699"/>
        <v>10</v>
      </c>
      <c r="AT434" s="6"/>
      <c r="AU434" s="105"/>
      <c r="AV434" s="455">
        <f t="shared" si="700"/>
        <v>0</v>
      </c>
      <c r="AW434" s="496"/>
      <c r="AX434" s="508"/>
      <c r="AY434" s="498"/>
      <c r="AZ434" s="100">
        <f t="shared" si="685"/>
        <v>0</v>
      </c>
      <c r="BA434" s="101"/>
      <c r="BB434" s="100"/>
      <c r="BC434" s="100">
        <f t="shared" si="719"/>
        <v>0</v>
      </c>
      <c r="BD434" s="101"/>
      <c r="BE434" s="105">
        <f t="shared" si="709"/>
        <v>0</v>
      </c>
      <c r="BF434" s="106"/>
      <c r="BG434" s="100">
        <f t="shared" si="710"/>
        <v>10</v>
      </c>
      <c r="BH434" s="106"/>
      <c r="BI434" s="100">
        <f t="shared" si="711"/>
        <v>0</v>
      </c>
      <c r="BJ434" s="106"/>
      <c r="BK434" s="101">
        <f t="shared" si="687"/>
        <v>10</v>
      </c>
      <c r="BL434" s="106"/>
      <c r="BM434" s="104"/>
      <c r="BN434" s="104">
        <f t="shared" si="701"/>
        <v>0</v>
      </c>
      <c r="BO434" s="105"/>
      <c r="BP434" s="105">
        <f t="shared" si="702"/>
        <v>0</v>
      </c>
      <c r="BQ434" s="106"/>
      <c r="BR434" s="105">
        <v>500</v>
      </c>
      <c r="BS434" s="105">
        <f t="shared" si="688"/>
        <v>10</v>
      </c>
      <c r="BT434" s="106"/>
      <c r="BU434" s="53"/>
      <c r="BV434" s="53">
        <f t="shared" si="703"/>
        <v>0</v>
      </c>
      <c r="BW434" s="54"/>
      <c r="BX434" s="350">
        <f t="shared" si="704"/>
        <v>10</v>
      </c>
      <c r="BY434" s="6"/>
      <c r="BZ434" s="6">
        <f t="shared" si="705"/>
        <v>0</v>
      </c>
      <c r="CA434" s="508"/>
      <c r="CB434" s="7"/>
      <c r="CC434" s="7"/>
      <c r="CD434" s="7"/>
      <c r="CE434" s="504"/>
      <c r="CF434" s="105"/>
      <c r="CG434" s="105">
        <f t="shared" si="689"/>
        <v>0</v>
      </c>
      <c r="CH434" s="105"/>
      <c r="CI434" s="105"/>
      <c r="CJ434" s="105">
        <f t="shared" si="690"/>
        <v>0</v>
      </c>
      <c r="CK434" s="523"/>
      <c r="CL434" s="102">
        <f t="shared" si="706"/>
        <v>0</v>
      </c>
      <c r="CM434" s="103"/>
      <c r="CN434" s="100"/>
      <c r="CO434" s="100">
        <f t="shared" si="691"/>
        <v>0</v>
      </c>
      <c r="CP434" s="515"/>
      <c r="CQ434" s="441"/>
      <c r="CR434" s="504"/>
      <c r="CS434" s="105"/>
      <c r="CT434" s="105">
        <f t="shared" si="707"/>
        <v>0</v>
      </c>
      <c r="CU434" s="105"/>
      <c r="CV434" s="105"/>
      <c r="CW434" s="105">
        <f t="shared" si="712"/>
        <v>0</v>
      </c>
      <c r="CX434" s="53"/>
      <c r="CY434" s="109">
        <f t="shared" si="713"/>
        <v>0</v>
      </c>
      <c r="CZ434" s="54"/>
      <c r="DA434" s="105"/>
      <c r="DB434" s="455">
        <f t="shared" si="708"/>
        <v>0</v>
      </c>
      <c r="DC434" s="495"/>
      <c r="DD434" s="24"/>
      <c r="DF434" s="1133"/>
      <c r="DG434" s="674">
        <f t="shared" si="714"/>
        <v>0</v>
      </c>
      <c r="DH434" s="1119">
        <f t="shared" si="720"/>
        <v>0</v>
      </c>
      <c r="DI434" s="1119"/>
      <c r="DJ434" s="101">
        <f t="shared" si="716"/>
        <v>10</v>
      </c>
      <c r="DK434" s="101"/>
      <c r="DL434" s="101">
        <f t="shared" si="715"/>
        <v>0</v>
      </c>
      <c r="DM434" s="101"/>
      <c r="DN434" s="112"/>
      <c r="DO434" s="112"/>
      <c r="DP434" s="112"/>
      <c r="DQ434" s="112"/>
      <c r="DS434" s="140"/>
      <c r="DT434" s="140"/>
      <c r="DU434" s="140"/>
      <c r="DV434" s="140"/>
      <c r="DW434" s="140"/>
      <c r="DX434" s="140"/>
      <c r="DY434" s="140"/>
      <c r="DZ434" s="140"/>
    </row>
    <row r="435" spans="1:130" ht="21.6" customHeight="1" x14ac:dyDescent="0.25">
      <c r="A435" s="4"/>
      <c r="B435" s="4"/>
      <c r="C435" s="174" t="s">
        <v>237</v>
      </c>
      <c r="D435" s="171"/>
      <c r="E435" s="1"/>
      <c r="F435" s="162"/>
      <c r="G435" s="162"/>
      <c r="H435" s="162"/>
      <c r="I435" s="162"/>
      <c r="J435" s="162"/>
      <c r="K435" s="162"/>
      <c r="L435" s="168"/>
      <c r="M435" s="414"/>
      <c r="N435" s="46"/>
      <c r="O435" s="164"/>
      <c r="P435" s="165"/>
      <c r="Q435" s="165"/>
      <c r="R435" s="165"/>
      <c r="S435" s="165"/>
      <c r="T435" s="89"/>
      <c r="U435" s="89"/>
      <c r="V435" s="89">
        <f t="shared" si="663"/>
        <v>0</v>
      </c>
      <c r="W435" s="137"/>
      <c r="X435" s="137"/>
      <c r="Y435" s="90">
        <f t="shared" si="585"/>
        <v>0</v>
      </c>
      <c r="Z435" s="169"/>
      <c r="AA435" s="92"/>
      <c r="AB435" s="92"/>
      <c r="AC435" s="92">
        <f t="shared" ref="AC435:AC512" si="721">AA435+AB435</f>
        <v>0</v>
      </c>
      <c r="AD435" s="93"/>
      <c r="AE435" s="93"/>
      <c r="AF435" s="94">
        <f t="shared" ref="AF435:AF512" si="722">AD435+AE435</f>
        <v>0</v>
      </c>
      <c r="AG435" s="475"/>
      <c r="AH435" s="99"/>
      <c r="AI435" s="99">
        <f t="shared" si="604"/>
        <v>0</v>
      </c>
      <c r="AJ435" s="138"/>
      <c r="AK435" s="138">
        <f>AJ435/15</f>
        <v>0</v>
      </c>
      <c r="AL435" s="106"/>
      <c r="AM435" s="105"/>
      <c r="AN435" s="105">
        <f t="shared" ref="AN435" si="723">AM435/15</f>
        <v>0</v>
      </c>
      <c r="AO435" s="106"/>
      <c r="AP435" s="105"/>
      <c r="AQ435" s="105">
        <f t="shared" si="664"/>
        <v>0</v>
      </c>
      <c r="AR435" s="106"/>
      <c r="AS435" s="97">
        <f t="shared" si="659"/>
        <v>0</v>
      </c>
      <c r="AT435" s="6"/>
      <c r="AU435" s="105"/>
      <c r="AV435" s="455">
        <f t="shared" ref="AV435:AV492" si="724">AU435/15</f>
        <v>0</v>
      </c>
      <c r="AW435" s="496"/>
      <c r="AX435" s="508"/>
      <c r="AY435" s="498"/>
      <c r="AZ435" s="100">
        <f t="shared" si="679"/>
        <v>0</v>
      </c>
      <c r="BA435" s="101"/>
      <c r="BB435" s="100"/>
      <c r="BC435" s="100">
        <f t="shared" ref="BC435" si="725">BB435/15</f>
        <v>0</v>
      </c>
      <c r="BD435" s="101"/>
      <c r="BE435" s="105">
        <f t="shared" si="709"/>
        <v>0</v>
      </c>
      <c r="BF435" s="106"/>
      <c r="BG435" s="100">
        <f t="shared" si="710"/>
        <v>0</v>
      </c>
      <c r="BH435" s="106"/>
      <c r="BI435" s="100">
        <f t="shared" si="711"/>
        <v>0</v>
      </c>
      <c r="BJ435" s="106"/>
      <c r="BK435" s="101">
        <f t="shared" si="660"/>
        <v>0</v>
      </c>
      <c r="BL435" s="106"/>
      <c r="BM435" s="104"/>
      <c r="BN435" s="104">
        <f t="shared" si="590"/>
        <v>0</v>
      </c>
      <c r="BO435" s="105"/>
      <c r="BP435" s="105">
        <f t="shared" ref="BP435:BP492" si="726">BO435/50</f>
        <v>0</v>
      </c>
      <c r="BQ435" s="106"/>
      <c r="BR435" s="105"/>
      <c r="BS435" s="105">
        <f t="shared" si="665"/>
        <v>0</v>
      </c>
      <c r="BT435" s="106"/>
      <c r="BU435" s="53"/>
      <c r="BV435" s="53">
        <f t="shared" si="681"/>
        <v>0</v>
      </c>
      <c r="BW435" s="54"/>
      <c r="BX435" s="350">
        <f t="shared" si="661"/>
        <v>0</v>
      </c>
      <c r="BY435" s="6"/>
      <c r="BZ435" s="6">
        <f t="shared" si="656"/>
        <v>0</v>
      </c>
      <c r="CA435" s="508"/>
      <c r="CB435" s="165"/>
      <c r="CC435" s="165"/>
      <c r="CD435" s="165"/>
      <c r="CE435" s="504"/>
      <c r="CF435" s="105"/>
      <c r="CG435" s="105">
        <f t="shared" si="666"/>
        <v>0</v>
      </c>
      <c r="CH435" s="105"/>
      <c r="CI435" s="105"/>
      <c r="CJ435" s="105">
        <f t="shared" si="667"/>
        <v>0</v>
      </c>
      <c r="CK435" s="523"/>
      <c r="CL435" s="102">
        <f t="shared" ref="CL435" si="727">CK435/15</f>
        <v>0</v>
      </c>
      <c r="CM435" s="103"/>
      <c r="CN435" s="100"/>
      <c r="CO435" s="100">
        <f t="shared" ref="CO435:CO490" si="728">CN435/15</f>
        <v>0</v>
      </c>
      <c r="CP435" s="515"/>
      <c r="CQ435" s="441"/>
      <c r="CR435" s="504"/>
      <c r="CS435" s="105"/>
      <c r="CT435" s="105">
        <f t="shared" ref="CT435:CT486" si="729">CR435+CS435</f>
        <v>0</v>
      </c>
      <c r="CU435" s="105"/>
      <c r="CV435" s="105"/>
      <c r="CW435" s="105">
        <f t="shared" ref="CW435:CW486" si="730">CU435+CV435</f>
        <v>0</v>
      </c>
      <c r="CX435" s="53"/>
      <c r="CY435" s="109">
        <f t="shared" ref="CY435:CY489" si="731">CX435/15</f>
        <v>0</v>
      </c>
      <c r="CZ435" s="54"/>
      <c r="DA435" s="105"/>
      <c r="DB435" s="455">
        <f t="shared" si="676"/>
        <v>0</v>
      </c>
      <c r="DC435" s="495"/>
      <c r="DD435" s="25"/>
      <c r="DF435" s="1133"/>
      <c r="DG435" s="674">
        <f t="shared" si="714"/>
        <v>0</v>
      </c>
      <c r="DH435" s="1119">
        <f t="shared" si="720"/>
        <v>0</v>
      </c>
      <c r="DI435" s="1119"/>
      <c r="DJ435" s="101">
        <f t="shared" si="716"/>
        <v>0</v>
      </c>
      <c r="DK435" s="101"/>
      <c r="DL435" s="101">
        <f t="shared" si="715"/>
        <v>0</v>
      </c>
      <c r="DM435" s="101"/>
      <c r="DN435" s="112"/>
      <c r="DO435" s="112"/>
      <c r="DP435" s="112"/>
      <c r="DQ435" s="112"/>
    </row>
    <row r="436" spans="1:130" s="151" customFormat="1" ht="21.6" customHeight="1" x14ac:dyDescent="0.25">
      <c r="A436" s="141"/>
      <c r="B436" s="141"/>
      <c r="C436" s="172"/>
      <c r="D436" s="173"/>
      <c r="E436" s="22"/>
      <c r="F436" s="144"/>
      <c r="G436" s="144"/>
      <c r="H436" s="144"/>
      <c r="I436" s="144"/>
      <c r="J436" s="144"/>
      <c r="K436" s="144"/>
      <c r="L436" s="145"/>
      <c r="M436" s="146"/>
      <c r="N436" s="147"/>
      <c r="O436" s="131"/>
      <c r="P436" s="148"/>
      <c r="Q436" s="148"/>
      <c r="R436" s="148"/>
      <c r="S436" s="148"/>
      <c r="T436" s="123"/>
      <c r="U436" s="123"/>
      <c r="V436" s="123"/>
      <c r="W436" s="149"/>
      <c r="X436" s="149"/>
      <c r="Y436" s="124"/>
      <c r="Z436" s="125"/>
      <c r="AA436" s="123"/>
      <c r="AB436" s="123"/>
      <c r="AC436" s="123"/>
      <c r="AD436" s="124"/>
      <c r="AE436" s="124"/>
      <c r="AF436" s="126"/>
      <c r="AG436" s="474"/>
      <c r="AH436" s="129"/>
      <c r="AI436" s="129"/>
      <c r="AJ436" s="138"/>
      <c r="AK436" s="138"/>
      <c r="AL436" s="106"/>
      <c r="AM436" s="105"/>
      <c r="AN436" s="105"/>
      <c r="AO436" s="106"/>
      <c r="AP436" s="105"/>
      <c r="AQ436" s="105">
        <f t="shared" si="664"/>
        <v>0</v>
      </c>
      <c r="AR436" s="106"/>
      <c r="AS436" s="97">
        <f t="shared" si="659"/>
        <v>0</v>
      </c>
      <c r="AT436" s="6"/>
      <c r="AU436" s="105"/>
      <c r="AV436" s="455">
        <f t="shared" si="724"/>
        <v>0</v>
      </c>
      <c r="AW436" s="496"/>
      <c r="AX436" s="508"/>
      <c r="AY436" s="498"/>
      <c r="AZ436" s="100"/>
      <c r="BA436" s="101"/>
      <c r="BB436" s="100"/>
      <c r="BC436" s="100"/>
      <c r="BD436" s="101"/>
      <c r="BE436" s="105"/>
      <c r="BF436" s="106"/>
      <c r="BG436" s="100">
        <f t="shared" si="710"/>
        <v>0</v>
      </c>
      <c r="BH436" s="106"/>
      <c r="BI436" s="100">
        <f t="shared" si="711"/>
        <v>0</v>
      </c>
      <c r="BJ436" s="106"/>
      <c r="BK436" s="101">
        <f t="shared" si="660"/>
        <v>0</v>
      </c>
      <c r="BL436" s="106"/>
      <c r="BM436" s="130"/>
      <c r="BN436" s="130"/>
      <c r="BO436" s="105"/>
      <c r="BP436" s="105">
        <f t="shared" si="726"/>
        <v>0</v>
      </c>
      <c r="BQ436" s="106"/>
      <c r="BR436" s="105"/>
      <c r="BS436" s="105"/>
      <c r="BT436" s="106"/>
      <c r="BU436" s="53"/>
      <c r="BV436" s="53"/>
      <c r="BW436" s="54"/>
      <c r="BX436" s="350">
        <f t="shared" si="661"/>
        <v>0</v>
      </c>
      <c r="BY436" s="131"/>
      <c r="BZ436" s="131">
        <f t="shared" si="656"/>
        <v>0</v>
      </c>
      <c r="CA436" s="536"/>
      <c r="CB436" s="148"/>
      <c r="CC436" s="148"/>
      <c r="CD436" s="148"/>
      <c r="CE436" s="504"/>
      <c r="CF436" s="105"/>
      <c r="CG436" s="105">
        <f t="shared" si="666"/>
        <v>0</v>
      </c>
      <c r="CH436" s="105"/>
      <c r="CI436" s="105"/>
      <c r="CJ436" s="105">
        <f t="shared" si="667"/>
        <v>0</v>
      </c>
      <c r="CK436" s="523"/>
      <c r="CL436" s="102"/>
      <c r="CM436" s="103"/>
      <c r="CN436" s="100"/>
      <c r="CO436" s="100">
        <f t="shared" si="728"/>
        <v>0</v>
      </c>
      <c r="CP436" s="515"/>
      <c r="CQ436" s="441"/>
      <c r="CR436" s="504"/>
      <c r="CS436" s="105"/>
      <c r="CT436" s="105">
        <f t="shared" si="729"/>
        <v>0</v>
      </c>
      <c r="CU436" s="105"/>
      <c r="CV436" s="105"/>
      <c r="CW436" s="105">
        <f t="shared" si="730"/>
        <v>0</v>
      </c>
      <c r="CX436" s="53"/>
      <c r="CY436" s="109">
        <f t="shared" si="731"/>
        <v>0</v>
      </c>
      <c r="CZ436" s="54"/>
      <c r="DA436" s="105"/>
      <c r="DB436" s="455">
        <f t="shared" si="676"/>
        <v>0</v>
      </c>
      <c r="DC436" s="495"/>
      <c r="DD436" s="31"/>
      <c r="DF436" s="1133"/>
      <c r="DG436" s="674">
        <f t="shared" si="714"/>
        <v>0</v>
      </c>
      <c r="DH436" s="1119">
        <f t="shared" si="720"/>
        <v>0</v>
      </c>
      <c r="DI436" s="1119"/>
      <c r="DJ436" s="101">
        <f t="shared" si="716"/>
        <v>0</v>
      </c>
      <c r="DK436" s="101"/>
      <c r="DL436" s="101">
        <f t="shared" si="715"/>
        <v>0</v>
      </c>
      <c r="DM436" s="101"/>
      <c r="DN436" s="112"/>
      <c r="DO436" s="112"/>
      <c r="DP436" s="112"/>
      <c r="DQ436" s="112"/>
      <c r="DS436" s="152"/>
      <c r="DT436" s="152"/>
      <c r="DU436" s="152"/>
      <c r="DV436" s="152"/>
      <c r="DW436" s="152"/>
      <c r="DX436" s="152"/>
      <c r="DY436" s="152"/>
      <c r="DZ436" s="152"/>
    </row>
    <row r="437" spans="1:130" s="139" customFormat="1" ht="21.6" customHeight="1" x14ac:dyDescent="0.25">
      <c r="A437" s="4" t="s">
        <v>130</v>
      </c>
      <c r="B437" s="4">
        <v>9</v>
      </c>
      <c r="C437" s="153" t="s">
        <v>238</v>
      </c>
      <c r="D437" s="182" t="s">
        <v>431</v>
      </c>
      <c r="E437" s="17" t="s">
        <v>245</v>
      </c>
      <c r="F437" s="135">
        <v>36</v>
      </c>
      <c r="G437" s="135">
        <v>8</v>
      </c>
      <c r="H437" s="135">
        <f>F437+G437</f>
        <v>44</v>
      </c>
      <c r="I437" s="135">
        <v>29.5</v>
      </c>
      <c r="J437" s="135"/>
      <c r="K437" s="135">
        <f>I437+J437</f>
        <v>29.5</v>
      </c>
      <c r="L437" s="183"/>
      <c r="M437" s="5"/>
      <c r="N437" s="41"/>
      <c r="O437" s="6"/>
      <c r="P437" s="7"/>
      <c r="Q437" s="7"/>
      <c r="R437" s="7"/>
      <c r="S437" s="7"/>
      <c r="T437" s="89"/>
      <c r="U437" s="89"/>
      <c r="V437" s="89">
        <f t="shared" ref="V437:V464" si="732">T437+U437</f>
        <v>0</v>
      </c>
      <c r="W437" s="137"/>
      <c r="X437" s="137"/>
      <c r="Y437" s="90">
        <f t="shared" ref="Y437:Y464" si="733">W437+X437</f>
        <v>0</v>
      </c>
      <c r="Z437" s="91"/>
      <c r="AA437" s="92"/>
      <c r="AB437" s="92"/>
      <c r="AC437" s="92">
        <f t="shared" ref="AC437:AC464" si="734">AA437+AB437</f>
        <v>0</v>
      </c>
      <c r="AD437" s="93"/>
      <c r="AE437" s="93"/>
      <c r="AF437" s="94">
        <f t="shared" ref="AF437:AF464" si="735">AD437+AE437</f>
        <v>0</v>
      </c>
      <c r="AG437" s="473"/>
      <c r="AH437" s="99">
        <f>75+150</f>
        <v>225</v>
      </c>
      <c r="AI437" s="99">
        <f t="shared" ref="AI437:AI464" si="736">AH437/15</f>
        <v>15</v>
      </c>
      <c r="AJ437" s="138">
        <f>75+150</f>
        <v>225</v>
      </c>
      <c r="AK437" s="138">
        <f t="shared" ref="AK437:AK452" si="737">AJ437/15</f>
        <v>15</v>
      </c>
      <c r="AL437" s="106">
        <f>SUM(AK437:AK464)</f>
        <v>1121</v>
      </c>
      <c r="AM437" s="105"/>
      <c r="AN437" s="105">
        <f t="shared" ref="AN437:AN464" si="738">AM437/15</f>
        <v>0</v>
      </c>
      <c r="AO437" s="106">
        <f>SUM(AN437:AN464)+AO466</f>
        <v>214.66666666666669</v>
      </c>
      <c r="AP437" s="105"/>
      <c r="AQ437" s="105">
        <f t="shared" si="664"/>
        <v>0</v>
      </c>
      <c r="AR437" s="106">
        <f>SUM(AQ437:AQ464)</f>
        <v>0</v>
      </c>
      <c r="AS437" s="97">
        <f t="shared" si="659"/>
        <v>15</v>
      </c>
      <c r="AT437" s="6">
        <f>SUM(AS437:AS464)</f>
        <v>1335.6666666666667</v>
      </c>
      <c r="AU437" s="105"/>
      <c r="AV437" s="455">
        <f t="shared" si="724"/>
        <v>0</v>
      </c>
      <c r="AW437" s="496">
        <f>SUM(AV437:AV464)</f>
        <v>29</v>
      </c>
      <c r="AX437" s="508"/>
      <c r="AY437" s="498">
        <v>65</v>
      </c>
      <c r="AZ437" s="100">
        <f t="shared" ref="AZ437:AZ464" si="739">AY437/15</f>
        <v>4.333333333333333</v>
      </c>
      <c r="BA437" s="106">
        <f>SUM(AZ437:AZ464)</f>
        <v>456.33333333333331</v>
      </c>
      <c r="BB437" s="105"/>
      <c r="BC437" s="105">
        <f t="shared" ref="BC437:BC464" si="740">BB437/15</f>
        <v>0</v>
      </c>
      <c r="BD437" s="106">
        <f>SUM(BC437:BC464)</f>
        <v>221</v>
      </c>
      <c r="BE437" s="105">
        <f t="shared" ref="BE437:BE455" si="741">AK437+AZ437</f>
        <v>19.333333333333332</v>
      </c>
      <c r="BF437" s="106">
        <f>SUM(BE437:BE464)</f>
        <v>1551</v>
      </c>
      <c r="BG437" s="100">
        <f t="shared" si="710"/>
        <v>0</v>
      </c>
      <c r="BH437" s="106">
        <f>SUM(BG437:BG464)</f>
        <v>435.66666666666663</v>
      </c>
      <c r="BI437" s="100">
        <f t="shared" si="711"/>
        <v>0</v>
      </c>
      <c r="BJ437" s="106">
        <f>SUM(BI437:BI464)</f>
        <v>29</v>
      </c>
      <c r="BK437" s="101">
        <f t="shared" si="660"/>
        <v>19.333333333333332</v>
      </c>
      <c r="BL437" s="106">
        <f>SUM(BK437:BK464)</f>
        <v>2015.6666666666665</v>
      </c>
      <c r="BM437" s="104">
        <v>1000</v>
      </c>
      <c r="BN437" s="104">
        <f t="shared" ref="BN437" si="742">BM437/50</f>
        <v>20</v>
      </c>
      <c r="BO437" s="105">
        <v>950</v>
      </c>
      <c r="BP437" s="105">
        <f t="shared" si="726"/>
        <v>19</v>
      </c>
      <c r="BQ437" s="106">
        <f>SUM(BP437:BP464)</f>
        <v>1427</v>
      </c>
      <c r="BR437" s="105">
        <v>50</v>
      </c>
      <c r="BS437" s="105">
        <f t="shared" si="665"/>
        <v>1</v>
      </c>
      <c r="BT437" s="106">
        <f>SUM(BS437:BS464)</f>
        <v>611</v>
      </c>
      <c r="BU437" s="53"/>
      <c r="BV437" s="53">
        <f t="shared" ref="BV437:BV464" si="743">BU437/50</f>
        <v>0</v>
      </c>
      <c r="BW437" s="54">
        <f>SUM(BV437:BV464)</f>
        <v>0</v>
      </c>
      <c r="BX437" s="350">
        <f t="shared" si="661"/>
        <v>20</v>
      </c>
      <c r="BY437" s="6">
        <f>SUM(BX437:BX464)</f>
        <v>2038</v>
      </c>
      <c r="BZ437" s="6">
        <f t="shared" ref="BZ437:BZ469" si="744">BK437-BX437</f>
        <v>-0.66666666666666785</v>
      </c>
      <c r="CA437" s="508"/>
      <c r="CB437" s="7"/>
      <c r="CC437" s="7"/>
      <c r="CD437" s="7"/>
      <c r="CE437" s="504"/>
      <c r="CF437" s="105"/>
      <c r="CG437" s="105">
        <f t="shared" si="666"/>
        <v>0</v>
      </c>
      <c r="CH437" s="105"/>
      <c r="CI437" s="105"/>
      <c r="CJ437" s="105">
        <f t="shared" si="667"/>
        <v>0</v>
      </c>
      <c r="CK437" s="524"/>
      <c r="CL437" s="53">
        <f t="shared" ref="CL437:CL464" si="745">CK437/15</f>
        <v>0</v>
      </c>
      <c r="CM437" s="54">
        <f>SUM(CL437:CL464)</f>
        <v>0</v>
      </c>
      <c r="CN437" s="105"/>
      <c r="CO437" s="100">
        <f t="shared" si="728"/>
        <v>0</v>
      </c>
      <c r="CP437" s="496">
        <f>SUM(CO437:CO464)</f>
        <v>0</v>
      </c>
      <c r="CQ437" s="439"/>
      <c r="CR437" s="504"/>
      <c r="CS437" s="105"/>
      <c r="CT437" s="105">
        <f t="shared" si="729"/>
        <v>0</v>
      </c>
      <c r="CU437" s="105"/>
      <c r="CV437" s="105"/>
      <c r="CW437" s="105">
        <f t="shared" si="730"/>
        <v>0</v>
      </c>
      <c r="CX437" s="53"/>
      <c r="CY437" s="109">
        <f t="shared" si="731"/>
        <v>0</v>
      </c>
      <c r="CZ437" s="54">
        <f>SUM(CY437:CY464)</f>
        <v>0</v>
      </c>
      <c r="DA437" s="105"/>
      <c r="DB437" s="455">
        <f t="shared" si="676"/>
        <v>0</v>
      </c>
      <c r="DC437" s="495">
        <f>SUM(DB437:DB464)</f>
        <v>19</v>
      </c>
      <c r="DD437" s="24"/>
      <c r="DF437" s="1133"/>
      <c r="DG437" s="674">
        <f t="shared" si="714"/>
        <v>0</v>
      </c>
      <c r="DH437" s="1119">
        <f t="shared" si="720"/>
        <v>0</v>
      </c>
      <c r="DI437" s="1119"/>
      <c r="DJ437" s="101">
        <f t="shared" si="716"/>
        <v>38.333333333333329</v>
      </c>
      <c r="DK437" s="101">
        <f>SUM(DJ437:DJ464)</f>
        <v>2061</v>
      </c>
      <c r="DL437" s="101">
        <f t="shared" si="715"/>
        <v>0</v>
      </c>
      <c r="DM437" s="101"/>
      <c r="DN437" s="112"/>
      <c r="DO437" s="112"/>
      <c r="DP437" s="112"/>
      <c r="DQ437" s="112"/>
      <c r="DS437" s="299">
        <f>BE437-AF437</f>
        <v>19.333333333333332</v>
      </c>
      <c r="DT437" s="140"/>
      <c r="DU437" s="140"/>
      <c r="DV437" s="140"/>
      <c r="DW437" s="140"/>
      <c r="DX437" s="140"/>
      <c r="DY437" s="140"/>
      <c r="DZ437" s="140"/>
    </row>
    <row r="438" spans="1:130" s="139" customFormat="1" ht="21.6" customHeight="1" x14ac:dyDescent="0.25">
      <c r="A438" s="4" t="s">
        <v>130</v>
      </c>
      <c r="B438" s="4">
        <v>11</v>
      </c>
      <c r="C438" s="153" t="s">
        <v>238</v>
      </c>
      <c r="D438" s="182" t="s">
        <v>431</v>
      </c>
      <c r="E438" s="13" t="s">
        <v>247</v>
      </c>
      <c r="F438" s="135">
        <v>59</v>
      </c>
      <c r="G438" s="135">
        <v>11</v>
      </c>
      <c r="H438" s="135">
        <f>F438+G438</f>
        <v>70</v>
      </c>
      <c r="I438" s="135">
        <v>79.5</v>
      </c>
      <c r="J438" s="135"/>
      <c r="K438" s="135">
        <f>I438+J438</f>
        <v>79.5</v>
      </c>
      <c r="L438" s="183"/>
      <c r="M438" s="5"/>
      <c r="N438" s="41"/>
      <c r="O438" s="6"/>
      <c r="P438" s="7"/>
      <c r="Q438" s="7"/>
      <c r="R438" s="7"/>
      <c r="S438" s="7"/>
      <c r="T438" s="89"/>
      <c r="U438" s="89"/>
      <c r="V438" s="89">
        <f t="shared" si="732"/>
        <v>0</v>
      </c>
      <c r="W438" s="137"/>
      <c r="X438" s="137"/>
      <c r="Y438" s="90">
        <f t="shared" si="733"/>
        <v>0</v>
      </c>
      <c r="Z438" s="91"/>
      <c r="AA438" s="92"/>
      <c r="AB438" s="92"/>
      <c r="AC438" s="92">
        <f t="shared" si="734"/>
        <v>0</v>
      </c>
      <c r="AD438" s="93"/>
      <c r="AE438" s="93"/>
      <c r="AF438" s="94">
        <f t="shared" si="735"/>
        <v>0</v>
      </c>
      <c r="AG438" s="473"/>
      <c r="AH438" s="99">
        <v>255</v>
      </c>
      <c r="AI438" s="99">
        <f t="shared" si="736"/>
        <v>17</v>
      </c>
      <c r="AJ438" s="138">
        <v>210</v>
      </c>
      <c r="AK438" s="138">
        <f t="shared" si="737"/>
        <v>14</v>
      </c>
      <c r="AL438" s="106"/>
      <c r="AM438" s="105"/>
      <c r="AN438" s="105">
        <f t="shared" si="738"/>
        <v>0</v>
      </c>
      <c r="AO438" s="106"/>
      <c r="AP438" s="105"/>
      <c r="AQ438" s="105">
        <f t="shared" si="664"/>
        <v>0</v>
      </c>
      <c r="AR438" s="106"/>
      <c r="AS438" s="97">
        <f t="shared" si="659"/>
        <v>14</v>
      </c>
      <c r="AT438" s="6"/>
      <c r="AU438" s="105"/>
      <c r="AV438" s="455">
        <f t="shared" si="724"/>
        <v>0</v>
      </c>
      <c r="AW438" s="496"/>
      <c r="AX438" s="508"/>
      <c r="AY438" s="498">
        <v>255</v>
      </c>
      <c r="AZ438" s="100">
        <f t="shared" si="739"/>
        <v>17</v>
      </c>
      <c r="BA438" s="101"/>
      <c r="BB438" s="100"/>
      <c r="BC438" s="100">
        <f t="shared" si="740"/>
        <v>0</v>
      </c>
      <c r="BD438" s="101"/>
      <c r="BE438" s="105">
        <f t="shared" si="741"/>
        <v>31</v>
      </c>
      <c r="BF438" s="106"/>
      <c r="BG438" s="100">
        <f t="shared" si="710"/>
        <v>0</v>
      </c>
      <c r="BH438" s="106"/>
      <c r="BI438" s="100">
        <f t="shared" si="711"/>
        <v>0</v>
      </c>
      <c r="BJ438" s="106"/>
      <c r="BK438" s="101">
        <f t="shared" si="660"/>
        <v>31</v>
      </c>
      <c r="BL438" s="106"/>
      <c r="BM438" s="104">
        <v>1700</v>
      </c>
      <c r="BN438" s="104">
        <f>BM438/50</f>
        <v>34</v>
      </c>
      <c r="BO438" s="105">
        <v>1500</v>
      </c>
      <c r="BP438" s="105">
        <f t="shared" si="726"/>
        <v>30</v>
      </c>
      <c r="BQ438" s="106"/>
      <c r="BR438" s="105"/>
      <c r="BS438" s="105">
        <f t="shared" si="665"/>
        <v>0</v>
      </c>
      <c r="BT438" s="106"/>
      <c r="BU438" s="53"/>
      <c r="BV438" s="53">
        <f t="shared" si="743"/>
        <v>0</v>
      </c>
      <c r="BW438" s="54"/>
      <c r="BX438" s="350">
        <f t="shared" si="661"/>
        <v>30</v>
      </c>
      <c r="BY438" s="6"/>
      <c r="BZ438" s="6">
        <f t="shared" si="744"/>
        <v>1</v>
      </c>
      <c r="CA438" s="508"/>
      <c r="CB438" s="7"/>
      <c r="CC438" s="7"/>
      <c r="CD438" s="7"/>
      <c r="CE438" s="504"/>
      <c r="CF438" s="105"/>
      <c r="CG438" s="105">
        <f t="shared" si="666"/>
        <v>0</v>
      </c>
      <c r="CH438" s="105"/>
      <c r="CI438" s="105"/>
      <c r="CJ438" s="105">
        <f t="shared" si="667"/>
        <v>0</v>
      </c>
      <c r="CK438" s="523"/>
      <c r="CL438" s="102">
        <f t="shared" si="745"/>
        <v>0</v>
      </c>
      <c r="CM438" s="103"/>
      <c r="CN438" s="100"/>
      <c r="CO438" s="100">
        <f t="shared" si="728"/>
        <v>0</v>
      </c>
      <c r="CP438" s="515"/>
      <c r="CQ438" s="441"/>
      <c r="CR438" s="504"/>
      <c r="CS438" s="105"/>
      <c r="CT438" s="105">
        <f t="shared" si="729"/>
        <v>0</v>
      </c>
      <c r="CU438" s="105"/>
      <c r="CV438" s="105"/>
      <c r="CW438" s="105">
        <f t="shared" si="730"/>
        <v>0</v>
      </c>
      <c r="CX438" s="53"/>
      <c r="CY438" s="109">
        <f t="shared" si="731"/>
        <v>0</v>
      </c>
      <c r="CZ438" s="54"/>
      <c r="DA438" s="105"/>
      <c r="DB438" s="455">
        <f t="shared" si="676"/>
        <v>0</v>
      </c>
      <c r="DC438" s="495"/>
      <c r="DD438" s="24"/>
      <c r="DF438" s="1133"/>
      <c r="DG438" s="674">
        <f t="shared" si="714"/>
        <v>0</v>
      </c>
      <c r="DH438" s="1119">
        <f t="shared" si="720"/>
        <v>0</v>
      </c>
      <c r="DI438" s="1119"/>
      <c r="DJ438" s="101">
        <f t="shared" si="716"/>
        <v>31</v>
      </c>
      <c r="DK438" s="101"/>
      <c r="DL438" s="101">
        <f t="shared" si="715"/>
        <v>0</v>
      </c>
      <c r="DM438" s="101"/>
      <c r="DN438" s="112"/>
      <c r="DO438" s="112"/>
      <c r="DP438" s="112"/>
      <c r="DQ438" s="112"/>
      <c r="DS438" s="299">
        <f>BE438-AF438</f>
        <v>31</v>
      </c>
      <c r="DT438" s="140"/>
      <c r="DU438" s="140"/>
      <c r="DV438" s="140"/>
      <c r="DW438" s="140"/>
      <c r="DX438" s="140"/>
      <c r="DY438" s="140"/>
      <c r="DZ438" s="140"/>
    </row>
    <row r="439" spans="1:130" ht="21.6" customHeight="1" x14ac:dyDescent="0.25">
      <c r="A439" s="4" t="s">
        <v>130</v>
      </c>
      <c r="B439" s="4">
        <v>13</v>
      </c>
      <c r="C439" s="166" t="s">
        <v>238</v>
      </c>
      <c r="D439" s="167" t="s">
        <v>431</v>
      </c>
      <c r="E439" s="1" t="s">
        <v>249</v>
      </c>
      <c r="F439" s="162">
        <v>66</v>
      </c>
      <c r="G439" s="162">
        <v>29</v>
      </c>
      <c r="H439" s="162">
        <f>F439+G439</f>
        <v>95</v>
      </c>
      <c r="I439" s="162">
        <v>205</v>
      </c>
      <c r="J439" s="162"/>
      <c r="K439" s="162">
        <f>I439+J439</f>
        <v>205</v>
      </c>
      <c r="L439" s="168"/>
      <c r="M439" s="414"/>
      <c r="N439" s="46"/>
      <c r="O439" s="164"/>
      <c r="P439" s="165"/>
      <c r="Q439" s="165"/>
      <c r="R439" s="165"/>
      <c r="S439" s="165"/>
      <c r="T439" s="89"/>
      <c r="U439" s="89"/>
      <c r="V439" s="89">
        <f t="shared" si="732"/>
        <v>0</v>
      </c>
      <c r="W439" s="137"/>
      <c r="X439" s="137"/>
      <c r="Y439" s="90">
        <f t="shared" si="733"/>
        <v>0</v>
      </c>
      <c r="Z439" s="169"/>
      <c r="AA439" s="92"/>
      <c r="AB439" s="92"/>
      <c r="AC439" s="92">
        <f t="shared" si="734"/>
        <v>0</v>
      </c>
      <c r="AD439" s="93"/>
      <c r="AE439" s="93"/>
      <c r="AF439" s="94">
        <f t="shared" si="735"/>
        <v>0</v>
      </c>
      <c r="AG439" s="475"/>
      <c r="AH439" s="99"/>
      <c r="AI439" s="99">
        <f t="shared" si="736"/>
        <v>0</v>
      </c>
      <c r="AJ439" s="138">
        <v>345</v>
      </c>
      <c r="AK439" s="138">
        <f t="shared" si="737"/>
        <v>23</v>
      </c>
      <c r="AL439" s="106"/>
      <c r="AM439" s="105"/>
      <c r="AN439" s="105">
        <f t="shared" si="738"/>
        <v>0</v>
      </c>
      <c r="AO439" s="106"/>
      <c r="AP439" s="105"/>
      <c r="AQ439" s="105">
        <f t="shared" ref="AQ439:AQ471" si="746">AP439/15</f>
        <v>0</v>
      </c>
      <c r="AR439" s="106"/>
      <c r="AS439" s="97">
        <f t="shared" si="659"/>
        <v>23</v>
      </c>
      <c r="AT439" s="6"/>
      <c r="AU439" s="105"/>
      <c r="AV439" s="455">
        <f t="shared" si="724"/>
        <v>0</v>
      </c>
      <c r="AW439" s="496"/>
      <c r="AX439" s="508"/>
      <c r="AY439" s="498"/>
      <c r="AZ439" s="100">
        <f t="shared" si="739"/>
        <v>0</v>
      </c>
      <c r="BA439" s="101"/>
      <c r="BB439" s="100">
        <v>1095</v>
      </c>
      <c r="BC439" s="100">
        <f t="shared" si="740"/>
        <v>73</v>
      </c>
      <c r="BD439" s="101"/>
      <c r="BE439" s="105">
        <f t="shared" si="741"/>
        <v>23</v>
      </c>
      <c r="BF439" s="106"/>
      <c r="BG439" s="100">
        <f t="shared" si="710"/>
        <v>73</v>
      </c>
      <c r="BH439" s="106"/>
      <c r="BI439" s="100">
        <f t="shared" si="711"/>
        <v>0</v>
      </c>
      <c r="BJ439" s="106"/>
      <c r="BK439" s="101">
        <f t="shared" si="660"/>
        <v>96</v>
      </c>
      <c r="BL439" s="106"/>
      <c r="BM439" s="104"/>
      <c r="BN439" s="104">
        <f>BM439/50</f>
        <v>0</v>
      </c>
      <c r="BO439" s="105"/>
      <c r="BP439" s="105">
        <f t="shared" si="726"/>
        <v>0</v>
      </c>
      <c r="BQ439" s="106"/>
      <c r="BR439" s="105">
        <f>3650+1150</f>
        <v>4800</v>
      </c>
      <c r="BS439" s="105">
        <f t="shared" si="665"/>
        <v>96</v>
      </c>
      <c r="BT439" s="106"/>
      <c r="BU439" s="53"/>
      <c r="BV439" s="53">
        <f t="shared" si="743"/>
        <v>0</v>
      </c>
      <c r="BW439" s="54"/>
      <c r="BX439" s="350">
        <f t="shared" si="661"/>
        <v>96</v>
      </c>
      <c r="BY439" s="6"/>
      <c r="BZ439" s="6">
        <f t="shared" si="744"/>
        <v>0</v>
      </c>
      <c r="CA439" s="508"/>
      <c r="CB439" s="165"/>
      <c r="CC439" s="165"/>
      <c r="CD439" s="165"/>
      <c r="CE439" s="504"/>
      <c r="CF439" s="105"/>
      <c r="CG439" s="105">
        <f t="shared" si="666"/>
        <v>0</v>
      </c>
      <c r="CH439" s="105"/>
      <c r="CI439" s="105"/>
      <c r="CJ439" s="105">
        <f t="shared" si="667"/>
        <v>0</v>
      </c>
      <c r="CK439" s="523"/>
      <c r="CL439" s="102">
        <f t="shared" si="745"/>
        <v>0</v>
      </c>
      <c r="CM439" s="103"/>
      <c r="CN439" s="100"/>
      <c r="CO439" s="100">
        <f t="shared" si="728"/>
        <v>0</v>
      </c>
      <c r="CP439" s="515"/>
      <c r="CQ439" s="441"/>
      <c r="CR439" s="504"/>
      <c r="CS439" s="105"/>
      <c r="CT439" s="105">
        <f t="shared" si="729"/>
        <v>0</v>
      </c>
      <c r="CU439" s="105"/>
      <c r="CV439" s="105"/>
      <c r="CW439" s="105">
        <f t="shared" si="730"/>
        <v>0</v>
      </c>
      <c r="CX439" s="53"/>
      <c r="CY439" s="109">
        <f t="shared" si="731"/>
        <v>0</v>
      </c>
      <c r="CZ439" s="54"/>
      <c r="DA439" s="105"/>
      <c r="DB439" s="455">
        <f t="shared" si="676"/>
        <v>0</v>
      </c>
      <c r="DC439" s="495"/>
      <c r="DD439" s="25"/>
      <c r="DF439" s="1133"/>
      <c r="DG439" s="674">
        <f t="shared" si="714"/>
        <v>0</v>
      </c>
      <c r="DH439" s="1119">
        <f t="shared" si="720"/>
        <v>73</v>
      </c>
      <c r="DI439" s="1119"/>
      <c r="DJ439" s="101">
        <f t="shared" si="716"/>
        <v>96</v>
      </c>
      <c r="DK439" s="101"/>
      <c r="DL439" s="101">
        <f t="shared" si="715"/>
        <v>0</v>
      </c>
      <c r="DM439" s="101"/>
      <c r="DN439" s="112"/>
      <c r="DO439" s="112"/>
      <c r="DP439" s="112"/>
      <c r="DQ439" s="112"/>
      <c r="DS439" s="299">
        <f>BE439-AF439</f>
        <v>23</v>
      </c>
    </row>
    <row r="440" spans="1:130" s="139" customFormat="1" ht="21.6" customHeight="1" x14ac:dyDescent="0.25">
      <c r="A440" s="4"/>
      <c r="B440" s="4"/>
      <c r="C440" s="182" t="s">
        <v>238</v>
      </c>
      <c r="D440" s="182" t="s">
        <v>429</v>
      </c>
      <c r="E440" s="3" t="s">
        <v>316</v>
      </c>
      <c r="F440" s="135"/>
      <c r="G440" s="135"/>
      <c r="H440" s="135"/>
      <c r="I440" s="135"/>
      <c r="J440" s="135"/>
      <c r="K440" s="135"/>
      <c r="L440" s="183"/>
      <c r="M440" s="5"/>
      <c r="N440" s="41"/>
      <c r="O440" s="6"/>
      <c r="P440" s="7"/>
      <c r="Q440" s="7"/>
      <c r="R440" s="7"/>
      <c r="S440" s="7"/>
      <c r="T440" s="89"/>
      <c r="U440" s="89"/>
      <c r="V440" s="89">
        <f t="shared" si="732"/>
        <v>0</v>
      </c>
      <c r="W440" s="137"/>
      <c r="X440" s="137"/>
      <c r="Y440" s="90">
        <f t="shared" si="733"/>
        <v>0</v>
      </c>
      <c r="Z440" s="91"/>
      <c r="AA440" s="92"/>
      <c r="AB440" s="92"/>
      <c r="AC440" s="92">
        <f t="shared" si="734"/>
        <v>0</v>
      </c>
      <c r="AD440" s="93"/>
      <c r="AE440" s="93"/>
      <c r="AF440" s="94">
        <f t="shared" si="735"/>
        <v>0</v>
      </c>
      <c r="AG440" s="473"/>
      <c r="AH440" s="99">
        <v>150</v>
      </c>
      <c r="AI440" s="99">
        <f t="shared" si="736"/>
        <v>10</v>
      </c>
      <c r="AJ440" s="138"/>
      <c r="AK440" s="138">
        <f t="shared" si="737"/>
        <v>0</v>
      </c>
      <c r="AL440" s="106"/>
      <c r="AM440" s="105"/>
      <c r="AN440" s="105">
        <f t="shared" si="738"/>
        <v>0</v>
      </c>
      <c r="AO440" s="106"/>
      <c r="AP440" s="105"/>
      <c r="AQ440" s="105">
        <f t="shared" si="746"/>
        <v>0</v>
      </c>
      <c r="AR440" s="106"/>
      <c r="AS440" s="97">
        <f t="shared" si="659"/>
        <v>0</v>
      </c>
      <c r="AT440" s="6"/>
      <c r="AU440" s="105"/>
      <c r="AV440" s="455">
        <f t="shared" si="724"/>
        <v>0</v>
      </c>
      <c r="AW440" s="496"/>
      <c r="AX440" s="508"/>
      <c r="AY440" s="498"/>
      <c r="AZ440" s="100">
        <f t="shared" si="739"/>
        <v>0</v>
      </c>
      <c r="BA440" s="101"/>
      <c r="BB440" s="100"/>
      <c r="BC440" s="100">
        <f t="shared" si="740"/>
        <v>0</v>
      </c>
      <c r="BD440" s="101"/>
      <c r="BE440" s="105">
        <f t="shared" si="741"/>
        <v>0</v>
      </c>
      <c r="BF440" s="106"/>
      <c r="BG440" s="100">
        <f t="shared" si="710"/>
        <v>0</v>
      </c>
      <c r="BH440" s="106"/>
      <c r="BI440" s="100">
        <f t="shared" si="711"/>
        <v>0</v>
      </c>
      <c r="BJ440" s="106"/>
      <c r="BK440" s="101">
        <f t="shared" si="660"/>
        <v>0</v>
      </c>
      <c r="BL440" s="106"/>
      <c r="BM440" s="104">
        <v>500</v>
      </c>
      <c r="BN440" s="104">
        <f t="shared" ref="BN440:BN464" si="747">BM440/50</f>
        <v>10</v>
      </c>
      <c r="BO440" s="105"/>
      <c r="BP440" s="105">
        <f t="shared" si="726"/>
        <v>0</v>
      </c>
      <c r="BQ440" s="106"/>
      <c r="BR440" s="105"/>
      <c r="BS440" s="105">
        <f t="shared" si="665"/>
        <v>0</v>
      </c>
      <c r="BT440" s="106"/>
      <c r="BU440" s="53"/>
      <c r="BV440" s="53">
        <f t="shared" si="743"/>
        <v>0</v>
      </c>
      <c r="BW440" s="54"/>
      <c r="BX440" s="350">
        <f t="shared" si="661"/>
        <v>0</v>
      </c>
      <c r="BY440" s="6"/>
      <c r="BZ440" s="6">
        <f t="shared" si="744"/>
        <v>0</v>
      </c>
      <c r="CA440" s="508"/>
      <c r="CB440" s="7"/>
      <c r="CC440" s="7"/>
      <c r="CD440" s="7"/>
      <c r="CE440" s="504"/>
      <c r="CF440" s="105"/>
      <c r="CG440" s="105">
        <f t="shared" si="666"/>
        <v>0</v>
      </c>
      <c r="CH440" s="105"/>
      <c r="CI440" s="105"/>
      <c r="CJ440" s="105">
        <f t="shared" si="667"/>
        <v>0</v>
      </c>
      <c r="CK440" s="523"/>
      <c r="CL440" s="102">
        <f t="shared" si="745"/>
        <v>0</v>
      </c>
      <c r="CM440" s="103"/>
      <c r="CN440" s="100"/>
      <c r="CO440" s="100">
        <f t="shared" si="728"/>
        <v>0</v>
      </c>
      <c r="CP440" s="515"/>
      <c r="CQ440" s="441"/>
      <c r="CR440" s="504"/>
      <c r="CS440" s="105"/>
      <c r="CT440" s="105">
        <f t="shared" si="729"/>
        <v>0</v>
      </c>
      <c r="CU440" s="105"/>
      <c r="CV440" s="105"/>
      <c r="CW440" s="105">
        <f t="shared" si="730"/>
        <v>0</v>
      </c>
      <c r="CX440" s="53"/>
      <c r="CY440" s="109">
        <f t="shared" si="731"/>
        <v>0</v>
      </c>
      <c r="CZ440" s="54"/>
      <c r="DA440" s="105"/>
      <c r="DB440" s="455">
        <f t="shared" si="676"/>
        <v>0</v>
      </c>
      <c r="DC440" s="495"/>
      <c r="DD440" s="24"/>
      <c r="DF440" s="1133"/>
      <c r="DG440" s="674">
        <f t="shared" si="714"/>
        <v>0</v>
      </c>
      <c r="DH440" s="1119">
        <f t="shared" si="720"/>
        <v>0</v>
      </c>
      <c r="DI440" s="1119"/>
      <c r="DJ440" s="101">
        <f t="shared" si="716"/>
        <v>0</v>
      </c>
      <c r="DK440" s="101"/>
      <c r="DL440" s="101">
        <f t="shared" si="715"/>
        <v>0</v>
      </c>
      <c r="DM440" s="101">
        <f t="shared" ref="DM440:DM441" si="748">DL440</f>
        <v>0</v>
      </c>
      <c r="DN440" s="112">
        <f>DJ440</f>
        <v>0</v>
      </c>
      <c r="DO440" s="112"/>
      <c r="DP440" s="112"/>
      <c r="DQ440" s="112"/>
      <c r="DS440" s="299">
        <f>BE440-AF440</f>
        <v>0</v>
      </c>
      <c r="DT440" s="140"/>
      <c r="DU440" s="140"/>
      <c r="DV440" s="140"/>
      <c r="DW440" s="140"/>
      <c r="DX440" s="140"/>
      <c r="DY440" s="140"/>
      <c r="DZ440" s="140"/>
    </row>
    <row r="441" spans="1:130" s="139" customFormat="1" ht="21.6" customHeight="1" x14ac:dyDescent="0.25">
      <c r="A441" s="4"/>
      <c r="B441" s="4"/>
      <c r="C441" s="182" t="s">
        <v>238</v>
      </c>
      <c r="D441" s="182" t="s">
        <v>429</v>
      </c>
      <c r="E441" s="3" t="s">
        <v>427</v>
      </c>
      <c r="F441" s="135"/>
      <c r="G441" s="135"/>
      <c r="H441" s="135"/>
      <c r="I441" s="135"/>
      <c r="J441" s="135"/>
      <c r="K441" s="135"/>
      <c r="L441" s="183"/>
      <c r="M441" s="414"/>
      <c r="N441" s="41"/>
      <c r="O441" s="6"/>
      <c r="P441" s="165"/>
      <c r="Q441" s="7"/>
      <c r="R441" s="7"/>
      <c r="S441" s="7"/>
      <c r="T441" s="89"/>
      <c r="U441" s="89"/>
      <c r="V441" s="89"/>
      <c r="W441" s="137"/>
      <c r="X441" s="137"/>
      <c r="Y441" s="90"/>
      <c r="Z441" s="91"/>
      <c r="AA441" s="92"/>
      <c r="AB441" s="92"/>
      <c r="AC441" s="92">
        <f>AA441+AB441</f>
        <v>0</v>
      </c>
      <c r="AD441" s="93"/>
      <c r="AE441" s="93"/>
      <c r="AF441" s="94">
        <f>AD441+AE441</f>
        <v>0</v>
      </c>
      <c r="AG441" s="473"/>
      <c r="AH441" s="99"/>
      <c r="AI441" s="99">
        <f t="shared" si="736"/>
        <v>0</v>
      </c>
      <c r="AJ441" s="138"/>
      <c r="AK441" s="138">
        <f t="shared" si="737"/>
        <v>0</v>
      </c>
      <c r="AL441" s="106"/>
      <c r="AM441" s="105">
        <v>1500</v>
      </c>
      <c r="AN441" s="105">
        <f t="shared" si="738"/>
        <v>100</v>
      </c>
      <c r="AO441" s="106"/>
      <c r="AP441" s="105"/>
      <c r="AQ441" s="105">
        <f t="shared" si="746"/>
        <v>0</v>
      </c>
      <c r="AR441" s="106"/>
      <c r="AS441" s="97">
        <f t="shared" si="659"/>
        <v>100</v>
      </c>
      <c r="AT441" s="6"/>
      <c r="AU441" s="105"/>
      <c r="AV441" s="455">
        <f t="shared" si="724"/>
        <v>0</v>
      </c>
      <c r="AW441" s="496"/>
      <c r="AX441" s="508"/>
      <c r="AY441" s="498"/>
      <c r="AZ441" s="100">
        <f t="shared" si="739"/>
        <v>0</v>
      </c>
      <c r="BA441" s="101"/>
      <c r="BB441" s="100"/>
      <c r="BC441" s="100">
        <f t="shared" si="740"/>
        <v>0</v>
      </c>
      <c r="BD441" s="101"/>
      <c r="BE441" s="105">
        <f t="shared" si="741"/>
        <v>0</v>
      </c>
      <c r="BF441" s="106"/>
      <c r="BG441" s="100">
        <f t="shared" si="710"/>
        <v>100</v>
      </c>
      <c r="BH441" s="106"/>
      <c r="BI441" s="100">
        <f t="shared" si="711"/>
        <v>0</v>
      </c>
      <c r="BJ441" s="106"/>
      <c r="BK441" s="101">
        <f t="shared" si="660"/>
        <v>100</v>
      </c>
      <c r="BL441" s="106"/>
      <c r="BM441" s="104"/>
      <c r="BN441" s="104"/>
      <c r="BO441" s="105"/>
      <c r="BP441" s="105">
        <f t="shared" si="726"/>
        <v>0</v>
      </c>
      <c r="BQ441" s="106"/>
      <c r="BR441" s="105">
        <v>5000</v>
      </c>
      <c r="BS441" s="105">
        <f t="shared" si="665"/>
        <v>100</v>
      </c>
      <c r="BT441" s="106"/>
      <c r="BU441" s="53"/>
      <c r="BV441" s="53">
        <f t="shared" si="743"/>
        <v>0</v>
      </c>
      <c r="BW441" s="54"/>
      <c r="BX441" s="350">
        <f t="shared" si="661"/>
        <v>100</v>
      </c>
      <c r="BY441" s="6"/>
      <c r="BZ441" s="6">
        <f t="shared" si="744"/>
        <v>0</v>
      </c>
      <c r="CA441" s="508"/>
      <c r="CB441" s="7"/>
      <c r="CC441" s="165"/>
      <c r="CD441" s="7"/>
      <c r="CE441" s="504"/>
      <c r="CF441" s="105"/>
      <c r="CG441" s="105">
        <f t="shared" si="666"/>
        <v>0</v>
      </c>
      <c r="CH441" s="105"/>
      <c r="CI441" s="105"/>
      <c r="CJ441" s="105">
        <f t="shared" si="667"/>
        <v>0</v>
      </c>
      <c r="CK441" s="523"/>
      <c r="CL441" s="102">
        <f t="shared" si="745"/>
        <v>0</v>
      </c>
      <c r="CM441" s="103"/>
      <c r="CN441" s="100"/>
      <c r="CO441" s="100">
        <f t="shared" si="728"/>
        <v>0</v>
      </c>
      <c r="CP441" s="515"/>
      <c r="CQ441" s="441"/>
      <c r="CR441" s="504"/>
      <c r="CS441" s="105"/>
      <c r="CT441" s="105">
        <f t="shared" si="729"/>
        <v>0</v>
      </c>
      <c r="CU441" s="105"/>
      <c r="CV441" s="105"/>
      <c r="CW441" s="105">
        <f t="shared" si="730"/>
        <v>0</v>
      </c>
      <c r="CX441" s="53"/>
      <c r="CY441" s="109">
        <f t="shared" si="731"/>
        <v>0</v>
      </c>
      <c r="CZ441" s="54"/>
      <c r="DA441" s="105"/>
      <c r="DB441" s="455">
        <f t="shared" si="676"/>
        <v>0</v>
      </c>
      <c r="DC441" s="495"/>
      <c r="DD441" s="24" t="s">
        <v>619</v>
      </c>
      <c r="DF441" s="1133"/>
      <c r="DG441" s="674">
        <f t="shared" si="714"/>
        <v>0</v>
      </c>
      <c r="DH441" s="1119">
        <f t="shared" si="720"/>
        <v>0</v>
      </c>
      <c r="DI441" s="1119"/>
      <c r="DJ441" s="101">
        <f t="shared" si="716"/>
        <v>100</v>
      </c>
      <c r="DK441" s="101"/>
      <c r="DL441" s="101">
        <f t="shared" si="715"/>
        <v>0</v>
      </c>
      <c r="DM441" s="101">
        <f t="shared" si="748"/>
        <v>0</v>
      </c>
      <c r="DN441" s="112">
        <f>DJ441</f>
        <v>100</v>
      </c>
      <c r="DO441" s="112"/>
      <c r="DP441" s="112"/>
      <c r="DQ441" s="112"/>
      <c r="DS441" s="299"/>
      <c r="DT441" s="140"/>
      <c r="DU441" s="140"/>
      <c r="DV441" s="140"/>
      <c r="DW441" s="140"/>
      <c r="DX441" s="140"/>
      <c r="DY441" s="140"/>
      <c r="DZ441" s="140"/>
    </row>
    <row r="442" spans="1:130" s="139" customFormat="1" ht="21.6" customHeight="1" x14ac:dyDescent="0.25">
      <c r="A442" s="4" t="s">
        <v>130</v>
      </c>
      <c r="B442" s="4">
        <v>19</v>
      </c>
      <c r="C442" s="153" t="s">
        <v>238</v>
      </c>
      <c r="D442" s="182" t="s">
        <v>431</v>
      </c>
      <c r="E442" s="13" t="s">
        <v>255</v>
      </c>
      <c r="F442" s="135">
        <v>91</v>
      </c>
      <c r="G442" s="135">
        <v>41</v>
      </c>
      <c r="H442" s="135">
        <f t="shared" ref="H442:H457" si="749">F442+G442</f>
        <v>132</v>
      </c>
      <c r="I442" s="135">
        <v>120</v>
      </c>
      <c r="J442" s="135"/>
      <c r="K442" s="135">
        <f t="shared" ref="K442:K457" si="750">I442+J442</f>
        <v>120</v>
      </c>
      <c r="L442" s="183"/>
      <c r="M442" s="5"/>
      <c r="N442" s="41"/>
      <c r="O442" s="6"/>
      <c r="P442" s="7"/>
      <c r="Q442" s="7"/>
      <c r="R442" s="7"/>
      <c r="S442" s="7"/>
      <c r="T442" s="89"/>
      <c r="U442" s="89"/>
      <c r="V442" s="89">
        <f t="shared" si="732"/>
        <v>0</v>
      </c>
      <c r="W442" s="137"/>
      <c r="X442" s="137"/>
      <c r="Y442" s="90">
        <f t="shared" si="733"/>
        <v>0</v>
      </c>
      <c r="Z442" s="91"/>
      <c r="AA442" s="92"/>
      <c r="AB442" s="92"/>
      <c r="AC442" s="92">
        <f t="shared" si="734"/>
        <v>0</v>
      </c>
      <c r="AD442" s="93"/>
      <c r="AE442" s="93"/>
      <c r="AF442" s="94">
        <f t="shared" si="735"/>
        <v>0</v>
      </c>
      <c r="AG442" s="473"/>
      <c r="AH442" s="99">
        <v>225</v>
      </c>
      <c r="AI442" s="99">
        <f t="shared" si="736"/>
        <v>15</v>
      </c>
      <c r="AJ442" s="138">
        <v>225</v>
      </c>
      <c r="AK442" s="138">
        <f t="shared" si="737"/>
        <v>15</v>
      </c>
      <c r="AL442" s="106"/>
      <c r="AM442" s="105"/>
      <c r="AN442" s="105">
        <f t="shared" si="738"/>
        <v>0</v>
      </c>
      <c r="AO442" s="106"/>
      <c r="AP442" s="105"/>
      <c r="AQ442" s="105">
        <f t="shared" si="746"/>
        <v>0</v>
      </c>
      <c r="AR442" s="106"/>
      <c r="AS442" s="97">
        <f t="shared" si="659"/>
        <v>15</v>
      </c>
      <c r="AT442" s="6"/>
      <c r="AU442" s="105"/>
      <c r="AV442" s="455">
        <f t="shared" si="724"/>
        <v>0</v>
      </c>
      <c r="AW442" s="496"/>
      <c r="AX442" s="508"/>
      <c r="AY442" s="498">
        <v>150</v>
      </c>
      <c r="AZ442" s="100">
        <f t="shared" si="739"/>
        <v>10</v>
      </c>
      <c r="BA442" s="101"/>
      <c r="BB442" s="100"/>
      <c r="BC442" s="100">
        <f t="shared" si="740"/>
        <v>0</v>
      </c>
      <c r="BD442" s="101"/>
      <c r="BE442" s="105">
        <f t="shared" si="741"/>
        <v>25</v>
      </c>
      <c r="BF442" s="106"/>
      <c r="BG442" s="100">
        <f t="shared" si="710"/>
        <v>0</v>
      </c>
      <c r="BH442" s="106"/>
      <c r="BI442" s="100">
        <f t="shared" si="711"/>
        <v>0</v>
      </c>
      <c r="BJ442" s="106"/>
      <c r="BK442" s="101">
        <f t="shared" si="660"/>
        <v>25</v>
      </c>
      <c r="BL442" s="106"/>
      <c r="BM442" s="104">
        <v>1250</v>
      </c>
      <c r="BN442" s="104">
        <f t="shared" si="747"/>
        <v>25</v>
      </c>
      <c r="BO442" s="105">
        <v>1250</v>
      </c>
      <c r="BP442" s="105">
        <f t="shared" si="726"/>
        <v>25</v>
      </c>
      <c r="BQ442" s="106"/>
      <c r="BR442" s="105"/>
      <c r="BS442" s="105">
        <f t="shared" si="665"/>
        <v>0</v>
      </c>
      <c r="BT442" s="106"/>
      <c r="BU442" s="53"/>
      <c r="BV442" s="53">
        <f t="shared" si="743"/>
        <v>0</v>
      </c>
      <c r="BW442" s="54"/>
      <c r="BX442" s="350">
        <f t="shared" si="661"/>
        <v>25</v>
      </c>
      <c r="BY442" s="6"/>
      <c r="BZ442" s="6">
        <f t="shared" si="744"/>
        <v>0</v>
      </c>
      <c r="CA442" s="508"/>
      <c r="CB442" s="7"/>
      <c r="CC442" s="7"/>
      <c r="CD442" s="7"/>
      <c r="CE442" s="504"/>
      <c r="CF442" s="105"/>
      <c r="CG442" s="105">
        <f t="shared" si="666"/>
        <v>0</v>
      </c>
      <c r="CH442" s="105"/>
      <c r="CI442" s="105"/>
      <c r="CJ442" s="105">
        <f t="shared" si="667"/>
        <v>0</v>
      </c>
      <c r="CK442" s="523"/>
      <c r="CL442" s="102">
        <f t="shared" si="745"/>
        <v>0</v>
      </c>
      <c r="CM442" s="103"/>
      <c r="CN442" s="100"/>
      <c r="CO442" s="100">
        <f t="shared" si="728"/>
        <v>0</v>
      </c>
      <c r="CP442" s="515"/>
      <c r="CQ442" s="441"/>
      <c r="CR442" s="504"/>
      <c r="CS442" s="105"/>
      <c r="CT442" s="105">
        <f t="shared" si="729"/>
        <v>0</v>
      </c>
      <c r="CU442" s="105"/>
      <c r="CV442" s="105"/>
      <c r="CW442" s="105">
        <f t="shared" si="730"/>
        <v>0</v>
      </c>
      <c r="CX442" s="53"/>
      <c r="CY442" s="109">
        <f t="shared" si="731"/>
        <v>0</v>
      </c>
      <c r="CZ442" s="54"/>
      <c r="DA442" s="105"/>
      <c r="DB442" s="455">
        <f t="shared" si="676"/>
        <v>0</v>
      </c>
      <c r="DC442" s="495"/>
      <c r="DD442" s="24"/>
      <c r="DF442" s="1133"/>
      <c r="DG442" s="674">
        <f t="shared" si="714"/>
        <v>0</v>
      </c>
      <c r="DH442" s="1119">
        <f t="shared" si="720"/>
        <v>0</v>
      </c>
      <c r="DI442" s="1119"/>
      <c r="DJ442" s="101">
        <f t="shared" si="716"/>
        <v>25</v>
      </c>
      <c r="DK442" s="101"/>
      <c r="DL442" s="101">
        <f t="shared" si="715"/>
        <v>0</v>
      </c>
      <c r="DM442" s="101"/>
      <c r="DN442" s="112"/>
      <c r="DO442" s="112"/>
      <c r="DP442" s="112"/>
      <c r="DQ442" s="112"/>
      <c r="DS442" s="299">
        <f t="shared" ref="DS442:DS452" si="751">BE442-AF442</f>
        <v>25</v>
      </c>
      <c r="DT442" s="140"/>
      <c r="DU442" s="140"/>
      <c r="DV442" s="140"/>
      <c r="DW442" s="140"/>
      <c r="DX442" s="140"/>
      <c r="DY442" s="140"/>
      <c r="DZ442" s="140"/>
    </row>
    <row r="443" spans="1:130" s="139" customFormat="1" ht="21.6" customHeight="1" x14ac:dyDescent="0.25">
      <c r="A443" s="4" t="s">
        <v>130</v>
      </c>
      <c r="B443" s="4">
        <v>1</v>
      </c>
      <c r="C443" s="252" t="s">
        <v>238</v>
      </c>
      <c r="D443" s="176" t="s">
        <v>431</v>
      </c>
      <c r="E443" s="13" t="s">
        <v>239</v>
      </c>
      <c r="F443" s="135">
        <v>78</v>
      </c>
      <c r="G443" s="135">
        <v>205</v>
      </c>
      <c r="H443" s="135">
        <f t="shared" si="749"/>
        <v>283</v>
      </c>
      <c r="I443" s="135">
        <v>264</v>
      </c>
      <c r="J443" s="135"/>
      <c r="K443" s="135">
        <f t="shared" si="750"/>
        <v>264</v>
      </c>
      <c r="L443" s="183"/>
      <c r="M443" s="5"/>
      <c r="N443" s="41"/>
      <c r="O443" s="6"/>
      <c r="P443" s="7"/>
      <c r="Q443" s="7"/>
      <c r="R443" s="7"/>
      <c r="S443" s="7"/>
      <c r="T443" s="89"/>
      <c r="U443" s="89"/>
      <c r="V443" s="89">
        <f t="shared" si="732"/>
        <v>0</v>
      </c>
      <c r="W443" s="137"/>
      <c r="X443" s="137"/>
      <c r="Y443" s="90">
        <f t="shared" si="733"/>
        <v>0</v>
      </c>
      <c r="Z443" s="91"/>
      <c r="AA443" s="92"/>
      <c r="AB443" s="92"/>
      <c r="AC443" s="92">
        <f t="shared" si="734"/>
        <v>0</v>
      </c>
      <c r="AD443" s="93"/>
      <c r="AE443" s="93"/>
      <c r="AF443" s="94">
        <f t="shared" si="735"/>
        <v>0</v>
      </c>
      <c r="AG443" s="473"/>
      <c r="AH443" s="99">
        <v>750</v>
      </c>
      <c r="AI443" s="99">
        <f t="shared" si="736"/>
        <v>50</v>
      </c>
      <c r="AJ443" s="138">
        <v>750</v>
      </c>
      <c r="AK443" s="138">
        <f t="shared" si="737"/>
        <v>50</v>
      </c>
      <c r="AL443" s="106"/>
      <c r="AM443" s="105"/>
      <c r="AN443" s="105">
        <f t="shared" si="738"/>
        <v>0</v>
      </c>
      <c r="AO443" s="106"/>
      <c r="AP443" s="105"/>
      <c r="AQ443" s="105">
        <f t="shared" si="746"/>
        <v>0</v>
      </c>
      <c r="AR443" s="106"/>
      <c r="AS443" s="97">
        <f t="shared" si="659"/>
        <v>50</v>
      </c>
      <c r="AT443" s="6"/>
      <c r="AU443" s="105"/>
      <c r="AV443" s="455">
        <f t="shared" si="724"/>
        <v>0</v>
      </c>
      <c r="AW443" s="496"/>
      <c r="AX443" s="508"/>
      <c r="AY443" s="498">
        <v>750</v>
      </c>
      <c r="AZ443" s="100">
        <f t="shared" si="739"/>
        <v>50</v>
      </c>
      <c r="BA443" s="101"/>
      <c r="BB443" s="100"/>
      <c r="BC443" s="100">
        <f t="shared" si="740"/>
        <v>0</v>
      </c>
      <c r="BD443" s="101"/>
      <c r="BE443" s="105">
        <f t="shared" si="741"/>
        <v>100</v>
      </c>
      <c r="BF443" s="106"/>
      <c r="BG443" s="100">
        <f t="shared" si="710"/>
        <v>0</v>
      </c>
      <c r="BH443" s="106"/>
      <c r="BI443" s="100">
        <f t="shared" si="711"/>
        <v>0</v>
      </c>
      <c r="BJ443" s="106"/>
      <c r="BK443" s="101">
        <f t="shared" si="660"/>
        <v>100</v>
      </c>
      <c r="BL443" s="106"/>
      <c r="BM443" s="104">
        <v>5000</v>
      </c>
      <c r="BN443" s="104">
        <f t="shared" si="747"/>
        <v>100</v>
      </c>
      <c r="BO443" s="105">
        <v>5000</v>
      </c>
      <c r="BP443" s="105">
        <f t="shared" si="726"/>
        <v>100</v>
      </c>
      <c r="BQ443" s="106"/>
      <c r="BR443" s="105"/>
      <c r="BS443" s="105">
        <f t="shared" si="665"/>
        <v>0</v>
      </c>
      <c r="BT443" s="106"/>
      <c r="BU443" s="53"/>
      <c r="BV443" s="53">
        <f t="shared" si="743"/>
        <v>0</v>
      </c>
      <c r="BW443" s="54"/>
      <c r="BX443" s="350">
        <f t="shared" si="661"/>
        <v>100</v>
      </c>
      <c r="BY443" s="6"/>
      <c r="BZ443" s="6">
        <f t="shared" si="744"/>
        <v>0</v>
      </c>
      <c r="CA443" s="508"/>
      <c r="CB443" s="7"/>
      <c r="CC443" s="7"/>
      <c r="CD443" s="7"/>
      <c r="CE443" s="504"/>
      <c r="CF443" s="105"/>
      <c r="CG443" s="105">
        <f t="shared" si="666"/>
        <v>0</v>
      </c>
      <c r="CH443" s="105"/>
      <c r="CI443" s="105"/>
      <c r="CJ443" s="105">
        <f t="shared" si="667"/>
        <v>0</v>
      </c>
      <c r="CK443" s="523"/>
      <c r="CL443" s="102">
        <f t="shared" si="745"/>
        <v>0</v>
      </c>
      <c r="CM443" s="103"/>
      <c r="CN443" s="100"/>
      <c r="CO443" s="100">
        <f t="shared" si="728"/>
        <v>0</v>
      </c>
      <c r="CP443" s="515"/>
      <c r="CQ443" s="441"/>
      <c r="CR443" s="504"/>
      <c r="CS443" s="105"/>
      <c r="CT443" s="105">
        <f t="shared" si="729"/>
        <v>0</v>
      </c>
      <c r="CU443" s="105"/>
      <c r="CV443" s="105"/>
      <c r="CW443" s="105">
        <f t="shared" si="730"/>
        <v>0</v>
      </c>
      <c r="CX443" s="53"/>
      <c r="CY443" s="109">
        <f t="shared" si="731"/>
        <v>0</v>
      </c>
      <c r="CZ443" s="54"/>
      <c r="DA443" s="105"/>
      <c r="DB443" s="455">
        <f t="shared" si="676"/>
        <v>0</v>
      </c>
      <c r="DC443" s="495"/>
      <c r="DD443" s="24"/>
      <c r="DF443" s="1133"/>
      <c r="DG443" s="674">
        <f t="shared" si="714"/>
        <v>0</v>
      </c>
      <c r="DH443" s="1119">
        <f t="shared" si="720"/>
        <v>0</v>
      </c>
      <c r="DI443" s="1119"/>
      <c r="DJ443" s="101">
        <f t="shared" si="716"/>
        <v>100</v>
      </c>
      <c r="DK443" s="101"/>
      <c r="DL443" s="101">
        <f t="shared" si="715"/>
        <v>0</v>
      </c>
      <c r="DM443" s="101"/>
      <c r="DN443" s="112"/>
      <c r="DO443" s="112"/>
      <c r="DP443" s="112"/>
      <c r="DQ443" s="112"/>
      <c r="DS443" s="299">
        <f t="shared" si="751"/>
        <v>100</v>
      </c>
      <c r="DT443" s="140"/>
      <c r="DU443" s="140"/>
      <c r="DV443" s="140"/>
      <c r="DW443" s="140"/>
      <c r="DX443" s="140"/>
      <c r="DY443" s="140"/>
      <c r="DZ443" s="140"/>
    </row>
    <row r="444" spans="1:130" ht="21.6" customHeight="1" x14ac:dyDescent="0.25">
      <c r="A444" s="4" t="s">
        <v>130</v>
      </c>
      <c r="B444" s="4">
        <v>6</v>
      </c>
      <c r="C444" s="166" t="s">
        <v>238</v>
      </c>
      <c r="D444" s="167" t="s">
        <v>431</v>
      </c>
      <c r="E444" s="1" t="s">
        <v>242</v>
      </c>
      <c r="F444" s="162">
        <v>146</v>
      </c>
      <c r="G444" s="162">
        <v>54</v>
      </c>
      <c r="H444" s="162">
        <f t="shared" si="749"/>
        <v>200</v>
      </c>
      <c r="I444" s="162">
        <v>237</v>
      </c>
      <c r="J444" s="162"/>
      <c r="K444" s="162">
        <f t="shared" si="750"/>
        <v>237</v>
      </c>
      <c r="L444" s="168"/>
      <c r="M444" s="414"/>
      <c r="N444" s="46"/>
      <c r="O444" s="164"/>
      <c r="P444" s="7"/>
      <c r="Q444" s="7"/>
      <c r="R444" s="7"/>
      <c r="S444" s="7"/>
      <c r="T444" s="89"/>
      <c r="U444" s="89"/>
      <c r="V444" s="89">
        <f t="shared" si="732"/>
        <v>0</v>
      </c>
      <c r="W444" s="137"/>
      <c r="X444" s="137"/>
      <c r="Y444" s="90">
        <f t="shared" si="733"/>
        <v>0</v>
      </c>
      <c r="Z444" s="169"/>
      <c r="AA444" s="92"/>
      <c r="AB444" s="92"/>
      <c r="AC444" s="92">
        <f t="shared" si="734"/>
        <v>0</v>
      </c>
      <c r="AD444" s="93"/>
      <c r="AE444" s="93"/>
      <c r="AF444" s="94">
        <f t="shared" si="735"/>
        <v>0</v>
      </c>
      <c r="AG444" s="475"/>
      <c r="AH444" s="99">
        <v>300</v>
      </c>
      <c r="AI444" s="99">
        <f t="shared" si="736"/>
        <v>20</v>
      </c>
      <c r="AJ444" s="138">
        <v>300</v>
      </c>
      <c r="AK444" s="138">
        <f t="shared" si="737"/>
        <v>20</v>
      </c>
      <c r="AL444" s="106"/>
      <c r="AM444" s="105"/>
      <c r="AN444" s="105">
        <f t="shared" si="738"/>
        <v>0</v>
      </c>
      <c r="AO444" s="106"/>
      <c r="AP444" s="105"/>
      <c r="AQ444" s="105">
        <f t="shared" si="746"/>
        <v>0</v>
      </c>
      <c r="AR444" s="106"/>
      <c r="AS444" s="97">
        <f t="shared" si="659"/>
        <v>20</v>
      </c>
      <c r="AT444" s="6"/>
      <c r="AU444" s="105"/>
      <c r="AV444" s="455">
        <f t="shared" si="724"/>
        <v>0</v>
      </c>
      <c r="AW444" s="496"/>
      <c r="AX444" s="508"/>
      <c r="AY444" s="498">
        <v>165</v>
      </c>
      <c r="AZ444" s="100">
        <f t="shared" si="739"/>
        <v>11</v>
      </c>
      <c r="BA444" s="101"/>
      <c r="BB444" s="100"/>
      <c r="BC444" s="100">
        <f t="shared" si="740"/>
        <v>0</v>
      </c>
      <c r="BD444" s="101"/>
      <c r="BE444" s="105">
        <f t="shared" si="741"/>
        <v>31</v>
      </c>
      <c r="BF444" s="106"/>
      <c r="BG444" s="100">
        <f t="shared" si="710"/>
        <v>0</v>
      </c>
      <c r="BH444" s="106"/>
      <c r="BI444" s="100">
        <f t="shared" si="711"/>
        <v>0</v>
      </c>
      <c r="BJ444" s="106"/>
      <c r="BK444" s="101">
        <f t="shared" si="660"/>
        <v>31</v>
      </c>
      <c r="BL444" s="106"/>
      <c r="BM444" s="104">
        <v>1550</v>
      </c>
      <c r="BN444" s="104">
        <f t="shared" si="747"/>
        <v>31</v>
      </c>
      <c r="BO444" s="105">
        <v>1550</v>
      </c>
      <c r="BP444" s="105">
        <f t="shared" si="726"/>
        <v>31</v>
      </c>
      <c r="BQ444" s="106"/>
      <c r="BR444" s="105"/>
      <c r="BS444" s="105">
        <f t="shared" si="665"/>
        <v>0</v>
      </c>
      <c r="BT444" s="106"/>
      <c r="BU444" s="53"/>
      <c r="BV444" s="53">
        <f t="shared" si="743"/>
        <v>0</v>
      </c>
      <c r="BW444" s="54"/>
      <c r="BX444" s="350">
        <f t="shared" si="661"/>
        <v>31</v>
      </c>
      <c r="BY444" s="6"/>
      <c r="BZ444" s="6">
        <f t="shared" si="744"/>
        <v>0</v>
      </c>
      <c r="CA444" s="508"/>
      <c r="CB444" s="7"/>
      <c r="CC444" s="7"/>
      <c r="CD444" s="7"/>
      <c r="CE444" s="504"/>
      <c r="CF444" s="105"/>
      <c r="CG444" s="105">
        <f t="shared" si="666"/>
        <v>0</v>
      </c>
      <c r="CH444" s="105"/>
      <c r="CI444" s="105"/>
      <c r="CJ444" s="105">
        <f t="shared" si="667"/>
        <v>0</v>
      </c>
      <c r="CK444" s="523"/>
      <c r="CL444" s="102">
        <f t="shared" si="745"/>
        <v>0</v>
      </c>
      <c r="CM444" s="103"/>
      <c r="CN444" s="100"/>
      <c r="CO444" s="100">
        <f t="shared" si="728"/>
        <v>0</v>
      </c>
      <c r="CP444" s="515"/>
      <c r="CQ444" s="441"/>
      <c r="CR444" s="504"/>
      <c r="CS444" s="105"/>
      <c r="CT444" s="105">
        <f t="shared" si="729"/>
        <v>0</v>
      </c>
      <c r="CU444" s="105"/>
      <c r="CV444" s="105"/>
      <c r="CW444" s="105">
        <f t="shared" si="730"/>
        <v>0</v>
      </c>
      <c r="CX444" s="53"/>
      <c r="CY444" s="109">
        <f t="shared" si="731"/>
        <v>0</v>
      </c>
      <c r="CZ444" s="54"/>
      <c r="DA444" s="105"/>
      <c r="DB444" s="455">
        <f t="shared" si="676"/>
        <v>0</v>
      </c>
      <c r="DC444" s="495"/>
      <c r="DD444" s="25"/>
      <c r="DF444" s="1133"/>
      <c r="DG444" s="674">
        <f t="shared" si="714"/>
        <v>0</v>
      </c>
      <c r="DH444" s="1119">
        <f t="shared" si="720"/>
        <v>0</v>
      </c>
      <c r="DI444" s="1119"/>
      <c r="DJ444" s="101">
        <f t="shared" si="716"/>
        <v>31</v>
      </c>
      <c r="DK444" s="101"/>
      <c r="DL444" s="101">
        <f t="shared" si="715"/>
        <v>0</v>
      </c>
      <c r="DM444" s="101"/>
      <c r="DN444" s="112"/>
      <c r="DO444" s="112"/>
      <c r="DP444" s="112"/>
      <c r="DQ444" s="112"/>
      <c r="DS444" s="299">
        <f t="shared" si="751"/>
        <v>31</v>
      </c>
    </row>
    <row r="445" spans="1:130" s="139" customFormat="1" ht="21.6" customHeight="1" x14ac:dyDescent="0.25">
      <c r="A445" s="4" t="s">
        <v>130</v>
      </c>
      <c r="B445" s="4">
        <v>20</v>
      </c>
      <c r="C445" s="176" t="s">
        <v>238</v>
      </c>
      <c r="D445" s="176" t="s">
        <v>431</v>
      </c>
      <c r="E445" s="13" t="s">
        <v>315</v>
      </c>
      <c r="F445" s="135">
        <v>37</v>
      </c>
      <c r="G445" s="135">
        <v>13</v>
      </c>
      <c r="H445" s="135">
        <f t="shared" si="749"/>
        <v>50</v>
      </c>
      <c r="I445" s="135">
        <v>123</v>
      </c>
      <c r="J445" s="135"/>
      <c r="K445" s="135">
        <f t="shared" si="750"/>
        <v>123</v>
      </c>
      <c r="L445" s="183"/>
      <c r="M445" s="5"/>
      <c r="N445" s="41"/>
      <c r="O445" s="6"/>
      <c r="P445" s="7"/>
      <c r="Q445" s="7"/>
      <c r="R445" s="7"/>
      <c r="S445" s="7"/>
      <c r="T445" s="89"/>
      <c r="U445" s="89"/>
      <c r="V445" s="89">
        <f t="shared" si="732"/>
        <v>0</v>
      </c>
      <c r="W445" s="137"/>
      <c r="X445" s="137"/>
      <c r="Y445" s="90">
        <f t="shared" si="733"/>
        <v>0</v>
      </c>
      <c r="Z445" s="91"/>
      <c r="AA445" s="92"/>
      <c r="AB445" s="92"/>
      <c r="AC445" s="92">
        <f t="shared" si="734"/>
        <v>0</v>
      </c>
      <c r="AD445" s="93"/>
      <c r="AE445" s="93"/>
      <c r="AF445" s="94">
        <f t="shared" si="735"/>
        <v>0</v>
      </c>
      <c r="AG445" s="473"/>
      <c r="AH445" s="99">
        <f>27*15</f>
        <v>405</v>
      </c>
      <c r="AI445" s="99">
        <f t="shared" si="736"/>
        <v>27</v>
      </c>
      <c r="AJ445" s="138">
        <v>405</v>
      </c>
      <c r="AK445" s="138">
        <f t="shared" si="737"/>
        <v>27</v>
      </c>
      <c r="AL445" s="106"/>
      <c r="AM445" s="105"/>
      <c r="AN445" s="105">
        <f t="shared" si="738"/>
        <v>0</v>
      </c>
      <c r="AO445" s="106"/>
      <c r="AP445" s="105"/>
      <c r="AQ445" s="105">
        <f t="shared" si="746"/>
        <v>0</v>
      </c>
      <c r="AR445" s="106"/>
      <c r="AS445" s="97">
        <f t="shared" si="659"/>
        <v>27</v>
      </c>
      <c r="AT445" s="6"/>
      <c r="AU445" s="105"/>
      <c r="AV445" s="455">
        <f t="shared" si="724"/>
        <v>0</v>
      </c>
      <c r="AW445" s="496"/>
      <c r="AX445" s="508"/>
      <c r="AY445" s="498">
        <v>75</v>
      </c>
      <c r="AZ445" s="100">
        <f t="shared" si="739"/>
        <v>5</v>
      </c>
      <c r="BA445" s="101"/>
      <c r="BB445" s="100"/>
      <c r="BC445" s="100">
        <f t="shared" si="740"/>
        <v>0</v>
      </c>
      <c r="BD445" s="101"/>
      <c r="BE445" s="105">
        <f t="shared" si="741"/>
        <v>32</v>
      </c>
      <c r="BF445" s="106"/>
      <c r="BG445" s="100">
        <f t="shared" si="710"/>
        <v>0</v>
      </c>
      <c r="BH445" s="106"/>
      <c r="BI445" s="100">
        <f t="shared" si="711"/>
        <v>0</v>
      </c>
      <c r="BJ445" s="106"/>
      <c r="BK445" s="101">
        <f t="shared" si="660"/>
        <v>32</v>
      </c>
      <c r="BL445" s="106"/>
      <c r="BM445" s="104">
        <v>1600</v>
      </c>
      <c r="BN445" s="104">
        <f t="shared" si="747"/>
        <v>32</v>
      </c>
      <c r="BO445" s="105">
        <v>1550</v>
      </c>
      <c r="BP445" s="105">
        <f t="shared" si="726"/>
        <v>31</v>
      </c>
      <c r="BQ445" s="106"/>
      <c r="BR445" s="105"/>
      <c r="BS445" s="105">
        <f t="shared" si="665"/>
        <v>0</v>
      </c>
      <c r="BT445" s="106"/>
      <c r="BU445" s="53"/>
      <c r="BV445" s="53">
        <f t="shared" si="743"/>
        <v>0</v>
      </c>
      <c r="BW445" s="54"/>
      <c r="BX445" s="350">
        <f t="shared" si="661"/>
        <v>31</v>
      </c>
      <c r="BY445" s="6"/>
      <c r="BZ445" s="6">
        <f t="shared" si="744"/>
        <v>1</v>
      </c>
      <c r="CA445" s="508"/>
      <c r="CB445" s="7"/>
      <c r="CC445" s="7"/>
      <c r="CD445" s="7"/>
      <c r="CE445" s="504"/>
      <c r="CF445" s="105"/>
      <c r="CG445" s="105">
        <f t="shared" si="666"/>
        <v>0</v>
      </c>
      <c r="CH445" s="105"/>
      <c r="CI445" s="105"/>
      <c r="CJ445" s="105">
        <f t="shared" si="667"/>
        <v>0</v>
      </c>
      <c r="CK445" s="523"/>
      <c r="CL445" s="102">
        <f t="shared" si="745"/>
        <v>0</v>
      </c>
      <c r="CM445" s="103"/>
      <c r="CN445" s="100"/>
      <c r="CO445" s="100">
        <f t="shared" si="728"/>
        <v>0</v>
      </c>
      <c r="CP445" s="515"/>
      <c r="CQ445" s="441"/>
      <c r="CR445" s="504"/>
      <c r="CS445" s="105"/>
      <c r="CT445" s="105">
        <f t="shared" si="729"/>
        <v>0</v>
      </c>
      <c r="CU445" s="105"/>
      <c r="CV445" s="105"/>
      <c r="CW445" s="105">
        <f t="shared" si="730"/>
        <v>0</v>
      </c>
      <c r="CX445" s="53"/>
      <c r="CY445" s="109">
        <f t="shared" si="731"/>
        <v>0</v>
      </c>
      <c r="CZ445" s="54"/>
      <c r="DA445" s="105"/>
      <c r="DB445" s="455">
        <f t="shared" si="676"/>
        <v>0</v>
      </c>
      <c r="DC445" s="495"/>
      <c r="DD445" s="24"/>
      <c r="DF445" s="1133"/>
      <c r="DG445" s="674">
        <f t="shared" si="714"/>
        <v>0</v>
      </c>
      <c r="DH445" s="1119">
        <f t="shared" si="720"/>
        <v>0</v>
      </c>
      <c r="DI445" s="1119"/>
      <c r="DJ445" s="101">
        <f t="shared" si="716"/>
        <v>32</v>
      </c>
      <c r="DK445" s="101"/>
      <c r="DL445" s="101">
        <f t="shared" si="715"/>
        <v>0</v>
      </c>
      <c r="DM445" s="101"/>
      <c r="DN445" s="112"/>
      <c r="DO445" s="112"/>
      <c r="DP445" s="112"/>
      <c r="DQ445" s="112"/>
      <c r="DS445" s="299">
        <f t="shared" si="751"/>
        <v>32</v>
      </c>
      <c r="DT445" s="140"/>
      <c r="DU445" s="140"/>
      <c r="DV445" s="140"/>
      <c r="DW445" s="140">
        <f>DW5-DW6</f>
        <v>0</v>
      </c>
      <c r="DX445" s="140">
        <v>343</v>
      </c>
      <c r="DY445" s="140"/>
      <c r="DZ445" s="140"/>
    </row>
    <row r="446" spans="1:130" s="139" customFormat="1" ht="21.6" customHeight="1" x14ac:dyDescent="0.25">
      <c r="A446" s="4" t="s">
        <v>130</v>
      </c>
      <c r="B446" s="4">
        <v>14</v>
      </c>
      <c r="C446" s="153" t="s">
        <v>238</v>
      </c>
      <c r="D446" s="182" t="s">
        <v>431</v>
      </c>
      <c r="E446" s="13" t="s">
        <v>250</v>
      </c>
      <c r="F446" s="135">
        <v>116</v>
      </c>
      <c r="G446" s="135">
        <v>15</v>
      </c>
      <c r="H446" s="135">
        <f t="shared" si="749"/>
        <v>131</v>
      </c>
      <c r="I446" s="135">
        <v>146.75</v>
      </c>
      <c r="J446" s="135"/>
      <c r="K446" s="135">
        <f t="shared" si="750"/>
        <v>146.75</v>
      </c>
      <c r="L446" s="183"/>
      <c r="M446" s="5"/>
      <c r="N446" s="41"/>
      <c r="O446" s="6"/>
      <c r="P446" s="7"/>
      <c r="Q446" s="7"/>
      <c r="R446" s="7"/>
      <c r="S446" s="7"/>
      <c r="T446" s="273"/>
      <c r="U446" s="273"/>
      <c r="V446" s="273">
        <f t="shared" si="732"/>
        <v>0</v>
      </c>
      <c r="W446" s="274"/>
      <c r="X446" s="274"/>
      <c r="Y446" s="275">
        <f t="shared" si="733"/>
        <v>0</v>
      </c>
      <c r="Z446" s="91"/>
      <c r="AA446" s="273"/>
      <c r="AB446" s="273"/>
      <c r="AC446" s="273">
        <f t="shared" si="734"/>
        <v>0</v>
      </c>
      <c r="AD446" s="275"/>
      <c r="AE446" s="275"/>
      <c r="AF446" s="276">
        <f t="shared" si="735"/>
        <v>0</v>
      </c>
      <c r="AG446" s="473"/>
      <c r="AH446" s="277"/>
      <c r="AI446" s="277">
        <f t="shared" si="736"/>
        <v>0</v>
      </c>
      <c r="AJ446" s="138">
        <v>455</v>
      </c>
      <c r="AK446" s="138">
        <f t="shared" si="737"/>
        <v>30.333333333333332</v>
      </c>
      <c r="AL446" s="106"/>
      <c r="AM446" s="105"/>
      <c r="AN446" s="105">
        <f t="shared" si="738"/>
        <v>0</v>
      </c>
      <c r="AO446" s="106"/>
      <c r="AP446" s="105"/>
      <c r="AQ446" s="105">
        <f t="shared" si="746"/>
        <v>0</v>
      </c>
      <c r="AR446" s="106"/>
      <c r="AS446" s="97">
        <f t="shared" si="659"/>
        <v>30.333333333333332</v>
      </c>
      <c r="AT446" s="6"/>
      <c r="AU446" s="105">
        <v>225</v>
      </c>
      <c r="AV446" s="455">
        <f>AU446/15</f>
        <v>15</v>
      </c>
      <c r="AW446" s="496"/>
      <c r="AX446" s="508"/>
      <c r="AY446" s="498">
        <f>150+75</f>
        <v>225</v>
      </c>
      <c r="AZ446" s="100">
        <f t="shared" si="739"/>
        <v>15</v>
      </c>
      <c r="BA446" s="101"/>
      <c r="BB446" s="100">
        <v>225</v>
      </c>
      <c r="BC446" s="100">
        <f t="shared" si="740"/>
        <v>15</v>
      </c>
      <c r="BD446" s="101"/>
      <c r="BE446" s="105">
        <f t="shared" si="741"/>
        <v>45.333333333333329</v>
      </c>
      <c r="BF446" s="106"/>
      <c r="BG446" s="100">
        <f t="shared" si="710"/>
        <v>15</v>
      </c>
      <c r="BH446" s="106"/>
      <c r="BI446" s="100">
        <f t="shared" si="711"/>
        <v>15</v>
      </c>
      <c r="BJ446" s="106"/>
      <c r="BK446" s="101">
        <f t="shared" si="660"/>
        <v>75.333333333333329</v>
      </c>
      <c r="BL446" s="106"/>
      <c r="BM446" s="52">
        <v>500</v>
      </c>
      <c r="BN446" s="52">
        <f t="shared" si="747"/>
        <v>10</v>
      </c>
      <c r="BO446" s="105">
        <f>750+1500</f>
        <v>2250</v>
      </c>
      <c r="BP446" s="105">
        <f t="shared" si="726"/>
        <v>45</v>
      </c>
      <c r="BQ446" s="106"/>
      <c r="BR446" s="105">
        <f>750+750</f>
        <v>1500</v>
      </c>
      <c r="BS446" s="105">
        <f t="shared" si="665"/>
        <v>30</v>
      </c>
      <c r="BT446" s="106"/>
      <c r="BU446" s="53"/>
      <c r="BV446" s="53">
        <f t="shared" si="743"/>
        <v>0</v>
      </c>
      <c r="BW446" s="54"/>
      <c r="BX446" s="350">
        <f t="shared" si="661"/>
        <v>75</v>
      </c>
      <c r="BY446" s="6"/>
      <c r="BZ446" s="6">
        <f t="shared" si="744"/>
        <v>0.3333333333333286</v>
      </c>
      <c r="CA446" s="508"/>
      <c r="CB446" s="7"/>
      <c r="CC446" s="7"/>
      <c r="CD446" s="7"/>
      <c r="CE446" s="504"/>
      <c r="CF446" s="105"/>
      <c r="CG446" s="105">
        <f t="shared" si="666"/>
        <v>0</v>
      </c>
      <c r="CH446" s="105"/>
      <c r="CI446" s="105"/>
      <c r="CJ446" s="105">
        <f t="shared" si="667"/>
        <v>0</v>
      </c>
      <c r="CK446" s="523"/>
      <c r="CL446" s="102">
        <f t="shared" si="745"/>
        <v>0</v>
      </c>
      <c r="CM446" s="103"/>
      <c r="CN446" s="100"/>
      <c r="CO446" s="100">
        <f t="shared" si="728"/>
        <v>0</v>
      </c>
      <c r="CP446" s="515"/>
      <c r="CQ446" s="441"/>
      <c r="CR446" s="504"/>
      <c r="CS446" s="105"/>
      <c r="CT446" s="105">
        <f t="shared" si="729"/>
        <v>0</v>
      </c>
      <c r="CU446" s="105"/>
      <c r="CV446" s="105"/>
      <c r="CW446" s="105">
        <f t="shared" si="730"/>
        <v>0</v>
      </c>
      <c r="CX446" s="53"/>
      <c r="CY446" s="109">
        <f t="shared" si="731"/>
        <v>0</v>
      </c>
      <c r="CZ446" s="54"/>
      <c r="DA446" s="105"/>
      <c r="DB446" s="455">
        <f>DA446/15</f>
        <v>0</v>
      </c>
      <c r="DC446" s="495"/>
      <c r="DD446" s="24"/>
      <c r="DF446" s="1133"/>
      <c r="DG446" s="674">
        <f t="shared" si="714"/>
        <v>15</v>
      </c>
      <c r="DH446" s="1119">
        <f t="shared" si="720"/>
        <v>15</v>
      </c>
      <c r="DI446" s="1119"/>
      <c r="DJ446" s="101">
        <f t="shared" si="716"/>
        <v>75.333333333333329</v>
      </c>
      <c r="DK446" s="101"/>
      <c r="DL446" s="101">
        <f t="shared" si="715"/>
        <v>0</v>
      </c>
      <c r="DM446" s="101"/>
      <c r="DN446" s="112"/>
      <c r="DO446" s="112"/>
      <c r="DP446" s="112"/>
      <c r="DQ446" s="112"/>
      <c r="DS446" s="299">
        <f t="shared" si="751"/>
        <v>45.333333333333329</v>
      </c>
      <c r="DT446" s="140"/>
      <c r="DU446" s="140"/>
      <c r="DV446" s="140"/>
      <c r="DW446" s="140"/>
      <c r="DX446" s="140">
        <f>DX445+DX3</f>
        <v>343</v>
      </c>
      <c r="DY446" s="140"/>
      <c r="DZ446" s="140"/>
    </row>
    <row r="447" spans="1:130" s="139" customFormat="1" ht="21.6" customHeight="1" x14ac:dyDescent="0.25">
      <c r="A447" s="4" t="s">
        <v>130</v>
      </c>
      <c r="B447" s="4">
        <v>18</v>
      </c>
      <c r="C447" s="153" t="s">
        <v>238</v>
      </c>
      <c r="D447" s="182" t="s">
        <v>431</v>
      </c>
      <c r="E447" s="13" t="s">
        <v>254</v>
      </c>
      <c r="F447" s="135">
        <v>96</v>
      </c>
      <c r="G447" s="135">
        <v>20</v>
      </c>
      <c r="H447" s="135">
        <f t="shared" si="749"/>
        <v>116</v>
      </c>
      <c r="I447" s="135">
        <v>100</v>
      </c>
      <c r="J447" s="135"/>
      <c r="K447" s="135">
        <f t="shared" si="750"/>
        <v>100</v>
      </c>
      <c r="L447" s="183"/>
      <c r="M447" s="5"/>
      <c r="N447" s="41"/>
      <c r="O447" s="6"/>
      <c r="P447" s="7"/>
      <c r="Q447" s="7"/>
      <c r="R447" s="7"/>
      <c r="S447" s="7"/>
      <c r="T447" s="89"/>
      <c r="U447" s="89"/>
      <c r="V447" s="89">
        <f t="shared" si="732"/>
        <v>0</v>
      </c>
      <c r="W447" s="137"/>
      <c r="X447" s="137"/>
      <c r="Y447" s="90">
        <f t="shared" si="733"/>
        <v>0</v>
      </c>
      <c r="Z447" s="91"/>
      <c r="AA447" s="92"/>
      <c r="AB447" s="92"/>
      <c r="AC447" s="92">
        <f t="shared" si="734"/>
        <v>0</v>
      </c>
      <c r="AD447" s="93"/>
      <c r="AE447" s="93"/>
      <c r="AF447" s="94">
        <f t="shared" si="735"/>
        <v>0</v>
      </c>
      <c r="AG447" s="473"/>
      <c r="AH447" s="99"/>
      <c r="AI447" s="99">
        <f t="shared" si="736"/>
        <v>0</v>
      </c>
      <c r="AJ447" s="138"/>
      <c r="AK447" s="138">
        <f t="shared" si="737"/>
        <v>0</v>
      </c>
      <c r="AL447" s="106"/>
      <c r="AM447" s="105"/>
      <c r="AN447" s="105">
        <f t="shared" si="738"/>
        <v>0</v>
      </c>
      <c r="AO447" s="106"/>
      <c r="AP447" s="105"/>
      <c r="AQ447" s="105">
        <f t="shared" si="746"/>
        <v>0</v>
      </c>
      <c r="AR447" s="106"/>
      <c r="AS447" s="97">
        <f t="shared" si="659"/>
        <v>0</v>
      </c>
      <c r="AT447" s="6"/>
      <c r="AU447" s="105">
        <v>210</v>
      </c>
      <c r="AV447" s="455">
        <f>AU447/15</f>
        <v>14</v>
      </c>
      <c r="AW447" s="496"/>
      <c r="AX447" s="508"/>
      <c r="AY447" s="498"/>
      <c r="AZ447" s="100">
        <f t="shared" si="739"/>
        <v>0</v>
      </c>
      <c r="BA447" s="101"/>
      <c r="BB447" s="100"/>
      <c r="BC447" s="100">
        <f t="shared" si="740"/>
        <v>0</v>
      </c>
      <c r="BD447" s="101"/>
      <c r="BE447" s="105">
        <f t="shared" si="741"/>
        <v>0</v>
      </c>
      <c r="BF447" s="106"/>
      <c r="BG447" s="100">
        <f t="shared" si="710"/>
        <v>0</v>
      </c>
      <c r="BH447" s="106"/>
      <c r="BI447" s="100">
        <f t="shared" si="711"/>
        <v>14</v>
      </c>
      <c r="BJ447" s="106"/>
      <c r="BK447" s="101">
        <f t="shared" si="660"/>
        <v>14</v>
      </c>
      <c r="BL447" s="106"/>
      <c r="BM447" s="104"/>
      <c r="BN447" s="104">
        <f t="shared" si="747"/>
        <v>0</v>
      </c>
      <c r="BO447" s="105"/>
      <c r="BP447" s="105">
        <f t="shared" si="726"/>
        <v>0</v>
      </c>
      <c r="BQ447" s="106"/>
      <c r="BR447" s="105">
        <f>700+200</f>
        <v>900</v>
      </c>
      <c r="BS447" s="105">
        <f t="shared" si="665"/>
        <v>18</v>
      </c>
      <c r="BT447" s="106"/>
      <c r="BU447" s="53"/>
      <c r="BV447" s="53">
        <f t="shared" si="743"/>
        <v>0</v>
      </c>
      <c r="BW447" s="54"/>
      <c r="BX447" s="350">
        <f t="shared" si="661"/>
        <v>18</v>
      </c>
      <c r="BY447" s="6"/>
      <c r="BZ447" s="6">
        <f t="shared" si="744"/>
        <v>-4</v>
      </c>
      <c r="CA447" s="508"/>
      <c r="CB447" s="7"/>
      <c r="CC447" s="7" t="s">
        <v>265</v>
      </c>
      <c r="CD447" s="7" t="s">
        <v>533</v>
      </c>
      <c r="CE447" s="504">
        <v>6</v>
      </c>
      <c r="CF447" s="105">
        <v>7</v>
      </c>
      <c r="CG447" s="105">
        <f t="shared" si="666"/>
        <v>13</v>
      </c>
      <c r="CH447" s="105">
        <v>18</v>
      </c>
      <c r="CI447" s="105"/>
      <c r="CJ447" s="105">
        <f t="shared" si="667"/>
        <v>18</v>
      </c>
      <c r="CK447" s="523"/>
      <c r="CL447" s="102">
        <f t="shared" si="745"/>
        <v>0</v>
      </c>
      <c r="CM447" s="103"/>
      <c r="CN447" s="100"/>
      <c r="CO447" s="100">
        <f t="shared" si="728"/>
        <v>0</v>
      </c>
      <c r="CP447" s="515"/>
      <c r="CQ447" s="441"/>
      <c r="CR447" s="504">
        <v>6</v>
      </c>
      <c r="CS447" s="105">
        <v>7</v>
      </c>
      <c r="CT447" s="105">
        <f t="shared" si="729"/>
        <v>13</v>
      </c>
      <c r="CU447" s="105">
        <v>18</v>
      </c>
      <c r="CV447" s="105"/>
      <c r="CW447" s="105">
        <f t="shared" si="730"/>
        <v>18</v>
      </c>
      <c r="CX447" s="53"/>
      <c r="CY447" s="109">
        <f t="shared" si="731"/>
        <v>0</v>
      </c>
      <c r="CZ447" s="54"/>
      <c r="DA447" s="105">
        <v>60</v>
      </c>
      <c r="DB447" s="455">
        <f>DA447/15</f>
        <v>4</v>
      </c>
      <c r="DC447" s="495"/>
      <c r="DD447" s="24"/>
      <c r="DF447" s="1133"/>
      <c r="DG447" s="674">
        <f t="shared" si="714"/>
        <v>18</v>
      </c>
      <c r="DH447" s="1119">
        <f t="shared" si="720"/>
        <v>0</v>
      </c>
      <c r="DI447" s="1119"/>
      <c r="DJ447" s="101">
        <f t="shared" si="716"/>
        <v>14</v>
      </c>
      <c r="DK447" s="101"/>
      <c r="DL447" s="101">
        <f t="shared" si="715"/>
        <v>26</v>
      </c>
      <c r="DM447" s="101"/>
      <c r="DN447" s="112"/>
      <c r="DO447" s="112"/>
      <c r="DP447" s="112"/>
      <c r="DQ447" s="112"/>
      <c r="DS447" s="299">
        <f t="shared" si="751"/>
        <v>0</v>
      </c>
      <c r="DT447" s="140"/>
      <c r="DU447" s="140"/>
      <c r="DV447" s="140"/>
      <c r="DW447" s="140"/>
      <c r="DX447" s="140"/>
      <c r="DY447" s="140"/>
      <c r="DZ447" s="140"/>
    </row>
    <row r="448" spans="1:130" s="139" customFormat="1" ht="21.6" customHeight="1" x14ac:dyDescent="0.25">
      <c r="A448" s="4" t="s">
        <v>130</v>
      </c>
      <c r="B448" s="4">
        <v>4</v>
      </c>
      <c r="C448" s="153" t="s">
        <v>238</v>
      </c>
      <c r="D448" s="182" t="s">
        <v>431</v>
      </c>
      <c r="E448" s="13" t="s">
        <v>241</v>
      </c>
      <c r="F448" s="135">
        <v>218</v>
      </c>
      <c r="G448" s="135">
        <v>103</v>
      </c>
      <c r="H448" s="135">
        <f t="shared" si="749"/>
        <v>321</v>
      </c>
      <c r="I448" s="135">
        <v>445</v>
      </c>
      <c r="J448" s="135"/>
      <c r="K448" s="135">
        <f t="shared" si="750"/>
        <v>445</v>
      </c>
      <c r="L448" s="183"/>
      <c r="M448" s="5"/>
      <c r="N448" s="41"/>
      <c r="O448" s="6"/>
      <c r="P448" s="7"/>
      <c r="Q448" s="7"/>
      <c r="R448" s="7"/>
      <c r="S448" s="7"/>
      <c r="T448" s="89"/>
      <c r="U448" s="89"/>
      <c r="V448" s="89">
        <f t="shared" si="732"/>
        <v>0</v>
      </c>
      <c r="W448" s="137"/>
      <c r="X448" s="137"/>
      <c r="Y448" s="90">
        <f t="shared" si="733"/>
        <v>0</v>
      </c>
      <c r="Z448" s="91"/>
      <c r="AA448" s="92"/>
      <c r="AB448" s="92"/>
      <c r="AC448" s="92">
        <f t="shared" si="734"/>
        <v>0</v>
      </c>
      <c r="AD448" s="93"/>
      <c r="AE448" s="93"/>
      <c r="AF448" s="94">
        <f t="shared" si="735"/>
        <v>0</v>
      </c>
      <c r="AG448" s="473"/>
      <c r="AH448" s="99">
        <v>1245</v>
      </c>
      <c r="AI448" s="99">
        <f t="shared" si="736"/>
        <v>83</v>
      </c>
      <c r="AJ448" s="138">
        <v>1245</v>
      </c>
      <c r="AK448" s="138">
        <f t="shared" si="737"/>
        <v>83</v>
      </c>
      <c r="AL448" s="106"/>
      <c r="AM448" s="105"/>
      <c r="AN448" s="105">
        <f t="shared" si="738"/>
        <v>0</v>
      </c>
      <c r="AO448" s="106"/>
      <c r="AP448" s="105"/>
      <c r="AQ448" s="105">
        <f t="shared" si="746"/>
        <v>0</v>
      </c>
      <c r="AR448" s="106"/>
      <c r="AS448" s="97">
        <f t="shared" si="659"/>
        <v>83</v>
      </c>
      <c r="AT448" s="6"/>
      <c r="AU448" s="105"/>
      <c r="AV448" s="455">
        <f t="shared" si="724"/>
        <v>0</v>
      </c>
      <c r="AW448" s="496"/>
      <c r="AX448" s="508"/>
      <c r="AY448" s="498">
        <v>1215</v>
      </c>
      <c r="AZ448" s="100">
        <f t="shared" si="739"/>
        <v>81</v>
      </c>
      <c r="BA448" s="101"/>
      <c r="BB448" s="100"/>
      <c r="BC448" s="100">
        <f t="shared" si="740"/>
        <v>0</v>
      </c>
      <c r="BD448" s="101"/>
      <c r="BE448" s="105">
        <f t="shared" si="741"/>
        <v>164</v>
      </c>
      <c r="BF448" s="106"/>
      <c r="BG448" s="100">
        <f t="shared" si="710"/>
        <v>0</v>
      </c>
      <c r="BH448" s="106"/>
      <c r="BI448" s="100">
        <f t="shared" si="711"/>
        <v>0</v>
      </c>
      <c r="BJ448" s="106"/>
      <c r="BK448" s="101">
        <f t="shared" si="660"/>
        <v>164</v>
      </c>
      <c r="BL448" s="106"/>
      <c r="BM448" s="104">
        <v>8300</v>
      </c>
      <c r="BN448" s="104">
        <f t="shared" si="747"/>
        <v>166</v>
      </c>
      <c r="BO448" s="105">
        <v>8000</v>
      </c>
      <c r="BP448" s="105">
        <f t="shared" si="726"/>
        <v>160</v>
      </c>
      <c r="BQ448" s="106"/>
      <c r="BR448" s="105">
        <v>200</v>
      </c>
      <c r="BS448" s="105">
        <f t="shared" si="665"/>
        <v>4</v>
      </c>
      <c r="BT448" s="106"/>
      <c r="BU448" s="53"/>
      <c r="BV448" s="53">
        <f t="shared" si="743"/>
        <v>0</v>
      </c>
      <c r="BW448" s="54"/>
      <c r="BX448" s="350">
        <f t="shared" si="661"/>
        <v>164</v>
      </c>
      <c r="BY448" s="6"/>
      <c r="BZ448" s="6">
        <f t="shared" si="744"/>
        <v>0</v>
      </c>
      <c r="CA448" s="508"/>
      <c r="CB448" s="7"/>
      <c r="CC448" s="7"/>
      <c r="CD448" s="7"/>
      <c r="CE448" s="504"/>
      <c r="CF448" s="105"/>
      <c r="CG448" s="105">
        <f t="shared" si="666"/>
        <v>0</v>
      </c>
      <c r="CH448" s="105"/>
      <c r="CI448" s="105"/>
      <c r="CJ448" s="105">
        <f t="shared" si="667"/>
        <v>0</v>
      </c>
      <c r="CK448" s="523"/>
      <c r="CL448" s="102">
        <f t="shared" si="745"/>
        <v>0</v>
      </c>
      <c r="CM448" s="103"/>
      <c r="CN448" s="100"/>
      <c r="CO448" s="100">
        <f t="shared" si="728"/>
        <v>0</v>
      </c>
      <c r="CP448" s="515"/>
      <c r="CQ448" s="441"/>
      <c r="CR448" s="504"/>
      <c r="CS448" s="105"/>
      <c r="CT448" s="105">
        <f t="shared" si="729"/>
        <v>0</v>
      </c>
      <c r="CU448" s="105"/>
      <c r="CV448" s="105"/>
      <c r="CW448" s="105">
        <f t="shared" si="730"/>
        <v>0</v>
      </c>
      <c r="CX448" s="53"/>
      <c r="CY448" s="109">
        <f t="shared" si="731"/>
        <v>0</v>
      </c>
      <c r="CZ448" s="54"/>
      <c r="DA448" s="105"/>
      <c r="DB448" s="455">
        <f t="shared" si="676"/>
        <v>0</v>
      </c>
      <c r="DC448" s="495"/>
      <c r="DD448" s="24"/>
      <c r="DF448" s="1133"/>
      <c r="DG448" s="674">
        <f t="shared" si="714"/>
        <v>0</v>
      </c>
      <c r="DH448" s="1119">
        <f t="shared" si="720"/>
        <v>0</v>
      </c>
      <c r="DI448" s="1119"/>
      <c r="DJ448" s="101">
        <f t="shared" si="716"/>
        <v>164</v>
      </c>
      <c r="DK448" s="101"/>
      <c r="DL448" s="101">
        <f t="shared" si="715"/>
        <v>0</v>
      </c>
      <c r="DM448" s="101"/>
      <c r="DN448" s="112"/>
      <c r="DO448" s="112"/>
      <c r="DP448" s="112"/>
      <c r="DQ448" s="112"/>
      <c r="DS448" s="299">
        <f t="shared" si="751"/>
        <v>164</v>
      </c>
      <c r="DT448" s="140"/>
      <c r="DU448" s="140"/>
      <c r="DV448" s="140"/>
      <c r="DW448" s="140"/>
      <c r="DX448" s="140"/>
      <c r="DY448" s="140"/>
      <c r="DZ448" s="140"/>
    </row>
    <row r="449" spans="1:130" s="139" customFormat="1" ht="28.5" customHeight="1" x14ac:dyDescent="0.25">
      <c r="A449" s="4" t="s">
        <v>130</v>
      </c>
      <c r="B449" s="4">
        <v>10</v>
      </c>
      <c r="C449" s="153" t="s">
        <v>238</v>
      </c>
      <c r="D449" s="182" t="s">
        <v>431</v>
      </c>
      <c r="E449" s="17" t="s">
        <v>246</v>
      </c>
      <c r="F449" s="135">
        <v>71</v>
      </c>
      <c r="G449" s="135">
        <v>3</v>
      </c>
      <c r="H449" s="135">
        <f t="shared" si="749"/>
        <v>74</v>
      </c>
      <c r="I449" s="135">
        <v>46.5</v>
      </c>
      <c r="J449" s="135"/>
      <c r="K449" s="135">
        <f t="shared" si="750"/>
        <v>46.5</v>
      </c>
      <c r="L449" s="183"/>
      <c r="M449" s="5"/>
      <c r="N449" s="41"/>
      <c r="O449" s="6"/>
      <c r="P449" s="7"/>
      <c r="Q449" s="7"/>
      <c r="R449" s="7"/>
      <c r="S449" s="7"/>
      <c r="T449" s="273"/>
      <c r="U449" s="273"/>
      <c r="V449" s="273">
        <f t="shared" si="732"/>
        <v>0</v>
      </c>
      <c r="W449" s="274"/>
      <c r="X449" s="274"/>
      <c r="Y449" s="275">
        <f t="shared" si="733"/>
        <v>0</v>
      </c>
      <c r="Z449" s="91"/>
      <c r="AA449" s="273"/>
      <c r="AB449" s="273"/>
      <c r="AC449" s="273">
        <f t="shared" si="734"/>
        <v>0</v>
      </c>
      <c r="AD449" s="275"/>
      <c r="AE449" s="275"/>
      <c r="AF449" s="276">
        <f t="shared" si="735"/>
        <v>0</v>
      </c>
      <c r="AG449" s="473"/>
      <c r="AH449" s="277">
        <v>285</v>
      </c>
      <c r="AI449" s="277">
        <f t="shared" si="736"/>
        <v>19</v>
      </c>
      <c r="AJ449" s="138">
        <f>285+210</f>
        <v>495</v>
      </c>
      <c r="AK449" s="138">
        <f t="shared" si="737"/>
        <v>33</v>
      </c>
      <c r="AL449" s="106"/>
      <c r="AM449" s="105"/>
      <c r="AN449" s="105">
        <f t="shared" si="738"/>
        <v>0</v>
      </c>
      <c r="AO449" s="106"/>
      <c r="AP449" s="105"/>
      <c r="AQ449" s="105">
        <f t="shared" si="746"/>
        <v>0</v>
      </c>
      <c r="AR449" s="106"/>
      <c r="AS449" s="97">
        <f t="shared" si="659"/>
        <v>33</v>
      </c>
      <c r="AT449" s="6"/>
      <c r="AU449" s="105"/>
      <c r="AV449" s="455">
        <f t="shared" si="724"/>
        <v>0</v>
      </c>
      <c r="AW449" s="496"/>
      <c r="AX449" s="508"/>
      <c r="AY449" s="498">
        <f>75+240</f>
        <v>315</v>
      </c>
      <c r="AZ449" s="100">
        <f t="shared" si="739"/>
        <v>21</v>
      </c>
      <c r="BA449" s="101"/>
      <c r="BB449" s="100">
        <v>450</v>
      </c>
      <c r="BC449" s="100">
        <f t="shared" si="740"/>
        <v>30</v>
      </c>
      <c r="BD449" s="101"/>
      <c r="BE449" s="105">
        <f t="shared" si="741"/>
        <v>54</v>
      </c>
      <c r="BF449" s="106"/>
      <c r="BG449" s="100">
        <f t="shared" si="710"/>
        <v>30</v>
      </c>
      <c r="BH449" s="106"/>
      <c r="BI449" s="100">
        <f t="shared" si="711"/>
        <v>0</v>
      </c>
      <c r="BJ449" s="106"/>
      <c r="BK449" s="101">
        <f t="shared" si="660"/>
        <v>84</v>
      </c>
      <c r="BL449" s="106"/>
      <c r="BM449" s="52">
        <v>1200</v>
      </c>
      <c r="BN449" s="52">
        <f t="shared" si="747"/>
        <v>24</v>
      </c>
      <c r="BO449" s="105">
        <v>2700</v>
      </c>
      <c r="BP449" s="105">
        <f t="shared" si="726"/>
        <v>54</v>
      </c>
      <c r="BQ449" s="106"/>
      <c r="BR449" s="105">
        <v>1500</v>
      </c>
      <c r="BS449" s="105">
        <f t="shared" si="665"/>
        <v>30</v>
      </c>
      <c r="BT449" s="106"/>
      <c r="BU449" s="53"/>
      <c r="BV449" s="53">
        <f t="shared" si="743"/>
        <v>0</v>
      </c>
      <c r="BW449" s="54"/>
      <c r="BX449" s="350">
        <f t="shared" si="661"/>
        <v>84</v>
      </c>
      <c r="BY449" s="6"/>
      <c r="BZ449" s="6">
        <f t="shared" si="744"/>
        <v>0</v>
      </c>
      <c r="CA449" s="508"/>
      <c r="CB449" s="7"/>
      <c r="CC449" s="7"/>
      <c r="CD449" s="7"/>
      <c r="CE449" s="504"/>
      <c r="CF449" s="105"/>
      <c r="CG449" s="105">
        <f t="shared" si="666"/>
        <v>0</v>
      </c>
      <c r="CH449" s="105"/>
      <c r="CI449" s="105"/>
      <c r="CJ449" s="105">
        <f t="shared" si="667"/>
        <v>0</v>
      </c>
      <c r="CK449" s="523"/>
      <c r="CL449" s="102">
        <f t="shared" si="745"/>
        <v>0</v>
      </c>
      <c r="CM449" s="103"/>
      <c r="CN449" s="100"/>
      <c r="CO449" s="100">
        <f t="shared" si="728"/>
        <v>0</v>
      </c>
      <c r="CP449" s="515"/>
      <c r="CQ449" s="441"/>
      <c r="CR449" s="504"/>
      <c r="CS449" s="105"/>
      <c r="CT449" s="105">
        <f t="shared" si="729"/>
        <v>0</v>
      </c>
      <c r="CU449" s="105"/>
      <c r="CV449" s="105"/>
      <c r="CW449" s="105">
        <f t="shared" si="730"/>
        <v>0</v>
      </c>
      <c r="CX449" s="53"/>
      <c r="CY449" s="109">
        <f t="shared" si="731"/>
        <v>0</v>
      </c>
      <c r="CZ449" s="54"/>
      <c r="DA449" s="105"/>
      <c r="DB449" s="455">
        <f t="shared" si="676"/>
        <v>0</v>
      </c>
      <c r="DC449" s="495"/>
      <c r="DD449" s="24"/>
      <c r="DF449" s="1133"/>
      <c r="DG449" s="674">
        <f t="shared" si="714"/>
        <v>0</v>
      </c>
      <c r="DH449" s="1119">
        <f t="shared" si="720"/>
        <v>30</v>
      </c>
      <c r="DI449" s="1119"/>
      <c r="DJ449" s="101">
        <f t="shared" si="716"/>
        <v>84</v>
      </c>
      <c r="DK449" s="101"/>
      <c r="DL449" s="101">
        <f t="shared" si="715"/>
        <v>0</v>
      </c>
      <c r="DM449" s="101"/>
      <c r="DN449" s="112"/>
      <c r="DO449" s="112"/>
      <c r="DP449" s="112"/>
      <c r="DQ449" s="112"/>
      <c r="DS449" s="299">
        <f t="shared" si="751"/>
        <v>54</v>
      </c>
      <c r="DT449" s="140"/>
      <c r="DU449" s="140"/>
      <c r="DV449" s="140"/>
      <c r="DW449" s="140"/>
      <c r="DX449" s="140"/>
      <c r="DY449" s="140"/>
      <c r="DZ449" s="140"/>
    </row>
    <row r="450" spans="1:130" s="139" customFormat="1" ht="21.6" customHeight="1" x14ac:dyDescent="0.25">
      <c r="A450" s="4" t="s">
        <v>130</v>
      </c>
      <c r="B450" s="4">
        <v>16</v>
      </c>
      <c r="C450" s="153" t="s">
        <v>238</v>
      </c>
      <c r="D450" s="182" t="s">
        <v>431</v>
      </c>
      <c r="E450" s="13" t="s">
        <v>252</v>
      </c>
      <c r="F450" s="135">
        <v>78</v>
      </c>
      <c r="G450" s="135">
        <v>12</v>
      </c>
      <c r="H450" s="135">
        <f t="shared" si="749"/>
        <v>90</v>
      </c>
      <c r="I450" s="135">
        <v>46.5</v>
      </c>
      <c r="J450" s="135"/>
      <c r="K450" s="135">
        <f t="shared" si="750"/>
        <v>46.5</v>
      </c>
      <c r="L450" s="183"/>
      <c r="M450" s="5"/>
      <c r="N450" s="41"/>
      <c r="O450" s="6"/>
      <c r="P450" s="7"/>
      <c r="Q450" s="7"/>
      <c r="R450" s="7"/>
      <c r="S450" s="7"/>
      <c r="T450" s="89"/>
      <c r="U450" s="89"/>
      <c r="V450" s="89">
        <f t="shared" si="732"/>
        <v>0</v>
      </c>
      <c r="W450" s="137"/>
      <c r="X450" s="137"/>
      <c r="Y450" s="90">
        <f t="shared" si="733"/>
        <v>0</v>
      </c>
      <c r="Z450" s="91"/>
      <c r="AA450" s="92"/>
      <c r="AB450" s="92"/>
      <c r="AC450" s="92">
        <f t="shared" si="734"/>
        <v>0</v>
      </c>
      <c r="AD450" s="93"/>
      <c r="AE450" s="93"/>
      <c r="AF450" s="94">
        <f t="shared" si="735"/>
        <v>0</v>
      </c>
      <c r="AG450" s="473"/>
      <c r="AH450" s="99">
        <v>225</v>
      </c>
      <c r="AI450" s="99">
        <f t="shared" si="736"/>
        <v>15</v>
      </c>
      <c r="AJ450" s="138">
        <f>150+105</f>
        <v>255</v>
      </c>
      <c r="AK450" s="138">
        <f t="shared" si="737"/>
        <v>17</v>
      </c>
      <c r="AL450" s="106"/>
      <c r="AM450" s="105"/>
      <c r="AN450" s="105">
        <f t="shared" si="738"/>
        <v>0</v>
      </c>
      <c r="AO450" s="106"/>
      <c r="AP450" s="105"/>
      <c r="AQ450" s="105">
        <f t="shared" si="746"/>
        <v>0</v>
      </c>
      <c r="AR450" s="106"/>
      <c r="AS450" s="97">
        <f t="shared" si="659"/>
        <v>17</v>
      </c>
      <c r="AT450" s="6"/>
      <c r="AU450" s="105"/>
      <c r="AV450" s="455">
        <f t="shared" si="724"/>
        <v>0</v>
      </c>
      <c r="AW450" s="496"/>
      <c r="AX450" s="508"/>
      <c r="AY450" s="498"/>
      <c r="AZ450" s="100">
        <f t="shared" si="739"/>
        <v>0</v>
      </c>
      <c r="BA450" s="101"/>
      <c r="BB450" s="100">
        <f>270+195</f>
        <v>465</v>
      </c>
      <c r="BC450" s="100">
        <f t="shared" si="740"/>
        <v>31</v>
      </c>
      <c r="BD450" s="101"/>
      <c r="BE450" s="105">
        <f t="shared" si="741"/>
        <v>17</v>
      </c>
      <c r="BF450" s="106"/>
      <c r="BG450" s="100">
        <f t="shared" si="710"/>
        <v>31</v>
      </c>
      <c r="BH450" s="106"/>
      <c r="BI450" s="100">
        <f t="shared" si="711"/>
        <v>0</v>
      </c>
      <c r="BJ450" s="106"/>
      <c r="BK450" s="101">
        <f t="shared" si="660"/>
        <v>48</v>
      </c>
      <c r="BL450" s="106"/>
      <c r="BM450" s="104">
        <v>500</v>
      </c>
      <c r="BN450" s="104">
        <f t="shared" si="747"/>
        <v>10</v>
      </c>
      <c r="BO450" s="105">
        <f>500+100</f>
        <v>600</v>
      </c>
      <c r="BP450" s="105">
        <f t="shared" si="726"/>
        <v>12</v>
      </c>
      <c r="BQ450" s="106"/>
      <c r="BR450" s="105">
        <f>900+650</f>
        <v>1550</v>
      </c>
      <c r="BS450" s="105">
        <f t="shared" si="665"/>
        <v>31</v>
      </c>
      <c r="BT450" s="106"/>
      <c r="BU450" s="53"/>
      <c r="BV450" s="53">
        <f t="shared" si="743"/>
        <v>0</v>
      </c>
      <c r="BW450" s="54"/>
      <c r="BX450" s="350">
        <f t="shared" si="661"/>
        <v>43</v>
      </c>
      <c r="BY450" s="6"/>
      <c r="BZ450" s="6">
        <f t="shared" si="744"/>
        <v>5</v>
      </c>
      <c r="CA450" s="508"/>
      <c r="CB450" s="7"/>
      <c r="CC450" s="7"/>
      <c r="CD450" s="7"/>
      <c r="CE450" s="504"/>
      <c r="CF450" s="105"/>
      <c r="CG450" s="105">
        <f t="shared" si="666"/>
        <v>0</v>
      </c>
      <c r="CH450" s="105"/>
      <c r="CI450" s="105"/>
      <c r="CJ450" s="105">
        <f t="shared" si="667"/>
        <v>0</v>
      </c>
      <c r="CK450" s="523"/>
      <c r="CL450" s="102">
        <f t="shared" si="745"/>
        <v>0</v>
      </c>
      <c r="CM450" s="103"/>
      <c r="CN450" s="100"/>
      <c r="CO450" s="100">
        <f t="shared" si="728"/>
        <v>0</v>
      </c>
      <c r="CP450" s="515"/>
      <c r="CQ450" s="441"/>
      <c r="CR450" s="504"/>
      <c r="CS450" s="105"/>
      <c r="CT450" s="105">
        <f t="shared" si="729"/>
        <v>0</v>
      </c>
      <c r="CU450" s="105"/>
      <c r="CV450" s="105"/>
      <c r="CW450" s="105">
        <f t="shared" si="730"/>
        <v>0</v>
      </c>
      <c r="CX450" s="53"/>
      <c r="CY450" s="109">
        <f t="shared" si="731"/>
        <v>0</v>
      </c>
      <c r="CZ450" s="54"/>
      <c r="DA450" s="105"/>
      <c r="DB450" s="455">
        <f t="shared" si="676"/>
        <v>0</v>
      </c>
      <c r="DC450" s="495"/>
      <c r="DD450" s="24"/>
      <c r="DF450" s="1133"/>
      <c r="DG450" s="674">
        <f t="shared" si="714"/>
        <v>0</v>
      </c>
      <c r="DH450" s="1119">
        <f t="shared" si="720"/>
        <v>31</v>
      </c>
      <c r="DI450" s="1119"/>
      <c r="DJ450" s="101">
        <f t="shared" si="716"/>
        <v>48</v>
      </c>
      <c r="DK450" s="101"/>
      <c r="DL450" s="101">
        <f t="shared" si="715"/>
        <v>0</v>
      </c>
      <c r="DM450" s="101"/>
      <c r="DN450" s="112"/>
      <c r="DO450" s="112"/>
      <c r="DP450" s="112"/>
      <c r="DQ450" s="112"/>
      <c r="DS450" s="299">
        <f t="shared" si="751"/>
        <v>17</v>
      </c>
      <c r="DT450" s="140"/>
      <c r="DU450" s="140"/>
      <c r="DV450" s="140"/>
      <c r="DW450" s="140"/>
      <c r="DX450" s="140"/>
      <c r="DY450" s="140"/>
      <c r="DZ450" s="140"/>
    </row>
    <row r="451" spans="1:130" s="139" customFormat="1" ht="21.6" customHeight="1" x14ac:dyDescent="0.25">
      <c r="A451" s="4" t="s">
        <v>130</v>
      </c>
      <c r="B451" s="4">
        <v>2</v>
      </c>
      <c r="C451" s="153" t="s">
        <v>238</v>
      </c>
      <c r="D451" s="182" t="s">
        <v>431</v>
      </c>
      <c r="E451" s="13" t="s">
        <v>240</v>
      </c>
      <c r="F451" s="135">
        <v>14</v>
      </c>
      <c r="G451" s="135">
        <v>9</v>
      </c>
      <c r="H451" s="135">
        <f t="shared" si="749"/>
        <v>23</v>
      </c>
      <c r="I451" s="135">
        <v>25</v>
      </c>
      <c r="J451" s="135"/>
      <c r="K451" s="135">
        <f t="shared" si="750"/>
        <v>25</v>
      </c>
      <c r="L451" s="183"/>
      <c r="M451" s="5"/>
      <c r="N451" s="41"/>
      <c r="O451" s="6"/>
      <c r="P451" s="7"/>
      <c r="Q451" s="7"/>
      <c r="R451" s="7"/>
      <c r="S451" s="7"/>
      <c r="T451" s="89"/>
      <c r="U451" s="89"/>
      <c r="V451" s="89">
        <f t="shared" si="732"/>
        <v>0</v>
      </c>
      <c r="W451" s="137"/>
      <c r="X451" s="137"/>
      <c r="Y451" s="90">
        <f t="shared" si="733"/>
        <v>0</v>
      </c>
      <c r="Z451" s="91"/>
      <c r="AA451" s="92"/>
      <c r="AB451" s="92"/>
      <c r="AC451" s="92">
        <f t="shared" si="734"/>
        <v>0</v>
      </c>
      <c r="AD451" s="93"/>
      <c r="AE451" s="93"/>
      <c r="AF451" s="94">
        <f t="shared" si="735"/>
        <v>0</v>
      </c>
      <c r="AG451" s="473"/>
      <c r="AH451" s="99">
        <v>150</v>
      </c>
      <c r="AI451" s="99">
        <f t="shared" si="736"/>
        <v>10</v>
      </c>
      <c r="AJ451" s="138">
        <v>150</v>
      </c>
      <c r="AK451" s="138">
        <f t="shared" si="737"/>
        <v>10</v>
      </c>
      <c r="AL451" s="106"/>
      <c r="AM451" s="105"/>
      <c r="AN451" s="105">
        <f t="shared" si="738"/>
        <v>0</v>
      </c>
      <c r="AO451" s="106"/>
      <c r="AP451" s="105"/>
      <c r="AQ451" s="105">
        <f t="shared" si="746"/>
        <v>0</v>
      </c>
      <c r="AR451" s="106"/>
      <c r="AS451" s="97">
        <f t="shared" si="659"/>
        <v>10</v>
      </c>
      <c r="AT451" s="6"/>
      <c r="AU451" s="105"/>
      <c r="AV451" s="455">
        <f t="shared" si="724"/>
        <v>0</v>
      </c>
      <c r="AW451" s="496"/>
      <c r="AX451" s="508"/>
      <c r="AY451" s="498"/>
      <c r="AZ451" s="100">
        <f t="shared" si="739"/>
        <v>0</v>
      </c>
      <c r="BA451" s="101"/>
      <c r="BB451" s="100"/>
      <c r="BC451" s="100">
        <f t="shared" si="740"/>
        <v>0</v>
      </c>
      <c r="BD451" s="101"/>
      <c r="BE451" s="105">
        <f t="shared" si="741"/>
        <v>10</v>
      </c>
      <c r="BF451" s="106"/>
      <c r="BG451" s="100">
        <f t="shared" si="710"/>
        <v>0</v>
      </c>
      <c r="BH451" s="106"/>
      <c r="BI451" s="100">
        <f t="shared" si="711"/>
        <v>0</v>
      </c>
      <c r="BJ451" s="106"/>
      <c r="BK451" s="101">
        <f t="shared" si="660"/>
        <v>10</v>
      </c>
      <c r="BL451" s="106"/>
      <c r="BM451" s="104">
        <v>500</v>
      </c>
      <c r="BN451" s="104">
        <f t="shared" si="747"/>
        <v>10</v>
      </c>
      <c r="BO451" s="105">
        <v>500</v>
      </c>
      <c r="BP451" s="105">
        <f t="shared" si="726"/>
        <v>10</v>
      </c>
      <c r="BQ451" s="106"/>
      <c r="BR451" s="105"/>
      <c r="BS451" s="105">
        <f t="shared" si="665"/>
        <v>0</v>
      </c>
      <c r="BT451" s="106"/>
      <c r="BU451" s="53"/>
      <c r="BV451" s="53">
        <f t="shared" si="743"/>
        <v>0</v>
      </c>
      <c r="BW451" s="54"/>
      <c r="BX451" s="350">
        <f t="shared" si="661"/>
        <v>10</v>
      </c>
      <c r="BY451" s="6"/>
      <c r="BZ451" s="6">
        <f t="shared" si="744"/>
        <v>0</v>
      </c>
      <c r="CA451" s="508"/>
      <c r="CB451" s="7"/>
      <c r="CC451" s="7"/>
      <c r="CD451" s="7"/>
      <c r="CE451" s="504"/>
      <c r="CF451" s="105"/>
      <c r="CG451" s="105">
        <f t="shared" si="666"/>
        <v>0</v>
      </c>
      <c r="CH451" s="105"/>
      <c r="CI451" s="105"/>
      <c r="CJ451" s="105">
        <f t="shared" si="667"/>
        <v>0</v>
      </c>
      <c r="CK451" s="523"/>
      <c r="CL451" s="102">
        <f t="shared" si="745"/>
        <v>0</v>
      </c>
      <c r="CM451" s="103"/>
      <c r="CN451" s="100"/>
      <c r="CO451" s="100">
        <f t="shared" si="728"/>
        <v>0</v>
      </c>
      <c r="CP451" s="515"/>
      <c r="CQ451" s="441"/>
      <c r="CR451" s="504"/>
      <c r="CS451" s="105"/>
      <c r="CT451" s="105">
        <f t="shared" si="729"/>
        <v>0</v>
      </c>
      <c r="CU451" s="105"/>
      <c r="CV451" s="105"/>
      <c r="CW451" s="105">
        <f t="shared" si="730"/>
        <v>0</v>
      </c>
      <c r="CX451" s="53"/>
      <c r="CY451" s="109">
        <f t="shared" si="731"/>
        <v>0</v>
      </c>
      <c r="CZ451" s="54"/>
      <c r="DA451" s="105"/>
      <c r="DB451" s="455">
        <f t="shared" si="676"/>
        <v>0</v>
      </c>
      <c r="DC451" s="495"/>
      <c r="DD451" s="24"/>
      <c r="DF451" s="1133"/>
      <c r="DG451" s="674">
        <f t="shared" si="714"/>
        <v>0</v>
      </c>
      <c r="DH451" s="1119">
        <f t="shared" si="720"/>
        <v>0</v>
      </c>
      <c r="DI451" s="1119"/>
      <c r="DJ451" s="101">
        <f t="shared" si="716"/>
        <v>10</v>
      </c>
      <c r="DK451" s="101"/>
      <c r="DL451" s="101">
        <f t="shared" si="715"/>
        <v>0</v>
      </c>
      <c r="DM451" s="101"/>
      <c r="DN451" s="112"/>
      <c r="DO451" s="112"/>
      <c r="DP451" s="112"/>
      <c r="DQ451" s="112"/>
      <c r="DS451" s="299">
        <f t="shared" si="751"/>
        <v>10</v>
      </c>
      <c r="DT451" s="140"/>
      <c r="DU451" s="140"/>
      <c r="DV451" s="140"/>
      <c r="DW451" s="140"/>
      <c r="DX451" s="140"/>
      <c r="DY451" s="140"/>
      <c r="DZ451" s="140"/>
    </row>
    <row r="452" spans="1:130" s="139" customFormat="1" ht="21.6" customHeight="1" x14ac:dyDescent="0.25">
      <c r="A452" s="4" t="s">
        <v>130</v>
      </c>
      <c r="B452" s="4">
        <v>7</v>
      </c>
      <c r="C452" s="153" t="s">
        <v>238</v>
      </c>
      <c r="D452" s="182" t="s">
        <v>431</v>
      </c>
      <c r="E452" s="13" t="s">
        <v>243</v>
      </c>
      <c r="F452" s="135">
        <v>67</v>
      </c>
      <c r="G452" s="135">
        <v>18</v>
      </c>
      <c r="H452" s="135">
        <f t="shared" si="749"/>
        <v>85</v>
      </c>
      <c r="I452" s="135">
        <v>145</v>
      </c>
      <c r="J452" s="135"/>
      <c r="K452" s="135">
        <f t="shared" si="750"/>
        <v>145</v>
      </c>
      <c r="L452" s="183"/>
      <c r="M452" s="5"/>
      <c r="N452" s="41"/>
      <c r="O452" s="6"/>
      <c r="P452" s="7"/>
      <c r="Q452" s="7"/>
      <c r="R452" s="7"/>
      <c r="S452" s="7"/>
      <c r="T452" s="89"/>
      <c r="U452" s="89"/>
      <c r="V452" s="89">
        <f t="shared" si="732"/>
        <v>0</v>
      </c>
      <c r="W452" s="137"/>
      <c r="X452" s="137"/>
      <c r="Y452" s="90">
        <f t="shared" si="733"/>
        <v>0</v>
      </c>
      <c r="Z452" s="91"/>
      <c r="AA452" s="92"/>
      <c r="AB452" s="92"/>
      <c r="AC452" s="92">
        <f t="shared" si="734"/>
        <v>0</v>
      </c>
      <c r="AD452" s="93"/>
      <c r="AE452" s="93"/>
      <c r="AF452" s="94">
        <f t="shared" si="735"/>
        <v>0</v>
      </c>
      <c r="AG452" s="473"/>
      <c r="AH452" s="99">
        <f>1455+562.5</f>
        <v>2017.5</v>
      </c>
      <c r="AI452" s="99">
        <f t="shared" si="736"/>
        <v>134.5</v>
      </c>
      <c r="AJ452" s="138">
        <v>1455</v>
      </c>
      <c r="AK452" s="138">
        <f t="shared" si="737"/>
        <v>97</v>
      </c>
      <c r="AL452" s="106"/>
      <c r="AM452" s="105">
        <v>560</v>
      </c>
      <c r="AN452" s="105">
        <f t="shared" si="738"/>
        <v>37.333333333333336</v>
      </c>
      <c r="AO452" s="106"/>
      <c r="AP452" s="105"/>
      <c r="AQ452" s="105">
        <f t="shared" si="746"/>
        <v>0</v>
      </c>
      <c r="AR452" s="106"/>
      <c r="AS452" s="97">
        <f t="shared" si="659"/>
        <v>134.33333333333334</v>
      </c>
      <c r="AT452" s="6"/>
      <c r="AU452" s="105"/>
      <c r="AV452" s="455">
        <f t="shared" si="724"/>
        <v>0</v>
      </c>
      <c r="AW452" s="496"/>
      <c r="AX452" s="508"/>
      <c r="AY452" s="498"/>
      <c r="AZ452" s="100">
        <f t="shared" si="739"/>
        <v>0</v>
      </c>
      <c r="BA452" s="101"/>
      <c r="BB452" s="100"/>
      <c r="BC452" s="100">
        <f t="shared" si="740"/>
        <v>0</v>
      </c>
      <c r="BD452" s="101"/>
      <c r="BE452" s="105">
        <f t="shared" si="741"/>
        <v>97</v>
      </c>
      <c r="BF452" s="106"/>
      <c r="BG452" s="100">
        <f t="shared" si="710"/>
        <v>37.333333333333336</v>
      </c>
      <c r="BH452" s="106"/>
      <c r="BI452" s="100">
        <f t="shared" si="711"/>
        <v>0</v>
      </c>
      <c r="BJ452" s="106"/>
      <c r="BK452" s="101">
        <f t="shared" si="660"/>
        <v>134.33333333333334</v>
      </c>
      <c r="BL452" s="106"/>
      <c r="BM452" s="104">
        <v>4850</v>
      </c>
      <c r="BN452" s="104">
        <f t="shared" si="747"/>
        <v>97</v>
      </c>
      <c r="BO452" s="105">
        <v>4850</v>
      </c>
      <c r="BP452" s="105">
        <f t="shared" si="726"/>
        <v>97</v>
      </c>
      <c r="BQ452" s="106"/>
      <c r="BR452" s="105">
        <v>1850</v>
      </c>
      <c r="BS452" s="105">
        <f>BR452/50</f>
        <v>37</v>
      </c>
      <c r="BT452" s="106"/>
      <c r="BU452" s="53"/>
      <c r="BV452" s="53">
        <f t="shared" si="743"/>
        <v>0</v>
      </c>
      <c r="BW452" s="54"/>
      <c r="BX452" s="350">
        <f t="shared" si="661"/>
        <v>134</v>
      </c>
      <c r="BY452" s="6"/>
      <c r="BZ452" s="6">
        <f t="shared" si="744"/>
        <v>0.33333333333334281</v>
      </c>
      <c r="CA452" s="508"/>
      <c r="CB452" s="7"/>
      <c r="CC452" s="7"/>
      <c r="CD452" s="7"/>
      <c r="CE452" s="504"/>
      <c r="CF452" s="105"/>
      <c r="CG452" s="105">
        <f t="shared" si="666"/>
        <v>0</v>
      </c>
      <c r="CH452" s="105"/>
      <c r="CI452" s="105"/>
      <c r="CJ452" s="105">
        <f t="shared" si="667"/>
        <v>0</v>
      </c>
      <c r="CK452" s="523"/>
      <c r="CL452" s="102">
        <f t="shared" si="745"/>
        <v>0</v>
      </c>
      <c r="CM452" s="103"/>
      <c r="CN452" s="100"/>
      <c r="CO452" s="100">
        <f t="shared" si="728"/>
        <v>0</v>
      </c>
      <c r="CP452" s="515"/>
      <c r="CQ452" s="441"/>
      <c r="CR452" s="504"/>
      <c r="CS452" s="105"/>
      <c r="CT452" s="105">
        <f t="shared" si="729"/>
        <v>0</v>
      </c>
      <c r="CU452" s="105"/>
      <c r="CV452" s="105"/>
      <c r="CW452" s="105">
        <f t="shared" si="730"/>
        <v>0</v>
      </c>
      <c r="CX452" s="53"/>
      <c r="CY452" s="109">
        <f t="shared" si="731"/>
        <v>0</v>
      </c>
      <c r="CZ452" s="54"/>
      <c r="DA452" s="105"/>
      <c r="DB452" s="455">
        <f t="shared" si="676"/>
        <v>0</v>
      </c>
      <c r="DC452" s="495"/>
      <c r="DD452" s="24"/>
      <c r="DF452" s="1133"/>
      <c r="DG452" s="674">
        <f t="shared" si="714"/>
        <v>0</v>
      </c>
      <c r="DH452" s="1119">
        <f t="shared" si="720"/>
        <v>0</v>
      </c>
      <c r="DI452" s="1119"/>
      <c r="DJ452" s="101">
        <f t="shared" si="716"/>
        <v>134.33333333333334</v>
      </c>
      <c r="DK452" s="101"/>
      <c r="DL452" s="101">
        <f t="shared" si="715"/>
        <v>0</v>
      </c>
      <c r="DM452" s="101"/>
      <c r="DN452" s="112"/>
      <c r="DO452" s="112"/>
      <c r="DP452" s="112"/>
      <c r="DQ452" s="112"/>
      <c r="DS452" s="299">
        <f t="shared" si="751"/>
        <v>97</v>
      </c>
      <c r="DT452" s="140"/>
      <c r="DU452" s="140"/>
      <c r="DV452" s="140"/>
      <c r="DW452" s="140"/>
      <c r="DX452" s="140"/>
      <c r="DY452" s="140"/>
      <c r="DZ452" s="140"/>
    </row>
    <row r="453" spans="1:130" s="139" customFormat="1" ht="21.6" customHeight="1" x14ac:dyDescent="0.25">
      <c r="A453" s="4" t="s">
        <v>130</v>
      </c>
      <c r="B453" s="4">
        <v>8</v>
      </c>
      <c r="C453" s="153" t="s">
        <v>238</v>
      </c>
      <c r="D453" s="182" t="s">
        <v>429</v>
      </c>
      <c r="E453" s="3" t="s">
        <v>609</v>
      </c>
      <c r="F453" s="135"/>
      <c r="G453" s="135"/>
      <c r="H453" s="135"/>
      <c r="I453" s="135"/>
      <c r="J453" s="135"/>
      <c r="K453" s="135"/>
      <c r="L453" s="183"/>
      <c r="M453" s="5"/>
      <c r="N453" s="41"/>
      <c r="O453" s="6"/>
      <c r="P453" s="7"/>
      <c r="Q453" s="7"/>
      <c r="R453" s="7"/>
      <c r="S453" s="7"/>
      <c r="T453" s="89"/>
      <c r="U453" s="89"/>
      <c r="V453" s="89"/>
      <c r="W453" s="137"/>
      <c r="X453" s="137"/>
      <c r="Y453" s="90"/>
      <c r="Z453" s="91"/>
      <c r="AA453" s="92"/>
      <c r="AB453" s="92"/>
      <c r="AC453" s="92">
        <f t="shared" si="734"/>
        <v>0</v>
      </c>
      <c r="AD453" s="93"/>
      <c r="AE453" s="93"/>
      <c r="AF453" s="94">
        <f t="shared" si="735"/>
        <v>0</v>
      </c>
      <c r="AG453" s="473"/>
      <c r="AH453" s="99"/>
      <c r="AI453" s="99"/>
      <c r="AJ453" s="138"/>
      <c r="AK453" s="138"/>
      <c r="AL453" s="106"/>
      <c r="AM453" s="105">
        <v>1160</v>
      </c>
      <c r="AN453" s="105">
        <f t="shared" si="738"/>
        <v>77.333333333333329</v>
      </c>
      <c r="AO453" s="106"/>
      <c r="AP453" s="105"/>
      <c r="AQ453" s="105">
        <f t="shared" si="746"/>
        <v>0</v>
      </c>
      <c r="AR453" s="106"/>
      <c r="AS453" s="97">
        <f t="shared" si="659"/>
        <v>77.333333333333329</v>
      </c>
      <c r="AT453" s="6"/>
      <c r="AU453" s="105"/>
      <c r="AV453" s="455">
        <f t="shared" si="724"/>
        <v>0</v>
      </c>
      <c r="AW453" s="496"/>
      <c r="AX453" s="508"/>
      <c r="AY453" s="498">
        <v>1080</v>
      </c>
      <c r="AZ453" s="100">
        <f t="shared" si="739"/>
        <v>72</v>
      </c>
      <c r="BA453" s="101"/>
      <c r="BB453" s="100"/>
      <c r="BC453" s="100">
        <f t="shared" si="740"/>
        <v>0</v>
      </c>
      <c r="BD453" s="101"/>
      <c r="BE453" s="105">
        <f t="shared" si="741"/>
        <v>72</v>
      </c>
      <c r="BF453" s="106"/>
      <c r="BG453" s="100">
        <f t="shared" si="710"/>
        <v>77.333333333333329</v>
      </c>
      <c r="BH453" s="106"/>
      <c r="BI453" s="100">
        <f t="shared" si="711"/>
        <v>0</v>
      </c>
      <c r="BJ453" s="106"/>
      <c r="BK453" s="101">
        <f t="shared" si="660"/>
        <v>149.33333333333331</v>
      </c>
      <c r="BL453" s="106"/>
      <c r="BM453" s="104"/>
      <c r="BN453" s="104"/>
      <c r="BO453" s="105"/>
      <c r="BP453" s="105">
        <f t="shared" si="726"/>
        <v>0</v>
      </c>
      <c r="BQ453" s="106"/>
      <c r="BR453" s="581">
        <f>3850+3600</f>
        <v>7450</v>
      </c>
      <c r="BS453" s="105">
        <f t="shared" si="665"/>
        <v>149</v>
      </c>
      <c r="BT453" s="106"/>
      <c r="BU453" s="53"/>
      <c r="BV453" s="53">
        <f t="shared" si="743"/>
        <v>0</v>
      </c>
      <c r="BW453" s="54"/>
      <c r="BX453" s="350">
        <f t="shared" si="661"/>
        <v>149</v>
      </c>
      <c r="BY453" s="6"/>
      <c r="BZ453" s="6">
        <f t="shared" si="744"/>
        <v>0.33333333333331439</v>
      </c>
      <c r="CA453" s="508"/>
      <c r="CB453" s="7"/>
      <c r="CC453" s="7"/>
      <c r="CD453" s="7"/>
      <c r="CE453" s="504"/>
      <c r="CF453" s="105"/>
      <c r="CG453" s="105">
        <f t="shared" si="666"/>
        <v>0</v>
      </c>
      <c r="CH453" s="105"/>
      <c r="CI453" s="105"/>
      <c r="CJ453" s="105">
        <f t="shared" si="667"/>
        <v>0</v>
      </c>
      <c r="CK453" s="523"/>
      <c r="CL453" s="102">
        <f t="shared" si="745"/>
        <v>0</v>
      </c>
      <c r="CM453" s="103"/>
      <c r="CN453" s="100"/>
      <c r="CO453" s="100">
        <f t="shared" si="728"/>
        <v>0</v>
      </c>
      <c r="CP453" s="515"/>
      <c r="CQ453" s="441"/>
      <c r="CR453" s="504"/>
      <c r="CS453" s="105"/>
      <c r="CT453" s="105">
        <f t="shared" si="729"/>
        <v>0</v>
      </c>
      <c r="CU453" s="105"/>
      <c r="CV453" s="105"/>
      <c r="CW453" s="105">
        <f t="shared" si="730"/>
        <v>0</v>
      </c>
      <c r="CX453" s="53"/>
      <c r="CY453" s="109">
        <f t="shared" si="731"/>
        <v>0</v>
      </c>
      <c r="CZ453" s="54"/>
      <c r="DA453" s="105"/>
      <c r="DB453" s="455">
        <f t="shared" si="676"/>
        <v>0</v>
      </c>
      <c r="DC453" s="495"/>
      <c r="DD453" s="24"/>
      <c r="DF453" s="1133"/>
      <c r="DG453" s="674">
        <f t="shared" si="714"/>
        <v>0</v>
      </c>
      <c r="DH453" s="1119">
        <f t="shared" si="720"/>
        <v>0</v>
      </c>
      <c r="DI453" s="1119"/>
      <c r="DJ453" s="101">
        <f t="shared" si="716"/>
        <v>149.33333333333331</v>
      </c>
      <c r="DK453" s="101"/>
      <c r="DL453" s="101">
        <f t="shared" si="715"/>
        <v>0</v>
      </c>
      <c r="DM453" s="101">
        <f t="shared" ref="DM453:DM454" si="752">DL453</f>
        <v>0</v>
      </c>
      <c r="DN453" s="112">
        <f>DJ453</f>
        <v>149.33333333333331</v>
      </c>
      <c r="DO453" s="112"/>
      <c r="DP453" s="112"/>
      <c r="DQ453" s="112"/>
      <c r="DS453" s="299"/>
      <c r="DT453" s="140"/>
      <c r="DU453" s="140"/>
      <c r="DV453" s="140"/>
      <c r="DW453" s="140"/>
      <c r="DX453" s="140"/>
      <c r="DY453" s="140"/>
      <c r="DZ453" s="140"/>
    </row>
    <row r="454" spans="1:130" s="139" customFormat="1" ht="21.6" customHeight="1" x14ac:dyDescent="0.25">
      <c r="A454" s="4"/>
      <c r="B454" s="4"/>
      <c r="C454" s="153" t="s">
        <v>238</v>
      </c>
      <c r="D454" s="182" t="s">
        <v>429</v>
      </c>
      <c r="E454" s="3" t="s">
        <v>364</v>
      </c>
      <c r="F454" s="135"/>
      <c r="G454" s="135"/>
      <c r="H454" s="135"/>
      <c r="I454" s="135"/>
      <c r="J454" s="135"/>
      <c r="K454" s="135"/>
      <c r="L454" s="183"/>
      <c r="M454" s="5"/>
      <c r="N454" s="41"/>
      <c r="O454" s="6"/>
      <c r="P454" s="7"/>
      <c r="Q454" s="7"/>
      <c r="R454" s="7"/>
      <c r="S454" s="7"/>
      <c r="T454" s="89"/>
      <c r="U454" s="89"/>
      <c r="V454" s="89"/>
      <c r="W454" s="137"/>
      <c r="X454" s="137"/>
      <c r="Y454" s="90">
        <f t="shared" si="733"/>
        <v>0</v>
      </c>
      <c r="Z454" s="91"/>
      <c r="AA454" s="92"/>
      <c r="AB454" s="92"/>
      <c r="AC454" s="92">
        <f t="shared" si="734"/>
        <v>0</v>
      </c>
      <c r="AD454" s="93"/>
      <c r="AE454" s="93"/>
      <c r="AF454" s="94">
        <f t="shared" si="735"/>
        <v>0</v>
      </c>
      <c r="AG454" s="473"/>
      <c r="AH454" s="99">
        <v>1380</v>
      </c>
      <c r="AI454" s="99">
        <f t="shared" si="736"/>
        <v>92</v>
      </c>
      <c r="AJ454" s="138">
        <v>1380</v>
      </c>
      <c r="AK454" s="138">
        <f t="shared" ref="AK454:AK464" si="753">AJ454/15</f>
        <v>92</v>
      </c>
      <c r="AL454" s="106"/>
      <c r="AM454" s="105"/>
      <c r="AN454" s="105">
        <f t="shared" si="738"/>
        <v>0</v>
      </c>
      <c r="AO454" s="106"/>
      <c r="AP454" s="105"/>
      <c r="AQ454" s="105">
        <f t="shared" si="746"/>
        <v>0</v>
      </c>
      <c r="AR454" s="106"/>
      <c r="AS454" s="97">
        <f t="shared" si="659"/>
        <v>92</v>
      </c>
      <c r="AT454" s="6"/>
      <c r="AU454" s="105"/>
      <c r="AV454" s="455">
        <f t="shared" si="724"/>
        <v>0</v>
      </c>
      <c r="AW454" s="496"/>
      <c r="AX454" s="508"/>
      <c r="AY454" s="498">
        <v>735</v>
      </c>
      <c r="AZ454" s="100">
        <f t="shared" si="739"/>
        <v>49</v>
      </c>
      <c r="BA454" s="101"/>
      <c r="BB454" s="100"/>
      <c r="BC454" s="100">
        <f t="shared" si="740"/>
        <v>0</v>
      </c>
      <c r="BD454" s="101"/>
      <c r="BE454" s="105">
        <f t="shared" si="741"/>
        <v>141</v>
      </c>
      <c r="BF454" s="106"/>
      <c r="BG454" s="100">
        <f t="shared" si="710"/>
        <v>0</v>
      </c>
      <c r="BH454" s="106"/>
      <c r="BI454" s="100">
        <f t="shared" si="711"/>
        <v>0</v>
      </c>
      <c r="BJ454" s="106"/>
      <c r="BK454" s="101">
        <f t="shared" si="660"/>
        <v>141</v>
      </c>
      <c r="BL454" s="106"/>
      <c r="BM454" s="104">
        <v>3800</v>
      </c>
      <c r="BN454" s="104">
        <f t="shared" si="747"/>
        <v>76</v>
      </c>
      <c r="BO454" s="105">
        <v>3800</v>
      </c>
      <c r="BP454" s="105">
        <f t="shared" si="726"/>
        <v>76</v>
      </c>
      <c r="BQ454" s="106"/>
      <c r="BR454" s="396">
        <f>2500</f>
        <v>2500</v>
      </c>
      <c r="BS454" s="105">
        <f t="shared" si="665"/>
        <v>50</v>
      </c>
      <c r="BT454" s="106"/>
      <c r="BU454" s="53"/>
      <c r="BV454" s="53">
        <f t="shared" si="743"/>
        <v>0</v>
      </c>
      <c r="BW454" s="54"/>
      <c r="BX454" s="350">
        <f t="shared" si="661"/>
        <v>126</v>
      </c>
      <c r="BY454" s="6"/>
      <c r="BZ454" s="6">
        <f t="shared" si="744"/>
        <v>15</v>
      </c>
      <c r="CA454" s="508"/>
      <c r="CB454" s="7"/>
      <c r="CC454" s="7"/>
      <c r="CD454" s="7"/>
      <c r="CE454" s="504"/>
      <c r="CF454" s="105"/>
      <c r="CG454" s="105">
        <f t="shared" si="666"/>
        <v>0</v>
      </c>
      <c r="CH454" s="105"/>
      <c r="CI454" s="105"/>
      <c r="CJ454" s="105">
        <f t="shared" si="667"/>
        <v>0</v>
      </c>
      <c r="CK454" s="523"/>
      <c r="CL454" s="102">
        <f t="shared" si="745"/>
        <v>0</v>
      </c>
      <c r="CM454" s="103"/>
      <c r="CN454" s="100"/>
      <c r="CO454" s="100">
        <f t="shared" si="728"/>
        <v>0</v>
      </c>
      <c r="CP454" s="515"/>
      <c r="CQ454" s="441"/>
      <c r="CR454" s="504"/>
      <c r="CS454" s="105"/>
      <c r="CT454" s="105">
        <f t="shared" si="729"/>
        <v>0</v>
      </c>
      <c r="CU454" s="105"/>
      <c r="CV454" s="105"/>
      <c r="CW454" s="105">
        <f t="shared" si="730"/>
        <v>0</v>
      </c>
      <c r="CX454" s="53"/>
      <c r="CY454" s="109">
        <f t="shared" si="731"/>
        <v>0</v>
      </c>
      <c r="CZ454" s="54"/>
      <c r="DA454" s="105"/>
      <c r="DB454" s="455">
        <f t="shared" si="676"/>
        <v>0</v>
      </c>
      <c r="DC454" s="495"/>
      <c r="DD454" s="24"/>
      <c r="DF454" s="1133"/>
      <c r="DG454" s="674">
        <f t="shared" si="714"/>
        <v>0</v>
      </c>
      <c r="DH454" s="1119">
        <f t="shared" si="720"/>
        <v>0</v>
      </c>
      <c r="DI454" s="1119"/>
      <c r="DJ454" s="101">
        <f t="shared" si="716"/>
        <v>141</v>
      </c>
      <c r="DK454" s="101"/>
      <c r="DL454" s="101">
        <f t="shared" si="715"/>
        <v>0</v>
      </c>
      <c r="DM454" s="101">
        <f t="shared" si="752"/>
        <v>0</v>
      </c>
      <c r="DN454" s="112">
        <f>DJ454</f>
        <v>141</v>
      </c>
      <c r="DO454" s="112"/>
      <c r="DP454" s="112"/>
      <c r="DQ454" s="112"/>
      <c r="DS454" s="299">
        <f>BE454-AF454</f>
        <v>141</v>
      </c>
      <c r="DT454" s="140"/>
      <c r="DU454" s="140"/>
      <c r="DV454" s="140"/>
      <c r="DW454" s="140"/>
      <c r="DX454" s="140"/>
      <c r="DY454" s="140"/>
      <c r="DZ454" s="140"/>
    </row>
    <row r="455" spans="1:130" s="139" customFormat="1" ht="21.6" customHeight="1" x14ac:dyDescent="0.25">
      <c r="A455" s="4" t="s">
        <v>130</v>
      </c>
      <c r="B455" s="4">
        <v>8</v>
      </c>
      <c r="C455" s="153" t="s">
        <v>238</v>
      </c>
      <c r="D455" s="182" t="s">
        <v>431</v>
      </c>
      <c r="E455" s="13" t="s">
        <v>244</v>
      </c>
      <c r="F455" s="135">
        <v>84</v>
      </c>
      <c r="G455" s="135">
        <v>6</v>
      </c>
      <c r="H455" s="135">
        <f t="shared" si="749"/>
        <v>90</v>
      </c>
      <c r="I455" s="135">
        <v>53.5</v>
      </c>
      <c r="J455" s="135"/>
      <c r="K455" s="135">
        <f t="shared" si="750"/>
        <v>53.5</v>
      </c>
      <c r="L455" s="183"/>
      <c r="M455" s="5"/>
      <c r="N455" s="41"/>
      <c r="O455" s="6"/>
      <c r="P455" s="7"/>
      <c r="Q455" s="7"/>
      <c r="R455" s="7"/>
      <c r="S455" s="7"/>
      <c r="T455" s="89"/>
      <c r="U455" s="89"/>
      <c r="V455" s="89">
        <f t="shared" si="732"/>
        <v>0</v>
      </c>
      <c r="W455" s="137"/>
      <c r="X455" s="137"/>
      <c r="Y455" s="90">
        <f t="shared" si="733"/>
        <v>0</v>
      </c>
      <c r="Z455" s="91"/>
      <c r="AA455" s="92"/>
      <c r="AB455" s="92"/>
      <c r="AC455" s="92">
        <f t="shared" si="734"/>
        <v>0</v>
      </c>
      <c r="AD455" s="93"/>
      <c r="AE455" s="93"/>
      <c r="AF455" s="94">
        <f t="shared" si="735"/>
        <v>0</v>
      </c>
      <c r="AG455" s="473"/>
      <c r="AH455" s="99">
        <v>210</v>
      </c>
      <c r="AI455" s="99">
        <f t="shared" si="736"/>
        <v>14</v>
      </c>
      <c r="AJ455" s="138">
        <f>210+605</f>
        <v>815</v>
      </c>
      <c r="AK455" s="138">
        <f t="shared" si="753"/>
        <v>54.333333333333336</v>
      </c>
      <c r="AL455" s="106"/>
      <c r="AM455" s="105"/>
      <c r="AN455" s="105">
        <f t="shared" si="738"/>
        <v>0</v>
      </c>
      <c r="AO455" s="106"/>
      <c r="AP455" s="105"/>
      <c r="AQ455" s="105">
        <f t="shared" si="746"/>
        <v>0</v>
      </c>
      <c r="AR455" s="106"/>
      <c r="AS455" s="97">
        <f t="shared" si="659"/>
        <v>54.333333333333336</v>
      </c>
      <c r="AT455" s="6"/>
      <c r="AU455" s="105"/>
      <c r="AV455" s="455">
        <f t="shared" si="724"/>
        <v>0</v>
      </c>
      <c r="AW455" s="496"/>
      <c r="AX455" s="508"/>
      <c r="AY455" s="498">
        <v>90</v>
      </c>
      <c r="AZ455" s="100">
        <f t="shared" si="739"/>
        <v>6</v>
      </c>
      <c r="BA455" s="101"/>
      <c r="BB455" s="100"/>
      <c r="BC455" s="100">
        <f t="shared" si="740"/>
        <v>0</v>
      </c>
      <c r="BD455" s="101"/>
      <c r="BE455" s="105">
        <f t="shared" si="741"/>
        <v>60.333333333333336</v>
      </c>
      <c r="BF455" s="106"/>
      <c r="BG455" s="100">
        <f t="shared" si="710"/>
        <v>0</v>
      </c>
      <c r="BH455" s="106"/>
      <c r="BI455" s="100">
        <f t="shared" si="711"/>
        <v>0</v>
      </c>
      <c r="BJ455" s="106"/>
      <c r="BK455" s="101">
        <f t="shared" si="660"/>
        <v>60.333333333333336</v>
      </c>
      <c r="BL455" s="106"/>
      <c r="BM455" s="104">
        <v>1000</v>
      </c>
      <c r="BN455" s="104">
        <f t="shared" si="747"/>
        <v>20</v>
      </c>
      <c r="BO455" s="105">
        <v>900</v>
      </c>
      <c r="BP455" s="105">
        <f t="shared" si="726"/>
        <v>18</v>
      </c>
      <c r="BQ455" s="106"/>
      <c r="BR455" s="105">
        <f>100+2000</f>
        <v>2100</v>
      </c>
      <c r="BS455" s="105">
        <f t="shared" si="665"/>
        <v>42</v>
      </c>
      <c r="BT455" s="106"/>
      <c r="BU455" s="53"/>
      <c r="BV455" s="53">
        <f t="shared" si="743"/>
        <v>0</v>
      </c>
      <c r="BW455" s="54"/>
      <c r="BX455" s="350">
        <f t="shared" si="661"/>
        <v>60</v>
      </c>
      <c r="BY455" s="6"/>
      <c r="BZ455" s="6">
        <f t="shared" si="744"/>
        <v>0.3333333333333357</v>
      </c>
      <c r="CA455" s="508"/>
      <c r="CB455" s="7"/>
      <c r="CC455" s="7"/>
      <c r="CD455" s="7"/>
      <c r="CE455" s="504"/>
      <c r="CF455" s="105"/>
      <c r="CG455" s="105">
        <f t="shared" si="666"/>
        <v>0</v>
      </c>
      <c r="CH455" s="105"/>
      <c r="CI455" s="105"/>
      <c r="CJ455" s="105">
        <f t="shared" si="667"/>
        <v>0</v>
      </c>
      <c r="CK455" s="523"/>
      <c r="CL455" s="102">
        <f t="shared" si="745"/>
        <v>0</v>
      </c>
      <c r="CM455" s="103"/>
      <c r="CN455" s="100"/>
      <c r="CO455" s="100">
        <f t="shared" si="728"/>
        <v>0</v>
      </c>
      <c r="CP455" s="515"/>
      <c r="CQ455" s="441"/>
      <c r="CR455" s="504"/>
      <c r="CS455" s="105"/>
      <c r="CT455" s="105">
        <f t="shared" si="729"/>
        <v>0</v>
      </c>
      <c r="CU455" s="105"/>
      <c r="CV455" s="105"/>
      <c r="CW455" s="105">
        <f t="shared" si="730"/>
        <v>0</v>
      </c>
      <c r="CX455" s="53"/>
      <c r="CY455" s="109">
        <f t="shared" si="731"/>
        <v>0</v>
      </c>
      <c r="CZ455" s="54"/>
      <c r="DA455" s="105"/>
      <c r="DB455" s="455">
        <f t="shared" si="676"/>
        <v>0</v>
      </c>
      <c r="DC455" s="495"/>
      <c r="DD455" s="24"/>
      <c r="DF455" s="1133"/>
      <c r="DG455" s="674">
        <f t="shared" si="714"/>
        <v>0</v>
      </c>
      <c r="DH455" s="1119">
        <f t="shared" si="720"/>
        <v>0</v>
      </c>
      <c r="DI455" s="1119"/>
      <c r="DJ455" s="101">
        <f t="shared" si="716"/>
        <v>60.333333333333336</v>
      </c>
      <c r="DK455" s="101"/>
      <c r="DL455" s="101">
        <f t="shared" si="715"/>
        <v>0</v>
      </c>
      <c r="DM455" s="101"/>
      <c r="DN455" s="112"/>
      <c r="DO455" s="112"/>
      <c r="DP455" s="112"/>
      <c r="DQ455" s="112"/>
      <c r="DS455" s="299">
        <f>BE455-AF455</f>
        <v>60.333333333333336</v>
      </c>
      <c r="DT455" s="140"/>
      <c r="DU455" s="140"/>
      <c r="DV455" s="140"/>
      <c r="DW455" s="140"/>
      <c r="DX455" s="140"/>
      <c r="DY455" s="140"/>
      <c r="DZ455" s="140"/>
    </row>
    <row r="456" spans="1:130" s="1105" customFormat="1" ht="52.5" customHeight="1" x14ac:dyDescent="0.25">
      <c r="A456" s="4"/>
      <c r="B456" s="4"/>
      <c r="C456" s="153" t="s">
        <v>238</v>
      </c>
      <c r="D456" s="182" t="s">
        <v>431</v>
      </c>
      <c r="E456" s="13" t="s">
        <v>868</v>
      </c>
      <c r="F456" s="135"/>
      <c r="G456" s="135"/>
      <c r="H456" s="135"/>
      <c r="I456" s="135"/>
      <c r="J456" s="135"/>
      <c r="K456" s="135"/>
      <c r="L456" s="183"/>
      <c r="M456" s="1104"/>
      <c r="N456" s="41"/>
      <c r="O456" s="6"/>
      <c r="P456" s="7"/>
      <c r="Q456" s="7"/>
      <c r="R456" s="7"/>
      <c r="S456" s="7"/>
      <c r="T456" s="89"/>
      <c r="U456" s="89"/>
      <c r="V456" s="89"/>
      <c r="W456" s="137"/>
      <c r="X456" s="137"/>
      <c r="Y456" s="90"/>
      <c r="Z456" s="91"/>
      <c r="AA456" s="92"/>
      <c r="AB456" s="92"/>
      <c r="AC456" s="92">
        <f t="shared" si="734"/>
        <v>0</v>
      </c>
      <c r="AD456" s="93"/>
      <c r="AE456" s="93"/>
      <c r="AF456" s="94">
        <f t="shared" si="735"/>
        <v>0</v>
      </c>
      <c r="AG456" s="473"/>
      <c r="AH456" s="99"/>
      <c r="AI456" s="99"/>
      <c r="AJ456" s="138">
        <v>395</v>
      </c>
      <c r="AK456" s="138">
        <f>AJ456/15</f>
        <v>26.333333333333332</v>
      </c>
      <c r="AL456" s="106"/>
      <c r="AM456" s="105"/>
      <c r="AN456" s="105"/>
      <c r="AO456" s="106"/>
      <c r="AP456" s="105"/>
      <c r="AQ456" s="105"/>
      <c r="AR456" s="106"/>
      <c r="AS456" s="97">
        <f t="shared" si="659"/>
        <v>26.333333333333332</v>
      </c>
      <c r="AT456" s="6"/>
      <c r="AU456" s="105"/>
      <c r="AV456" s="455"/>
      <c r="AW456" s="496"/>
      <c r="AX456" s="508"/>
      <c r="AY456" s="498"/>
      <c r="AZ456" s="100"/>
      <c r="BA456" s="101"/>
      <c r="BB456" s="100"/>
      <c r="BC456" s="100"/>
      <c r="BD456" s="101"/>
      <c r="BE456" s="105"/>
      <c r="BF456" s="106"/>
      <c r="BG456" s="100"/>
      <c r="BH456" s="106"/>
      <c r="BI456" s="100"/>
      <c r="BJ456" s="106"/>
      <c r="BK456" s="101"/>
      <c r="BL456" s="106"/>
      <c r="BM456" s="104"/>
      <c r="BN456" s="104"/>
      <c r="BO456" s="105">
        <v>1300</v>
      </c>
      <c r="BP456" s="105">
        <f t="shared" si="726"/>
        <v>26</v>
      </c>
      <c r="BQ456" s="106"/>
      <c r="BR456" s="105"/>
      <c r="BS456" s="105"/>
      <c r="BT456" s="106"/>
      <c r="BU456" s="53"/>
      <c r="BV456" s="53"/>
      <c r="BW456" s="54"/>
      <c r="BX456" s="350">
        <f t="shared" si="661"/>
        <v>26</v>
      </c>
      <c r="BY456" s="6"/>
      <c r="BZ456" s="6"/>
      <c r="CA456" s="508"/>
      <c r="CB456" s="7"/>
      <c r="CC456" s="7"/>
      <c r="CD456" s="7"/>
      <c r="CE456" s="504"/>
      <c r="CF456" s="105"/>
      <c r="CG456" s="105"/>
      <c r="CH456" s="105"/>
      <c r="CI456" s="105"/>
      <c r="CJ456" s="105"/>
      <c r="CK456" s="523"/>
      <c r="CL456" s="102"/>
      <c r="CM456" s="103"/>
      <c r="CN456" s="100"/>
      <c r="CO456" s="100"/>
      <c r="CP456" s="515"/>
      <c r="CQ456" s="441"/>
      <c r="CR456" s="504"/>
      <c r="CS456" s="105"/>
      <c r="CT456" s="105"/>
      <c r="CU456" s="105"/>
      <c r="CV456" s="105"/>
      <c r="CW456" s="105"/>
      <c r="CX456" s="53"/>
      <c r="CY456" s="109"/>
      <c r="CZ456" s="54"/>
      <c r="DA456" s="105"/>
      <c r="DB456" s="455"/>
      <c r="DC456" s="495"/>
      <c r="DD456" s="24"/>
      <c r="DF456" s="1133"/>
      <c r="DG456" s="674"/>
      <c r="DH456" s="1119"/>
      <c r="DI456" s="1119"/>
      <c r="DJ456" s="101">
        <f t="shared" si="716"/>
        <v>26.333333333333332</v>
      </c>
      <c r="DK456" s="101"/>
      <c r="DL456" s="101"/>
      <c r="DM456" s="101"/>
      <c r="DN456" s="112"/>
      <c r="DO456" s="112"/>
      <c r="DP456" s="112"/>
      <c r="DQ456" s="112"/>
      <c r="DS456" s="299"/>
      <c r="DT456" s="140"/>
      <c r="DU456" s="140"/>
      <c r="DV456" s="140"/>
      <c r="DW456" s="140"/>
      <c r="DX456" s="140"/>
      <c r="DY456" s="140"/>
      <c r="DZ456" s="140"/>
    </row>
    <row r="457" spans="1:130" s="139" customFormat="1" ht="21.6" customHeight="1" x14ac:dyDescent="0.25">
      <c r="A457" s="4" t="s">
        <v>130</v>
      </c>
      <c r="B457" s="4">
        <v>5</v>
      </c>
      <c r="C457" s="153" t="s">
        <v>238</v>
      </c>
      <c r="D457" s="182" t="s">
        <v>431</v>
      </c>
      <c r="E457" s="13" t="s">
        <v>171</v>
      </c>
      <c r="F457" s="135">
        <v>228</v>
      </c>
      <c r="G457" s="135">
        <v>92</v>
      </c>
      <c r="H457" s="135">
        <f t="shared" si="749"/>
        <v>320</v>
      </c>
      <c r="I457" s="135">
        <v>425</v>
      </c>
      <c r="J457" s="135"/>
      <c r="K457" s="135">
        <f t="shared" si="750"/>
        <v>425</v>
      </c>
      <c r="L457" s="183"/>
      <c r="M457" s="5"/>
      <c r="N457" s="41"/>
      <c r="O457" s="6"/>
      <c r="P457" s="7"/>
      <c r="Q457" s="7"/>
      <c r="R457" s="7"/>
      <c r="S457" s="7"/>
      <c r="T457" s="89"/>
      <c r="U457" s="89"/>
      <c r="V457" s="89">
        <f t="shared" si="732"/>
        <v>0</v>
      </c>
      <c r="W457" s="137"/>
      <c r="X457" s="137"/>
      <c r="Y457" s="90">
        <f t="shared" si="733"/>
        <v>0</v>
      </c>
      <c r="Z457" s="91"/>
      <c r="AA457" s="92"/>
      <c r="AB457" s="92"/>
      <c r="AC457" s="92">
        <f t="shared" si="734"/>
        <v>0</v>
      </c>
      <c r="AD457" s="93"/>
      <c r="AE457" s="93"/>
      <c r="AF457" s="94">
        <f t="shared" si="735"/>
        <v>0</v>
      </c>
      <c r="AG457" s="473"/>
      <c r="AH457" s="99">
        <v>300</v>
      </c>
      <c r="AI457" s="99">
        <f t="shared" si="736"/>
        <v>20</v>
      </c>
      <c r="AJ457" s="138">
        <v>300</v>
      </c>
      <c r="AK457" s="138">
        <f t="shared" si="753"/>
        <v>20</v>
      </c>
      <c r="AL457" s="106"/>
      <c r="AM457" s="105"/>
      <c r="AN457" s="105">
        <f t="shared" si="738"/>
        <v>0</v>
      </c>
      <c r="AO457" s="106"/>
      <c r="AP457" s="105"/>
      <c r="AQ457" s="105">
        <f t="shared" si="746"/>
        <v>0</v>
      </c>
      <c r="AR457" s="106"/>
      <c r="AS457" s="97">
        <f t="shared" si="659"/>
        <v>20</v>
      </c>
      <c r="AT457" s="6"/>
      <c r="AU457" s="105"/>
      <c r="AV457" s="455">
        <f t="shared" si="724"/>
        <v>0</v>
      </c>
      <c r="AW457" s="496"/>
      <c r="AX457" s="508"/>
      <c r="AY457" s="498"/>
      <c r="AZ457" s="100">
        <f t="shared" si="739"/>
        <v>0</v>
      </c>
      <c r="BA457" s="101"/>
      <c r="BB457" s="100"/>
      <c r="BC457" s="100">
        <f t="shared" si="740"/>
        <v>0</v>
      </c>
      <c r="BD457" s="101"/>
      <c r="BE457" s="105">
        <f t="shared" ref="BE457:BE464" si="754">AK457+AZ457</f>
        <v>20</v>
      </c>
      <c r="BF457" s="106"/>
      <c r="BG457" s="100">
        <f t="shared" ref="BG457:BG480" si="755">BC457+AQ457+AN457</f>
        <v>0</v>
      </c>
      <c r="BH457" s="106"/>
      <c r="BI457" s="100">
        <f t="shared" ref="BI457:BI480" si="756">AV457</f>
        <v>0</v>
      </c>
      <c r="BJ457" s="106"/>
      <c r="BK457" s="101">
        <f t="shared" si="660"/>
        <v>20</v>
      </c>
      <c r="BL457" s="106"/>
      <c r="BM457" s="104">
        <v>1000</v>
      </c>
      <c r="BN457" s="104">
        <f t="shared" si="747"/>
        <v>20</v>
      </c>
      <c r="BO457" s="105">
        <v>1000</v>
      </c>
      <c r="BP457" s="105">
        <f t="shared" si="726"/>
        <v>20</v>
      </c>
      <c r="BQ457" s="106"/>
      <c r="BR457" s="105"/>
      <c r="BS457" s="105">
        <f t="shared" si="665"/>
        <v>0</v>
      </c>
      <c r="BT457" s="106"/>
      <c r="BU457" s="53"/>
      <c r="BV457" s="53">
        <f t="shared" si="743"/>
        <v>0</v>
      </c>
      <c r="BW457" s="54"/>
      <c r="BX457" s="350">
        <f t="shared" si="661"/>
        <v>20</v>
      </c>
      <c r="BY457" s="6"/>
      <c r="BZ457" s="6">
        <f t="shared" si="744"/>
        <v>0</v>
      </c>
      <c r="CA457" s="508"/>
      <c r="CB457" s="7"/>
      <c r="CC457" s="7"/>
      <c r="CD457" s="7"/>
      <c r="CE457" s="504"/>
      <c r="CF457" s="105"/>
      <c r="CG457" s="105">
        <f t="shared" si="666"/>
        <v>0</v>
      </c>
      <c r="CH457" s="105"/>
      <c r="CI457" s="105"/>
      <c r="CJ457" s="105">
        <f t="shared" si="667"/>
        <v>0</v>
      </c>
      <c r="CK457" s="523"/>
      <c r="CL457" s="102">
        <f t="shared" si="745"/>
        <v>0</v>
      </c>
      <c r="CM457" s="103"/>
      <c r="CN457" s="100"/>
      <c r="CO457" s="100">
        <f t="shared" si="728"/>
        <v>0</v>
      </c>
      <c r="CP457" s="515"/>
      <c r="CQ457" s="441"/>
      <c r="CR457" s="504"/>
      <c r="CS457" s="105"/>
      <c r="CT457" s="105">
        <f t="shared" si="729"/>
        <v>0</v>
      </c>
      <c r="CU457" s="105"/>
      <c r="CV457" s="105"/>
      <c r="CW457" s="105">
        <f t="shared" si="730"/>
        <v>0</v>
      </c>
      <c r="CX457" s="53"/>
      <c r="CY457" s="109">
        <f t="shared" si="731"/>
        <v>0</v>
      </c>
      <c r="CZ457" s="54"/>
      <c r="DA457" s="105"/>
      <c r="DB457" s="455">
        <f t="shared" si="676"/>
        <v>0</v>
      </c>
      <c r="DC457" s="495"/>
      <c r="DD457" s="24"/>
      <c r="DF457" s="1133"/>
      <c r="DG457" s="674">
        <f t="shared" ref="DG457:DG488" si="757">AV457+CY457+DB457</f>
        <v>0</v>
      </c>
      <c r="DH457" s="1119">
        <f t="shared" ref="DH457:DH488" si="758">BC457+CL457+CO457</f>
        <v>0</v>
      </c>
      <c r="DI457" s="1119"/>
      <c r="DJ457" s="101">
        <f t="shared" si="716"/>
        <v>20</v>
      </c>
      <c r="DK457" s="101"/>
      <c r="DL457" s="101">
        <f t="shared" ref="DL457:DL488" si="759">CT457+CG457+AC457</f>
        <v>0</v>
      </c>
      <c r="DM457" s="101"/>
      <c r="DN457" s="112"/>
      <c r="DO457" s="112"/>
      <c r="DP457" s="112"/>
      <c r="DQ457" s="112"/>
      <c r="DS457" s="299">
        <f t="shared" ref="DS457:DS464" si="760">BE457-AF457</f>
        <v>20</v>
      </c>
      <c r="DT457" s="140"/>
      <c r="DU457" s="140"/>
      <c r="DV457" s="140"/>
      <c r="DW457" s="140"/>
      <c r="DX457" s="140"/>
      <c r="DY457" s="140"/>
      <c r="DZ457" s="140"/>
    </row>
    <row r="458" spans="1:130" s="139" customFormat="1" ht="52.5" customHeight="1" x14ac:dyDescent="0.25">
      <c r="A458" s="4"/>
      <c r="B458" s="4"/>
      <c r="C458" s="153" t="s">
        <v>238</v>
      </c>
      <c r="D458" s="182" t="s">
        <v>431</v>
      </c>
      <c r="E458" s="3" t="s">
        <v>317</v>
      </c>
      <c r="F458" s="135"/>
      <c r="G458" s="135"/>
      <c r="H458" s="135"/>
      <c r="I458" s="135"/>
      <c r="J458" s="135"/>
      <c r="K458" s="135"/>
      <c r="L458" s="183"/>
      <c r="M458" s="5"/>
      <c r="N458" s="41"/>
      <c r="O458" s="6"/>
      <c r="P458" s="7"/>
      <c r="Q458" s="7"/>
      <c r="R458" s="7"/>
      <c r="S458" s="7"/>
      <c r="T458" s="89"/>
      <c r="U458" s="89"/>
      <c r="V458" s="89">
        <f t="shared" si="732"/>
        <v>0</v>
      </c>
      <c r="W458" s="137"/>
      <c r="X458" s="137"/>
      <c r="Y458" s="90">
        <f t="shared" si="733"/>
        <v>0</v>
      </c>
      <c r="Z458" s="91"/>
      <c r="AA458" s="92"/>
      <c r="AB458" s="92"/>
      <c r="AC458" s="92">
        <f t="shared" si="734"/>
        <v>0</v>
      </c>
      <c r="AD458" s="93"/>
      <c r="AE458" s="93"/>
      <c r="AF458" s="94">
        <f t="shared" si="735"/>
        <v>0</v>
      </c>
      <c r="AG458" s="473"/>
      <c r="AH458" s="99">
        <f>308*15</f>
        <v>4620</v>
      </c>
      <c r="AI458" s="99">
        <f t="shared" si="736"/>
        <v>308</v>
      </c>
      <c r="AJ458" s="1107">
        <f>4525-455-395-105-345-605</f>
        <v>2620</v>
      </c>
      <c r="AK458" s="138">
        <f t="shared" si="753"/>
        <v>174.66666666666666</v>
      </c>
      <c r="AL458" s="106"/>
      <c r="AM458" s="105"/>
      <c r="AN458" s="105">
        <f t="shared" si="738"/>
        <v>0</v>
      </c>
      <c r="AO458" s="106"/>
      <c r="AP458" s="105"/>
      <c r="AQ458" s="105">
        <f t="shared" si="746"/>
        <v>0</v>
      </c>
      <c r="AR458" s="106"/>
      <c r="AS458" s="97">
        <f t="shared" si="659"/>
        <v>174.66666666666666</v>
      </c>
      <c r="AT458" s="6"/>
      <c r="AU458" s="105"/>
      <c r="AV458" s="455">
        <f t="shared" si="724"/>
        <v>0</v>
      </c>
      <c r="AW458" s="496"/>
      <c r="AX458" s="508"/>
      <c r="AY458" s="498"/>
      <c r="AZ458" s="100">
        <f t="shared" si="739"/>
        <v>0</v>
      </c>
      <c r="BA458" s="101"/>
      <c r="BB458" s="100">
        <f>1500-120-195-225</f>
        <v>960</v>
      </c>
      <c r="BC458" s="100">
        <f t="shared" si="740"/>
        <v>64</v>
      </c>
      <c r="BD458" s="101"/>
      <c r="BE458" s="105">
        <f t="shared" si="754"/>
        <v>174.66666666666666</v>
      </c>
      <c r="BF458" s="106"/>
      <c r="BG458" s="100">
        <f t="shared" si="755"/>
        <v>64</v>
      </c>
      <c r="BH458" s="106"/>
      <c r="BI458" s="100">
        <f t="shared" si="756"/>
        <v>0</v>
      </c>
      <c r="BJ458" s="106"/>
      <c r="BK458" s="101">
        <f t="shared" si="660"/>
        <v>238.66666666666666</v>
      </c>
      <c r="BL458" s="106"/>
      <c r="BM458" s="104">
        <v>15400</v>
      </c>
      <c r="BN458" s="104">
        <f t="shared" si="747"/>
        <v>308</v>
      </c>
      <c r="BO458" s="105">
        <f>15050-100-1300-1500-200</f>
        <v>11950</v>
      </c>
      <c r="BP458" s="105">
        <f t="shared" si="726"/>
        <v>239</v>
      </c>
      <c r="BQ458" s="106"/>
      <c r="BR458" s="105"/>
      <c r="BS458" s="105">
        <f t="shared" si="665"/>
        <v>0</v>
      </c>
      <c r="BT458" s="106"/>
      <c r="BU458" s="53"/>
      <c r="BV458" s="53">
        <f t="shared" si="743"/>
        <v>0</v>
      </c>
      <c r="BW458" s="54"/>
      <c r="BX458" s="350">
        <f t="shared" si="661"/>
        <v>239</v>
      </c>
      <c r="BY458" s="6"/>
      <c r="BZ458" s="6">
        <f t="shared" si="744"/>
        <v>-0.33333333333334281</v>
      </c>
      <c r="CA458" s="508"/>
      <c r="CB458" s="7"/>
      <c r="CC458" s="7"/>
      <c r="CD458" s="7"/>
      <c r="CE458" s="504"/>
      <c r="CF458" s="105"/>
      <c r="CG458" s="105">
        <f t="shared" si="666"/>
        <v>0</v>
      </c>
      <c r="CH458" s="105"/>
      <c r="CI458" s="105"/>
      <c r="CJ458" s="105">
        <f t="shared" si="667"/>
        <v>0</v>
      </c>
      <c r="CK458" s="523"/>
      <c r="CL458" s="102">
        <f t="shared" si="745"/>
        <v>0</v>
      </c>
      <c r="CM458" s="103"/>
      <c r="CN458" s="100"/>
      <c r="CO458" s="100">
        <f t="shared" si="728"/>
        <v>0</v>
      </c>
      <c r="CP458" s="515"/>
      <c r="CQ458" s="441"/>
      <c r="CR458" s="504"/>
      <c r="CS458" s="105"/>
      <c r="CT458" s="105">
        <f t="shared" si="729"/>
        <v>0</v>
      </c>
      <c r="CU458" s="105"/>
      <c r="CV458" s="105"/>
      <c r="CW458" s="105">
        <f t="shared" si="730"/>
        <v>0</v>
      </c>
      <c r="CX458" s="53"/>
      <c r="CY458" s="109">
        <f t="shared" si="731"/>
        <v>0</v>
      </c>
      <c r="CZ458" s="54"/>
      <c r="DA458" s="105"/>
      <c r="DB458" s="455">
        <f t="shared" si="676"/>
        <v>0</v>
      </c>
      <c r="DC458" s="495"/>
      <c r="DD458" s="24"/>
      <c r="DF458" s="1133"/>
      <c r="DG458" s="674">
        <f t="shared" si="757"/>
        <v>0</v>
      </c>
      <c r="DH458" s="1119">
        <f t="shared" si="758"/>
        <v>64</v>
      </c>
      <c r="DI458" s="1119"/>
      <c r="DJ458" s="101">
        <f t="shared" si="716"/>
        <v>238.66666666666666</v>
      </c>
      <c r="DK458" s="101"/>
      <c r="DL458" s="101">
        <f t="shared" si="759"/>
        <v>0</v>
      </c>
      <c r="DM458" s="101"/>
      <c r="DN458" s="112"/>
      <c r="DO458" s="112"/>
      <c r="DP458" s="112"/>
      <c r="DQ458" s="112"/>
      <c r="DS458" s="299">
        <f t="shared" si="760"/>
        <v>174.66666666666666</v>
      </c>
      <c r="DT458" s="140"/>
      <c r="DU458" s="140"/>
      <c r="DV458" s="140"/>
      <c r="DW458" s="140"/>
      <c r="DX458" s="140"/>
      <c r="DY458" s="140"/>
      <c r="DZ458" s="140"/>
    </row>
    <row r="459" spans="1:130" s="139" customFormat="1" ht="21.6" customHeight="1" x14ac:dyDescent="0.25">
      <c r="A459" s="4"/>
      <c r="B459" s="4"/>
      <c r="C459" s="153" t="s">
        <v>238</v>
      </c>
      <c r="D459" s="182" t="s">
        <v>429</v>
      </c>
      <c r="E459" s="3" t="s">
        <v>534</v>
      </c>
      <c r="F459" s="135"/>
      <c r="G459" s="135"/>
      <c r="H459" s="135"/>
      <c r="I459" s="135"/>
      <c r="J459" s="135"/>
      <c r="K459" s="135"/>
      <c r="L459" s="183"/>
      <c r="M459" s="5"/>
      <c r="N459" s="41"/>
      <c r="O459" s="6"/>
      <c r="P459" s="7"/>
      <c r="Q459" s="7"/>
      <c r="R459" s="7"/>
      <c r="S459" s="7"/>
      <c r="T459" s="89"/>
      <c r="U459" s="89"/>
      <c r="V459" s="89">
        <f t="shared" si="732"/>
        <v>0</v>
      </c>
      <c r="W459" s="137"/>
      <c r="X459" s="137"/>
      <c r="Y459" s="90">
        <f t="shared" si="733"/>
        <v>0</v>
      </c>
      <c r="Z459" s="91"/>
      <c r="AA459" s="92"/>
      <c r="AB459" s="92"/>
      <c r="AC459" s="92">
        <f t="shared" si="734"/>
        <v>0</v>
      </c>
      <c r="AD459" s="93"/>
      <c r="AE459" s="93"/>
      <c r="AF459" s="94">
        <f t="shared" si="735"/>
        <v>0</v>
      </c>
      <c r="AG459" s="473"/>
      <c r="AH459" s="99">
        <v>930</v>
      </c>
      <c r="AI459" s="99">
        <f t="shared" si="736"/>
        <v>62</v>
      </c>
      <c r="AJ459" s="138">
        <v>930</v>
      </c>
      <c r="AK459" s="138">
        <f t="shared" si="753"/>
        <v>62</v>
      </c>
      <c r="AL459" s="106"/>
      <c r="AM459" s="105"/>
      <c r="AN459" s="105">
        <f t="shared" si="738"/>
        <v>0</v>
      </c>
      <c r="AO459" s="106"/>
      <c r="AP459" s="105"/>
      <c r="AQ459" s="105">
        <f t="shared" si="746"/>
        <v>0</v>
      </c>
      <c r="AR459" s="106"/>
      <c r="AS459" s="97">
        <f t="shared" si="659"/>
        <v>62</v>
      </c>
      <c r="AT459" s="6"/>
      <c r="AU459" s="105"/>
      <c r="AV459" s="455">
        <f t="shared" si="724"/>
        <v>0</v>
      </c>
      <c r="AW459" s="496"/>
      <c r="AX459" s="508"/>
      <c r="AY459" s="498">
        <v>495</v>
      </c>
      <c r="AZ459" s="100">
        <f t="shared" si="739"/>
        <v>33</v>
      </c>
      <c r="BA459" s="101"/>
      <c r="BB459" s="100"/>
      <c r="BC459" s="100">
        <f t="shared" si="740"/>
        <v>0</v>
      </c>
      <c r="BD459" s="101"/>
      <c r="BE459" s="105">
        <f t="shared" si="754"/>
        <v>95</v>
      </c>
      <c r="BF459" s="106"/>
      <c r="BG459" s="100">
        <f t="shared" si="755"/>
        <v>0</v>
      </c>
      <c r="BH459" s="106"/>
      <c r="BI459" s="100">
        <f t="shared" si="756"/>
        <v>0</v>
      </c>
      <c r="BJ459" s="106"/>
      <c r="BK459" s="101">
        <f t="shared" si="660"/>
        <v>95</v>
      </c>
      <c r="BL459" s="106"/>
      <c r="BM459" s="104"/>
      <c r="BN459" s="104">
        <f t="shared" si="747"/>
        <v>0</v>
      </c>
      <c r="BO459" s="105">
        <v>4750</v>
      </c>
      <c r="BP459" s="105">
        <f t="shared" si="726"/>
        <v>95</v>
      </c>
      <c r="BQ459" s="106"/>
      <c r="BR459" s="105"/>
      <c r="BS459" s="105">
        <f t="shared" si="665"/>
        <v>0</v>
      </c>
      <c r="BT459" s="106"/>
      <c r="BU459" s="53"/>
      <c r="BV459" s="53">
        <f t="shared" si="743"/>
        <v>0</v>
      </c>
      <c r="BW459" s="54"/>
      <c r="BX459" s="350">
        <f t="shared" si="661"/>
        <v>95</v>
      </c>
      <c r="BY459" s="6"/>
      <c r="BZ459" s="6">
        <f t="shared" si="744"/>
        <v>0</v>
      </c>
      <c r="CA459" s="508"/>
      <c r="CB459" s="7"/>
      <c r="CC459" s="7"/>
      <c r="CD459" s="7"/>
      <c r="CE459" s="504"/>
      <c r="CF459" s="105"/>
      <c r="CG459" s="105">
        <f t="shared" si="666"/>
        <v>0</v>
      </c>
      <c r="CH459" s="105"/>
      <c r="CI459" s="105"/>
      <c r="CJ459" s="105">
        <f t="shared" si="667"/>
        <v>0</v>
      </c>
      <c r="CK459" s="523"/>
      <c r="CL459" s="102">
        <f t="shared" si="745"/>
        <v>0</v>
      </c>
      <c r="CM459" s="103"/>
      <c r="CN459" s="100"/>
      <c r="CO459" s="100">
        <f t="shared" si="728"/>
        <v>0</v>
      </c>
      <c r="CP459" s="515"/>
      <c r="CQ459" s="441"/>
      <c r="CR459" s="504"/>
      <c r="CS459" s="105"/>
      <c r="CT459" s="105">
        <f t="shared" si="729"/>
        <v>0</v>
      </c>
      <c r="CU459" s="105"/>
      <c r="CV459" s="105"/>
      <c r="CW459" s="105">
        <f t="shared" si="730"/>
        <v>0</v>
      </c>
      <c r="CX459" s="53"/>
      <c r="CY459" s="109">
        <f t="shared" si="731"/>
        <v>0</v>
      </c>
      <c r="CZ459" s="54"/>
      <c r="DA459" s="105"/>
      <c r="DB459" s="455">
        <f t="shared" si="676"/>
        <v>0</v>
      </c>
      <c r="DC459" s="495"/>
      <c r="DD459" s="24"/>
      <c r="DF459" s="1133"/>
      <c r="DG459" s="674">
        <f t="shared" si="757"/>
        <v>0</v>
      </c>
      <c r="DH459" s="1119">
        <f t="shared" si="758"/>
        <v>0</v>
      </c>
      <c r="DI459" s="1119"/>
      <c r="DJ459" s="101">
        <f t="shared" si="716"/>
        <v>95</v>
      </c>
      <c r="DK459" s="101"/>
      <c r="DL459" s="101">
        <f t="shared" si="759"/>
        <v>0</v>
      </c>
      <c r="DM459" s="101">
        <f t="shared" ref="DM459:DM460" si="761">DL459</f>
        <v>0</v>
      </c>
      <c r="DN459" s="112">
        <f>DJ459</f>
        <v>95</v>
      </c>
      <c r="DO459" s="112"/>
      <c r="DP459" s="112"/>
      <c r="DQ459" s="112"/>
      <c r="DS459" s="299">
        <f t="shared" si="760"/>
        <v>95</v>
      </c>
      <c r="DT459" s="140"/>
      <c r="DU459" s="140"/>
      <c r="DV459" s="140"/>
      <c r="DW459" s="140"/>
      <c r="DX459" s="140"/>
      <c r="DY459" s="140"/>
      <c r="DZ459" s="140"/>
    </row>
    <row r="460" spans="1:130" s="139" customFormat="1" ht="21.6" customHeight="1" x14ac:dyDescent="0.25">
      <c r="A460" s="4"/>
      <c r="B460" s="4"/>
      <c r="C460" s="153" t="s">
        <v>238</v>
      </c>
      <c r="D460" s="182" t="s">
        <v>429</v>
      </c>
      <c r="E460" s="3" t="s">
        <v>535</v>
      </c>
      <c r="F460" s="135"/>
      <c r="G460" s="135"/>
      <c r="H460" s="135"/>
      <c r="I460" s="135"/>
      <c r="J460" s="135"/>
      <c r="K460" s="135"/>
      <c r="L460" s="183"/>
      <c r="M460" s="5"/>
      <c r="N460" s="41"/>
      <c r="O460" s="6"/>
      <c r="P460" s="7"/>
      <c r="Q460" s="7"/>
      <c r="R460" s="7"/>
      <c r="S460" s="7"/>
      <c r="T460" s="89"/>
      <c r="U460" s="89"/>
      <c r="V460" s="89"/>
      <c r="W460" s="137"/>
      <c r="X460" s="137"/>
      <c r="Y460" s="90">
        <f t="shared" si="733"/>
        <v>0</v>
      </c>
      <c r="Z460" s="91"/>
      <c r="AA460" s="92"/>
      <c r="AB460" s="92"/>
      <c r="AC460" s="92">
        <f t="shared" si="734"/>
        <v>0</v>
      </c>
      <c r="AD460" s="93"/>
      <c r="AE460" s="93"/>
      <c r="AF460" s="94">
        <f t="shared" si="735"/>
        <v>0</v>
      </c>
      <c r="AG460" s="473"/>
      <c r="AH460" s="99">
        <v>1160</v>
      </c>
      <c r="AI460" s="99">
        <f t="shared" si="736"/>
        <v>77.333333333333329</v>
      </c>
      <c r="AJ460" s="138">
        <v>1070</v>
      </c>
      <c r="AK460" s="138">
        <f t="shared" si="753"/>
        <v>71.333333333333329</v>
      </c>
      <c r="AL460" s="106"/>
      <c r="AM460" s="105"/>
      <c r="AN460" s="105">
        <f t="shared" si="738"/>
        <v>0</v>
      </c>
      <c r="AO460" s="106"/>
      <c r="AP460" s="105"/>
      <c r="AQ460" s="105">
        <f t="shared" si="746"/>
        <v>0</v>
      </c>
      <c r="AR460" s="106"/>
      <c r="AS460" s="97">
        <f t="shared" si="659"/>
        <v>71.333333333333329</v>
      </c>
      <c r="AT460" s="6"/>
      <c r="AU460" s="105"/>
      <c r="AV460" s="455">
        <f t="shared" si="724"/>
        <v>0</v>
      </c>
      <c r="AW460" s="496"/>
      <c r="AX460" s="508"/>
      <c r="AY460" s="498">
        <v>315</v>
      </c>
      <c r="AZ460" s="100">
        <f t="shared" si="739"/>
        <v>21</v>
      </c>
      <c r="BA460" s="101"/>
      <c r="BB460" s="100"/>
      <c r="BC460" s="100">
        <f t="shared" si="740"/>
        <v>0</v>
      </c>
      <c r="BD460" s="101"/>
      <c r="BE460" s="105">
        <f t="shared" si="754"/>
        <v>92.333333333333329</v>
      </c>
      <c r="BF460" s="106"/>
      <c r="BG460" s="100">
        <f t="shared" si="755"/>
        <v>0</v>
      </c>
      <c r="BH460" s="106"/>
      <c r="BI460" s="100">
        <f t="shared" si="756"/>
        <v>0</v>
      </c>
      <c r="BJ460" s="106"/>
      <c r="BK460" s="101">
        <f t="shared" si="660"/>
        <v>92.333333333333329</v>
      </c>
      <c r="BL460" s="106"/>
      <c r="BM460" s="104"/>
      <c r="BN460" s="104">
        <f t="shared" si="747"/>
        <v>0</v>
      </c>
      <c r="BO460" s="105">
        <v>4600</v>
      </c>
      <c r="BP460" s="105">
        <f t="shared" si="726"/>
        <v>92</v>
      </c>
      <c r="BQ460" s="106"/>
      <c r="BR460" s="105"/>
      <c r="BS460" s="105">
        <f t="shared" si="665"/>
        <v>0</v>
      </c>
      <c r="BT460" s="106"/>
      <c r="BU460" s="53"/>
      <c r="BV460" s="53">
        <f t="shared" si="743"/>
        <v>0</v>
      </c>
      <c r="BW460" s="54"/>
      <c r="BX460" s="350">
        <f t="shared" si="661"/>
        <v>92</v>
      </c>
      <c r="BY460" s="6"/>
      <c r="BZ460" s="6">
        <f t="shared" si="744"/>
        <v>0.3333333333333286</v>
      </c>
      <c r="CA460" s="508"/>
      <c r="CB460" s="7"/>
      <c r="CC460" s="7"/>
      <c r="CD460" s="7"/>
      <c r="CE460" s="504"/>
      <c r="CF460" s="105"/>
      <c r="CG460" s="105">
        <f t="shared" si="666"/>
        <v>0</v>
      </c>
      <c r="CH460" s="105"/>
      <c r="CI460" s="105"/>
      <c r="CJ460" s="105">
        <f t="shared" si="667"/>
        <v>0</v>
      </c>
      <c r="CK460" s="523"/>
      <c r="CL460" s="102">
        <f t="shared" si="745"/>
        <v>0</v>
      </c>
      <c r="CM460" s="103"/>
      <c r="CN460" s="100"/>
      <c r="CO460" s="100">
        <f t="shared" si="728"/>
        <v>0</v>
      </c>
      <c r="CP460" s="515"/>
      <c r="CQ460" s="441"/>
      <c r="CR460" s="504"/>
      <c r="CS460" s="105"/>
      <c r="CT460" s="105">
        <f t="shared" si="729"/>
        <v>0</v>
      </c>
      <c r="CU460" s="105"/>
      <c r="CV460" s="105"/>
      <c r="CW460" s="105">
        <f t="shared" si="730"/>
        <v>0</v>
      </c>
      <c r="CX460" s="53"/>
      <c r="CY460" s="109">
        <f t="shared" si="731"/>
        <v>0</v>
      </c>
      <c r="CZ460" s="54"/>
      <c r="DA460" s="105"/>
      <c r="DB460" s="455">
        <f t="shared" si="676"/>
        <v>0</v>
      </c>
      <c r="DC460" s="495"/>
      <c r="DD460" s="24"/>
      <c r="DF460" s="1133"/>
      <c r="DG460" s="674">
        <f t="shared" si="757"/>
        <v>0</v>
      </c>
      <c r="DH460" s="1119">
        <f t="shared" si="758"/>
        <v>0</v>
      </c>
      <c r="DI460" s="1119"/>
      <c r="DJ460" s="101">
        <f t="shared" si="716"/>
        <v>92.333333333333329</v>
      </c>
      <c r="DK460" s="101"/>
      <c r="DL460" s="101">
        <f t="shared" si="759"/>
        <v>0</v>
      </c>
      <c r="DM460" s="101">
        <f t="shared" si="761"/>
        <v>0</v>
      </c>
      <c r="DN460" s="112">
        <f>DJ460</f>
        <v>92.333333333333329</v>
      </c>
      <c r="DO460" s="112"/>
      <c r="DP460" s="112"/>
      <c r="DQ460" s="112"/>
      <c r="DS460" s="299">
        <f t="shared" si="760"/>
        <v>92.333333333333329</v>
      </c>
      <c r="DT460" s="140"/>
      <c r="DU460" s="140"/>
      <c r="DV460" s="140"/>
      <c r="DW460" s="140"/>
      <c r="DX460" s="140"/>
      <c r="DY460" s="140"/>
      <c r="DZ460" s="140"/>
    </row>
    <row r="461" spans="1:130" s="139" customFormat="1" ht="21.6" customHeight="1" x14ac:dyDescent="0.25">
      <c r="A461" s="4" t="s">
        <v>130</v>
      </c>
      <c r="B461" s="4">
        <v>17</v>
      </c>
      <c r="C461" s="153" t="s">
        <v>238</v>
      </c>
      <c r="D461" s="182" t="s">
        <v>431</v>
      </c>
      <c r="E461" s="13" t="s">
        <v>253</v>
      </c>
      <c r="F461" s="135">
        <v>75</v>
      </c>
      <c r="G461" s="135">
        <v>15</v>
      </c>
      <c r="H461" s="135">
        <f t="shared" ref="H461:H464" si="762">F461+G461</f>
        <v>90</v>
      </c>
      <c r="I461" s="135">
        <v>96</v>
      </c>
      <c r="J461" s="135"/>
      <c r="K461" s="135">
        <f t="shared" ref="K461:K464" si="763">I461+J461</f>
        <v>96</v>
      </c>
      <c r="L461" s="183"/>
      <c r="M461" s="5"/>
      <c r="N461" s="41"/>
      <c r="O461" s="6"/>
      <c r="P461" s="7"/>
      <c r="Q461" s="7"/>
      <c r="R461" s="7"/>
      <c r="S461" s="7"/>
      <c r="T461" s="89"/>
      <c r="U461" s="89"/>
      <c r="V461" s="89">
        <f t="shared" si="732"/>
        <v>0</v>
      </c>
      <c r="W461" s="137"/>
      <c r="X461" s="137"/>
      <c r="Y461" s="90">
        <f t="shared" si="733"/>
        <v>0</v>
      </c>
      <c r="Z461" s="91"/>
      <c r="AA461" s="92"/>
      <c r="AB461" s="92"/>
      <c r="AC461" s="92">
        <f t="shared" si="734"/>
        <v>0</v>
      </c>
      <c r="AD461" s="93"/>
      <c r="AE461" s="93"/>
      <c r="AF461" s="94">
        <f t="shared" si="735"/>
        <v>0</v>
      </c>
      <c r="AG461" s="473"/>
      <c r="AH461" s="99"/>
      <c r="AI461" s="99">
        <f t="shared" si="736"/>
        <v>0</v>
      </c>
      <c r="AJ461" s="138"/>
      <c r="AK461" s="138">
        <f t="shared" si="753"/>
        <v>0</v>
      </c>
      <c r="AL461" s="106"/>
      <c r="AM461" s="105"/>
      <c r="AN461" s="105">
        <f t="shared" si="738"/>
        <v>0</v>
      </c>
      <c r="AO461" s="106"/>
      <c r="AP461" s="105"/>
      <c r="AQ461" s="105">
        <f t="shared" si="746"/>
        <v>0</v>
      </c>
      <c r="AR461" s="106"/>
      <c r="AS461" s="97">
        <f t="shared" si="659"/>
        <v>0</v>
      </c>
      <c r="AT461" s="6"/>
      <c r="AU461" s="105"/>
      <c r="AV461" s="455">
        <f t="shared" si="724"/>
        <v>0</v>
      </c>
      <c r="AW461" s="496"/>
      <c r="AX461" s="508"/>
      <c r="AY461" s="498"/>
      <c r="AZ461" s="100">
        <f t="shared" si="739"/>
        <v>0</v>
      </c>
      <c r="BA461" s="101"/>
      <c r="BB461" s="100"/>
      <c r="BC461" s="100">
        <f t="shared" si="740"/>
        <v>0</v>
      </c>
      <c r="BD461" s="101"/>
      <c r="BE461" s="105">
        <f t="shared" si="754"/>
        <v>0</v>
      </c>
      <c r="BF461" s="106"/>
      <c r="BG461" s="100">
        <f t="shared" si="755"/>
        <v>0</v>
      </c>
      <c r="BH461" s="106"/>
      <c r="BI461" s="100">
        <f t="shared" si="756"/>
        <v>0</v>
      </c>
      <c r="BJ461" s="106"/>
      <c r="BK461" s="101">
        <f t="shared" si="660"/>
        <v>0</v>
      </c>
      <c r="BL461" s="106"/>
      <c r="BM461" s="104"/>
      <c r="BN461" s="104">
        <f t="shared" si="747"/>
        <v>0</v>
      </c>
      <c r="BO461" s="105"/>
      <c r="BP461" s="105">
        <f t="shared" si="726"/>
        <v>0</v>
      </c>
      <c r="BQ461" s="106"/>
      <c r="BR461" s="105">
        <v>750</v>
      </c>
      <c r="BS461" s="105">
        <f t="shared" si="665"/>
        <v>15</v>
      </c>
      <c r="BT461" s="106"/>
      <c r="BU461" s="53"/>
      <c r="BV461" s="53">
        <f t="shared" si="743"/>
        <v>0</v>
      </c>
      <c r="BW461" s="54"/>
      <c r="BX461" s="350">
        <f t="shared" si="661"/>
        <v>15</v>
      </c>
      <c r="BY461" s="6"/>
      <c r="BZ461" s="6">
        <f t="shared" si="744"/>
        <v>-15</v>
      </c>
      <c r="CA461" s="508"/>
      <c r="CB461" s="7"/>
      <c r="CC461" s="7" t="s">
        <v>265</v>
      </c>
      <c r="CD461" s="7" t="s">
        <v>533</v>
      </c>
      <c r="CE461" s="504">
        <v>5</v>
      </c>
      <c r="CF461" s="105">
        <v>8</v>
      </c>
      <c r="CG461" s="105">
        <f t="shared" si="666"/>
        <v>13</v>
      </c>
      <c r="CH461" s="105">
        <v>15</v>
      </c>
      <c r="CI461" s="105"/>
      <c r="CJ461" s="105">
        <f t="shared" si="667"/>
        <v>15</v>
      </c>
      <c r="CK461" s="523"/>
      <c r="CL461" s="102">
        <f t="shared" si="745"/>
        <v>0</v>
      </c>
      <c r="CM461" s="103"/>
      <c r="CN461" s="100"/>
      <c r="CO461" s="100">
        <f t="shared" si="728"/>
        <v>0</v>
      </c>
      <c r="CP461" s="515"/>
      <c r="CQ461" s="441"/>
      <c r="CR461" s="504">
        <v>5</v>
      </c>
      <c r="CS461" s="105">
        <v>8</v>
      </c>
      <c r="CT461" s="105">
        <f t="shared" si="729"/>
        <v>13</v>
      </c>
      <c r="CU461" s="105">
        <v>15</v>
      </c>
      <c r="CV461" s="105"/>
      <c r="CW461" s="105">
        <f t="shared" si="730"/>
        <v>15</v>
      </c>
      <c r="CX461" s="53"/>
      <c r="CY461" s="109">
        <f t="shared" si="731"/>
        <v>0</v>
      </c>
      <c r="CZ461" s="54"/>
      <c r="DA461" s="105">
        <v>225</v>
      </c>
      <c r="DB461" s="455">
        <f t="shared" si="676"/>
        <v>15</v>
      </c>
      <c r="DC461" s="495"/>
      <c r="DD461" s="24"/>
      <c r="DF461" s="1133"/>
      <c r="DG461" s="674">
        <f t="shared" si="757"/>
        <v>15</v>
      </c>
      <c r="DH461" s="1119">
        <f t="shared" si="758"/>
        <v>0</v>
      </c>
      <c r="DI461" s="1119"/>
      <c r="DJ461" s="101">
        <f t="shared" si="716"/>
        <v>0</v>
      </c>
      <c r="DK461" s="101"/>
      <c r="DL461" s="101">
        <f t="shared" si="759"/>
        <v>26</v>
      </c>
      <c r="DM461" s="101"/>
      <c r="DN461" s="112"/>
      <c r="DO461" s="112"/>
      <c r="DP461" s="112"/>
      <c r="DQ461" s="112"/>
      <c r="DS461" s="299">
        <f t="shared" si="760"/>
        <v>0</v>
      </c>
      <c r="DT461" s="140"/>
      <c r="DU461" s="140"/>
      <c r="DV461" s="140"/>
      <c r="DW461" s="140"/>
      <c r="DX461" s="140"/>
      <c r="DY461" s="140"/>
      <c r="DZ461" s="140"/>
    </row>
    <row r="462" spans="1:130" s="139" customFormat="1" ht="21.6" customHeight="1" x14ac:dyDescent="0.25">
      <c r="A462" s="4" t="s">
        <v>130</v>
      </c>
      <c r="B462" s="4">
        <v>15</v>
      </c>
      <c r="C462" s="153" t="s">
        <v>238</v>
      </c>
      <c r="D462" s="182" t="s">
        <v>431</v>
      </c>
      <c r="E462" s="13" t="s">
        <v>251</v>
      </c>
      <c r="F462" s="135">
        <v>33</v>
      </c>
      <c r="G462" s="135">
        <v>13</v>
      </c>
      <c r="H462" s="135">
        <f t="shared" si="762"/>
        <v>46</v>
      </c>
      <c r="I462" s="135">
        <v>54</v>
      </c>
      <c r="J462" s="135"/>
      <c r="K462" s="135">
        <f t="shared" si="763"/>
        <v>54</v>
      </c>
      <c r="L462" s="183"/>
      <c r="M462" s="5"/>
      <c r="N462" s="41"/>
      <c r="O462" s="6"/>
      <c r="P462" s="7"/>
      <c r="Q462" s="7"/>
      <c r="R462" s="7"/>
      <c r="S462" s="7"/>
      <c r="T462" s="89"/>
      <c r="U462" s="89"/>
      <c r="V462" s="89">
        <f t="shared" si="732"/>
        <v>0</v>
      </c>
      <c r="W462" s="137"/>
      <c r="X462" s="137"/>
      <c r="Y462" s="90">
        <f t="shared" si="733"/>
        <v>0</v>
      </c>
      <c r="Z462" s="91"/>
      <c r="AA462" s="92"/>
      <c r="AB462" s="92"/>
      <c r="AC462" s="92">
        <f t="shared" si="734"/>
        <v>0</v>
      </c>
      <c r="AD462" s="93"/>
      <c r="AE462" s="93"/>
      <c r="AF462" s="94">
        <f t="shared" si="735"/>
        <v>0</v>
      </c>
      <c r="AG462" s="473"/>
      <c r="AH462" s="99">
        <v>150</v>
      </c>
      <c r="AI462" s="99">
        <f t="shared" si="736"/>
        <v>10</v>
      </c>
      <c r="AJ462" s="138">
        <v>150</v>
      </c>
      <c r="AK462" s="138">
        <f t="shared" si="753"/>
        <v>10</v>
      </c>
      <c r="AL462" s="106"/>
      <c r="AM462" s="105"/>
      <c r="AN462" s="105">
        <f t="shared" si="738"/>
        <v>0</v>
      </c>
      <c r="AO462" s="106"/>
      <c r="AP462" s="105"/>
      <c r="AQ462" s="105">
        <f t="shared" si="746"/>
        <v>0</v>
      </c>
      <c r="AR462" s="106"/>
      <c r="AS462" s="97">
        <f t="shared" si="659"/>
        <v>10</v>
      </c>
      <c r="AT462" s="6"/>
      <c r="AU462" s="105"/>
      <c r="AV462" s="455">
        <f t="shared" si="724"/>
        <v>0</v>
      </c>
      <c r="AW462" s="496"/>
      <c r="AX462" s="508"/>
      <c r="AY462" s="498"/>
      <c r="AZ462" s="100">
        <f t="shared" si="739"/>
        <v>0</v>
      </c>
      <c r="BA462" s="101"/>
      <c r="BB462" s="100"/>
      <c r="BC462" s="100">
        <f t="shared" si="740"/>
        <v>0</v>
      </c>
      <c r="BD462" s="101"/>
      <c r="BE462" s="105">
        <f t="shared" si="754"/>
        <v>10</v>
      </c>
      <c r="BF462" s="106"/>
      <c r="BG462" s="100">
        <f t="shared" si="755"/>
        <v>0</v>
      </c>
      <c r="BH462" s="106"/>
      <c r="BI462" s="100">
        <f t="shared" si="756"/>
        <v>0</v>
      </c>
      <c r="BJ462" s="106"/>
      <c r="BK462" s="101">
        <f t="shared" si="660"/>
        <v>10</v>
      </c>
      <c r="BL462" s="106"/>
      <c r="BM462" s="104">
        <v>1000</v>
      </c>
      <c r="BN462" s="104">
        <f t="shared" si="747"/>
        <v>20</v>
      </c>
      <c r="BO462" s="105">
        <v>500</v>
      </c>
      <c r="BP462" s="105">
        <f t="shared" si="726"/>
        <v>10</v>
      </c>
      <c r="BQ462" s="106"/>
      <c r="BR462" s="105"/>
      <c r="BS462" s="105">
        <f t="shared" si="665"/>
        <v>0</v>
      </c>
      <c r="BT462" s="106"/>
      <c r="BU462" s="53"/>
      <c r="BV462" s="53">
        <f t="shared" si="743"/>
        <v>0</v>
      </c>
      <c r="BW462" s="54"/>
      <c r="BX462" s="350">
        <f t="shared" si="661"/>
        <v>10</v>
      </c>
      <c r="BY462" s="6"/>
      <c r="BZ462" s="6">
        <f t="shared" si="744"/>
        <v>0</v>
      </c>
      <c r="CA462" s="508"/>
      <c r="CB462" s="7"/>
      <c r="CC462" s="7"/>
      <c r="CD462" s="7"/>
      <c r="CE462" s="504"/>
      <c r="CF462" s="105"/>
      <c r="CG462" s="105">
        <f t="shared" si="666"/>
        <v>0</v>
      </c>
      <c r="CH462" s="105"/>
      <c r="CI462" s="105"/>
      <c r="CJ462" s="105">
        <f t="shared" si="667"/>
        <v>0</v>
      </c>
      <c r="CK462" s="523"/>
      <c r="CL462" s="102">
        <f t="shared" si="745"/>
        <v>0</v>
      </c>
      <c r="CM462" s="103"/>
      <c r="CN462" s="100"/>
      <c r="CO462" s="100">
        <f t="shared" si="728"/>
        <v>0</v>
      </c>
      <c r="CP462" s="515"/>
      <c r="CQ462" s="441"/>
      <c r="CR462" s="504"/>
      <c r="CS462" s="105"/>
      <c r="CT462" s="105">
        <f t="shared" si="729"/>
        <v>0</v>
      </c>
      <c r="CU462" s="105"/>
      <c r="CV462" s="105"/>
      <c r="CW462" s="105">
        <f t="shared" si="730"/>
        <v>0</v>
      </c>
      <c r="CX462" s="53"/>
      <c r="CY462" s="109">
        <f t="shared" si="731"/>
        <v>0</v>
      </c>
      <c r="CZ462" s="54"/>
      <c r="DA462" s="105"/>
      <c r="DB462" s="455">
        <f t="shared" si="676"/>
        <v>0</v>
      </c>
      <c r="DC462" s="495"/>
      <c r="DD462" s="24"/>
      <c r="DF462" s="1133"/>
      <c r="DG462" s="674">
        <f t="shared" si="757"/>
        <v>0</v>
      </c>
      <c r="DH462" s="1119">
        <f t="shared" si="758"/>
        <v>0</v>
      </c>
      <c r="DI462" s="1119"/>
      <c r="DJ462" s="101">
        <f t="shared" si="716"/>
        <v>10</v>
      </c>
      <c r="DK462" s="101"/>
      <c r="DL462" s="101">
        <f t="shared" si="759"/>
        <v>0</v>
      </c>
      <c r="DM462" s="101"/>
      <c r="DN462" s="112"/>
      <c r="DO462" s="112"/>
      <c r="DP462" s="112"/>
      <c r="DQ462" s="112"/>
      <c r="DS462" s="299">
        <f t="shared" si="760"/>
        <v>10</v>
      </c>
      <c r="DT462" s="140"/>
      <c r="DU462" s="140"/>
      <c r="DV462" s="140"/>
      <c r="DW462" s="140"/>
      <c r="DX462" s="140"/>
      <c r="DY462" s="140"/>
      <c r="DZ462" s="140"/>
    </row>
    <row r="463" spans="1:130" s="139" customFormat="1" ht="21.6" customHeight="1" x14ac:dyDescent="0.25">
      <c r="A463" s="4" t="s">
        <v>130</v>
      </c>
      <c r="B463" s="4">
        <v>3</v>
      </c>
      <c r="C463" s="153" t="s">
        <v>238</v>
      </c>
      <c r="D463" s="182" t="s">
        <v>431</v>
      </c>
      <c r="E463" s="13" t="s">
        <v>172</v>
      </c>
      <c r="F463" s="135">
        <v>209</v>
      </c>
      <c r="G463" s="135">
        <v>76</v>
      </c>
      <c r="H463" s="135">
        <f t="shared" si="762"/>
        <v>285</v>
      </c>
      <c r="I463" s="135">
        <v>414</v>
      </c>
      <c r="J463" s="135"/>
      <c r="K463" s="135">
        <f t="shared" si="763"/>
        <v>414</v>
      </c>
      <c r="L463" s="183"/>
      <c r="M463" s="5"/>
      <c r="N463" s="41"/>
      <c r="O463" s="6"/>
      <c r="P463" s="7"/>
      <c r="Q463" s="7"/>
      <c r="R463" s="7"/>
      <c r="S463" s="7"/>
      <c r="T463" s="89"/>
      <c r="U463" s="89"/>
      <c r="V463" s="89">
        <f t="shared" si="732"/>
        <v>0</v>
      </c>
      <c r="W463" s="137"/>
      <c r="X463" s="137"/>
      <c r="Y463" s="90">
        <f t="shared" si="733"/>
        <v>0</v>
      </c>
      <c r="Z463" s="91"/>
      <c r="AA463" s="92"/>
      <c r="AB463" s="92"/>
      <c r="AC463" s="92">
        <f t="shared" si="734"/>
        <v>0</v>
      </c>
      <c r="AD463" s="93"/>
      <c r="AE463" s="93"/>
      <c r="AF463" s="94">
        <f t="shared" si="735"/>
        <v>0</v>
      </c>
      <c r="AG463" s="473"/>
      <c r="AH463" s="99">
        <v>2655</v>
      </c>
      <c r="AI463" s="99">
        <f t="shared" si="736"/>
        <v>177</v>
      </c>
      <c r="AJ463" s="138">
        <v>2640</v>
      </c>
      <c r="AK463" s="138">
        <f t="shared" si="753"/>
        <v>176</v>
      </c>
      <c r="AL463" s="106"/>
      <c r="AM463" s="105"/>
      <c r="AN463" s="105">
        <f t="shared" si="738"/>
        <v>0</v>
      </c>
      <c r="AO463" s="106"/>
      <c r="AP463" s="105"/>
      <c r="AQ463" s="105">
        <f t="shared" si="746"/>
        <v>0</v>
      </c>
      <c r="AR463" s="106"/>
      <c r="AS463" s="97">
        <f t="shared" si="659"/>
        <v>176</v>
      </c>
      <c r="AT463" s="6"/>
      <c r="AU463" s="105"/>
      <c r="AV463" s="455">
        <f t="shared" si="724"/>
        <v>0</v>
      </c>
      <c r="AW463" s="496"/>
      <c r="AX463" s="508"/>
      <c r="AY463" s="498">
        <v>915</v>
      </c>
      <c r="AZ463" s="100">
        <f t="shared" si="739"/>
        <v>61</v>
      </c>
      <c r="BA463" s="101"/>
      <c r="BB463" s="100"/>
      <c r="BC463" s="100">
        <f t="shared" si="740"/>
        <v>0</v>
      </c>
      <c r="BD463" s="101"/>
      <c r="BE463" s="105">
        <f t="shared" si="754"/>
        <v>237</v>
      </c>
      <c r="BF463" s="106"/>
      <c r="BG463" s="100">
        <f t="shared" si="755"/>
        <v>0</v>
      </c>
      <c r="BH463" s="106"/>
      <c r="BI463" s="100">
        <f t="shared" si="756"/>
        <v>0</v>
      </c>
      <c r="BJ463" s="106"/>
      <c r="BK463" s="101">
        <f t="shared" si="660"/>
        <v>237</v>
      </c>
      <c r="BL463" s="106"/>
      <c r="BM463" s="104">
        <v>11900</v>
      </c>
      <c r="BN463" s="104">
        <f t="shared" si="747"/>
        <v>238</v>
      </c>
      <c r="BO463" s="105">
        <v>11850</v>
      </c>
      <c r="BP463" s="105">
        <f t="shared" si="726"/>
        <v>237</v>
      </c>
      <c r="BQ463" s="106"/>
      <c r="BR463" s="105"/>
      <c r="BS463" s="105">
        <f t="shared" si="665"/>
        <v>0</v>
      </c>
      <c r="BT463" s="106"/>
      <c r="BU463" s="53"/>
      <c r="BV463" s="53">
        <f t="shared" si="743"/>
        <v>0</v>
      </c>
      <c r="BW463" s="54"/>
      <c r="BX463" s="350">
        <f t="shared" si="661"/>
        <v>237</v>
      </c>
      <c r="BY463" s="6"/>
      <c r="BZ463" s="6">
        <f t="shared" si="744"/>
        <v>0</v>
      </c>
      <c r="CA463" s="508"/>
      <c r="CB463" s="7"/>
      <c r="CC463" s="7"/>
      <c r="CD463" s="7"/>
      <c r="CE463" s="504"/>
      <c r="CF463" s="105"/>
      <c r="CG463" s="105">
        <f t="shared" si="666"/>
        <v>0</v>
      </c>
      <c r="CH463" s="105"/>
      <c r="CI463" s="105"/>
      <c r="CJ463" s="105">
        <f t="shared" si="667"/>
        <v>0</v>
      </c>
      <c r="CK463" s="523"/>
      <c r="CL463" s="102">
        <f t="shared" si="745"/>
        <v>0</v>
      </c>
      <c r="CM463" s="103"/>
      <c r="CN463" s="100"/>
      <c r="CO463" s="100">
        <f t="shared" si="728"/>
        <v>0</v>
      </c>
      <c r="CP463" s="515"/>
      <c r="CQ463" s="441"/>
      <c r="CR463" s="504"/>
      <c r="CS463" s="105"/>
      <c r="CT463" s="105">
        <f t="shared" si="729"/>
        <v>0</v>
      </c>
      <c r="CU463" s="105"/>
      <c r="CV463" s="105"/>
      <c r="CW463" s="105">
        <f t="shared" si="730"/>
        <v>0</v>
      </c>
      <c r="CX463" s="53"/>
      <c r="CY463" s="109">
        <f t="shared" si="731"/>
        <v>0</v>
      </c>
      <c r="CZ463" s="54"/>
      <c r="DA463" s="105"/>
      <c r="DB463" s="455">
        <f t="shared" si="676"/>
        <v>0</v>
      </c>
      <c r="DC463" s="495"/>
      <c r="DD463" s="24"/>
      <c r="DF463" s="1133"/>
      <c r="DG463" s="674">
        <f t="shared" si="757"/>
        <v>0</v>
      </c>
      <c r="DH463" s="1119">
        <f t="shared" si="758"/>
        <v>0</v>
      </c>
      <c r="DI463" s="1119"/>
      <c r="DJ463" s="101">
        <f t="shared" si="716"/>
        <v>237</v>
      </c>
      <c r="DK463" s="101"/>
      <c r="DL463" s="101">
        <f t="shared" si="759"/>
        <v>0</v>
      </c>
      <c r="DM463" s="101"/>
      <c r="DN463" s="112"/>
      <c r="DO463" s="112"/>
      <c r="DP463" s="112"/>
      <c r="DQ463" s="112"/>
      <c r="DS463" s="299">
        <f t="shared" si="760"/>
        <v>237</v>
      </c>
      <c r="DT463" s="140"/>
      <c r="DU463" s="140"/>
      <c r="DV463" s="140"/>
      <c r="DW463" s="140"/>
      <c r="DX463" s="140"/>
      <c r="DY463" s="140"/>
      <c r="DZ463" s="140"/>
    </row>
    <row r="464" spans="1:130" s="139" customFormat="1" ht="21.6" customHeight="1" x14ac:dyDescent="0.25">
      <c r="A464" s="4" t="s">
        <v>130</v>
      </c>
      <c r="B464" s="4">
        <v>12</v>
      </c>
      <c r="C464" s="153" t="s">
        <v>238</v>
      </c>
      <c r="D464" s="182" t="s">
        <v>431</v>
      </c>
      <c r="E464" s="13" t="s">
        <v>248</v>
      </c>
      <c r="F464" s="135">
        <v>69</v>
      </c>
      <c r="G464" s="135">
        <v>8</v>
      </c>
      <c r="H464" s="135">
        <f t="shared" si="762"/>
        <v>77</v>
      </c>
      <c r="I464" s="135">
        <v>73.5</v>
      </c>
      <c r="J464" s="135"/>
      <c r="K464" s="135">
        <f t="shared" si="763"/>
        <v>73.5</v>
      </c>
      <c r="L464" s="183"/>
      <c r="M464" s="5"/>
      <c r="N464" s="41"/>
      <c r="O464" s="6"/>
      <c r="P464" s="7"/>
      <c r="Q464" s="7"/>
      <c r="R464" s="7"/>
      <c r="S464" s="7"/>
      <c r="T464" s="89"/>
      <c r="U464" s="89"/>
      <c r="V464" s="89">
        <f t="shared" si="732"/>
        <v>0</v>
      </c>
      <c r="W464" s="137"/>
      <c r="X464" s="137"/>
      <c r="Y464" s="90">
        <f t="shared" si="733"/>
        <v>0</v>
      </c>
      <c r="Z464" s="91"/>
      <c r="AA464" s="92"/>
      <c r="AB464" s="92"/>
      <c r="AC464" s="92">
        <f t="shared" si="734"/>
        <v>0</v>
      </c>
      <c r="AD464" s="93"/>
      <c r="AE464" s="93"/>
      <c r="AF464" s="94">
        <f t="shared" si="735"/>
        <v>0</v>
      </c>
      <c r="AG464" s="473"/>
      <c r="AH464" s="99">
        <v>210</v>
      </c>
      <c r="AI464" s="99">
        <f t="shared" si="736"/>
        <v>14</v>
      </c>
      <c r="AJ464" s="138"/>
      <c r="AK464" s="138">
        <f t="shared" si="753"/>
        <v>0</v>
      </c>
      <c r="AL464" s="106"/>
      <c r="AM464" s="105"/>
      <c r="AN464" s="105">
        <f t="shared" si="738"/>
        <v>0</v>
      </c>
      <c r="AO464" s="106"/>
      <c r="AP464" s="105"/>
      <c r="AQ464" s="105">
        <f t="shared" si="746"/>
        <v>0</v>
      </c>
      <c r="AR464" s="106"/>
      <c r="AS464" s="97">
        <f t="shared" si="659"/>
        <v>0</v>
      </c>
      <c r="AT464" s="6"/>
      <c r="AU464" s="105"/>
      <c r="AV464" s="455">
        <f t="shared" si="724"/>
        <v>0</v>
      </c>
      <c r="AW464" s="496"/>
      <c r="AX464" s="508"/>
      <c r="AY464" s="498"/>
      <c r="AZ464" s="100">
        <f t="shared" si="739"/>
        <v>0</v>
      </c>
      <c r="BA464" s="101"/>
      <c r="BB464" s="100">
        <v>120</v>
      </c>
      <c r="BC464" s="100">
        <f t="shared" si="740"/>
        <v>8</v>
      </c>
      <c r="BD464" s="101"/>
      <c r="BE464" s="105">
        <f t="shared" si="754"/>
        <v>0</v>
      </c>
      <c r="BF464" s="106"/>
      <c r="BG464" s="100">
        <f t="shared" si="755"/>
        <v>8</v>
      </c>
      <c r="BH464" s="106"/>
      <c r="BI464" s="100">
        <f t="shared" si="756"/>
        <v>0</v>
      </c>
      <c r="BJ464" s="106"/>
      <c r="BK464" s="101">
        <f t="shared" si="660"/>
        <v>8</v>
      </c>
      <c r="BL464" s="106"/>
      <c r="BM464" s="104">
        <v>1350</v>
      </c>
      <c r="BN464" s="104">
        <f t="shared" si="747"/>
        <v>27</v>
      </c>
      <c r="BO464" s="105"/>
      <c r="BP464" s="105">
        <f t="shared" si="726"/>
        <v>0</v>
      </c>
      <c r="BQ464" s="106"/>
      <c r="BR464" s="105">
        <v>400</v>
      </c>
      <c r="BS464" s="105">
        <f t="shared" si="665"/>
        <v>8</v>
      </c>
      <c r="BT464" s="106"/>
      <c r="BU464" s="53"/>
      <c r="BV464" s="53">
        <f t="shared" si="743"/>
        <v>0</v>
      </c>
      <c r="BW464" s="54"/>
      <c r="BX464" s="350">
        <f t="shared" si="661"/>
        <v>8</v>
      </c>
      <c r="BY464" s="6"/>
      <c r="BZ464" s="6">
        <f t="shared" si="744"/>
        <v>0</v>
      </c>
      <c r="CA464" s="508"/>
      <c r="CB464" s="7"/>
      <c r="CC464" s="7"/>
      <c r="CD464" s="7"/>
      <c r="CE464" s="504"/>
      <c r="CF464" s="105"/>
      <c r="CG464" s="105">
        <f t="shared" si="666"/>
        <v>0</v>
      </c>
      <c r="CH464" s="105"/>
      <c r="CI464" s="105"/>
      <c r="CJ464" s="105">
        <f t="shared" si="667"/>
        <v>0</v>
      </c>
      <c r="CK464" s="523"/>
      <c r="CL464" s="102">
        <f t="shared" si="745"/>
        <v>0</v>
      </c>
      <c r="CM464" s="103"/>
      <c r="CN464" s="100"/>
      <c r="CO464" s="100">
        <f t="shared" si="728"/>
        <v>0</v>
      </c>
      <c r="CP464" s="515"/>
      <c r="CQ464" s="441"/>
      <c r="CR464" s="504"/>
      <c r="CS464" s="105"/>
      <c r="CT464" s="105">
        <f t="shared" si="729"/>
        <v>0</v>
      </c>
      <c r="CU464" s="105"/>
      <c r="CV464" s="105"/>
      <c r="CW464" s="105">
        <f t="shared" si="730"/>
        <v>0</v>
      </c>
      <c r="CX464" s="53"/>
      <c r="CY464" s="109">
        <f t="shared" si="731"/>
        <v>0</v>
      </c>
      <c r="CZ464" s="54"/>
      <c r="DA464" s="105"/>
      <c r="DB464" s="455">
        <f t="shared" si="676"/>
        <v>0</v>
      </c>
      <c r="DC464" s="495"/>
      <c r="DD464" s="24"/>
      <c r="DF464" s="1133"/>
      <c r="DG464" s="674">
        <f t="shared" si="757"/>
        <v>0</v>
      </c>
      <c r="DH464" s="1119">
        <f t="shared" si="758"/>
        <v>8</v>
      </c>
      <c r="DI464" s="1119"/>
      <c r="DJ464" s="101">
        <f t="shared" si="716"/>
        <v>8</v>
      </c>
      <c r="DK464" s="101"/>
      <c r="DL464" s="101">
        <f t="shared" si="759"/>
        <v>0</v>
      </c>
      <c r="DM464" s="101"/>
      <c r="DN464" s="112"/>
      <c r="DO464" s="112"/>
      <c r="DP464" s="112"/>
      <c r="DQ464" s="112"/>
      <c r="DS464" s="299">
        <f t="shared" si="760"/>
        <v>0</v>
      </c>
      <c r="DT464" s="140"/>
      <c r="DU464" s="140"/>
      <c r="DV464" s="140"/>
      <c r="DW464" s="140"/>
      <c r="DX464" s="140"/>
      <c r="DY464" s="140"/>
      <c r="DZ464" s="140"/>
    </row>
    <row r="465" spans="1:130" s="151" customFormat="1" ht="21.6" customHeight="1" x14ac:dyDescent="0.25">
      <c r="A465" s="141"/>
      <c r="B465" s="141"/>
      <c r="C465" s="159"/>
      <c r="D465" s="143"/>
      <c r="E465" s="22"/>
      <c r="F465" s="144"/>
      <c r="G465" s="144"/>
      <c r="H465" s="144"/>
      <c r="I465" s="144"/>
      <c r="J465" s="144"/>
      <c r="K465" s="144"/>
      <c r="L465" s="145"/>
      <c r="M465" s="146"/>
      <c r="N465" s="147"/>
      <c r="O465" s="131"/>
      <c r="P465" s="148"/>
      <c r="Q465" s="148"/>
      <c r="R465" s="148"/>
      <c r="S465" s="148"/>
      <c r="T465" s="123"/>
      <c r="U465" s="123"/>
      <c r="V465" s="123"/>
      <c r="W465" s="149"/>
      <c r="X465" s="149"/>
      <c r="Y465" s="124"/>
      <c r="Z465" s="125"/>
      <c r="AA465" s="123"/>
      <c r="AB465" s="123"/>
      <c r="AC465" s="123"/>
      <c r="AD465" s="124"/>
      <c r="AE465" s="124"/>
      <c r="AF465" s="126"/>
      <c r="AG465" s="474"/>
      <c r="AH465" s="129"/>
      <c r="AI465" s="129"/>
      <c r="AJ465" s="138"/>
      <c r="AK465" s="138"/>
      <c r="AL465" s="106"/>
      <c r="AM465" s="105"/>
      <c r="AN465" s="105"/>
      <c r="AO465" s="106"/>
      <c r="AP465" s="105"/>
      <c r="AQ465" s="105">
        <f t="shared" si="746"/>
        <v>0</v>
      </c>
      <c r="AR465" s="106"/>
      <c r="AS465" s="97">
        <f t="shared" si="659"/>
        <v>0</v>
      </c>
      <c r="AT465" s="6"/>
      <c r="AU465" s="105"/>
      <c r="AV465" s="455">
        <f t="shared" si="724"/>
        <v>0</v>
      </c>
      <c r="AW465" s="496"/>
      <c r="AX465" s="508"/>
      <c r="AY465" s="498"/>
      <c r="AZ465" s="100"/>
      <c r="BA465" s="101"/>
      <c r="BB465" s="100"/>
      <c r="BC465" s="100"/>
      <c r="BD465" s="101"/>
      <c r="BE465" s="105"/>
      <c r="BF465" s="106"/>
      <c r="BG465" s="100">
        <f t="shared" si="755"/>
        <v>0</v>
      </c>
      <c r="BH465" s="106"/>
      <c r="BI465" s="100">
        <f t="shared" si="756"/>
        <v>0</v>
      </c>
      <c r="BJ465" s="106"/>
      <c r="BK465" s="101">
        <f t="shared" si="660"/>
        <v>0</v>
      </c>
      <c r="BL465" s="106"/>
      <c r="BM465" s="130"/>
      <c r="BN465" s="130"/>
      <c r="BO465" s="105"/>
      <c r="BP465" s="105">
        <f t="shared" si="726"/>
        <v>0</v>
      </c>
      <c r="BQ465" s="106"/>
      <c r="BR465" s="105"/>
      <c r="BS465" s="105"/>
      <c r="BT465" s="106"/>
      <c r="BU465" s="53"/>
      <c r="BV465" s="53"/>
      <c r="BW465" s="54"/>
      <c r="BX465" s="350">
        <f t="shared" si="661"/>
        <v>0</v>
      </c>
      <c r="BY465" s="131"/>
      <c r="BZ465" s="131">
        <f t="shared" si="744"/>
        <v>0</v>
      </c>
      <c r="CA465" s="536"/>
      <c r="CB465" s="148"/>
      <c r="CC465" s="148"/>
      <c r="CD465" s="148"/>
      <c r="CE465" s="504"/>
      <c r="CF465" s="105"/>
      <c r="CG465" s="105">
        <f t="shared" si="666"/>
        <v>0</v>
      </c>
      <c r="CH465" s="105"/>
      <c r="CI465" s="105"/>
      <c r="CJ465" s="105">
        <f t="shared" si="667"/>
        <v>0</v>
      </c>
      <c r="CK465" s="523"/>
      <c r="CL465" s="102"/>
      <c r="CM465" s="103"/>
      <c r="CN465" s="100"/>
      <c r="CO465" s="100">
        <f t="shared" si="728"/>
        <v>0</v>
      </c>
      <c r="CP465" s="515"/>
      <c r="CQ465" s="441"/>
      <c r="CR465" s="504"/>
      <c r="CS465" s="105"/>
      <c r="CT465" s="105">
        <f t="shared" si="729"/>
        <v>0</v>
      </c>
      <c r="CU465" s="105"/>
      <c r="CV465" s="105"/>
      <c r="CW465" s="105">
        <f t="shared" si="730"/>
        <v>0</v>
      </c>
      <c r="CX465" s="53"/>
      <c r="CY465" s="109">
        <f t="shared" si="731"/>
        <v>0</v>
      </c>
      <c r="CZ465" s="54"/>
      <c r="DA465" s="105"/>
      <c r="DB465" s="455">
        <f t="shared" si="676"/>
        <v>0</v>
      </c>
      <c r="DC465" s="495"/>
      <c r="DD465" s="31"/>
      <c r="DF465" s="1133"/>
      <c r="DG465" s="674">
        <f t="shared" si="757"/>
        <v>0</v>
      </c>
      <c r="DH465" s="1119">
        <f t="shared" si="758"/>
        <v>0</v>
      </c>
      <c r="DI465" s="1119"/>
      <c r="DJ465" s="101">
        <f t="shared" si="716"/>
        <v>0</v>
      </c>
      <c r="DK465" s="101"/>
      <c r="DL465" s="101">
        <f t="shared" si="759"/>
        <v>0</v>
      </c>
      <c r="DM465" s="101"/>
      <c r="DN465" s="112"/>
      <c r="DO465" s="112"/>
      <c r="DP465" s="112"/>
      <c r="DQ465" s="112"/>
      <c r="DS465" s="152"/>
      <c r="DT465" s="152"/>
      <c r="DU465" s="152"/>
      <c r="DV465" s="152"/>
      <c r="DW465" s="152"/>
      <c r="DX465" s="152"/>
      <c r="DY465" s="152"/>
      <c r="DZ465" s="152"/>
    </row>
    <row r="466" spans="1:130" s="139" customFormat="1" ht="21.6" customHeight="1" x14ac:dyDescent="0.25">
      <c r="A466" s="4"/>
      <c r="B466" s="4"/>
      <c r="C466" s="134" t="s">
        <v>342</v>
      </c>
      <c r="D466" s="182" t="s">
        <v>431</v>
      </c>
      <c r="E466" s="3" t="s">
        <v>344</v>
      </c>
      <c r="F466" s="135"/>
      <c r="G466" s="135"/>
      <c r="H466" s="135"/>
      <c r="I466" s="135"/>
      <c r="J466" s="135"/>
      <c r="K466" s="135"/>
      <c r="L466" s="183"/>
      <c r="M466" s="5"/>
      <c r="N466" s="41"/>
      <c r="O466" s="6"/>
      <c r="P466" s="7"/>
      <c r="Q466" s="7"/>
      <c r="R466" s="7"/>
      <c r="S466" s="7"/>
      <c r="T466" s="89"/>
      <c r="U466" s="89"/>
      <c r="V466" s="89">
        <f t="shared" si="663"/>
        <v>0</v>
      </c>
      <c r="W466" s="137"/>
      <c r="X466" s="137"/>
      <c r="Y466" s="90">
        <f t="shared" ref="Y466:Y511" si="764">W466+X466</f>
        <v>0</v>
      </c>
      <c r="Z466" s="91"/>
      <c r="AA466" s="92"/>
      <c r="AB466" s="92"/>
      <c r="AC466" s="92">
        <f t="shared" si="721"/>
        <v>0</v>
      </c>
      <c r="AD466" s="93"/>
      <c r="AE466" s="93"/>
      <c r="AF466" s="94">
        <f t="shared" si="722"/>
        <v>0</v>
      </c>
      <c r="AG466" s="473"/>
      <c r="AH466" s="99">
        <v>75</v>
      </c>
      <c r="AI466" s="99">
        <f t="shared" si="604"/>
        <v>5</v>
      </c>
      <c r="AJ466" s="138">
        <v>75</v>
      </c>
      <c r="AK466" s="138">
        <f>AJ466/15</f>
        <v>5</v>
      </c>
      <c r="AL466" s="106">
        <f>SUM(AK466:AK468)</f>
        <v>25</v>
      </c>
      <c r="AM466" s="105"/>
      <c r="AN466" s="105">
        <f t="shared" ref="AN466:AN468" si="765">AM466/15</f>
        <v>0</v>
      </c>
      <c r="AO466" s="106">
        <f>SUM(AN466:AN468)</f>
        <v>0</v>
      </c>
      <c r="AP466" s="105"/>
      <c r="AQ466" s="105">
        <f t="shared" si="746"/>
        <v>0</v>
      </c>
      <c r="AR466" s="106">
        <f>SUM(AQ466:AQ468)</f>
        <v>0</v>
      </c>
      <c r="AS466" s="97">
        <f t="shared" si="659"/>
        <v>5</v>
      </c>
      <c r="AT466" s="6">
        <f>SUM(AS466:AS468)</f>
        <v>25</v>
      </c>
      <c r="AU466" s="105"/>
      <c r="AV466" s="455">
        <f t="shared" si="724"/>
        <v>0</v>
      </c>
      <c r="AW466" s="496">
        <f>SUM(AV466:AV468)</f>
        <v>0</v>
      </c>
      <c r="AX466" s="508"/>
      <c r="AY466" s="498">
        <v>90</v>
      </c>
      <c r="AZ466" s="100">
        <f>AY466/15</f>
        <v>6</v>
      </c>
      <c r="BA466" s="106">
        <f>SUM(AZ466:AZ468)</f>
        <v>6</v>
      </c>
      <c r="BB466" s="105"/>
      <c r="BC466" s="105">
        <f t="shared" ref="BC466:BC468" si="766">BB466/15</f>
        <v>0</v>
      </c>
      <c r="BD466" s="106">
        <f>SUM(BC466:BC468)</f>
        <v>0</v>
      </c>
      <c r="BE466" s="105">
        <f>AK466+AZ466</f>
        <v>11</v>
      </c>
      <c r="BF466" s="106">
        <f>SUM(BE466:BE468)</f>
        <v>31</v>
      </c>
      <c r="BG466" s="100">
        <f t="shared" si="755"/>
        <v>0</v>
      </c>
      <c r="BH466" s="106">
        <f>SUM(BG466:BG468)</f>
        <v>0</v>
      </c>
      <c r="BI466" s="100">
        <f t="shared" si="756"/>
        <v>0</v>
      </c>
      <c r="BJ466" s="106">
        <f>SUM(BI466:BI468)</f>
        <v>0</v>
      </c>
      <c r="BK466" s="101">
        <f t="shared" si="660"/>
        <v>11</v>
      </c>
      <c r="BL466" s="106">
        <f>SUM(BK466:BK468)</f>
        <v>31</v>
      </c>
      <c r="BM466" s="104">
        <v>550</v>
      </c>
      <c r="BN466" s="104">
        <f t="shared" ref="BN466:BN512" si="767">BM466/50</f>
        <v>11</v>
      </c>
      <c r="BO466" s="105"/>
      <c r="BP466" s="105">
        <f t="shared" si="726"/>
        <v>0</v>
      </c>
      <c r="BQ466" s="106">
        <f>SUM(BP466:BP468)</f>
        <v>0</v>
      </c>
      <c r="BR466" s="105">
        <v>550</v>
      </c>
      <c r="BS466" s="105">
        <f t="shared" si="665"/>
        <v>11</v>
      </c>
      <c r="BT466" s="106">
        <f>SUM(BS466:BS468)</f>
        <v>31</v>
      </c>
      <c r="BU466" s="53"/>
      <c r="BV466" s="53">
        <f t="shared" ref="BV466:BV468" si="768">BU466/50</f>
        <v>0</v>
      </c>
      <c r="BW466" s="54">
        <f>SUM(BV466:BV468)</f>
        <v>0</v>
      </c>
      <c r="BX466" s="350">
        <f t="shared" si="661"/>
        <v>11</v>
      </c>
      <c r="BY466" s="6">
        <f>SUM(BX466:BX468)</f>
        <v>31</v>
      </c>
      <c r="BZ466" s="6">
        <f t="shared" si="744"/>
        <v>0</v>
      </c>
      <c r="CA466" s="508"/>
      <c r="CB466" s="7"/>
      <c r="CC466" s="7"/>
      <c r="CD466" s="7"/>
      <c r="CE466" s="504">
        <v>6</v>
      </c>
      <c r="CF466" s="105">
        <v>1</v>
      </c>
      <c r="CG466" s="105">
        <f t="shared" si="666"/>
        <v>7</v>
      </c>
      <c r="CH466" s="105"/>
      <c r="CI466" s="105">
        <v>6</v>
      </c>
      <c r="CJ466" s="105">
        <f t="shared" si="667"/>
        <v>6</v>
      </c>
      <c r="CK466" s="524"/>
      <c r="CL466" s="53">
        <f t="shared" ref="CL466:CL468" si="769">CK466/15</f>
        <v>0</v>
      </c>
      <c r="CM466" s="54">
        <f>SUM(CL466:CL468)</f>
        <v>0</v>
      </c>
      <c r="CN466" s="105">
        <v>90</v>
      </c>
      <c r="CO466" s="100">
        <f t="shared" si="728"/>
        <v>6</v>
      </c>
      <c r="CP466" s="496">
        <f>SUM(CO466:CO468)</f>
        <v>6</v>
      </c>
      <c r="CQ466" s="439"/>
      <c r="CR466" s="504"/>
      <c r="CS466" s="105"/>
      <c r="CT466" s="105">
        <f t="shared" si="729"/>
        <v>0</v>
      </c>
      <c r="CU466" s="105"/>
      <c r="CV466" s="105"/>
      <c r="CW466" s="105">
        <f t="shared" si="730"/>
        <v>0</v>
      </c>
      <c r="CX466" s="53"/>
      <c r="CY466" s="109">
        <f t="shared" si="731"/>
        <v>0</v>
      </c>
      <c r="CZ466" s="54">
        <f>SUM(CY466:CY468)</f>
        <v>0</v>
      </c>
      <c r="DA466" s="105"/>
      <c r="DB466" s="455">
        <f t="shared" si="676"/>
        <v>0</v>
      </c>
      <c r="DC466" s="495">
        <f>SUM(DB466:DB468)</f>
        <v>0</v>
      </c>
      <c r="DD466" s="24"/>
      <c r="DF466" s="1133"/>
      <c r="DG466" s="674">
        <f t="shared" si="757"/>
        <v>0</v>
      </c>
      <c r="DH466" s="1119">
        <f t="shared" si="758"/>
        <v>6</v>
      </c>
      <c r="DI466" s="1119"/>
      <c r="DJ466" s="101">
        <f t="shared" si="716"/>
        <v>17</v>
      </c>
      <c r="DK466" s="101">
        <f>SUM(DJ466:DJ468)</f>
        <v>37</v>
      </c>
      <c r="DL466" s="101">
        <f t="shared" si="759"/>
        <v>7</v>
      </c>
      <c r="DM466" s="101"/>
      <c r="DN466" s="112"/>
      <c r="DO466" s="112"/>
      <c r="DP466" s="112"/>
      <c r="DQ466" s="112"/>
      <c r="DS466" s="140"/>
      <c r="DT466" s="140"/>
      <c r="DU466" s="140"/>
      <c r="DV466" s="140"/>
      <c r="DW466" s="140"/>
      <c r="DX466" s="140"/>
      <c r="DY466" s="140"/>
      <c r="DZ466" s="140"/>
    </row>
    <row r="467" spans="1:130" s="139" customFormat="1" ht="21.6" customHeight="1" x14ac:dyDescent="0.25">
      <c r="A467" s="4"/>
      <c r="B467" s="4"/>
      <c r="C467" s="134" t="s">
        <v>342</v>
      </c>
      <c r="D467" s="182" t="s">
        <v>431</v>
      </c>
      <c r="E467" s="3" t="s">
        <v>345</v>
      </c>
      <c r="F467" s="135"/>
      <c r="G467" s="135"/>
      <c r="H467" s="135"/>
      <c r="I467" s="135"/>
      <c r="J467" s="135"/>
      <c r="K467" s="135"/>
      <c r="L467" s="183"/>
      <c r="M467" s="5"/>
      <c r="N467" s="41"/>
      <c r="O467" s="6"/>
      <c r="P467" s="7"/>
      <c r="Q467" s="7"/>
      <c r="R467" s="7"/>
      <c r="S467" s="7"/>
      <c r="T467" s="89"/>
      <c r="U467" s="89"/>
      <c r="V467" s="89">
        <f t="shared" si="663"/>
        <v>0</v>
      </c>
      <c r="W467" s="137"/>
      <c r="X467" s="137"/>
      <c r="Y467" s="90">
        <f t="shared" si="764"/>
        <v>0</v>
      </c>
      <c r="Z467" s="91"/>
      <c r="AA467" s="92"/>
      <c r="AB467" s="92"/>
      <c r="AC467" s="92">
        <f t="shared" si="721"/>
        <v>0</v>
      </c>
      <c r="AD467" s="93"/>
      <c r="AE467" s="93"/>
      <c r="AF467" s="94">
        <f t="shared" si="722"/>
        <v>0</v>
      </c>
      <c r="AG467" s="473"/>
      <c r="AH467" s="99">
        <v>150</v>
      </c>
      <c r="AI467" s="99">
        <f t="shared" si="604"/>
        <v>10</v>
      </c>
      <c r="AJ467" s="138">
        <v>150</v>
      </c>
      <c r="AK467" s="138">
        <f>AJ467/15</f>
        <v>10</v>
      </c>
      <c r="AL467" s="106"/>
      <c r="AM467" s="105"/>
      <c r="AN467" s="105">
        <f t="shared" si="765"/>
        <v>0</v>
      </c>
      <c r="AO467" s="106"/>
      <c r="AP467" s="105"/>
      <c r="AQ467" s="105">
        <f t="shared" si="746"/>
        <v>0</v>
      </c>
      <c r="AR467" s="106"/>
      <c r="AS467" s="97">
        <f t="shared" si="659"/>
        <v>10</v>
      </c>
      <c r="AT467" s="6"/>
      <c r="AU467" s="105"/>
      <c r="AV467" s="455">
        <f t="shared" si="724"/>
        <v>0</v>
      </c>
      <c r="AW467" s="496"/>
      <c r="AX467" s="508"/>
      <c r="AY467" s="498"/>
      <c r="AZ467" s="100">
        <f>AY467/15</f>
        <v>0</v>
      </c>
      <c r="BA467" s="101"/>
      <c r="BB467" s="100"/>
      <c r="BC467" s="100">
        <f t="shared" si="766"/>
        <v>0</v>
      </c>
      <c r="BD467" s="101"/>
      <c r="BE467" s="105">
        <f>AK467+AZ467</f>
        <v>10</v>
      </c>
      <c r="BF467" s="106"/>
      <c r="BG467" s="100">
        <f t="shared" si="755"/>
        <v>0</v>
      </c>
      <c r="BH467" s="106"/>
      <c r="BI467" s="100">
        <f t="shared" si="756"/>
        <v>0</v>
      </c>
      <c r="BJ467" s="106"/>
      <c r="BK467" s="101">
        <f t="shared" si="660"/>
        <v>10</v>
      </c>
      <c r="BL467" s="106"/>
      <c r="BM467" s="104">
        <v>500</v>
      </c>
      <c r="BN467" s="104">
        <f t="shared" si="767"/>
        <v>10</v>
      </c>
      <c r="BO467" s="105"/>
      <c r="BP467" s="105">
        <f t="shared" si="726"/>
        <v>0</v>
      </c>
      <c r="BQ467" s="106"/>
      <c r="BR467" s="105">
        <v>500</v>
      </c>
      <c r="BS467" s="105">
        <f t="shared" si="665"/>
        <v>10</v>
      </c>
      <c r="BT467" s="106"/>
      <c r="BU467" s="53"/>
      <c r="BV467" s="53">
        <f t="shared" si="768"/>
        <v>0</v>
      </c>
      <c r="BW467" s="54"/>
      <c r="BX467" s="350">
        <f t="shared" si="661"/>
        <v>10</v>
      </c>
      <c r="BY467" s="6"/>
      <c r="BZ467" s="6">
        <f t="shared" si="744"/>
        <v>0</v>
      </c>
      <c r="CA467" s="508"/>
      <c r="CB467" s="7"/>
      <c r="CC467" s="7"/>
      <c r="CD467" s="7"/>
      <c r="CE467" s="504"/>
      <c r="CF467" s="105"/>
      <c r="CG467" s="105">
        <f t="shared" si="666"/>
        <v>0</v>
      </c>
      <c r="CH467" s="105"/>
      <c r="CI467" s="105"/>
      <c r="CJ467" s="105">
        <f t="shared" si="667"/>
        <v>0</v>
      </c>
      <c r="CK467" s="523"/>
      <c r="CL467" s="102">
        <f t="shared" si="769"/>
        <v>0</v>
      </c>
      <c r="CM467" s="103"/>
      <c r="CN467" s="100"/>
      <c r="CO467" s="100">
        <f t="shared" si="728"/>
        <v>0</v>
      </c>
      <c r="CP467" s="515"/>
      <c r="CQ467" s="441"/>
      <c r="CR467" s="504"/>
      <c r="CS467" s="105"/>
      <c r="CT467" s="105">
        <f t="shared" si="729"/>
        <v>0</v>
      </c>
      <c r="CU467" s="105"/>
      <c r="CV467" s="105"/>
      <c r="CW467" s="105">
        <f t="shared" si="730"/>
        <v>0</v>
      </c>
      <c r="CX467" s="53"/>
      <c r="CY467" s="109">
        <f t="shared" si="731"/>
        <v>0</v>
      </c>
      <c r="CZ467" s="54"/>
      <c r="DA467" s="105"/>
      <c r="DB467" s="455">
        <f t="shared" si="676"/>
        <v>0</v>
      </c>
      <c r="DC467" s="495"/>
      <c r="DD467" s="24"/>
      <c r="DF467" s="1133"/>
      <c r="DG467" s="674">
        <f t="shared" si="757"/>
        <v>0</v>
      </c>
      <c r="DH467" s="1119">
        <f t="shared" si="758"/>
        <v>0</v>
      </c>
      <c r="DI467" s="1119"/>
      <c r="DJ467" s="101">
        <f t="shared" si="716"/>
        <v>10</v>
      </c>
      <c r="DK467" s="101"/>
      <c r="DL467" s="101">
        <f t="shared" si="759"/>
        <v>0</v>
      </c>
      <c r="DM467" s="101"/>
      <c r="DN467" s="112"/>
      <c r="DO467" s="112"/>
      <c r="DP467" s="112"/>
      <c r="DQ467" s="112"/>
      <c r="DS467" s="140"/>
      <c r="DT467" s="140"/>
      <c r="DU467" s="140"/>
      <c r="DV467" s="140"/>
      <c r="DW467" s="140"/>
      <c r="DX467" s="140"/>
      <c r="DY467" s="140"/>
      <c r="DZ467" s="140"/>
    </row>
    <row r="468" spans="1:130" s="139" customFormat="1" ht="21.6" customHeight="1" x14ac:dyDescent="0.25">
      <c r="A468" s="4"/>
      <c r="B468" s="4"/>
      <c r="C468" s="134" t="s">
        <v>342</v>
      </c>
      <c r="D468" s="182" t="s">
        <v>431</v>
      </c>
      <c r="E468" s="3" t="s">
        <v>343</v>
      </c>
      <c r="F468" s="135"/>
      <c r="G468" s="135"/>
      <c r="H468" s="135"/>
      <c r="I468" s="135"/>
      <c r="J468" s="135"/>
      <c r="K468" s="135"/>
      <c r="L468" s="183"/>
      <c r="M468" s="5"/>
      <c r="N468" s="41"/>
      <c r="O468" s="6"/>
      <c r="P468" s="7"/>
      <c r="Q468" s="7"/>
      <c r="R468" s="7"/>
      <c r="S468" s="7"/>
      <c r="T468" s="89"/>
      <c r="U468" s="89"/>
      <c r="V468" s="89">
        <f t="shared" si="663"/>
        <v>0</v>
      </c>
      <c r="W468" s="137"/>
      <c r="X468" s="137"/>
      <c r="Y468" s="90">
        <f t="shared" si="764"/>
        <v>0</v>
      </c>
      <c r="Z468" s="91"/>
      <c r="AA468" s="92"/>
      <c r="AB468" s="92"/>
      <c r="AC468" s="92">
        <f t="shared" si="721"/>
        <v>0</v>
      </c>
      <c r="AD468" s="93"/>
      <c r="AE468" s="93"/>
      <c r="AF468" s="94">
        <f t="shared" si="722"/>
        <v>0</v>
      </c>
      <c r="AG468" s="473"/>
      <c r="AH468" s="99">
        <v>150</v>
      </c>
      <c r="AI468" s="99">
        <f t="shared" ref="AI468:AI511" si="770">AH468/15</f>
        <v>10</v>
      </c>
      <c r="AJ468" s="138">
        <v>150</v>
      </c>
      <c r="AK468" s="138">
        <f>AJ468/15</f>
        <v>10</v>
      </c>
      <c r="AL468" s="106"/>
      <c r="AM468" s="105"/>
      <c r="AN468" s="105">
        <f t="shared" si="765"/>
        <v>0</v>
      </c>
      <c r="AO468" s="106"/>
      <c r="AP468" s="105"/>
      <c r="AQ468" s="105">
        <f t="shared" si="746"/>
        <v>0</v>
      </c>
      <c r="AR468" s="106"/>
      <c r="AS468" s="97">
        <f t="shared" si="659"/>
        <v>10</v>
      </c>
      <c r="AT468" s="6"/>
      <c r="AU468" s="105"/>
      <c r="AV468" s="455">
        <f t="shared" si="724"/>
        <v>0</v>
      </c>
      <c r="AW468" s="496"/>
      <c r="AX468" s="508"/>
      <c r="AY468" s="498"/>
      <c r="AZ468" s="100">
        <f>AY468/15</f>
        <v>0</v>
      </c>
      <c r="BA468" s="101"/>
      <c r="BB468" s="100"/>
      <c r="BC468" s="100">
        <f t="shared" si="766"/>
        <v>0</v>
      </c>
      <c r="BD468" s="101"/>
      <c r="BE468" s="105">
        <f>AK468+AZ468</f>
        <v>10</v>
      </c>
      <c r="BF468" s="106"/>
      <c r="BG468" s="100">
        <f t="shared" si="755"/>
        <v>0</v>
      </c>
      <c r="BH468" s="106"/>
      <c r="BI468" s="100">
        <f t="shared" si="756"/>
        <v>0</v>
      </c>
      <c r="BJ468" s="106"/>
      <c r="BK468" s="101">
        <f t="shared" si="660"/>
        <v>10</v>
      </c>
      <c r="BL468" s="106"/>
      <c r="BM468" s="104">
        <v>500</v>
      </c>
      <c r="BN468" s="104">
        <f t="shared" si="767"/>
        <v>10</v>
      </c>
      <c r="BO468" s="105"/>
      <c r="BP468" s="105">
        <f t="shared" si="726"/>
        <v>0</v>
      </c>
      <c r="BQ468" s="106"/>
      <c r="BR468" s="105">
        <v>500</v>
      </c>
      <c r="BS468" s="105">
        <f t="shared" si="665"/>
        <v>10</v>
      </c>
      <c r="BT468" s="106"/>
      <c r="BU468" s="53"/>
      <c r="BV468" s="53">
        <f t="shared" si="768"/>
        <v>0</v>
      </c>
      <c r="BW468" s="54"/>
      <c r="BX468" s="350">
        <f t="shared" si="661"/>
        <v>10</v>
      </c>
      <c r="BY468" s="6"/>
      <c r="BZ468" s="6">
        <f t="shared" si="744"/>
        <v>0</v>
      </c>
      <c r="CA468" s="508"/>
      <c r="CB468" s="7"/>
      <c r="CC468" s="7"/>
      <c r="CD468" s="7"/>
      <c r="CE468" s="504"/>
      <c r="CF468" s="105"/>
      <c r="CG468" s="105">
        <f t="shared" si="666"/>
        <v>0</v>
      </c>
      <c r="CH468" s="105"/>
      <c r="CI468" s="105"/>
      <c r="CJ468" s="105">
        <f t="shared" si="667"/>
        <v>0</v>
      </c>
      <c r="CK468" s="523"/>
      <c r="CL468" s="102">
        <f t="shared" si="769"/>
        <v>0</v>
      </c>
      <c r="CM468" s="103"/>
      <c r="CN468" s="100"/>
      <c r="CO468" s="100">
        <f t="shared" si="728"/>
        <v>0</v>
      </c>
      <c r="CP468" s="515"/>
      <c r="CQ468" s="441"/>
      <c r="CR468" s="504"/>
      <c r="CS468" s="105"/>
      <c r="CT468" s="105">
        <f t="shared" si="729"/>
        <v>0</v>
      </c>
      <c r="CU468" s="105"/>
      <c r="CV468" s="105"/>
      <c r="CW468" s="105">
        <f t="shared" si="730"/>
        <v>0</v>
      </c>
      <c r="CX468" s="53"/>
      <c r="CY468" s="109">
        <f t="shared" si="731"/>
        <v>0</v>
      </c>
      <c r="CZ468" s="54"/>
      <c r="DA468" s="105"/>
      <c r="DB468" s="455">
        <f t="shared" si="676"/>
        <v>0</v>
      </c>
      <c r="DC468" s="495"/>
      <c r="DD468" s="24"/>
      <c r="DF468" s="1133"/>
      <c r="DG468" s="674">
        <f t="shared" si="757"/>
        <v>0</v>
      </c>
      <c r="DH468" s="1119">
        <f t="shared" si="758"/>
        <v>0</v>
      </c>
      <c r="DI468" s="1119"/>
      <c r="DJ468" s="101">
        <f t="shared" si="716"/>
        <v>10</v>
      </c>
      <c r="DK468" s="101"/>
      <c r="DL468" s="101">
        <f t="shared" si="759"/>
        <v>0</v>
      </c>
      <c r="DM468" s="101"/>
      <c r="DN468" s="112"/>
      <c r="DO468" s="112"/>
      <c r="DP468" s="112"/>
      <c r="DQ468" s="112"/>
      <c r="DS468" s="140"/>
      <c r="DT468" s="140"/>
      <c r="DU468" s="140"/>
      <c r="DV468" s="140"/>
      <c r="DW468" s="140"/>
      <c r="DX468" s="140"/>
      <c r="DY468" s="140"/>
      <c r="DZ468" s="140"/>
    </row>
    <row r="469" spans="1:130" s="151" customFormat="1" ht="21.6" customHeight="1" x14ac:dyDescent="0.25">
      <c r="A469" s="141"/>
      <c r="B469" s="141"/>
      <c r="C469" s="142"/>
      <c r="D469" s="143"/>
      <c r="E469" s="22"/>
      <c r="F469" s="144"/>
      <c r="G469" s="144"/>
      <c r="H469" s="144"/>
      <c r="I469" s="144"/>
      <c r="J469" s="144"/>
      <c r="K469" s="144"/>
      <c r="L469" s="145"/>
      <c r="M469" s="146"/>
      <c r="N469" s="147"/>
      <c r="O469" s="131"/>
      <c r="P469" s="148"/>
      <c r="Q469" s="148"/>
      <c r="R469" s="148"/>
      <c r="S469" s="148"/>
      <c r="T469" s="123"/>
      <c r="U469" s="123"/>
      <c r="V469" s="123"/>
      <c r="W469" s="149"/>
      <c r="X469" s="149"/>
      <c r="Y469" s="124"/>
      <c r="Z469" s="125"/>
      <c r="AA469" s="123"/>
      <c r="AB469" s="123"/>
      <c r="AC469" s="123"/>
      <c r="AD469" s="124"/>
      <c r="AE469" s="124"/>
      <c r="AF469" s="126"/>
      <c r="AG469" s="474"/>
      <c r="AH469" s="129"/>
      <c r="AI469" s="129"/>
      <c r="AJ469" s="138"/>
      <c r="AK469" s="138"/>
      <c r="AL469" s="106"/>
      <c r="AM469" s="105"/>
      <c r="AN469" s="105"/>
      <c r="AO469" s="106"/>
      <c r="AP469" s="105"/>
      <c r="AQ469" s="105">
        <f t="shared" si="746"/>
        <v>0</v>
      </c>
      <c r="AR469" s="106"/>
      <c r="AS469" s="97">
        <f t="shared" si="659"/>
        <v>0</v>
      </c>
      <c r="AT469" s="6"/>
      <c r="AU469" s="105"/>
      <c r="AV469" s="455">
        <f t="shared" si="724"/>
        <v>0</v>
      </c>
      <c r="AW469" s="496"/>
      <c r="AX469" s="508"/>
      <c r="AY469" s="498"/>
      <c r="AZ469" s="100"/>
      <c r="BA469" s="101"/>
      <c r="BB469" s="100"/>
      <c r="BC469" s="100"/>
      <c r="BD469" s="101"/>
      <c r="BE469" s="105"/>
      <c r="BF469" s="106"/>
      <c r="BG469" s="100">
        <f t="shared" si="755"/>
        <v>0</v>
      </c>
      <c r="BH469" s="106"/>
      <c r="BI469" s="100">
        <f t="shared" si="756"/>
        <v>0</v>
      </c>
      <c r="BJ469" s="106"/>
      <c r="BK469" s="101">
        <f t="shared" si="660"/>
        <v>0</v>
      </c>
      <c r="BL469" s="106"/>
      <c r="BM469" s="130"/>
      <c r="BN469" s="130"/>
      <c r="BO469" s="105"/>
      <c r="BP469" s="105">
        <f t="shared" si="726"/>
        <v>0</v>
      </c>
      <c r="BQ469" s="106"/>
      <c r="BR469" s="105"/>
      <c r="BS469" s="105"/>
      <c r="BT469" s="106"/>
      <c r="BU469" s="53"/>
      <c r="BV469" s="53"/>
      <c r="BW469" s="54"/>
      <c r="BX469" s="350">
        <f t="shared" si="661"/>
        <v>0</v>
      </c>
      <c r="BY469" s="131"/>
      <c r="BZ469" s="131">
        <f t="shared" si="744"/>
        <v>0</v>
      </c>
      <c r="CA469" s="536"/>
      <c r="CB469" s="148"/>
      <c r="CC469" s="148"/>
      <c r="CD469" s="148"/>
      <c r="CE469" s="504"/>
      <c r="CF469" s="105"/>
      <c r="CG469" s="105">
        <f t="shared" si="666"/>
        <v>0</v>
      </c>
      <c r="CH469" s="105"/>
      <c r="CI469" s="105"/>
      <c r="CJ469" s="105">
        <f t="shared" si="667"/>
        <v>0</v>
      </c>
      <c r="CK469" s="523"/>
      <c r="CL469" s="102"/>
      <c r="CM469" s="103"/>
      <c r="CN469" s="100"/>
      <c r="CO469" s="100">
        <f t="shared" si="728"/>
        <v>0</v>
      </c>
      <c r="CP469" s="515"/>
      <c r="CQ469" s="441"/>
      <c r="CR469" s="504"/>
      <c r="CS469" s="105"/>
      <c r="CT469" s="105">
        <f t="shared" si="729"/>
        <v>0</v>
      </c>
      <c r="CU469" s="105"/>
      <c r="CV469" s="105"/>
      <c r="CW469" s="105">
        <f t="shared" si="730"/>
        <v>0</v>
      </c>
      <c r="CX469" s="53"/>
      <c r="CY469" s="109">
        <f t="shared" si="731"/>
        <v>0</v>
      </c>
      <c r="CZ469" s="54"/>
      <c r="DA469" s="105"/>
      <c r="DB469" s="455">
        <f t="shared" si="676"/>
        <v>0</v>
      </c>
      <c r="DC469" s="495"/>
      <c r="DD469" s="31"/>
      <c r="DF469" s="1133"/>
      <c r="DG469" s="674">
        <f t="shared" si="757"/>
        <v>0</v>
      </c>
      <c r="DH469" s="1119">
        <f t="shared" si="758"/>
        <v>0</v>
      </c>
      <c r="DI469" s="1119"/>
      <c r="DJ469" s="101">
        <f t="shared" si="716"/>
        <v>0</v>
      </c>
      <c r="DK469" s="101"/>
      <c r="DL469" s="101">
        <f t="shared" si="759"/>
        <v>0</v>
      </c>
      <c r="DM469" s="101"/>
      <c r="DN469" s="112"/>
      <c r="DO469" s="112"/>
      <c r="DP469" s="112"/>
      <c r="DQ469" s="112"/>
      <c r="DS469" s="152"/>
      <c r="DT469" s="152"/>
      <c r="DU469" s="152"/>
      <c r="DV469" s="152"/>
      <c r="DW469" s="152"/>
      <c r="DX469" s="152"/>
      <c r="DY469" s="152"/>
      <c r="DZ469" s="152"/>
    </row>
    <row r="470" spans="1:130" s="139" customFormat="1" ht="21.6" customHeight="1" x14ac:dyDescent="0.25">
      <c r="A470" s="4"/>
      <c r="B470" s="4"/>
      <c r="C470" s="134" t="s">
        <v>368</v>
      </c>
      <c r="D470" s="182" t="s">
        <v>489</v>
      </c>
      <c r="E470" s="3" t="s">
        <v>552</v>
      </c>
      <c r="F470" s="135"/>
      <c r="G470" s="135"/>
      <c r="H470" s="135"/>
      <c r="I470" s="135"/>
      <c r="J470" s="135"/>
      <c r="K470" s="135"/>
      <c r="L470" s="183"/>
      <c r="M470" s="5"/>
      <c r="N470" s="41"/>
      <c r="O470" s="6"/>
      <c r="P470" s="7"/>
      <c r="Q470" s="7"/>
      <c r="R470" s="7"/>
      <c r="S470" s="7"/>
      <c r="T470" s="273"/>
      <c r="U470" s="273"/>
      <c r="V470" s="273">
        <f t="shared" ref="V470:V502" si="771">T470+U470</f>
        <v>0</v>
      </c>
      <c r="W470" s="274"/>
      <c r="X470" s="274"/>
      <c r="Y470" s="275">
        <f>W470+X470</f>
        <v>0</v>
      </c>
      <c r="Z470" s="91"/>
      <c r="AA470" s="273"/>
      <c r="AB470" s="273"/>
      <c r="AC470" s="273">
        <f t="shared" ref="AC470:AC502" si="772">AA470+AB470</f>
        <v>0</v>
      </c>
      <c r="AD470" s="275"/>
      <c r="AE470" s="275"/>
      <c r="AF470" s="276">
        <f t="shared" ref="AF470:AF502" si="773">AD470+AE470</f>
        <v>0</v>
      </c>
      <c r="AG470" s="473"/>
      <c r="AH470" s="277"/>
      <c r="AI470" s="277"/>
      <c r="AJ470" s="138"/>
      <c r="AK470" s="138">
        <f t="shared" ref="AK470:AK502" si="774">AJ470/15</f>
        <v>0</v>
      </c>
      <c r="AL470" s="106">
        <f>SUM(AK470:AK502)</f>
        <v>235.00000000000003</v>
      </c>
      <c r="AM470" s="105"/>
      <c r="AN470" s="105">
        <f t="shared" ref="AN470:AN502" si="775">AM470/15</f>
        <v>0</v>
      </c>
      <c r="AO470" s="106">
        <f>SUM(AN470:AN502)</f>
        <v>135</v>
      </c>
      <c r="AP470" s="105"/>
      <c r="AQ470" s="105">
        <f t="shared" si="746"/>
        <v>0</v>
      </c>
      <c r="AR470" s="106">
        <f>SUM(AQ470:AQ502)</f>
        <v>0</v>
      </c>
      <c r="AS470" s="97">
        <f t="shared" si="659"/>
        <v>0</v>
      </c>
      <c r="AT470" s="6">
        <f>SUM(AS470:AS502)</f>
        <v>370</v>
      </c>
      <c r="AU470" s="105"/>
      <c r="AV470" s="455">
        <f t="shared" si="724"/>
        <v>0</v>
      </c>
      <c r="AW470" s="496">
        <f>SUM(AV470:AV502)</f>
        <v>0</v>
      </c>
      <c r="AX470" s="508"/>
      <c r="AY470" s="498">
        <v>605</v>
      </c>
      <c r="AZ470" s="100">
        <f t="shared" ref="AZ470:AZ486" si="776">AY470/15</f>
        <v>40.333333333333336</v>
      </c>
      <c r="BA470" s="106">
        <f>SUM(AZ470:AZ502)</f>
        <v>501.66666666666669</v>
      </c>
      <c r="BB470" s="105"/>
      <c r="BC470" s="105">
        <f t="shared" ref="BC470:BC502" si="777">BB470/15</f>
        <v>0</v>
      </c>
      <c r="BD470" s="106">
        <f>SUM(BC470:BC502)</f>
        <v>0</v>
      </c>
      <c r="BE470" s="105">
        <f t="shared" ref="BE470:BE480" si="778">AK470+AZ470</f>
        <v>40.333333333333336</v>
      </c>
      <c r="BF470" s="106">
        <f>SUM(BE470:BE502)</f>
        <v>736.66666666666663</v>
      </c>
      <c r="BG470" s="100">
        <f t="shared" si="755"/>
        <v>0</v>
      </c>
      <c r="BH470" s="106">
        <f>SUM(BG470:BG502)</f>
        <v>135</v>
      </c>
      <c r="BI470" s="100">
        <f t="shared" si="756"/>
        <v>0</v>
      </c>
      <c r="BJ470" s="106">
        <f>SUM(BI470:BI502)</f>
        <v>0</v>
      </c>
      <c r="BK470" s="101">
        <f t="shared" si="660"/>
        <v>40.333333333333336</v>
      </c>
      <c r="BL470" s="106">
        <f>SUM(BK470:BK502)</f>
        <v>871.66666666666674</v>
      </c>
      <c r="BM470" s="52">
        <v>2030</v>
      </c>
      <c r="BN470" s="52">
        <f t="shared" ref="BN470:BN502" si="779">BM470/50</f>
        <v>40.6</v>
      </c>
      <c r="BO470" s="105">
        <v>2000</v>
      </c>
      <c r="BP470" s="105">
        <f t="shared" si="726"/>
        <v>40</v>
      </c>
      <c r="BQ470" s="106">
        <f>SUM(BP470:BP502)</f>
        <v>732</v>
      </c>
      <c r="BR470" s="105"/>
      <c r="BS470" s="105">
        <f t="shared" ref="BS470:BS502" si="780">BR470/50</f>
        <v>0</v>
      </c>
      <c r="BT470" s="106">
        <f>SUM(BS470:BS502)</f>
        <v>133</v>
      </c>
      <c r="BU470" s="53"/>
      <c r="BV470" s="53">
        <f t="shared" ref="BV470:BV502" si="781">BU470/50</f>
        <v>0</v>
      </c>
      <c r="BW470" s="54">
        <f>SUM(BV470:BV502)</f>
        <v>1</v>
      </c>
      <c r="BX470" s="350">
        <f t="shared" ref="BX470:BX511" si="782">BP470+BS470+BV470</f>
        <v>40</v>
      </c>
      <c r="BY470" s="6">
        <f>SUM(BX470:BX502)</f>
        <v>866</v>
      </c>
      <c r="BZ470" s="6">
        <f t="shared" ref="BZ470:BZ505" si="783">BK470-BX470</f>
        <v>0.3333333333333357</v>
      </c>
      <c r="CA470" s="508"/>
      <c r="CB470" s="7"/>
      <c r="CC470" s="7"/>
      <c r="CD470" s="7"/>
      <c r="CE470" s="504"/>
      <c r="CF470" s="105"/>
      <c r="CG470" s="105">
        <f t="shared" si="666"/>
        <v>0</v>
      </c>
      <c r="CH470" s="105"/>
      <c r="CI470" s="105"/>
      <c r="CJ470" s="105">
        <f t="shared" si="667"/>
        <v>0</v>
      </c>
      <c r="CK470" s="524"/>
      <c r="CL470" s="53">
        <f t="shared" ref="CL470:CL502" si="784">CK470/15</f>
        <v>0</v>
      </c>
      <c r="CM470" s="54">
        <f>SUM(CL470:CL502)</f>
        <v>0</v>
      </c>
      <c r="CN470" s="105"/>
      <c r="CO470" s="100">
        <f t="shared" si="728"/>
        <v>0</v>
      </c>
      <c r="CP470" s="496">
        <f>SUM(CO470:CO502)</f>
        <v>78.333333333333329</v>
      </c>
      <c r="CQ470" s="439"/>
      <c r="CR470" s="504"/>
      <c r="CS470" s="105"/>
      <c r="CT470" s="105">
        <f t="shared" si="729"/>
        <v>0</v>
      </c>
      <c r="CU470" s="105"/>
      <c r="CV470" s="105"/>
      <c r="CW470" s="105">
        <f t="shared" si="730"/>
        <v>0</v>
      </c>
      <c r="CX470" s="53"/>
      <c r="CY470" s="109">
        <f t="shared" si="731"/>
        <v>0</v>
      </c>
      <c r="CZ470" s="54">
        <f>SUM(CY470:CY502)</f>
        <v>0</v>
      </c>
      <c r="DA470" s="105"/>
      <c r="DB470" s="455">
        <f t="shared" si="676"/>
        <v>0</v>
      </c>
      <c r="DC470" s="495">
        <f>SUM(DB470:DB502)</f>
        <v>0</v>
      </c>
      <c r="DD470" s="24" t="s">
        <v>678</v>
      </c>
      <c r="DF470" s="1133"/>
      <c r="DG470" s="674">
        <f t="shared" si="757"/>
        <v>0</v>
      </c>
      <c r="DH470" s="1119">
        <f t="shared" si="758"/>
        <v>0</v>
      </c>
      <c r="DI470" s="1119"/>
      <c r="DJ470" s="101">
        <f t="shared" si="716"/>
        <v>40.333333333333336</v>
      </c>
      <c r="DK470" s="101">
        <f>SUM(DJ470:DJ502)</f>
        <v>950.00000000000011</v>
      </c>
      <c r="DL470" s="101">
        <f t="shared" si="759"/>
        <v>0</v>
      </c>
      <c r="DM470" s="101"/>
      <c r="DN470" s="112"/>
      <c r="DO470" s="112"/>
      <c r="DP470" s="112"/>
      <c r="DQ470" s="112"/>
      <c r="DS470" s="140"/>
      <c r="DT470" s="140"/>
      <c r="DU470" s="140"/>
      <c r="DV470" s="140"/>
      <c r="DW470" s="140"/>
      <c r="DX470" s="140"/>
      <c r="DY470" s="140"/>
      <c r="DZ470" s="140"/>
    </row>
    <row r="471" spans="1:130" s="139" customFormat="1" ht="21.6" customHeight="1" x14ac:dyDescent="0.25">
      <c r="A471" s="4"/>
      <c r="B471" s="4"/>
      <c r="C471" s="134" t="s">
        <v>368</v>
      </c>
      <c r="D471" s="182" t="s">
        <v>431</v>
      </c>
      <c r="E471" s="3" t="s">
        <v>567</v>
      </c>
      <c r="F471" s="135"/>
      <c r="G471" s="135"/>
      <c r="H471" s="135"/>
      <c r="I471" s="135"/>
      <c r="J471" s="135"/>
      <c r="K471" s="135"/>
      <c r="L471" s="183"/>
      <c r="M471" s="5"/>
      <c r="N471" s="41"/>
      <c r="O471" s="6"/>
      <c r="P471" s="7"/>
      <c r="Q471" s="7"/>
      <c r="R471" s="7"/>
      <c r="S471" s="7"/>
      <c r="T471" s="273"/>
      <c r="U471" s="273"/>
      <c r="V471" s="273">
        <f t="shared" si="771"/>
        <v>0</v>
      </c>
      <c r="W471" s="274"/>
      <c r="X471" s="274"/>
      <c r="Y471" s="275"/>
      <c r="Z471" s="91"/>
      <c r="AA471" s="273"/>
      <c r="AB471" s="273"/>
      <c r="AC471" s="273">
        <f t="shared" si="772"/>
        <v>0</v>
      </c>
      <c r="AD471" s="275"/>
      <c r="AE471" s="275"/>
      <c r="AF471" s="276">
        <f t="shared" si="773"/>
        <v>0</v>
      </c>
      <c r="AG471" s="473"/>
      <c r="AH471" s="277">
        <v>375</v>
      </c>
      <c r="AI471" s="277">
        <f t="shared" ref="AI471:AI502" si="785">AH471/15</f>
        <v>25</v>
      </c>
      <c r="AJ471" s="138"/>
      <c r="AK471" s="138">
        <f t="shared" si="774"/>
        <v>0</v>
      </c>
      <c r="AL471" s="106"/>
      <c r="AM471" s="105">
        <v>375</v>
      </c>
      <c r="AN471" s="105">
        <f t="shared" si="775"/>
        <v>25</v>
      </c>
      <c r="AO471" s="106"/>
      <c r="AP471" s="105"/>
      <c r="AQ471" s="105">
        <f t="shared" si="746"/>
        <v>0</v>
      </c>
      <c r="AR471" s="106"/>
      <c r="AS471" s="97">
        <f t="shared" ref="AS471:AS511" si="786">AN471+AK471+AQ471</f>
        <v>25</v>
      </c>
      <c r="AT471" s="6"/>
      <c r="AU471" s="105"/>
      <c r="AV471" s="455">
        <f t="shared" si="724"/>
        <v>0</v>
      </c>
      <c r="AW471" s="496"/>
      <c r="AX471" s="508"/>
      <c r="AY471" s="498"/>
      <c r="AZ471" s="100">
        <f t="shared" si="776"/>
        <v>0</v>
      </c>
      <c r="BA471" s="101"/>
      <c r="BB471" s="100"/>
      <c r="BC471" s="100">
        <f t="shared" si="777"/>
        <v>0</v>
      </c>
      <c r="BD471" s="101"/>
      <c r="BE471" s="105">
        <f t="shared" si="778"/>
        <v>0</v>
      </c>
      <c r="BF471" s="106"/>
      <c r="BG471" s="100">
        <f t="shared" si="755"/>
        <v>25</v>
      </c>
      <c r="BH471" s="106"/>
      <c r="BI471" s="100">
        <f t="shared" si="756"/>
        <v>0</v>
      </c>
      <c r="BJ471" s="106"/>
      <c r="BK471" s="101">
        <f t="shared" ref="BK471:BK512" si="787">BG471+BE471+BI471</f>
        <v>25</v>
      </c>
      <c r="BL471" s="106"/>
      <c r="BM471" s="52">
        <v>1250</v>
      </c>
      <c r="BN471" s="52">
        <f t="shared" si="779"/>
        <v>25</v>
      </c>
      <c r="BO471" s="105"/>
      <c r="BP471" s="105">
        <f t="shared" si="726"/>
        <v>0</v>
      </c>
      <c r="BQ471" s="106"/>
      <c r="BR471" s="105">
        <v>1250</v>
      </c>
      <c r="BS471" s="105">
        <f t="shared" si="780"/>
        <v>25</v>
      </c>
      <c r="BT471" s="106"/>
      <c r="BU471" s="53"/>
      <c r="BV471" s="53">
        <f t="shared" si="781"/>
        <v>0</v>
      </c>
      <c r="BW471" s="54"/>
      <c r="BX471" s="350">
        <f t="shared" si="782"/>
        <v>25</v>
      </c>
      <c r="BY471" s="6"/>
      <c r="BZ471" s="6">
        <f t="shared" si="783"/>
        <v>0</v>
      </c>
      <c r="CA471" s="508"/>
      <c r="CB471" s="7"/>
      <c r="CC471" s="7"/>
      <c r="CD471" s="7"/>
      <c r="CE471" s="504"/>
      <c r="CF471" s="105"/>
      <c r="CG471" s="105">
        <f t="shared" si="666"/>
        <v>0</v>
      </c>
      <c r="CH471" s="105"/>
      <c r="CI471" s="105"/>
      <c r="CJ471" s="105">
        <f t="shared" si="667"/>
        <v>0</v>
      </c>
      <c r="CK471" s="523"/>
      <c r="CL471" s="102">
        <f t="shared" si="784"/>
        <v>0</v>
      </c>
      <c r="CM471" s="103"/>
      <c r="CN471" s="100"/>
      <c r="CO471" s="100">
        <f t="shared" si="728"/>
        <v>0</v>
      </c>
      <c r="CP471" s="515"/>
      <c r="CQ471" s="441"/>
      <c r="CR471" s="504"/>
      <c r="CS471" s="105"/>
      <c r="CT471" s="105">
        <f t="shared" si="729"/>
        <v>0</v>
      </c>
      <c r="CU471" s="105"/>
      <c r="CV471" s="105"/>
      <c r="CW471" s="105">
        <f t="shared" si="730"/>
        <v>0</v>
      </c>
      <c r="CX471" s="53"/>
      <c r="CY471" s="109">
        <f t="shared" si="731"/>
        <v>0</v>
      </c>
      <c r="CZ471" s="54"/>
      <c r="DA471" s="105"/>
      <c r="DB471" s="455">
        <f t="shared" si="676"/>
        <v>0</v>
      </c>
      <c r="DC471" s="495"/>
      <c r="DD471" s="24"/>
      <c r="DF471" s="1133"/>
      <c r="DG471" s="674">
        <f t="shared" si="757"/>
        <v>0</v>
      </c>
      <c r="DH471" s="1119">
        <f t="shared" si="758"/>
        <v>0</v>
      </c>
      <c r="DI471" s="1119"/>
      <c r="DJ471" s="101">
        <f t="shared" si="716"/>
        <v>25</v>
      </c>
      <c r="DK471" s="101"/>
      <c r="DL471" s="101">
        <f t="shared" si="759"/>
        <v>0</v>
      </c>
      <c r="DM471" s="101"/>
      <c r="DN471" s="112"/>
      <c r="DO471" s="112"/>
      <c r="DP471" s="112"/>
      <c r="DQ471" s="112"/>
      <c r="DS471" s="140"/>
      <c r="DT471" s="140"/>
      <c r="DU471" s="140"/>
      <c r="DV471" s="140"/>
      <c r="DW471" s="140"/>
      <c r="DX471" s="140"/>
      <c r="DY471" s="140"/>
      <c r="DZ471" s="140"/>
    </row>
    <row r="472" spans="1:130" s="139" customFormat="1" ht="21.6" customHeight="1" x14ac:dyDescent="0.25">
      <c r="A472" s="4"/>
      <c r="B472" s="4"/>
      <c r="C472" s="134" t="s">
        <v>368</v>
      </c>
      <c r="D472" s="300" t="s">
        <v>431</v>
      </c>
      <c r="E472" s="2" t="s">
        <v>580</v>
      </c>
      <c r="F472" s="135"/>
      <c r="G472" s="135"/>
      <c r="H472" s="135"/>
      <c r="I472" s="135"/>
      <c r="J472" s="135"/>
      <c r="K472" s="135"/>
      <c r="L472" s="183"/>
      <c r="M472" s="5"/>
      <c r="N472" s="41"/>
      <c r="O472" s="6"/>
      <c r="P472" s="7"/>
      <c r="Q472" s="7"/>
      <c r="R472" s="7"/>
      <c r="S472" s="7"/>
      <c r="T472" s="273"/>
      <c r="U472" s="273"/>
      <c r="V472" s="273">
        <f t="shared" si="771"/>
        <v>0</v>
      </c>
      <c r="W472" s="274"/>
      <c r="X472" s="274"/>
      <c r="Y472" s="275">
        <f t="shared" ref="Y472:Y502" si="788">W472+X472</f>
        <v>0</v>
      </c>
      <c r="Z472" s="91"/>
      <c r="AA472" s="273"/>
      <c r="AB472" s="273"/>
      <c r="AC472" s="273">
        <f t="shared" si="772"/>
        <v>0</v>
      </c>
      <c r="AD472" s="275"/>
      <c r="AE472" s="275"/>
      <c r="AF472" s="276">
        <f t="shared" si="773"/>
        <v>0</v>
      </c>
      <c r="AG472" s="473"/>
      <c r="AH472" s="277">
        <v>396.75</v>
      </c>
      <c r="AI472" s="277">
        <f t="shared" si="785"/>
        <v>26.45</v>
      </c>
      <c r="AJ472" s="138"/>
      <c r="AK472" s="138">
        <f t="shared" si="774"/>
        <v>0</v>
      </c>
      <c r="AL472" s="106"/>
      <c r="AM472" s="105">
        <v>395</v>
      </c>
      <c r="AN472" s="105">
        <f t="shared" si="775"/>
        <v>26.333333333333332</v>
      </c>
      <c r="AO472" s="106"/>
      <c r="AP472" s="105"/>
      <c r="AQ472" s="105">
        <f t="shared" ref="AQ472:AQ507" si="789">AP472/15</f>
        <v>0</v>
      </c>
      <c r="AR472" s="106"/>
      <c r="AS472" s="97">
        <f t="shared" si="786"/>
        <v>26.333333333333332</v>
      </c>
      <c r="AT472" s="6"/>
      <c r="AU472" s="105"/>
      <c r="AV472" s="455">
        <f t="shared" si="724"/>
        <v>0</v>
      </c>
      <c r="AW472" s="496"/>
      <c r="AX472" s="508"/>
      <c r="AY472" s="498"/>
      <c r="AZ472" s="100">
        <f t="shared" si="776"/>
        <v>0</v>
      </c>
      <c r="BA472" s="106"/>
      <c r="BB472" s="105"/>
      <c r="BC472" s="100">
        <f t="shared" si="777"/>
        <v>0</v>
      </c>
      <c r="BD472" s="106"/>
      <c r="BE472" s="105">
        <f t="shared" si="778"/>
        <v>0</v>
      </c>
      <c r="BF472" s="106"/>
      <c r="BG472" s="100">
        <f t="shared" si="755"/>
        <v>26.333333333333332</v>
      </c>
      <c r="BH472" s="106"/>
      <c r="BI472" s="100">
        <f t="shared" si="756"/>
        <v>0</v>
      </c>
      <c r="BJ472" s="106"/>
      <c r="BK472" s="101">
        <f t="shared" si="787"/>
        <v>26.333333333333332</v>
      </c>
      <c r="BL472" s="106"/>
      <c r="BM472" s="52"/>
      <c r="BN472" s="52">
        <f t="shared" si="779"/>
        <v>0</v>
      </c>
      <c r="BO472" s="105"/>
      <c r="BP472" s="105">
        <f t="shared" si="726"/>
        <v>0</v>
      </c>
      <c r="BQ472" s="106"/>
      <c r="BR472" s="105">
        <v>1250</v>
      </c>
      <c r="BS472" s="105">
        <f t="shared" si="780"/>
        <v>25</v>
      </c>
      <c r="BT472" s="106"/>
      <c r="BU472" s="53">
        <v>50</v>
      </c>
      <c r="BV472" s="53">
        <f t="shared" si="781"/>
        <v>1</v>
      </c>
      <c r="BW472" s="54"/>
      <c r="BX472" s="350">
        <f t="shared" si="782"/>
        <v>26</v>
      </c>
      <c r="BY472" s="6"/>
      <c r="BZ472" s="6">
        <f t="shared" si="783"/>
        <v>0.33333333333333215</v>
      </c>
      <c r="CA472" s="508"/>
      <c r="CB472" s="7"/>
      <c r="CC472" s="7"/>
      <c r="CD472" s="7"/>
      <c r="CE472" s="504"/>
      <c r="CF472" s="105"/>
      <c r="CG472" s="105">
        <f t="shared" si="666"/>
        <v>0</v>
      </c>
      <c r="CH472" s="105"/>
      <c r="CI472" s="105"/>
      <c r="CJ472" s="105">
        <f t="shared" si="667"/>
        <v>0</v>
      </c>
      <c r="CK472" s="524"/>
      <c r="CL472" s="53">
        <f t="shared" si="784"/>
        <v>0</v>
      </c>
      <c r="CM472" s="54"/>
      <c r="CN472" s="105"/>
      <c r="CO472" s="100">
        <f t="shared" si="728"/>
        <v>0</v>
      </c>
      <c r="CP472" s="496"/>
      <c r="CQ472" s="439"/>
      <c r="CR472" s="504"/>
      <c r="CS472" s="105"/>
      <c r="CT472" s="105">
        <f t="shared" si="729"/>
        <v>0</v>
      </c>
      <c r="CU472" s="105"/>
      <c r="CV472" s="105"/>
      <c r="CW472" s="105">
        <f t="shared" si="730"/>
        <v>0</v>
      </c>
      <c r="CX472" s="53"/>
      <c r="CY472" s="109">
        <f t="shared" si="731"/>
        <v>0</v>
      </c>
      <c r="CZ472" s="54"/>
      <c r="DA472" s="105"/>
      <c r="DB472" s="455">
        <f t="shared" si="676"/>
        <v>0</v>
      </c>
      <c r="DC472" s="495"/>
      <c r="DD472" s="24"/>
      <c r="DF472" s="1133"/>
      <c r="DG472" s="674">
        <f t="shared" si="757"/>
        <v>0</v>
      </c>
      <c r="DH472" s="1119">
        <f t="shared" si="758"/>
        <v>0</v>
      </c>
      <c r="DI472" s="1119"/>
      <c r="DJ472" s="101">
        <f t="shared" si="716"/>
        <v>26.333333333333332</v>
      </c>
      <c r="DK472" s="101"/>
      <c r="DL472" s="101">
        <f t="shared" si="759"/>
        <v>0</v>
      </c>
      <c r="DM472" s="101"/>
      <c r="DN472" s="112"/>
      <c r="DO472" s="112"/>
      <c r="DP472" s="112"/>
      <c r="DQ472" s="112"/>
      <c r="DS472" s="140"/>
      <c r="DT472" s="140"/>
      <c r="DU472" s="140"/>
      <c r="DV472" s="140"/>
      <c r="DW472" s="140"/>
      <c r="DX472" s="140"/>
      <c r="DY472" s="140"/>
      <c r="DZ472" s="140"/>
    </row>
    <row r="473" spans="1:130" s="139" customFormat="1" ht="21.6" customHeight="1" x14ac:dyDescent="0.25">
      <c r="A473" s="207"/>
      <c r="B473" s="207"/>
      <c r="C473" s="134" t="s">
        <v>368</v>
      </c>
      <c r="D473" s="182" t="s">
        <v>431</v>
      </c>
      <c r="E473" s="16" t="s">
        <v>554</v>
      </c>
      <c r="F473" s="208"/>
      <c r="G473" s="208"/>
      <c r="H473" s="208"/>
      <c r="I473" s="208"/>
      <c r="J473" s="208"/>
      <c r="K473" s="208"/>
      <c r="L473" s="278"/>
      <c r="M473" s="210"/>
      <c r="N473" s="177"/>
      <c r="O473" s="211"/>
      <c r="P473" s="212"/>
      <c r="Q473" s="212"/>
      <c r="R473" s="212"/>
      <c r="S473" s="212"/>
      <c r="T473" s="301"/>
      <c r="U473" s="301"/>
      <c r="V473" s="301">
        <f t="shared" si="771"/>
        <v>0</v>
      </c>
      <c r="W473" s="302"/>
      <c r="X473" s="302"/>
      <c r="Y473" s="303">
        <f t="shared" si="788"/>
        <v>0</v>
      </c>
      <c r="Z473" s="216"/>
      <c r="AA473" s="301"/>
      <c r="AB473" s="301"/>
      <c r="AC473" s="301">
        <f t="shared" si="772"/>
        <v>0</v>
      </c>
      <c r="AD473" s="303"/>
      <c r="AE473" s="303"/>
      <c r="AF473" s="304">
        <f t="shared" si="773"/>
        <v>0</v>
      </c>
      <c r="AG473" s="477"/>
      <c r="AH473" s="262"/>
      <c r="AI473" s="99">
        <f t="shared" si="785"/>
        <v>0</v>
      </c>
      <c r="AJ473" s="221"/>
      <c r="AK473" s="221">
        <f t="shared" si="774"/>
        <v>0</v>
      </c>
      <c r="AL473" s="264"/>
      <c r="AM473" s="221"/>
      <c r="AN473" s="221">
        <f t="shared" si="775"/>
        <v>0</v>
      </c>
      <c r="AO473" s="264"/>
      <c r="AP473" s="221"/>
      <c r="AQ473" s="221">
        <f t="shared" si="789"/>
        <v>0</v>
      </c>
      <c r="AR473" s="264"/>
      <c r="AS473" s="97">
        <f t="shared" si="786"/>
        <v>0</v>
      </c>
      <c r="AT473" s="211"/>
      <c r="AU473" s="221"/>
      <c r="AV473" s="455">
        <f t="shared" si="724"/>
        <v>0</v>
      </c>
      <c r="AW473" s="490"/>
      <c r="AX473" s="511"/>
      <c r="AY473" s="500">
        <v>1175</v>
      </c>
      <c r="AZ473" s="263">
        <f t="shared" si="776"/>
        <v>78.333333333333329</v>
      </c>
      <c r="BA473" s="493"/>
      <c r="BB473" s="263"/>
      <c r="BC473" s="263">
        <f t="shared" si="777"/>
        <v>0</v>
      </c>
      <c r="BD473" s="493"/>
      <c r="BE473" s="105">
        <f t="shared" si="778"/>
        <v>78.333333333333329</v>
      </c>
      <c r="BF473" s="264"/>
      <c r="BG473" s="100">
        <f t="shared" si="755"/>
        <v>0</v>
      </c>
      <c r="BH473" s="264"/>
      <c r="BI473" s="100">
        <f t="shared" si="756"/>
        <v>0</v>
      </c>
      <c r="BJ473" s="264"/>
      <c r="BK473" s="101">
        <f t="shared" si="787"/>
        <v>78.333333333333329</v>
      </c>
      <c r="BL473" s="264"/>
      <c r="BM473" s="262">
        <v>3925</v>
      </c>
      <c r="BN473" s="262">
        <f t="shared" si="779"/>
        <v>78.5</v>
      </c>
      <c r="BO473" s="221">
        <v>3900</v>
      </c>
      <c r="BP473" s="221">
        <f t="shared" si="726"/>
        <v>78</v>
      </c>
      <c r="BQ473" s="264"/>
      <c r="BR473" s="221"/>
      <c r="BS473" s="221">
        <f t="shared" si="780"/>
        <v>0</v>
      </c>
      <c r="BT473" s="264"/>
      <c r="BU473" s="256"/>
      <c r="BV473" s="256">
        <f t="shared" si="781"/>
        <v>0</v>
      </c>
      <c r="BW473" s="265"/>
      <c r="BX473" s="350">
        <f t="shared" si="782"/>
        <v>78</v>
      </c>
      <c r="BY473" s="211"/>
      <c r="BZ473" s="211">
        <f t="shared" si="783"/>
        <v>0.3333333333333286</v>
      </c>
      <c r="CA473" s="511"/>
      <c r="CB473" s="212"/>
      <c r="CC473" s="212"/>
      <c r="CD473" s="212"/>
      <c r="CE473" s="500"/>
      <c r="CF473" s="221"/>
      <c r="CG473" s="221">
        <f t="shared" si="666"/>
        <v>0</v>
      </c>
      <c r="CH473" s="221"/>
      <c r="CI473" s="221"/>
      <c r="CJ473" s="221">
        <f t="shared" si="667"/>
        <v>0</v>
      </c>
      <c r="CK473" s="531"/>
      <c r="CL473" s="289">
        <f t="shared" si="784"/>
        <v>0</v>
      </c>
      <c r="CM473" s="290"/>
      <c r="CN473" s="263"/>
      <c r="CO473" s="100">
        <f t="shared" si="728"/>
        <v>0</v>
      </c>
      <c r="CP473" s="540"/>
      <c r="CQ473" s="543"/>
      <c r="CR473" s="500"/>
      <c r="CS473" s="221"/>
      <c r="CT473" s="221">
        <f t="shared" si="729"/>
        <v>0</v>
      </c>
      <c r="CU473" s="221"/>
      <c r="CV473" s="221"/>
      <c r="CW473" s="221">
        <f t="shared" si="730"/>
        <v>0</v>
      </c>
      <c r="CX473" s="256"/>
      <c r="CY473" s="109">
        <f t="shared" si="731"/>
        <v>0</v>
      </c>
      <c r="CZ473" s="265"/>
      <c r="DA473" s="221"/>
      <c r="DB473" s="455">
        <f t="shared" si="676"/>
        <v>0</v>
      </c>
      <c r="DC473" s="495"/>
      <c r="DD473" s="32"/>
      <c r="DE473" s="222"/>
      <c r="DF473" s="1133"/>
      <c r="DG473" s="674">
        <f t="shared" si="757"/>
        <v>0</v>
      </c>
      <c r="DH473" s="1119">
        <f t="shared" si="758"/>
        <v>0</v>
      </c>
      <c r="DI473" s="1119"/>
      <c r="DJ473" s="101">
        <f t="shared" si="716"/>
        <v>78.333333333333329</v>
      </c>
      <c r="DK473" s="101"/>
      <c r="DL473" s="101">
        <f t="shared" si="759"/>
        <v>0</v>
      </c>
      <c r="DM473" s="101"/>
      <c r="DN473" s="112"/>
      <c r="DO473" s="112"/>
      <c r="DP473" s="112"/>
      <c r="DQ473" s="112"/>
      <c r="DR473" s="222"/>
      <c r="DS473" s="223"/>
      <c r="DT473" s="223"/>
      <c r="DU473" s="223"/>
      <c r="DV473" s="140"/>
      <c r="DW473" s="140"/>
      <c r="DX473" s="140"/>
      <c r="DY473" s="140"/>
      <c r="DZ473" s="140"/>
    </row>
    <row r="474" spans="1:130" s="139" customFormat="1" ht="33" customHeight="1" x14ac:dyDescent="0.25">
      <c r="A474" s="4"/>
      <c r="B474" s="4"/>
      <c r="C474" s="134" t="s">
        <v>368</v>
      </c>
      <c r="D474" s="182" t="s">
        <v>489</v>
      </c>
      <c r="E474" s="3" t="s">
        <v>553</v>
      </c>
      <c r="F474" s="135"/>
      <c r="G474" s="135"/>
      <c r="H474" s="135"/>
      <c r="I474" s="135"/>
      <c r="J474" s="135"/>
      <c r="K474" s="135"/>
      <c r="L474" s="183"/>
      <c r="M474" s="5"/>
      <c r="N474" s="41"/>
      <c r="O474" s="6"/>
      <c r="P474" s="7"/>
      <c r="Q474" s="7"/>
      <c r="R474" s="7"/>
      <c r="S474" s="7"/>
      <c r="T474" s="273"/>
      <c r="U474" s="273"/>
      <c r="V474" s="273">
        <f t="shared" si="771"/>
        <v>0</v>
      </c>
      <c r="W474" s="274"/>
      <c r="X474" s="274"/>
      <c r="Y474" s="275">
        <f t="shared" si="788"/>
        <v>0</v>
      </c>
      <c r="Z474" s="91"/>
      <c r="AA474" s="273"/>
      <c r="AB474" s="273"/>
      <c r="AC474" s="273">
        <f t="shared" si="772"/>
        <v>0</v>
      </c>
      <c r="AD474" s="275"/>
      <c r="AE474" s="275"/>
      <c r="AF474" s="276">
        <f t="shared" si="773"/>
        <v>0</v>
      </c>
      <c r="AG474" s="473"/>
      <c r="AH474" s="277">
        <v>150</v>
      </c>
      <c r="AI474" s="277">
        <f t="shared" si="785"/>
        <v>10</v>
      </c>
      <c r="AJ474" s="138">
        <v>150</v>
      </c>
      <c r="AK474" s="138">
        <f t="shared" si="774"/>
        <v>10</v>
      </c>
      <c r="AL474" s="106"/>
      <c r="AM474" s="105"/>
      <c r="AN474" s="105">
        <f t="shared" si="775"/>
        <v>0</v>
      </c>
      <c r="AO474" s="106"/>
      <c r="AP474" s="105"/>
      <c r="AQ474" s="105">
        <f t="shared" si="789"/>
        <v>0</v>
      </c>
      <c r="AR474" s="106"/>
      <c r="AS474" s="97">
        <f t="shared" si="786"/>
        <v>10</v>
      </c>
      <c r="AT474" s="6"/>
      <c r="AU474" s="105"/>
      <c r="AV474" s="455">
        <f t="shared" si="724"/>
        <v>0</v>
      </c>
      <c r="AW474" s="496"/>
      <c r="AX474" s="508"/>
      <c r="AY474" s="498">
        <v>155</v>
      </c>
      <c r="AZ474" s="100">
        <f t="shared" si="776"/>
        <v>10.333333333333334</v>
      </c>
      <c r="BA474" s="101"/>
      <c r="BB474" s="100"/>
      <c r="BC474" s="100">
        <f t="shared" si="777"/>
        <v>0</v>
      </c>
      <c r="BD474" s="101"/>
      <c r="BE474" s="105">
        <f t="shared" si="778"/>
        <v>20.333333333333336</v>
      </c>
      <c r="BF474" s="106"/>
      <c r="BG474" s="100">
        <f t="shared" si="755"/>
        <v>0</v>
      </c>
      <c r="BH474" s="106"/>
      <c r="BI474" s="100">
        <f t="shared" si="756"/>
        <v>0</v>
      </c>
      <c r="BJ474" s="106"/>
      <c r="BK474" s="101">
        <f t="shared" si="787"/>
        <v>20.333333333333336</v>
      </c>
      <c r="BL474" s="106"/>
      <c r="BM474" s="52">
        <f>525+500</f>
        <v>1025</v>
      </c>
      <c r="BN474" s="52">
        <f t="shared" si="779"/>
        <v>20.5</v>
      </c>
      <c r="BO474" s="105">
        <v>1000</v>
      </c>
      <c r="BP474" s="105">
        <f t="shared" si="726"/>
        <v>20</v>
      </c>
      <c r="BQ474" s="106"/>
      <c r="BR474" s="105"/>
      <c r="BS474" s="105">
        <f t="shared" si="780"/>
        <v>0</v>
      </c>
      <c r="BT474" s="106"/>
      <c r="BU474" s="53"/>
      <c r="BV474" s="53">
        <f t="shared" si="781"/>
        <v>0</v>
      </c>
      <c r="BW474" s="54"/>
      <c r="BX474" s="350">
        <f t="shared" si="782"/>
        <v>20</v>
      </c>
      <c r="BY474" s="6"/>
      <c r="BZ474" s="6">
        <f t="shared" si="783"/>
        <v>0.3333333333333357</v>
      </c>
      <c r="CA474" s="508"/>
      <c r="CB474" s="7"/>
      <c r="CC474" s="7"/>
      <c r="CD474" s="7"/>
      <c r="CE474" s="504"/>
      <c r="CF474" s="105"/>
      <c r="CG474" s="105">
        <f t="shared" si="666"/>
        <v>0</v>
      </c>
      <c r="CH474" s="105"/>
      <c r="CI474" s="105"/>
      <c r="CJ474" s="105">
        <f t="shared" si="667"/>
        <v>0</v>
      </c>
      <c r="CK474" s="523"/>
      <c r="CL474" s="102">
        <f t="shared" si="784"/>
        <v>0</v>
      </c>
      <c r="CM474" s="103"/>
      <c r="CN474" s="100"/>
      <c r="CO474" s="100">
        <f t="shared" si="728"/>
        <v>0</v>
      </c>
      <c r="CP474" s="515"/>
      <c r="CQ474" s="441"/>
      <c r="CR474" s="504"/>
      <c r="CS474" s="105"/>
      <c r="CT474" s="105">
        <f t="shared" si="729"/>
        <v>0</v>
      </c>
      <c r="CU474" s="105"/>
      <c r="CV474" s="105"/>
      <c r="CW474" s="105">
        <f t="shared" si="730"/>
        <v>0</v>
      </c>
      <c r="CX474" s="53"/>
      <c r="CY474" s="109">
        <f t="shared" si="731"/>
        <v>0</v>
      </c>
      <c r="CZ474" s="54"/>
      <c r="DA474" s="105"/>
      <c r="DB474" s="455">
        <f t="shared" si="676"/>
        <v>0</v>
      </c>
      <c r="DC474" s="495"/>
      <c r="DD474" s="24"/>
      <c r="DF474" s="1133"/>
      <c r="DG474" s="674">
        <f t="shared" si="757"/>
        <v>0</v>
      </c>
      <c r="DH474" s="1119">
        <f t="shared" si="758"/>
        <v>0</v>
      </c>
      <c r="DI474" s="1119"/>
      <c r="DJ474" s="101">
        <f t="shared" si="716"/>
        <v>20.333333333333336</v>
      </c>
      <c r="DK474" s="101"/>
      <c r="DL474" s="101">
        <f t="shared" si="759"/>
        <v>0</v>
      </c>
      <c r="DM474" s="101"/>
      <c r="DN474" s="112"/>
      <c r="DO474" s="112"/>
      <c r="DP474" s="112"/>
      <c r="DQ474" s="112"/>
      <c r="DS474" s="140"/>
      <c r="DT474" s="140"/>
      <c r="DU474" s="140"/>
      <c r="DV474" s="140"/>
      <c r="DW474" s="140"/>
      <c r="DX474" s="140"/>
      <c r="DY474" s="140"/>
      <c r="DZ474" s="140"/>
    </row>
    <row r="475" spans="1:130" s="222" customFormat="1" ht="21.6" customHeight="1" x14ac:dyDescent="0.25">
      <c r="A475" s="4"/>
      <c r="B475" s="4"/>
      <c r="C475" s="134" t="s">
        <v>368</v>
      </c>
      <c r="D475" s="182" t="s">
        <v>489</v>
      </c>
      <c r="E475" s="3" t="s">
        <v>565</v>
      </c>
      <c r="F475" s="135"/>
      <c r="G475" s="135"/>
      <c r="H475" s="135"/>
      <c r="I475" s="135"/>
      <c r="J475" s="135"/>
      <c r="K475" s="135"/>
      <c r="L475" s="183"/>
      <c r="M475" s="5"/>
      <c r="N475" s="41"/>
      <c r="O475" s="6"/>
      <c r="P475" s="7"/>
      <c r="Q475" s="7"/>
      <c r="R475" s="7"/>
      <c r="S475" s="7"/>
      <c r="T475" s="273"/>
      <c r="U475" s="273"/>
      <c r="V475" s="273">
        <f t="shared" si="771"/>
        <v>0</v>
      </c>
      <c r="W475" s="274"/>
      <c r="X475" s="274"/>
      <c r="Y475" s="275">
        <f t="shared" si="788"/>
        <v>0</v>
      </c>
      <c r="Z475" s="91"/>
      <c r="AA475" s="273"/>
      <c r="AB475" s="273"/>
      <c r="AC475" s="273">
        <f t="shared" si="772"/>
        <v>0</v>
      </c>
      <c r="AD475" s="275"/>
      <c r="AE475" s="275"/>
      <c r="AF475" s="276">
        <f t="shared" si="773"/>
        <v>0</v>
      </c>
      <c r="AG475" s="473"/>
      <c r="AH475" s="277"/>
      <c r="AI475" s="99">
        <f t="shared" si="785"/>
        <v>0</v>
      </c>
      <c r="AJ475" s="138"/>
      <c r="AK475" s="138">
        <f t="shared" si="774"/>
        <v>0</v>
      </c>
      <c r="AL475" s="106"/>
      <c r="AM475" s="105"/>
      <c r="AN475" s="105">
        <f t="shared" si="775"/>
        <v>0</v>
      </c>
      <c r="AO475" s="106"/>
      <c r="AP475" s="105"/>
      <c r="AQ475" s="105">
        <f t="shared" si="789"/>
        <v>0</v>
      </c>
      <c r="AR475" s="106"/>
      <c r="AS475" s="97">
        <f t="shared" si="786"/>
        <v>0</v>
      </c>
      <c r="AT475" s="6"/>
      <c r="AU475" s="105"/>
      <c r="AV475" s="455">
        <f t="shared" si="724"/>
        <v>0</v>
      </c>
      <c r="AW475" s="496"/>
      <c r="AX475" s="508"/>
      <c r="AY475" s="498">
        <v>230</v>
      </c>
      <c r="AZ475" s="100">
        <f t="shared" si="776"/>
        <v>15.333333333333334</v>
      </c>
      <c r="BA475" s="101"/>
      <c r="BB475" s="100"/>
      <c r="BC475" s="100">
        <f t="shared" si="777"/>
        <v>0</v>
      </c>
      <c r="BD475" s="101"/>
      <c r="BE475" s="105">
        <f t="shared" si="778"/>
        <v>15.333333333333334</v>
      </c>
      <c r="BF475" s="106"/>
      <c r="BG475" s="100">
        <f t="shared" si="755"/>
        <v>0</v>
      </c>
      <c r="BH475" s="106"/>
      <c r="BI475" s="100">
        <f t="shared" si="756"/>
        <v>0</v>
      </c>
      <c r="BJ475" s="106"/>
      <c r="BK475" s="101">
        <f t="shared" si="787"/>
        <v>15.333333333333334</v>
      </c>
      <c r="BL475" s="106"/>
      <c r="BM475" s="52">
        <v>780</v>
      </c>
      <c r="BN475" s="52">
        <f t="shared" si="779"/>
        <v>15.6</v>
      </c>
      <c r="BO475" s="105">
        <v>750</v>
      </c>
      <c r="BP475" s="105">
        <f t="shared" si="726"/>
        <v>15</v>
      </c>
      <c r="BQ475" s="106"/>
      <c r="BR475" s="105"/>
      <c r="BS475" s="105">
        <f t="shared" si="780"/>
        <v>0</v>
      </c>
      <c r="BT475" s="106"/>
      <c r="BU475" s="53"/>
      <c r="BV475" s="53">
        <f t="shared" si="781"/>
        <v>0</v>
      </c>
      <c r="BW475" s="54"/>
      <c r="BX475" s="350">
        <f t="shared" si="782"/>
        <v>15</v>
      </c>
      <c r="BY475" s="6"/>
      <c r="BZ475" s="6">
        <f t="shared" si="783"/>
        <v>0.33333333333333393</v>
      </c>
      <c r="CA475" s="508"/>
      <c r="CB475" s="7"/>
      <c r="CC475" s="7"/>
      <c r="CD475" s="7"/>
      <c r="CE475" s="504"/>
      <c r="CF475" s="105"/>
      <c r="CG475" s="105">
        <f t="shared" si="666"/>
        <v>0</v>
      </c>
      <c r="CH475" s="105"/>
      <c r="CI475" s="105"/>
      <c r="CJ475" s="105">
        <f t="shared" si="667"/>
        <v>0</v>
      </c>
      <c r="CK475" s="523"/>
      <c r="CL475" s="102">
        <f t="shared" si="784"/>
        <v>0</v>
      </c>
      <c r="CM475" s="103"/>
      <c r="CN475" s="100"/>
      <c r="CO475" s="100">
        <f t="shared" si="728"/>
        <v>0</v>
      </c>
      <c r="CP475" s="515"/>
      <c r="CQ475" s="441"/>
      <c r="CR475" s="504"/>
      <c r="CS475" s="105"/>
      <c r="CT475" s="105">
        <f t="shared" si="729"/>
        <v>0</v>
      </c>
      <c r="CU475" s="105"/>
      <c r="CV475" s="105"/>
      <c r="CW475" s="105">
        <f t="shared" si="730"/>
        <v>0</v>
      </c>
      <c r="CX475" s="53"/>
      <c r="CY475" s="109">
        <f t="shared" si="731"/>
        <v>0</v>
      </c>
      <c r="CZ475" s="54"/>
      <c r="DA475" s="105"/>
      <c r="DB475" s="455">
        <f t="shared" si="676"/>
        <v>0</v>
      </c>
      <c r="DC475" s="495"/>
      <c r="DD475" s="24"/>
      <c r="DE475" s="139"/>
      <c r="DF475" s="1133"/>
      <c r="DG475" s="674">
        <f t="shared" si="757"/>
        <v>0</v>
      </c>
      <c r="DH475" s="1119">
        <f t="shared" si="758"/>
        <v>0</v>
      </c>
      <c r="DI475" s="1119"/>
      <c r="DJ475" s="101">
        <f t="shared" si="716"/>
        <v>15.333333333333334</v>
      </c>
      <c r="DK475" s="101"/>
      <c r="DL475" s="101">
        <f t="shared" si="759"/>
        <v>0</v>
      </c>
      <c r="DM475" s="101"/>
      <c r="DN475" s="112"/>
      <c r="DO475" s="112"/>
      <c r="DP475" s="112"/>
      <c r="DQ475" s="112"/>
      <c r="DR475" s="139"/>
      <c r="DS475" s="140"/>
      <c r="DT475" s="140"/>
      <c r="DU475" s="140"/>
      <c r="DV475" s="223"/>
      <c r="DW475" s="223"/>
      <c r="DX475" s="223"/>
      <c r="DY475" s="223"/>
      <c r="DZ475" s="223"/>
    </row>
    <row r="476" spans="1:130" s="139" customFormat="1" ht="21.6" customHeight="1" x14ac:dyDescent="0.25">
      <c r="A476" s="4"/>
      <c r="B476" s="4"/>
      <c r="C476" s="134" t="s">
        <v>368</v>
      </c>
      <c r="D476" s="182" t="s">
        <v>431</v>
      </c>
      <c r="E476" s="3" t="s">
        <v>555</v>
      </c>
      <c r="F476" s="135"/>
      <c r="G476" s="135"/>
      <c r="H476" s="135"/>
      <c r="I476" s="135"/>
      <c r="J476" s="135"/>
      <c r="K476" s="135"/>
      <c r="L476" s="183"/>
      <c r="M476" s="5"/>
      <c r="N476" s="41"/>
      <c r="O476" s="6"/>
      <c r="P476" s="7"/>
      <c r="Q476" s="7"/>
      <c r="R476" s="7"/>
      <c r="S476" s="7"/>
      <c r="T476" s="273"/>
      <c r="U476" s="273"/>
      <c r="V476" s="273">
        <f t="shared" si="771"/>
        <v>0</v>
      </c>
      <c r="W476" s="274"/>
      <c r="X476" s="274"/>
      <c r="Y476" s="275">
        <f t="shared" si="788"/>
        <v>0</v>
      </c>
      <c r="Z476" s="91"/>
      <c r="AA476" s="273"/>
      <c r="AB476" s="273"/>
      <c r="AC476" s="273">
        <f t="shared" si="772"/>
        <v>0</v>
      </c>
      <c r="AD476" s="275"/>
      <c r="AE476" s="275"/>
      <c r="AF476" s="276">
        <f t="shared" si="773"/>
        <v>0</v>
      </c>
      <c r="AG476" s="473"/>
      <c r="AH476" s="277"/>
      <c r="AI476" s="99">
        <f t="shared" si="785"/>
        <v>0</v>
      </c>
      <c r="AJ476" s="138"/>
      <c r="AK476" s="138">
        <f t="shared" si="774"/>
        <v>0</v>
      </c>
      <c r="AL476" s="106"/>
      <c r="AM476" s="105"/>
      <c r="AN476" s="105">
        <f t="shared" si="775"/>
        <v>0</v>
      </c>
      <c r="AO476" s="106"/>
      <c r="AP476" s="105"/>
      <c r="AQ476" s="105">
        <f t="shared" si="789"/>
        <v>0</v>
      </c>
      <c r="AR476" s="106"/>
      <c r="AS476" s="97">
        <f t="shared" si="786"/>
        <v>0</v>
      </c>
      <c r="AT476" s="6"/>
      <c r="AU476" s="105"/>
      <c r="AV476" s="455">
        <f t="shared" si="724"/>
        <v>0</v>
      </c>
      <c r="AW476" s="496"/>
      <c r="AX476" s="508"/>
      <c r="AY476" s="498">
        <v>255</v>
      </c>
      <c r="AZ476" s="100">
        <f t="shared" si="776"/>
        <v>17</v>
      </c>
      <c r="BA476" s="101"/>
      <c r="BB476" s="100"/>
      <c r="BC476" s="100">
        <f t="shared" si="777"/>
        <v>0</v>
      </c>
      <c r="BD476" s="101"/>
      <c r="BE476" s="105">
        <f t="shared" si="778"/>
        <v>17</v>
      </c>
      <c r="BF476" s="106"/>
      <c r="BG476" s="100">
        <f t="shared" si="755"/>
        <v>0</v>
      </c>
      <c r="BH476" s="106"/>
      <c r="BI476" s="100">
        <f t="shared" si="756"/>
        <v>0</v>
      </c>
      <c r="BJ476" s="106"/>
      <c r="BK476" s="101">
        <f t="shared" si="787"/>
        <v>17</v>
      </c>
      <c r="BL476" s="106"/>
      <c r="BM476" s="52">
        <v>860</v>
      </c>
      <c r="BN476" s="52">
        <f t="shared" si="779"/>
        <v>17.2</v>
      </c>
      <c r="BO476" s="105">
        <v>850</v>
      </c>
      <c r="BP476" s="105">
        <f t="shared" si="726"/>
        <v>17</v>
      </c>
      <c r="BQ476" s="106"/>
      <c r="BR476" s="105"/>
      <c r="BS476" s="105">
        <f t="shared" si="780"/>
        <v>0</v>
      </c>
      <c r="BT476" s="106"/>
      <c r="BU476" s="53"/>
      <c r="BV476" s="53">
        <f t="shared" si="781"/>
        <v>0</v>
      </c>
      <c r="BW476" s="54"/>
      <c r="BX476" s="350">
        <f t="shared" si="782"/>
        <v>17</v>
      </c>
      <c r="BY476" s="6"/>
      <c r="BZ476" s="6">
        <f t="shared" si="783"/>
        <v>0</v>
      </c>
      <c r="CA476" s="508"/>
      <c r="CB476" s="7"/>
      <c r="CC476" s="7"/>
      <c r="CD476" s="7"/>
      <c r="CE476" s="504"/>
      <c r="CF476" s="105"/>
      <c r="CG476" s="105">
        <f t="shared" si="666"/>
        <v>0</v>
      </c>
      <c r="CH476" s="105"/>
      <c r="CI476" s="105"/>
      <c r="CJ476" s="105">
        <f t="shared" si="667"/>
        <v>0</v>
      </c>
      <c r="CK476" s="523"/>
      <c r="CL476" s="102">
        <f t="shared" si="784"/>
        <v>0</v>
      </c>
      <c r="CM476" s="103"/>
      <c r="CN476" s="100"/>
      <c r="CO476" s="100">
        <f t="shared" si="728"/>
        <v>0</v>
      </c>
      <c r="CP476" s="515"/>
      <c r="CQ476" s="441"/>
      <c r="CR476" s="504"/>
      <c r="CS476" s="105"/>
      <c r="CT476" s="105">
        <f t="shared" si="729"/>
        <v>0</v>
      </c>
      <c r="CU476" s="105"/>
      <c r="CV476" s="105"/>
      <c r="CW476" s="105">
        <f t="shared" si="730"/>
        <v>0</v>
      </c>
      <c r="CX476" s="53"/>
      <c r="CY476" s="109">
        <f t="shared" si="731"/>
        <v>0</v>
      </c>
      <c r="CZ476" s="54"/>
      <c r="DA476" s="105"/>
      <c r="DB476" s="455">
        <f t="shared" ref="DB476:DB511" si="790">DA476/15</f>
        <v>0</v>
      </c>
      <c r="DC476" s="495"/>
      <c r="DD476" s="24"/>
      <c r="DF476" s="1133"/>
      <c r="DG476" s="674">
        <f t="shared" si="757"/>
        <v>0</v>
      </c>
      <c r="DH476" s="1119">
        <f t="shared" si="758"/>
        <v>0</v>
      </c>
      <c r="DI476" s="1119"/>
      <c r="DJ476" s="101">
        <f t="shared" si="716"/>
        <v>17</v>
      </c>
      <c r="DK476" s="101"/>
      <c r="DL476" s="101">
        <f t="shared" si="759"/>
        <v>0</v>
      </c>
      <c r="DM476" s="101"/>
      <c r="DN476" s="112"/>
      <c r="DO476" s="112"/>
      <c r="DP476" s="112"/>
      <c r="DQ476" s="112"/>
      <c r="DS476" s="140"/>
      <c r="DT476" s="140"/>
      <c r="DU476" s="140"/>
      <c r="DV476" s="140"/>
      <c r="DW476" s="140"/>
      <c r="DX476" s="140"/>
      <c r="DY476" s="140"/>
      <c r="DZ476" s="140"/>
    </row>
    <row r="477" spans="1:130" s="139" customFormat="1" ht="21.6" customHeight="1" x14ac:dyDescent="0.25">
      <c r="A477" s="4"/>
      <c r="B477" s="4"/>
      <c r="C477" s="134" t="s">
        <v>368</v>
      </c>
      <c r="D477" s="182" t="s">
        <v>431</v>
      </c>
      <c r="E477" s="3" t="s">
        <v>556</v>
      </c>
      <c r="F477" s="135"/>
      <c r="G477" s="135"/>
      <c r="H477" s="135"/>
      <c r="I477" s="135"/>
      <c r="J477" s="135"/>
      <c r="K477" s="135"/>
      <c r="L477" s="183"/>
      <c r="M477" s="5"/>
      <c r="N477" s="41"/>
      <c r="O477" s="6"/>
      <c r="P477" s="7"/>
      <c r="Q477" s="7"/>
      <c r="R477" s="7"/>
      <c r="S477" s="7"/>
      <c r="T477" s="273"/>
      <c r="U477" s="273"/>
      <c r="V477" s="273">
        <f t="shared" si="771"/>
        <v>0</v>
      </c>
      <c r="W477" s="274"/>
      <c r="X477" s="274"/>
      <c r="Y477" s="275">
        <f t="shared" si="788"/>
        <v>0</v>
      </c>
      <c r="Z477" s="91"/>
      <c r="AA477" s="273"/>
      <c r="AB477" s="273"/>
      <c r="AC477" s="273">
        <f t="shared" si="772"/>
        <v>0</v>
      </c>
      <c r="AD477" s="275"/>
      <c r="AE477" s="275"/>
      <c r="AF477" s="276">
        <f t="shared" si="773"/>
        <v>0</v>
      </c>
      <c r="AG477" s="473"/>
      <c r="AH477" s="277"/>
      <c r="AI477" s="99">
        <f t="shared" si="785"/>
        <v>0</v>
      </c>
      <c r="AJ477" s="138"/>
      <c r="AK477" s="138">
        <f t="shared" si="774"/>
        <v>0</v>
      </c>
      <c r="AL477" s="106"/>
      <c r="AM477" s="105"/>
      <c r="AN477" s="105">
        <f t="shared" si="775"/>
        <v>0</v>
      </c>
      <c r="AO477" s="106"/>
      <c r="AP477" s="105"/>
      <c r="AQ477" s="105">
        <f t="shared" si="789"/>
        <v>0</v>
      </c>
      <c r="AR477" s="106"/>
      <c r="AS477" s="97">
        <f t="shared" si="786"/>
        <v>0</v>
      </c>
      <c r="AT477" s="6"/>
      <c r="AU477" s="105"/>
      <c r="AV477" s="455">
        <f t="shared" si="724"/>
        <v>0</v>
      </c>
      <c r="AW477" s="496"/>
      <c r="AX477" s="508"/>
      <c r="AY477" s="498">
        <v>110</v>
      </c>
      <c r="AZ477" s="100">
        <f t="shared" si="776"/>
        <v>7.333333333333333</v>
      </c>
      <c r="BA477" s="101"/>
      <c r="BB477" s="100"/>
      <c r="BC477" s="100">
        <f t="shared" si="777"/>
        <v>0</v>
      </c>
      <c r="BD477" s="101"/>
      <c r="BE477" s="105">
        <f t="shared" si="778"/>
        <v>7.333333333333333</v>
      </c>
      <c r="BF477" s="106"/>
      <c r="BG477" s="100">
        <f t="shared" si="755"/>
        <v>0</v>
      </c>
      <c r="BH477" s="106"/>
      <c r="BI477" s="100">
        <f t="shared" si="756"/>
        <v>0</v>
      </c>
      <c r="BJ477" s="106"/>
      <c r="BK477" s="101">
        <f t="shared" si="787"/>
        <v>7.333333333333333</v>
      </c>
      <c r="BL477" s="106"/>
      <c r="BM477" s="52">
        <v>375</v>
      </c>
      <c r="BN477" s="52">
        <f t="shared" si="779"/>
        <v>7.5</v>
      </c>
      <c r="BO477" s="105">
        <v>350</v>
      </c>
      <c r="BP477" s="105">
        <f t="shared" si="726"/>
        <v>7</v>
      </c>
      <c r="BQ477" s="106"/>
      <c r="BR477" s="105"/>
      <c r="BS477" s="105">
        <f t="shared" si="780"/>
        <v>0</v>
      </c>
      <c r="BT477" s="106"/>
      <c r="BU477" s="53"/>
      <c r="BV477" s="53">
        <f t="shared" si="781"/>
        <v>0</v>
      </c>
      <c r="BW477" s="54"/>
      <c r="BX477" s="350">
        <f t="shared" si="782"/>
        <v>7</v>
      </c>
      <c r="BY477" s="6"/>
      <c r="BZ477" s="6">
        <f t="shared" si="783"/>
        <v>0.33333333333333304</v>
      </c>
      <c r="CA477" s="508"/>
      <c r="CB477" s="7"/>
      <c r="CC477" s="7"/>
      <c r="CD477" s="7"/>
      <c r="CE477" s="504"/>
      <c r="CF477" s="105"/>
      <c r="CG477" s="105">
        <f t="shared" ref="CG477:CG511" si="791">CE477+CF477</f>
        <v>0</v>
      </c>
      <c r="CH477" s="105"/>
      <c r="CI477" s="105"/>
      <c r="CJ477" s="105">
        <f t="shared" ref="CJ477:CJ511" si="792">CH477+CI477</f>
        <v>0</v>
      </c>
      <c r="CK477" s="523"/>
      <c r="CL477" s="102">
        <f t="shared" si="784"/>
        <v>0</v>
      </c>
      <c r="CM477" s="103"/>
      <c r="CN477" s="100"/>
      <c r="CO477" s="100">
        <f t="shared" si="728"/>
        <v>0</v>
      </c>
      <c r="CP477" s="515"/>
      <c r="CQ477" s="441"/>
      <c r="CR477" s="504"/>
      <c r="CS477" s="105"/>
      <c r="CT477" s="105">
        <f t="shared" si="729"/>
        <v>0</v>
      </c>
      <c r="CU477" s="105"/>
      <c r="CV477" s="105"/>
      <c r="CW477" s="105">
        <f t="shared" si="730"/>
        <v>0</v>
      </c>
      <c r="CX477" s="53"/>
      <c r="CY477" s="109">
        <f t="shared" si="731"/>
        <v>0</v>
      </c>
      <c r="CZ477" s="54"/>
      <c r="DA477" s="105"/>
      <c r="DB477" s="455">
        <f t="shared" si="790"/>
        <v>0</v>
      </c>
      <c r="DC477" s="495"/>
      <c r="DD477" s="24"/>
      <c r="DF477" s="1133"/>
      <c r="DG477" s="674">
        <f t="shared" si="757"/>
        <v>0</v>
      </c>
      <c r="DH477" s="1119">
        <f t="shared" si="758"/>
        <v>0</v>
      </c>
      <c r="DI477" s="1119"/>
      <c r="DJ477" s="101">
        <f t="shared" si="716"/>
        <v>7.333333333333333</v>
      </c>
      <c r="DK477" s="101"/>
      <c r="DL477" s="101">
        <f t="shared" si="759"/>
        <v>0</v>
      </c>
      <c r="DM477" s="101"/>
      <c r="DN477" s="112"/>
      <c r="DO477" s="112"/>
      <c r="DP477" s="112"/>
      <c r="DQ477" s="112"/>
      <c r="DS477" s="140"/>
      <c r="DT477" s="140"/>
      <c r="DU477" s="140"/>
      <c r="DV477" s="140"/>
      <c r="DW477" s="140"/>
      <c r="DX477" s="140"/>
      <c r="DY477" s="140"/>
      <c r="DZ477" s="140"/>
    </row>
    <row r="478" spans="1:130" s="139" customFormat="1" ht="27" customHeight="1" x14ac:dyDescent="0.25">
      <c r="A478" s="4"/>
      <c r="B478" s="4"/>
      <c r="C478" s="134" t="s">
        <v>368</v>
      </c>
      <c r="D478" s="182" t="s">
        <v>431</v>
      </c>
      <c r="E478" s="3" t="s">
        <v>557</v>
      </c>
      <c r="F478" s="135"/>
      <c r="G478" s="135"/>
      <c r="H478" s="135"/>
      <c r="I478" s="135"/>
      <c r="J478" s="135"/>
      <c r="K478" s="135"/>
      <c r="L478" s="183"/>
      <c r="M478" s="5"/>
      <c r="N478" s="41"/>
      <c r="O478" s="6"/>
      <c r="P478" s="7"/>
      <c r="Q478" s="7"/>
      <c r="R478" s="7"/>
      <c r="S478" s="7"/>
      <c r="T478" s="273"/>
      <c r="U478" s="273"/>
      <c r="V478" s="273">
        <f t="shared" si="771"/>
        <v>0</v>
      </c>
      <c r="W478" s="274"/>
      <c r="X478" s="274"/>
      <c r="Y478" s="275">
        <f t="shared" si="788"/>
        <v>0</v>
      </c>
      <c r="Z478" s="91"/>
      <c r="AA478" s="273"/>
      <c r="AB478" s="273"/>
      <c r="AC478" s="273">
        <f t="shared" si="772"/>
        <v>0</v>
      </c>
      <c r="AD478" s="275"/>
      <c r="AE478" s="275"/>
      <c r="AF478" s="276">
        <f t="shared" si="773"/>
        <v>0</v>
      </c>
      <c r="AG478" s="473"/>
      <c r="AH478" s="277"/>
      <c r="AI478" s="99">
        <f t="shared" si="785"/>
        <v>0</v>
      </c>
      <c r="AJ478" s="138"/>
      <c r="AK478" s="138">
        <f t="shared" si="774"/>
        <v>0</v>
      </c>
      <c r="AL478" s="106"/>
      <c r="AM478" s="105"/>
      <c r="AN478" s="105">
        <f t="shared" si="775"/>
        <v>0</v>
      </c>
      <c r="AO478" s="106"/>
      <c r="AP478" s="105"/>
      <c r="AQ478" s="105">
        <f t="shared" si="789"/>
        <v>0</v>
      </c>
      <c r="AR478" s="106"/>
      <c r="AS478" s="97">
        <f t="shared" si="786"/>
        <v>0</v>
      </c>
      <c r="AT478" s="6"/>
      <c r="AU478" s="105"/>
      <c r="AV478" s="455">
        <f t="shared" si="724"/>
        <v>0</v>
      </c>
      <c r="AW478" s="496"/>
      <c r="AX478" s="508"/>
      <c r="AY478" s="498">
        <v>915</v>
      </c>
      <c r="AZ478" s="100">
        <f t="shared" si="776"/>
        <v>61</v>
      </c>
      <c r="BA478" s="101"/>
      <c r="BB478" s="100"/>
      <c r="BC478" s="100">
        <f t="shared" si="777"/>
        <v>0</v>
      </c>
      <c r="BD478" s="101"/>
      <c r="BE478" s="105">
        <f t="shared" si="778"/>
        <v>61</v>
      </c>
      <c r="BF478" s="106"/>
      <c r="BG478" s="100">
        <f t="shared" si="755"/>
        <v>0</v>
      </c>
      <c r="BH478" s="106"/>
      <c r="BI478" s="100">
        <f t="shared" si="756"/>
        <v>0</v>
      </c>
      <c r="BJ478" s="106"/>
      <c r="BK478" s="101">
        <f t="shared" si="787"/>
        <v>61</v>
      </c>
      <c r="BL478" s="106"/>
      <c r="BM478" s="52">
        <v>3065</v>
      </c>
      <c r="BN478" s="52">
        <f t="shared" si="779"/>
        <v>61.3</v>
      </c>
      <c r="BO478" s="105">
        <v>3050</v>
      </c>
      <c r="BP478" s="105">
        <f t="shared" si="726"/>
        <v>61</v>
      </c>
      <c r="BQ478" s="106"/>
      <c r="BR478" s="105"/>
      <c r="BS478" s="105">
        <f t="shared" si="780"/>
        <v>0</v>
      </c>
      <c r="BT478" s="106"/>
      <c r="BU478" s="53"/>
      <c r="BV478" s="53">
        <f t="shared" si="781"/>
        <v>0</v>
      </c>
      <c r="BW478" s="54"/>
      <c r="BX478" s="350">
        <f t="shared" si="782"/>
        <v>61</v>
      </c>
      <c r="BY478" s="6"/>
      <c r="BZ478" s="6">
        <f t="shared" si="783"/>
        <v>0</v>
      </c>
      <c r="CA478" s="508"/>
      <c r="CB478" s="7"/>
      <c r="CC478" s="7"/>
      <c r="CD478" s="7"/>
      <c r="CE478" s="504"/>
      <c r="CF478" s="105"/>
      <c r="CG478" s="105">
        <f t="shared" si="791"/>
        <v>0</v>
      </c>
      <c r="CH478" s="105"/>
      <c r="CI478" s="105"/>
      <c r="CJ478" s="105">
        <f t="shared" si="792"/>
        <v>0</v>
      </c>
      <c r="CK478" s="523"/>
      <c r="CL478" s="102">
        <f t="shared" si="784"/>
        <v>0</v>
      </c>
      <c r="CM478" s="103"/>
      <c r="CN478" s="100"/>
      <c r="CO478" s="100">
        <f t="shared" si="728"/>
        <v>0</v>
      </c>
      <c r="CP478" s="515"/>
      <c r="CQ478" s="441"/>
      <c r="CR478" s="504"/>
      <c r="CS478" s="105"/>
      <c r="CT478" s="105">
        <f t="shared" si="729"/>
        <v>0</v>
      </c>
      <c r="CU478" s="105"/>
      <c r="CV478" s="105"/>
      <c r="CW478" s="105">
        <f t="shared" si="730"/>
        <v>0</v>
      </c>
      <c r="CX478" s="53"/>
      <c r="CY478" s="109">
        <f t="shared" si="731"/>
        <v>0</v>
      </c>
      <c r="CZ478" s="54"/>
      <c r="DA478" s="105"/>
      <c r="DB478" s="455">
        <f t="shared" si="790"/>
        <v>0</v>
      </c>
      <c r="DC478" s="495"/>
      <c r="DD478" s="24"/>
      <c r="DF478" s="1133"/>
      <c r="DG478" s="674">
        <f t="shared" si="757"/>
        <v>0</v>
      </c>
      <c r="DH478" s="1119">
        <f t="shared" si="758"/>
        <v>0</v>
      </c>
      <c r="DI478" s="1119"/>
      <c r="DJ478" s="101">
        <f t="shared" si="716"/>
        <v>61</v>
      </c>
      <c r="DK478" s="101"/>
      <c r="DL478" s="101">
        <f t="shared" si="759"/>
        <v>0</v>
      </c>
      <c r="DM478" s="101"/>
      <c r="DN478" s="112"/>
      <c r="DO478" s="112"/>
      <c r="DP478" s="112"/>
      <c r="DQ478" s="112"/>
      <c r="DS478" s="140"/>
      <c r="DT478" s="140"/>
      <c r="DU478" s="140"/>
      <c r="DV478" s="140"/>
      <c r="DW478" s="140"/>
      <c r="DX478" s="140"/>
      <c r="DY478" s="140"/>
      <c r="DZ478" s="140"/>
    </row>
    <row r="479" spans="1:130" s="139" customFormat="1" ht="27" customHeight="1" x14ac:dyDescent="0.25">
      <c r="A479" s="4"/>
      <c r="B479" s="4"/>
      <c r="C479" s="134" t="s">
        <v>368</v>
      </c>
      <c r="D479" s="182" t="s">
        <v>431</v>
      </c>
      <c r="E479" s="3" t="s">
        <v>733</v>
      </c>
      <c r="F479" s="135"/>
      <c r="G479" s="135"/>
      <c r="H479" s="135"/>
      <c r="I479" s="135"/>
      <c r="J479" s="135"/>
      <c r="K479" s="135"/>
      <c r="L479" s="183"/>
      <c r="M479" s="5"/>
      <c r="N479" s="41"/>
      <c r="O479" s="6"/>
      <c r="P479" s="7"/>
      <c r="Q479" s="7"/>
      <c r="R479" s="7"/>
      <c r="S479" s="7"/>
      <c r="T479" s="273"/>
      <c r="U479" s="273"/>
      <c r="V479" s="273"/>
      <c r="W479" s="274"/>
      <c r="X479" s="274"/>
      <c r="Y479" s="275"/>
      <c r="Z479" s="91"/>
      <c r="AA479" s="273"/>
      <c r="AB479" s="273"/>
      <c r="AC479" s="273"/>
      <c r="AD479" s="275"/>
      <c r="AE479" s="275"/>
      <c r="AF479" s="276"/>
      <c r="AG479" s="473"/>
      <c r="AH479" s="277"/>
      <c r="AI479" s="99"/>
      <c r="AJ479" s="138"/>
      <c r="AK479" s="138"/>
      <c r="AL479" s="106"/>
      <c r="AM479" s="105"/>
      <c r="AN479" s="105"/>
      <c r="AO479" s="106"/>
      <c r="AP479" s="105"/>
      <c r="AQ479" s="105"/>
      <c r="AR479" s="106"/>
      <c r="AS479" s="97"/>
      <c r="AT479" s="6"/>
      <c r="AU479" s="105"/>
      <c r="AV479" s="455">
        <f t="shared" si="724"/>
        <v>0</v>
      </c>
      <c r="AW479" s="496"/>
      <c r="AX479" s="508"/>
      <c r="AY479" s="498"/>
      <c r="AZ479" s="100">
        <f t="shared" si="776"/>
        <v>0</v>
      </c>
      <c r="BA479" s="101"/>
      <c r="BB479" s="100"/>
      <c r="BC479" s="100">
        <f t="shared" si="777"/>
        <v>0</v>
      </c>
      <c r="BD479" s="101"/>
      <c r="BE479" s="105">
        <f t="shared" si="778"/>
        <v>0</v>
      </c>
      <c r="BF479" s="106"/>
      <c r="BG479" s="100">
        <f t="shared" si="755"/>
        <v>0</v>
      </c>
      <c r="BH479" s="106"/>
      <c r="BI479" s="100">
        <f t="shared" si="756"/>
        <v>0</v>
      </c>
      <c r="BJ479" s="106"/>
      <c r="BK479" s="101">
        <f t="shared" si="787"/>
        <v>0</v>
      </c>
      <c r="BL479" s="106"/>
      <c r="BM479" s="52"/>
      <c r="BN479" s="52"/>
      <c r="BO479" s="105"/>
      <c r="BP479" s="105">
        <f t="shared" si="726"/>
        <v>0</v>
      </c>
      <c r="BQ479" s="106"/>
      <c r="BR479" s="105"/>
      <c r="BS479" s="105">
        <f t="shared" si="780"/>
        <v>0</v>
      </c>
      <c r="BT479" s="106"/>
      <c r="BU479" s="53"/>
      <c r="BV479" s="53">
        <f t="shared" si="781"/>
        <v>0</v>
      </c>
      <c r="BW479" s="54"/>
      <c r="BX479" s="350">
        <f t="shared" si="782"/>
        <v>0</v>
      </c>
      <c r="BY479" s="6"/>
      <c r="BZ479" s="6"/>
      <c r="CA479" s="508"/>
      <c r="CB479" s="7"/>
      <c r="CC479" s="7"/>
      <c r="CD479" s="7"/>
      <c r="CE479" s="504"/>
      <c r="CF479" s="105"/>
      <c r="CG479" s="105"/>
      <c r="CH479" s="105"/>
      <c r="CI479" s="105"/>
      <c r="CJ479" s="105"/>
      <c r="CK479" s="523"/>
      <c r="CL479" s="102"/>
      <c r="CM479" s="103"/>
      <c r="CN479" s="100"/>
      <c r="CO479" s="100"/>
      <c r="CP479" s="515"/>
      <c r="CQ479" s="441"/>
      <c r="CR479" s="504"/>
      <c r="CS479" s="105"/>
      <c r="CT479" s="105"/>
      <c r="CU479" s="105"/>
      <c r="CV479" s="105"/>
      <c r="CW479" s="105"/>
      <c r="CX479" s="53"/>
      <c r="CY479" s="109"/>
      <c r="CZ479" s="54"/>
      <c r="DA479" s="105"/>
      <c r="DB479" s="455"/>
      <c r="DC479" s="495"/>
      <c r="DD479" s="24"/>
      <c r="DF479" s="1133"/>
      <c r="DG479" s="674">
        <f t="shared" si="757"/>
        <v>0</v>
      </c>
      <c r="DH479" s="1119">
        <f t="shared" si="758"/>
        <v>0</v>
      </c>
      <c r="DI479" s="1119"/>
      <c r="DJ479" s="101">
        <f t="shared" si="716"/>
        <v>0</v>
      </c>
      <c r="DK479" s="101"/>
      <c r="DL479" s="101">
        <f t="shared" si="759"/>
        <v>0</v>
      </c>
      <c r="DM479" s="101"/>
      <c r="DN479" s="112"/>
      <c r="DO479" s="112"/>
      <c r="DP479" s="112"/>
      <c r="DQ479" s="112"/>
      <c r="DS479" s="140"/>
      <c r="DT479" s="140"/>
      <c r="DU479" s="140"/>
      <c r="DV479" s="140"/>
      <c r="DW479" s="140"/>
      <c r="DX479" s="140"/>
      <c r="DY479" s="140"/>
      <c r="DZ479" s="140"/>
    </row>
    <row r="480" spans="1:130" s="139" customFormat="1" ht="28.5" customHeight="1" x14ac:dyDescent="0.25">
      <c r="A480" s="4"/>
      <c r="B480" s="4"/>
      <c r="C480" s="134" t="s">
        <v>368</v>
      </c>
      <c r="D480" s="182" t="s">
        <v>431</v>
      </c>
      <c r="E480" s="3" t="s">
        <v>731</v>
      </c>
      <c r="F480" s="135"/>
      <c r="G480" s="135"/>
      <c r="H480" s="135"/>
      <c r="I480" s="135"/>
      <c r="J480" s="135"/>
      <c r="K480" s="135"/>
      <c r="L480" s="183"/>
      <c r="M480" s="5"/>
      <c r="N480" s="41"/>
      <c r="O480" s="6"/>
      <c r="P480" s="7"/>
      <c r="Q480" s="7"/>
      <c r="R480" s="7"/>
      <c r="S480" s="7"/>
      <c r="T480" s="273"/>
      <c r="U480" s="273"/>
      <c r="V480" s="273"/>
      <c r="W480" s="274"/>
      <c r="X480" s="274"/>
      <c r="Y480" s="275"/>
      <c r="Z480" s="91"/>
      <c r="AA480" s="273"/>
      <c r="AB480" s="273"/>
      <c r="AC480" s="273"/>
      <c r="AD480" s="275"/>
      <c r="AE480" s="275"/>
      <c r="AF480" s="276"/>
      <c r="AG480" s="473"/>
      <c r="AH480" s="277"/>
      <c r="AI480" s="99"/>
      <c r="AJ480" s="138"/>
      <c r="AK480" s="138"/>
      <c r="AL480" s="106"/>
      <c r="AM480" s="105"/>
      <c r="AN480" s="105"/>
      <c r="AO480" s="106"/>
      <c r="AP480" s="105"/>
      <c r="AQ480" s="105"/>
      <c r="AR480" s="106"/>
      <c r="AS480" s="97"/>
      <c r="AT480" s="6"/>
      <c r="AU480" s="105"/>
      <c r="AV480" s="455">
        <f t="shared" si="724"/>
        <v>0</v>
      </c>
      <c r="AW480" s="496"/>
      <c r="AX480" s="508"/>
      <c r="AY480" s="498"/>
      <c r="AZ480" s="100">
        <f t="shared" si="776"/>
        <v>0</v>
      </c>
      <c r="BA480" s="101"/>
      <c r="BB480" s="100"/>
      <c r="BC480" s="100">
        <f t="shared" si="777"/>
        <v>0</v>
      </c>
      <c r="BD480" s="101"/>
      <c r="BE480" s="105">
        <f t="shared" si="778"/>
        <v>0</v>
      </c>
      <c r="BF480" s="106"/>
      <c r="BG480" s="100">
        <f t="shared" si="755"/>
        <v>0</v>
      </c>
      <c r="BH480" s="106"/>
      <c r="BI480" s="100">
        <f t="shared" si="756"/>
        <v>0</v>
      </c>
      <c r="BJ480" s="106"/>
      <c r="BK480" s="101">
        <f t="shared" si="787"/>
        <v>0</v>
      </c>
      <c r="BL480" s="106"/>
      <c r="BM480" s="52"/>
      <c r="BN480" s="52"/>
      <c r="BO480" s="105"/>
      <c r="BP480" s="105">
        <f t="shared" si="726"/>
        <v>0</v>
      </c>
      <c r="BQ480" s="106"/>
      <c r="BR480" s="105"/>
      <c r="BS480" s="105">
        <f t="shared" si="780"/>
        <v>0</v>
      </c>
      <c r="BT480" s="106"/>
      <c r="BU480" s="53"/>
      <c r="BV480" s="53">
        <f t="shared" si="781"/>
        <v>0</v>
      </c>
      <c r="BW480" s="54"/>
      <c r="BX480" s="350">
        <f t="shared" si="782"/>
        <v>0</v>
      </c>
      <c r="BY480" s="6"/>
      <c r="BZ480" s="6"/>
      <c r="CA480" s="508"/>
      <c r="CB480" s="7"/>
      <c r="CC480" s="7"/>
      <c r="CD480" s="7"/>
      <c r="CE480" s="504"/>
      <c r="CF480" s="105"/>
      <c r="CG480" s="105"/>
      <c r="CH480" s="105"/>
      <c r="CI480" s="105"/>
      <c r="CJ480" s="105"/>
      <c r="CK480" s="523"/>
      <c r="CL480" s="102"/>
      <c r="CM480" s="103"/>
      <c r="CN480" s="100"/>
      <c r="CO480" s="100"/>
      <c r="CP480" s="515"/>
      <c r="CQ480" s="441"/>
      <c r="CR480" s="504"/>
      <c r="CS480" s="105"/>
      <c r="CT480" s="105"/>
      <c r="CU480" s="105"/>
      <c r="CV480" s="105"/>
      <c r="CW480" s="105"/>
      <c r="CX480" s="53"/>
      <c r="CY480" s="109"/>
      <c r="CZ480" s="54"/>
      <c r="DA480" s="105"/>
      <c r="DB480" s="455"/>
      <c r="DC480" s="495"/>
      <c r="DD480" s="24"/>
      <c r="DF480" s="1133"/>
      <c r="DG480" s="674">
        <f t="shared" si="757"/>
        <v>0</v>
      </c>
      <c r="DH480" s="1119">
        <f t="shared" si="758"/>
        <v>0</v>
      </c>
      <c r="DI480" s="1119"/>
      <c r="DJ480" s="101">
        <f t="shared" si="716"/>
        <v>0</v>
      </c>
      <c r="DK480" s="101"/>
      <c r="DL480" s="101">
        <f t="shared" si="759"/>
        <v>0</v>
      </c>
      <c r="DM480" s="101"/>
      <c r="DN480" s="112"/>
      <c r="DO480" s="112"/>
      <c r="DP480" s="112"/>
      <c r="DQ480" s="112"/>
      <c r="DS480" s="140"/>
      <c r="DT480" s="140"/>
      <c r="DU480" s="140"/>
      <c r="DV480" s="140"/>
      <c r="DW480" s="140"/>
      <c r="DX480" s="140"/>
      <c r="DY480" s="140"/>
      <c r="DZ480" s="140"/>
    </row>
    <row r="481" spans="1:130" s="139" customFormat="1" ht="21.6" customHeight="1" x14ac:dyDescent="0.25">
      <c r="A481" s="4"/>
      <c r="B481" s="4"/>
      <c r="C481" s="134" t="s">
        <v>368</v>
      </c>
      <c r="D481" s="182" t="s">
        <v>431</v>
      </c>
      <c r="E481" s="3" t="s">
        <v>568</v>
      </c>
      <c r="F481" s="135"/>
      <c r="G481" s="135"/>
      <c r="H481" s="135"/>
      <c r="I481" s="135"/>
      <c r="J481" s="135"/>
      <c r="K481" s="135"/>
      <c r="L481" s="183"/>
      <c r="M481" s="5"/>
      <c r="N481" s="41"/>
      <c r="O481" s="6"/>
      <c r="P481" s="7"/>
      <c r="Q481" s="7"/>
      <c r="R481" s="7"/>
      <c r="S481" s="7"/>
      <c r="T481" s="273"/>
      <c r="U481" s="273"/>
      <c r="V481" s="273">
        <f t="shared" si="771"/>
        <v>0</v>
      </c>
      <c r="W481" s="274"/>
      <c r="X481" s="274"/>
      <c r="Y481" s="275">
        <f t="shared" si="788"/>
        <v>0</v>
      </c>
      <c r="Z481" s="91"/>
      <c r="AA481" s="273"/>
      <c r="AB481" s="273"/>
      <c r="AC481" s="273">
        <f t="shared" si="772"/>
        <v>0</v>
      </c>
      <c r="AD481" s="275"/>
      <c r="AE481" s="275"/>
      <c r="AF481" s="276">
        <f t="shared" si="773"/>
        <v>0</v>
      </c>
      <c r="AG481" s="473"/>
      <c r="AH481" s="277">
        <v>491.25</v>
      </c>
      <c r="AI481" s="277">
        <f t="shared" si="785"/>
        <v>32.75</v>
      </c>
      <c r="AJ481" s="138">
        <v>490</v>
      </c>
      <c r="AK481" s="138">
        <f t="shared" si="774"/>
        <v>32.666666666666664</v>
      </c>
      <c r="AL481" s="106"/>
      <c r="AM481" s="105"/>
      <c r="AN481" s="105">
        <f t="shared" si="775"/>
        <v>0</v>
      </c>
      <c r="AO481" s="106"/>
      <c r="AP481" s="105"/>
      <c r="AQ481" s="105">
        <f t="shared" si="789"/>
        <v>0</v>
      </c>
      <c r="AR481" s="106"/>
      <c r="AS481" s="97">
        <f t="shared" si="786"/>
        <v>32.666666666666664</v>
      </c>
      <c r="AT481" s="6"/>
      <c r="AU481" s="105"/>
      <c r="AV481" s="455">
        <f t="shared" si="724"/>
        <v>0</v>
      </c>
      <c r="AW481" s="496"/>
      <c r="AX481" s="508"/>
      <c r="AY481" s="498"/>
      <c r="AZ481" s="100">
        <f t="shared" si="776"/>
        <v>0</v>
      </c>
      <c r="BA481" s="101"/>
      <c r="BB481" s="100"/>
      <c r="BC481" s="100">
        <f t="shared" si="777"/>
        <v>0</v>
      </c>
      <c r="BD481" s="101"/>
      <c r="BE481" s="105">
        <f t="shared" ref="BE481:BE490" si="793">AK481+AZ481</f>
        <v>32.666666666666664</v>
      </c>
      <c r="BF481" s="106"/>
      <c r="BG481" s="100">
        <f t="shared" ref="BG481:BG490" si="794">BC481+AQ481+AN481</f>
        <v>0</v>
      </c>
      <c r="BH481" s="106"/>
      <c r="BI481" s="100">
        <f t="shared" ref="BI481:BI490" si="795">AV481</f>
        <v>0</v>
      </c>
      <c r="BJ481" s="106"/>
      <c r="BK481" s="101">
        <f t="shared" si="787"/>
        <v>32.666666666666664</v>
      </c>
      <c r="BL481" s="106"/>
      <c r="BM481" s="52">
        <v>1637.5</v>
      </c>
      <c r="BN481" s="52">
        <f t="shared" si="779"/>
        <v>32.75</v>
      </c>
      <c r="BO481" s="105">
        <v>1600</v>
      </c>
      <c r="BP481" s="105">
        <f t="shared" si="726"/>
        <v>32</v>
      </c>
      <c r="BQ481" s="106"/>
      <c r="BR481" s="105"/>
      <c r="BS481" s="105">
        <f t="shared" si="780"/>
        <v>0</v>
      </c>
      <c r="BT481" s="106"/>
      <c r="BU481" s="53"/>
      <c r="BV481" s="53">
        <f t="shared" si="781"/>
        <v>0</v>
      </c>
      <c r="BW481" s="54"/>
      <c r="BX481" s="350">
        <f t="shared" si="782"/>
        <v>32</v>
      </c>
      <c r="BY481" s="6"/>
      <c r="BZ481" s="6">
        <f t="shared" si="783"/>
        <v>0.6666666666666643</v>
      </c>
      <c r="CA481" s="508"/>
      <c r="CB481" s="7"/>
      <c r="CC481" s="7"/>
      <c r="CD481" s="7"/>
      <c r="CE481" s="504"/>
      <c r="CF481" s="105"/>
      <c r="CG481" s="105">
        <f t="shared" si="791"/>
        <v>0</v>
      </c>
      <c r="CH481" s="105"/>
      <c r="CI481" s="105"/>
      <c r="CJ481" s="105">
        <f t="shared" si="792"/>
        <v>0</v>
      </c>
      <c r="CK481" s="523"/>
      <c r="CL481" s="102">
        <f t="shared" si="784"/>
        <v>0</v>
      </c>
      <c r="CM481" s="103"/>
      <c r="CN481" s="100"/>
      <c r="CO481" s="100">
        <f t="shared" si="728"/>
        <v>0</v>
      </c>
      <c r="CP481" s="515"/>
      <c r="CQ481" s="441"/>
      <c r="CR481" s="504"/>
      <c r="CS481" s="105"/>
      <c r="CT481" s="105">
        <f t="shared" si="729"/>
        <v>0</v>
      </c>
      <c r="CU481" s="105"/>
      <c r="CV481" s="105"/>
      <c r="CW481" s="105">
        <f t="shared" si="730"/>
        <v>0</v>
      </c>
      <c r="CX481" s="53"/>
      <c r="CY481" s="109">
        <f t="shared" si="731"/>
        <v>0</v>
      </c>
      <c r="CZ481" s="54"/>
      <c r="DA481" s="105"/>
      <c r="DB481" s="455">
        <f t="shared" si="790"/>
        <v>0</v>
      </c>
      <c r="DC481" s="495"/>
      <c r="DD481" s="24"/>
      <c r="DF481" s="1133"/>
      <c r="DG481" s="674">
        <f t="shared" si="757"/>
        <v>0</v>
      </c>
      <c r="DH481" s="1119">
        <f t="shared" si="758"/>
        <v>0</v>
      </c>
      <c r="DI481" s="1119"/>
      <c r="DJ481" s="101">
        <f t="shared" si="716"/>
        <v>32.666666666666664</v>
      </c>
      <c r="DK481" s="101"/>
      <c r="DL481" s="101">
        <f t="shared" si="759"/>
        <v>0</v>
      </c>
      <c r="DM481" s="101"/>
      <c r="DN481" s="112"/>
      <c r="DO481" s="112"/>
      <c r="DP481" s="112"/>
      <c r="DQ481" s="112"/>
      <c r="DS481" s="140"/>
      <c r="DT481" s="140"/>
      <c r="DU481" s="140"/>
      <c r="DV481" s="140"/>
      <c r="DW481" s="140"/>
      <c r="DX481" s="140"/>
      <c r="DY481" s="140"/>
      <c r="DZ481" s="140"/>
    </row>
    <row r="482" spans="1:130" s="139" customFormat="1" ht="21.6" customHeight="1" x14ac:dyDescent="0.25">
      <c r="A482" s="4"/>
      <c r="B482" s="4"/>
      <c r="C482" s="134" t="s">
        <v>368</v>
      </c>
      <c r="D482" s="182" t="s">
        <v>431</v>
      </c>
      <c r="E482" s="3" t="s">
        <v>558</v>
      </c>
      <c r="F482" s="135"/>
      <c r="G482" s="135"/>
      <c r="H482" s="135"/>
      <c r="I482" s="135"/>
      <c r="J482" s="135"/>
      <c r="K482" s="135"/>
      <c r="L482" s="183"/>
      <c r="M482" s="5"/>
      <c r="N482" s="41"/>
      <c r="O482" s="6"/>
      <c r="P482" s="7"/>
      <c r="Q482" s="7"/>
      <c r="R482" s="7"/>
      <c r="S482" s="7"/>
      <c r="T482" s="273"/>
      <c r="U482" s="273"/>
      <c r="V482" s="273">
        <f t="shared" si="771"/>
        <v>0</v>
      </c>
      <c r="W482" s="274"/>
      <c r="X482" s="274"/>
      <c r="Y482" s="275">
        <f t="shared" si="788"/>
        <v>0</v>
      </c>
      <c r="Z482" s="91"/>
      <c r="AA482" s="273"/>
      <c r="AB482" s="273"/>
      <c r="AC482" s="273">
        <f t="shared" si="772"/>
        <v>0</v>
      </c>
      <c r="AD482" s="275"/>
      <c r="AE482" s="275"/>
      <c r="AF482" s="276">
        <f t="shared" si="773"/>
        <v>0</v>
      </c>
      <c r="AG482" s="473"/>
      <c r="AH482" s="277"/>
      <c r="AI482" s="99">
        <f t="shared" si="785"/>
        <v>0</v>
      </c>
      <c r="AJ482" s="138"/>
      <c r="AK482" s="138">
        <f t="shared" si="774"/>
        <v>0</v>
      </c>
      <c r="AL482" s="106"/>
      <c r="AM482" s="105"/>
      <c r="AN482" s="105">
        <f t="shared" si="775"/>
        <v>0</v>
      </c>
      <c r="AO482" s="106"/>
      <c r="AP482" s="105"/>
      <c r="AQ482" s="105">
        <f t="shared" si="789"/>
        <v>0</v>
      </c>
      <c r="AR482" s="106"/>
      <c r="AS482" s="97">
        <f t="shared" si="786"/>
        <v>0</v>
      </c>
      <c r="AT482" s="6"/>
      <c r="AU482" s="105"/>
      <c r="AV482" s="455">
        <f t="shared" si="724"/>
        <v>0</v>
      </c>
      <c r="AW482" s="496"/>
      <c r="AX482" s="508"/>
      <c r="AY482" s="498">
        <v>220</v>
      </c>
      <c r="AZ482" s="100">
        <f t="shared" si="776"/>
        <v>14.666666666666666</v>
      </c>
      <c r="BA482" s="101"/>
      <c r="BB482" s="100"/>
      <c r="BC482" s="100">
        <f t="shared" si="777"/>
        <v>0</v>
      </c>
      <c r="BD482" s="101"/>
      <c r="BE482" s="105">
        <f t="shared" si="793"/>
        <v>14.666666666666666</v>
      </c>
      <c r="BF482" s="106"/>
      <c r="BG482" s="100">
        <f t="shared" si="794"/>
        <v>0</v>
      </c>
      <c r="BH482" s="106"/>
      <c r="BI482" s="100">
        <f t="shared" si="795"/>
        <v>0</v>
      </c>
      <c r="BJ482" s="106"/>
      <c r="BK482" s="101">
        <f t="shared" si="787"/>
        <v>14.666666666666666</v>
      </c>
      <c r="BL482" s="106"/>
      <c r="BM482" s="52">
        <v>745</v>
      </c>
      <c r="BN482" s="52">
        <f t="shared" si="779"/>
        <v>14.9</v>
      </c>
      <c r="BO482" s="254">
        <v>750</v>
      </c>
      <c r="BP482" s="105">
        <f t="shared" si="726"/>
        <v>15</v>
      </c>
      <c r="BQ482" s="106"/>
      <c r="BR482" s="105"/>
      <c r="BS482" s="105">
        <f t="shared" si="780"/>
        <v>0</v>
      </c>
      <c r="BT482" s="106"/>
      <c r="BU482" s="53"/>
      <c r="BV482" s="53">
        <f t="shared" si="781"/>
        <v>0</v>
      </c>
      <c r="BW482" s="54"/>
      <c r="BX482" s="350">
        <f t="shared" si="782"/>
        <v>15</v>
      </c>
      <c r="BY482" s="6"/>
      <c r="BZ482" s="6">
        <f t="shared" si="783"/>
        <v>-0.33333333333333393</v>
      </c>
      <c r="CA482" s="508"/>
      <c r="CB482" s="7"/>
      <c r="CC482" s="7"/>
      <c r="CD482" s="7"/>
      <c r="CE482" s="504"/>
      <c r="CF482" s="105"/>
      <c r="CG482" s="105">
        <f t="shared" si="791"/>
        <v>0</v>
      </c>
      <c r="CH482" s="105"/>
      <c r="CI482" s="105"/>
      <c r="CJ482" s="105">
        <f t="shared" si="792"/>
        <v>0</v>
      </c>
      <c r="CK482" s="523"/>
      <c r="CL482" s="102">
        <f t="shared" si="784"/>
        <v>0</v>
      </c>
      <c r="CM482" s="103"/>
      <c r="CN482" s="100"/>
      <c r="CO482" s="100">
        <f t="shared" si="728"/>
        <v>0</v>
      </c>
      <c r="CP482" s="515"/>
      <c r="CQ482" s="441"/>
      <c r="CR482" s="504"/>
      <c r="CS482" s="105"/>
      <c r="CT482" s="105">
        <f t="shared" si="729"/>
        <v>0</v>
      </c>
      <c r="CU482" s="105"/>
      <c r="CV482" s="105"/>
      <c r="CW482" s="105">
        <f t="shared" si="730"/>
        <v>0</v>
      </c>
      <c r="CX482" s="53"/>
      <c r="CY482" s="109">
        <f t="shared" si="731"/>
        <v>0</v>
      </c>
      <c r="CZ482" s="54"/>
      <c r="DA482" s="105"/>
      <c r="DB482" s="455">
        <f t="shared" si="790"/>
        <v>0</v>
      </c>
      <c r="DC482" s="495"/>
      <c r="DD482" s="24"/>
      <c r="DF482" s="1133"/>
      <c r="DG482" s="674">
        <f t="shared" si="757"/>
        <v>0</v>
      </c>
      <c r="DH482" s="1119">
        <f t="shared" si="758"/>
        <v>0</v>
      </c>
      <c r="DI482" s="1119"/>
      <c r="DJ482" s="101">
        <f t="shared" si="716"/>
        <v>14.666666666666666</v>
      </c>
      <c r="DK482" s="101"/>
      <c r="DL482" s="101">
        <f t="shared" si="759"/>
        <v>0</v>
      </c>
      <c r="DM482" s="101"/>
      <c r="DN482" s="112"/>
      <c r="DO482" s="112"/>
      <c r="DP482" s="112"/>
      <c r="DQ482" s="112"/>
      <c r="DS482" s="140"/>
      <c r="DT482" s="140"/>
      <c r="DU482" s="140"/>
      <c r="DV482" s="140"/>
      <c r="DW482" s="140"/>
      <c r="DX482" s="140"/>
      <c r="DY482" s="140"/>
      <c r="DZ482" s="140"/>
    </row>
    <row r="483" spans="1:130" s="139" customFormat="1" ht="33" customHeight="1" x14ac:dyDescent="0.25">
      <c r="A483" s="4"/>
      <c r="B483" s="4"/>
      <c r="C483" s="204" t="s">
        <v>368</v>
      </c>
      <c r="D483" s="260" t="s">
        <v>431</v>
      </c>
      <c r="E483" s="3" t="s">
        <v>579</v>
      </c>
      <c r="F483" s="135"/>
      <c r="G483" s="135"/>
      <c r="H483" s="135"/>
      <c r="I483" s="135"/>
      <c r="J483" s="135"/>
      <c r="K483" s="135"/>
      <c r="L483" s="183"/>
      <c r="M483" s="414"/>
      <c r="N483" s="46"/>
      <c r="O483" s="6"/>
      <c r="P483" s="165"/>
      <c r="Q483" s="7"/>
      <c r="R483" s="7"/>
      <c r="S483" s="7"/>
      <c r="T483" s="273"/>
      <c r="U483" s="273"/>
      <c r="V483" s="273">
        <f t="shared" si="771"/>
        <v>0</v>
      </c>
      <c r="W483" s="274"/>
      <c r="X483" s="274"/>
      <c r="Y483" s="275">
        <f t="shared" si="788"/>
        <v>0</v>
      </c>
      <c r="Z483" s="91"/>
      <c r="AA483" s="273"/>
      <c r="AB483" s="273"/>
      <c r="AC483" s="273">
        <f t="shared" si="772"/>
        <v>0</v>
      </c>
      <c r="AD483" s="275"/>
      <c r="AE483" s="275"/>
      <c r="AF483" s="276">
        <f t="shared" si="773"/>
        <v>0</v>
      </c>
      <c r="AG483" s="473"/>
      <c r="AH483" s="277">
        <v>165</v>
      </c>
      <c r="AI483" s="277">
        <f t="shared" si="785"/>
        <v>11</v>
      </c>
      <c r="AJ483" s="138"/>
      <c r="AK483" s="138">
        <f t="shared" si="774"/>
        <v>0</v>
      </c>
      <c r="AL483" s="106"/>
      <c r="AM483" s="105">
        <v>165</v>
      </c>
      <c r="AN483" s="105">
        <f t="shared" si="775"/>
        <v>11</v>
      </c>
      <c r="AO483" s="106"/>
      <c r="AP483" s="105"/>
      <c r="AQ483" s="105">
        <f t="shared" si="789"/>
        <v>0</v>
      </c>
      <c r="AR483" s="106"/>
      <c r="AS483" s="97">
        <f t="shared" si="786"/>
        <v>11</v>
      </c>
      <c r="AT483" s="6"/>
      <c r="AU483" s="105"/>
      <c r="AV483" s="455">
        <f t="shared" si="724"/>
        <v>0</v>
      </c>
      <c r="AW483" s="496"/>
      <c r="AX483" s="508"/>
      <c r="AY483" s="498"/>
      <c r="AZ483" s="100">
        <f t="shared" si="776"/>
        <v>0</v>
      </c>
      <c r="BA483" s="106"/>
      <c r="BB483" s="105"/>
      <c r="BC483" s="100">
        <f t="shared" si="777"/>
        <v>0</v>
      </c>
      <c r="BD483" s="106"/>
      <c r="BE483" s="105">
        <f t="shared" si="793"/>
        <v>0</v>
      </c>
      <c r="BF483" s="106"/>
      <c r="BG483" s="100">
        <f t="shared" si="794"/>
        <v>11</v>
      </c>
      <c r="BH483" s="106"/>
      <c r="BI483" s="100">
        <f t="shared" si="795"/>
        <v>0</v>
      </c>
      <c r="BJ483" s="106"/>
      <c r="BK483" s="101">
        <f t="shared" si="787"/>
        <v>11</v>
      </c>
      <c r="BL483" s="106"/>
      <c r="BM483" s="52"/>
      <c r="BN483" s="52">
        <f t="shared" si="779"/>
        <v>0</v>
      </c>
      <c r="BO483" s="105"/>
      <c r="BP483" s="105">
        <f t="shared" si="726"/>
        <v>0</v>
      </c>
      <c r="BQ483" s="106"/>
      <c r="BR483" s="105">
        <v>550</v>
      </c>
      <c r="BS483" s="105">
        <f t="shared" si="780"/>
        <v>11</v>
      </c>
      <c r="BT483" s="106"/>
      <c r="BU483" s="53"/>
      <c r="BV483" s="53">
        <f t="shared" si="781"/>
        <v>0</v>
      </c>
      <c r="BW483" s="54"/>
      <c r="BX483" s="350">
        <f t="shared" si="782"/>
        <v>11</v>
      </c>
      <c r="BY483" s="6"/>
      <c r="BZ483" s="6">
        <f t="shared" si="783"/>
        <v>0</v>
      </c>
      <c r="CA483" s="508"/>
      <c r="CB483" s="7"/>
      <c r="CC483" s="165"/>
      <c r="CD483" s="7"/>
      <c r="CE483" s="504"/>
      <c r="CF483" s="105"/>
      <c r="CG483" s="105">
        <f t="shared" si="791"/>
        <v>0</v>
      </c>
      <c r="CH483" s="105"/>
      <c r="CI483" s="105"/>
      <c r="CJ483" s="105">
        <f t="shared" si="792"/>
        <v>0</v>
      </c>
      <c r="CK483" s="524"/>
      <c r="CL483" s="53">
        <f t="shared" si="784"/>
        <v>0</v>
      </c>
      <c r="CM483" s="54"/>
      <c r="CN483" s="105"/>
      <c r="CO483" s="100">
        <f t="shared" si="728"/>
        <v>0</v>
      </c>
      <c r="CP483" s="496"/>
      <c r="CQ483" s="439"/>
      <c r="CR483" s="504"/>
      <c r="CS483" s="105"/>
      <c r="CT483" s="105">
        <f t="shared" si="729"/>
        <v>0</v>
      </c>
      <c r="CU483" s="105"/>
      <c r="CV483" s="105"/>
      <c r="CW483" s="105">
        <f t="shared" si="730"/>
        <v>0</v>
      </c>
      <c r="CX483" s="53"/>
      <c r="CY483" s="109">
        <f t="shared" si="731"/>
        <v>0</v>
      </c>
      <c r="CZ483" s="54"/>
      <c r="DA483" s="105"/>
      <c r="DB483" s="455">
        <f t="shared" si="790"/>
        <v>0</v>
      </c>
      <c r="DC483" s="495"/>
      <c r="DD483" s="24"/>
      <c r="DF483" s="1133"/>
      <c r="DG483" s="674">
        <f t="shared" si="757"/>
        <v>0</v>
      </c>
      <c r="DH483" s="1119">
        <f t="shared" si="758"/>
        <v>0</v>
      </c>
      <c r="DI483" s="1119"/>
      <c r="DJ483" s="101">
        <f t="shared" si="716"/>
        <v>11</v>
      </c>
      <c r="DK483" s="101"/>
      <c r="DL483" s="101">
        <f t="shared" si="759"/>
        <v>0</v>
      </c>
      <c r="DM483" s="101"/>
      <c r="DN483" s="112"/>
      <c r="DO483" s="112"/>
      <c r="DP483" s="112"/>
      <c r="DQ483" s="112"/>
      <c r="DS483" s="140"/>
      <c r="DT483" s="140"/>
      <c r="DU483" s="140"/>
      <c r="DV483" s="140"/>
      <c r="DW483" s="140"/>
      <c r="DX483" s="140"/>
      <c r="DY483" s="140"/>
      <c r="DZ483" s="140"/>
    </row>
    <row r="484" spans="1:130" s="95" customFormat="1" ht="21.6" customHeight="1" x14ac:dyDescent="0.25">
      <c r="A484" s="4"/>
      <c r="B484" s="4"/>
      <c r="C484" s="134" t="s">
        <v>368</v>
      </c>
      <c r="D484" s="182" t="s">
        <v>431</v>
      </c>
      <c r="E484" s="3" t="s">
        <v>559</v>
      </c>
      <c r="F484" s="135"/>
      <c r="G484" s="135"/>
      <c r="H484" s="135"/>
      <c r="I484" s="135"/>
      <c r="J484" s="135"/>
      <c r="K484" s="135"/>
      <c r="L484" s="183"/>
      <c r="M484" s="5"/>
      <c r="N484" s="41"/>
      <c r="O484" s="6"/>
      <c r="P484" s="7"/>
      <c r="Q484" s="7"/>
      <c r="R484" s="7"/>
      <c r="S484" s="7"/>
      <c r="T484" s="273"/>
      <c r="U484" s="273"/>
      <c r="V484" s="273">
        <f t="shared" si="771"/>
        <v>0</v>
      </c>
      <c r="W484" s="274"/>
      <c r="X484" s="274"/>
      <c r="Y484" s="90">
        <f t="shared" si="788"/>
        <v>0</v>
      </c>
      <c r="Z484" s="91"/>
      <c r="AA484" s="273"/>
      <c r="AB484" s="273"/>
      <c r="AC484" s="306">
        <f t="shared" si="772"/>
        <v>0</v>
      </c>
      <c r="AD484" s="275"/>
      <c r="AE484" s="275"/>
      <c r="AF484" s="307">
        <f t="shared" si="773"/>
        <v>0</v>
      </c>
      <c r="AG484" s="473"/>
      <c r="AH484" s="277"/>
      <c r="AI484" s="99">
        <f t="shared" si="785"/>
        <v>0</v>
      </c>
      <c r="AJ484" s="138"/>
      <c r="AK484" s="138">
        <f t="shared" si="774"/>
        <v>0</v>
      </c>
      <c r="AL484" s="106"/>
      <c r="AM484" s="105"/>
      <c r="AN484" s="105">
        <f t="shared" si="775"/>
        <v>0</v>
      </c>
      <c r="AO484" s="106"/>
      <c r="AP484" s="105"/>
      <c r="AQ484" s="105">
        <f t="shared" si="789"/>
        <v>0</v>
      </c>
      <c r="AR484" s="106"/>
      <c r="AS484" s="97">
        <f t="shared" si="786"/>
        <v>0</v>
      </c>
      <c r="AT484" s="6"/>
      <c r="AU484" s="105"/>
      <c r="AV484" s="455">
        <f t="shared" si="724"/>
        <v>0</v>
      </c>
      <c r="AW484" s="496"/>
      <c r="AX484" s="508"/>
      <c r="AY484" s="498">
        <v>590</v>
      </c>
      <c r="AZ484" s="100">
        <f t="shared" si="776"/>
        <v>39.333333333333336</v>
      </c>
      <c r="BA484" s="101"/>
      <c r="BB484" s="100"/>
      <c r="BC484" s="100">
        <f t="shared" si="777"/>
        <v>0</v>
      </c>
      <c r="BD484" s="101"/>
      <c r="BE484" s="105">
        <f t="shared" si="793"/>
        <v>39.333333333333336</v>
      </c>
      <c r="BF484" s="106"/>
      <c r="BG484" s="100">
        <f t="shared" si="794"/>
        <v>0</v>
      </c>
      <c r="BH484" s="106"/>
      <c r="BI484" s="100">
        <f t="shared" si="795"/>
        <v>0</v>
      </c>
      <c r="BJ484" s="106"/>
      <c r="BK484" s="101">
        <f t="shared" si="787"/>
        <v>39.333333333333336</v>
      </c>
      <c r="BL484" s="106"/>
      <c r="BM484" s="52">
        <v>1980</v>
      </c>
      <c r="BN484" s="104">
        <f t="shared" si="779"/>
        <v>39.6</v>
      </c>
      <c r="BO484" s="105">
        <v>1950</v>
      </c>
      <c r="BP484" s="105">
        <f t="shared" si="726"/>
        <v>39</v>
      </c>
      <c r="BQ484" s="106"/>
      <c r="BR484" s="105"/>
      <c r="BS484" s="105">
        <f t="shared" si="780"/>
        <v>0</v>
      </c>
      <c r="BT484" s="106"/>
      <c r="BU484" s="53"/>
      <c r="BV484" s="53">
        <f t="shared" si="781"/>
        <v>0</v>
      </c>
      <c r="BW484" s="54"/>
      <c r="BX484" s="350">
        <f t="shared" si="782"/>
        <v>39</v>
      </c>
      <c r="BY484" s="6"/>
      <c r="BZ484" s="6">
        <f t="shared" si="783"/>
        <v>0.3333333333333357</v>
      </c>
      <c r="CA484" s="508"/>
      <c r="CB484" s="7"/>
      <c r="CC484" s="7"/>
      <c r="CD484" s="7"/>
      <c r="CE484" s="504"/>
      <c r="CF484" s="105"/>
      <c r="CG484" s="105">
        <f t="shared" si="791"/>
        <v>0</v>
      </c>
      <c r="CH484" s="105"/>
      <c r="CI484" s="105"/>
      <c r="CJ484" s="105">
        <f t="shared" si="792"/>
        <v>0</v>
      </c>
      <c r="CK484" s="523"/>
      <c r="CL484" s="102">
        <f t="shared" si="784"/>
        <v>0</v>
      </c>
      <c r="CM484" s="103"/>
      <c r="CN484" s="100"/>
      <c r="CO484" s="100">
        <f t="shared" si="728"/>
        <v>0</v>
      </c>
      <c r="CP484" s="515"/>
      <c r="CQ484" s="441"/>
      <c r="CR484" s="504"/>
      <c r="CS484" s="105"/>
      <c r="CT484" s="105">
        <f t="shared" si="729"/>
        <v>0</v>
      </c>
      <c r="CU484" s="105"/>
      <c r="CV484" s="105"/>
      <c r="CW484" s="105">
        <f t="shared" si="730"/>
        <v>0</v>
      </c>
      <c r="CX484" s="53"/>
      <c r="CY484" s="109">
        <f t="shared" si="731"/>
        <v>0</v>
      </c>
      <c r="CZ484" s="54"/>
      <c r="DA484" s="105"/>
      <c r="DB484" s="455">
        <f t="shared" si="790"/>
        <v>0</v>
      </c>
      <c r="DC484" s="495"/>
      <c r="DD484" s="24"/>
      <c r="DE484" s="139"/>
      <c r="DF484" s="1133"/>
      <c r="DG484" s="674">
        <f t="shared" si="757"/>
        <v>0</v>
      </c>
      <c r="DH484" s="1119">
        <f t="shared" si="758"/>
        <v>0</v>
      </c>
      <c r="DI484" s="1119"/>
      <c r="DJ484" s="101">
        <f t="shared" ref="DJ484:DJ512" si="796">DC484+CO484+CL484+BC484+AZ484+AV484+AS484</f>
        <v>39.333333333333336</v>
      </c>
      <c r="DK484" s="101"/>
      <c r="DL484" s="101">
        <f t="shared" si="759"/>
        <v>0</v>
      </c>
      <c r="DM484" s="101"/>
      <c r="DN484" s="112"/>
      <c r="DO484" s="112"/>
      <c r="DP484" s="112"/>
      <c r="DQ484" s="112"/>
      <c r="DR484" s="139"/>
      <c r="DS484" s="140"/>
      <c r="DT484" s="140"/>
      <c r="DU484" s="140"/>
      <c r="DV484" s="111"/>
      <c r="DW484" s="111"/>
      <c r="DX484" s="111"/>
      <c r="DY484" s="111"/>
      <c r="DZ484" s="111"/>
    </row>
    <row r="485" spans="1:130" s="139" customFormat="1" ht="21.6" customHeight="1" x14ac:dyDescent="0.25">
      <c r="A485" s="4"/>
      <c r="B485" s="4"/>
      <c r="C485" s="134" t="s">
        <v>368</v>
      </c>
      <c r="D485" s="182" t="s">
        <v>431</v>
      </c>
      <c r="E485" s="3" t="s">
        <v>560</v>
      </c>
      <c r="F485" s="135"/>
      <c r="G485" s="135"/>
      <c r="H485" s="135"/>
      <c r="I485" s="135"/>
      <c r="J485" s="135"/>
      <c r="K485" s="135"/>
      <c r="L485" s="183"/>
      <c r="M485" s="5"/>
      <c r="N485" s="41"/>
      <c r="O485" s="6"/>
      <c r="P485" s="7"/>
      <c r="Q485" s="7"/>
      <c r="R485" s="7"/>
      <c r="S485" s="7"/>
      <c r="T485" s="273"/>
      <c r="U485" s="273"/>
      <c r="V485" s="273">
        <f t="shared" si="771"/>
        <v>0</v>
      </c>
      <c r="W485" s="274"/>
      <c r="X485" s="274"/>
      <c r="Y485" s="275">
        <f t="shared" si="788"/>
        <v>0</v>
      </c>
      <c r="Z485" s="91"/>
      <c r="AA485" s="273"/>
      <c r="AB485" s="273"/>
      <c r="AC485" s="273">
        <f t="shared" si="772"/>
        <v>0</v>
      </c>
      <c r="AD485" s="275"/>
      <c r="AE485" s="275"/>
      <c r="AF485" s="276">
        <f t="shared" si="773"/>
        <v>0</v>
      </c>
      <c r="AG485" s="473"/>
      <c r="AH485" s="277"/>
      <c r="AI485" s="99">
        <f t="shared" si="785"/>
        <v>0</v>
      </c>
      <c r="AJ485" s="138"/>
      <c r="AK485" s="138">
        <f t="shared" si="774"/>
        <v>0</v>
      </c>
      <c r="AL485" s="106"/>
      <c r="AM485" s="105"/>
      <c r="AN485" s="105">
        <f t="shared" si="775"/>
        <v>0</v>
      </c>
      <c r="AO485" s="106"/>
      <c r="AP485" s="105"/>
      <c r="AQ485" s="105">
        <f t="shared" si="789"/>
        <v>0</v>
      </c>
      <c r="AR485" s="106"/>
      <c r="AS485" s="97">
        <f t="shared" si="786"/>
        <v>0</v>
      </c>
      <c r="AT485" s="6"/>
      <c r="AU485" s="105"/>
      <c r="AV485" s="455">
        <f t="shared" si="724"/>
        <v>0</v>
      </c>
      <c r="AW485" s="496"/>
      <c r="AX485" s="508"/>
      <c r="AY485" s="498"/>
      <c r="AZ485" s="100">
        <f t="shared" si="776"/>
        <v>0</v>
      </c>
      <c r="BA485" s="101"/>
      <c r="BB485" s="100"/>
      <c r="BC485" s="100">
        <f t="shared" si="777"/>
        <v>0</v>
      </c>
      <c r="BD485" s="101"/>
      <c r="BE485" s="105">
        <f t="shared" si="793"/>
        <v>0</v>
      </c>
      <c r="BF485" s="106"/>
      <c r="BG485" s="100">
        <f t="shared" si="794"/>
        <v>0</v>
      </c>
      <c r="BH485" s="106"/>
      <c r="BI485" s="100">
        <f t="shared" si="795"/>
        <v>0</v>
      </c>
      <c r="BJ485" s="106"/>
      <c r="BK485" s="101">
        <f t="shared" si="787"/>
        <v>0</v>
      </c>
      <c r="BL485" s="106"/>
      <c r="BM485" s="52">
        <v>1185</v>
      </c>
      <c r="BN485" s="52">
        <f t="shared" si="779"/>
        <v>23.7</v>
      </c>
      <c r="BO485" s="105"/>
      <c r="BP485" s="105">
        <f t="shared" si="726"/>
        <v>0</v>
      </c>
      <c r="BQ485" s="106"/>
      <c r="BR485" s="105"/>
      <c r="BS485" s="105">
        <f t="shared" si="780"/>
        <v>0</v>
      </c>
      <c r="BT485" s="106"/>
      <c r="BU485" s="53"/>
      <c r="BV485" s="53">
        <f t="shared" si="781"/>
        <v>0</v>
      </c>
      <c r="BW485" s="54"/>
      <c r="BX485" s="350">
        <f t="shared" si="782"/>
        <v>0</v>
      </c>
      <c r="BY485" s="6"/>
      <c r="BZ485" s="6">
        <f t="shared" si="783"/>
        <v>0</v>
      </c>
      <c r="CA485" s="508"/>
      <c r="CB485" s="7" t="s">
        <v>265</v>
      </c>
      <c r="CC485" s="7"/>
      <c r="CD485" s="7" t="s">
        <v>689</v>
      </c>
      <c r="CE485" s="504"/>
      <c r="CF485" s="105"/>
      <c r="CG485" s="105">
        <f t="shared" si="791"/>
        <v>0</v>
      </c>
      <c r="CH485" s="105"/>
      <c r="CI485" s="105"/>
      <c r="CJ485" s="105">
        <f t="shared" si="792"/>
        <v>0</v>
      </c>
      <c r="CK485" s="523"/>
      <c r="CL485" s="102">
        <f t="shared" si="784"/>
        <v>0</v>
      </c>
      <c r="CM485" s="103"/>
      <c r="CN485" s="100">
        <v>355</v>
      </c>
      <c r="CO485" s="100">
        <f t="shared" si="728"/>
        <v>23.666666666666668</v>
      </c>
      <c r="CP485" s="515"/>
      <c r="CQ485" s="441"/>
      <c r="CR485" s="504"/>
      <c r="CS485" s="105"/>
      <c r="CT485" s="105">
        <f t="shared" si="729"/>
        <v>0</v>
      </c>
      <c r="CU485" s="105"/>
      <c r="CV485" s="105"/>
      <c r="CW485" s="105">
        <f t="shared" si="730"/>
        <v>0</v>
      </c>
      <c r="CX485" s="53"/>
      <c r="CY485" s="109">
        <f t="shared" si="731"/>
        <v>0</v>
      </c>
      <c r="CZ485" s="54"/>
      <c r="DA485" s="105"/>
      <c r="DB485" s="455">
        <f t="shared" si="790"/>
        <v>0</v>
      </c>
      <c r="DC485" s="495"/>
      <c r="DD485" s="24"/>
      <c r="DF485" s="1133"/>
      <c r="DG485" s="674">
        <f t="shared" si="757"/>
        <v>0</v>
      </c>
      <c r="DH485" s="1119">
        <f t="shared" si="758"/>
        <v>23.666666666666668</v>
      </c>
      <c r="DI485" s="1119"/>
      <c r="DJ485" s="101">
        <f t="shared" si="796"/>
        <v>23.666666666666668</v>
      </c>
      <c r="DK485" s="101"/>
      <c r="DL485" s="101">
        <f t="shared" si="759"/>
        <v>0</v>
      </c>
      <c r="DM485" s="101"/>
      <c r="DN485" s="112"/>
      <c r="DO485" s="112"/>
      <c r="DP485" s="112"/>
      <c r="DQ485" s="112"/>
      <c r="DS485" s="140"/>
      <c r="DT485" s="140"/>
      <c r="DU485" s="140"/>
      <c r="DV485" s="140"/>
      <c r="DW485" s="140"/>
      <c r="DX485" s="140"/>
      <c r="DY485" s="140"/>
      <c r="DZ485" s="140"/>
    </row>
    <row r="486" spans="1:130" s="139" customFormat="1" ht="21.6" customHeight="1" x14ac:dyDescent="0.25">
      <c r="A486" s="4"/>
      <c r="B486" s="4"/>
      <c r="C486" s="134" t="s">
        <v>368</v>
      </c>
      <c r="D486" s="182" t="s">
        <v>431</v>
      </c>
      <c r="E486" s="3" t="s">
        <v>561</v>
      </c>
      <c r="F486" s="135"/>
      <c r="G486" s="135"/>
      <c r="H486" s="135"/>
      <c r="I486" s="135"/>
      <c r="J486" s="135"/>
      <c r="K486" s="135"/>
      <c r="L486" s="183"/>
      <c r="M486" s="5"/>
      <c r="N486" s="41"/>
      <c r="O486" s="6"/>
      <c r="P486" s="7"/>
      <c r="Q486" s="7"/>
      <c r="R486" s="7"/>
      <c r="S486" s="7"/>
      <c r="T486" s="273"/>
      <c r="U486" s="273"/>
      <c r="V486" s="273">
        <f t="shared" si="771"/>
        <v>0</v>
      </c>
      <c r="W486" s="274"/>
      <c r="X486" s="274"/>
      <c r="Y486" s="275">
        <f t="shared" si="788"/>
        <v>0</v>
      </c>
      <c r="Z486" s="91"/>
      <c r="AA486" s="273"/>
      <c r="AB486" s="273"/>
      <c r="AC486" s="273">
        <f t="shared" si="772"/>
        <v>0</v>
      </c>
      <c r="AD486" s="275"/>
      <c r="AE486" s="275"/>
      <c r="AF486" s="276">
        <f t="shared" si="773"/>
        <v>0</v>
      </c>
      <c r="AG486" s="473"/>
      <c r="AH486" s="277"/>
      <c r="AI486" s="99">
        <f t="shared" si="785"/>
        <v>0</v>
      </c>
      <c r="AJ486" s="138"/>
      <c r="AK486" s="138">
        <f t="shared" si="774"/>
        <v>0</v>
      </c>
      <c r="AL486" s="106"/>
      <c r="AM486" s="105"/>
      <c r="AN486" s="105">
        <f t="shared" si="775"/>
        <v>0</v>
      </c>
      <c r="AO486" s="106"/>
      <c r="AP486" s="105"/>
      <c r="AQ486" s="105">
        <f t="shared" si="789"/>
        <v>0</v>
      </c>
      <c r="AR486" s="106"/>
      <c r="AS486" s="97">
        <f t="shared" si="786"/>
        <v>0</v>
      </c>
      <c r="AT486" s="6"/>
      <c r="AU486" s="105"/>
      <c r="AV486" s="455">
        <f t="shared" si="724"/>
        <v>0</v>
      </c>
      <c r="AW486" s="496"/>
      <c r="AX486" s="508"/>
      <c r="AY486" s="498">
        <v>315</v>
      </c>
      <c r="AZ486" s="100">
        <f t="shared" si="776"/>
        <v>21</v>
      </c>
      <c r="BA486" s="101"/>
      <c r="BB486" s="100"/>
      <c r="BC486" s="100">
        <f t="shared" si="777"/>
        <v>0</v>
      </c>
      <c r="BD486" s="101"/>
      <c r="BE486" s="105">
        <f t="shared" si="793"/>
        <v>21</v>
      </c>
      <c r="BF486" s="106"/>
      <c r="BG486" s="100">
        <f t="shared" si="794"/>
        <v>0</v>
      </c>
      <c r="BH486" s="106"/>
      <c r="BI486" s="100">
        <f t="shared" si="795"/>
        <v>0</v>
      </c>
      <c r="BJ486" s="106"/>
      <c r="BK486" s="101">
        <f t="shared" si="787"/>
        <v>21</v>
      </c>
      <c r="BL486" s="106"/>
      <c r="BM486" s="52">
        <v>1065</v>
      </c>
      <c r="BN486" s="52">
        <f t="shared" si="779"/>
        <v>21.3</v>
      </c>
      <c r="BO486" s="105">
        <v>1050</v>
      </c>
      <c r="BP486" s="105">
        <f t="shared" si="726"/>
        <v>21</v>
      </c>
      <c r="BQ486" s="106"/>
      <c r="BR486" s="105"/>
      <c r="BS486" s="105">
        <f t="shared" si="780"/>
        <v>0</v>
      </c>
      <c r="BT486" s="106"/>
      <c r="BU486" s="53"/>
      <c r="BV486" s="53">
        <f t="shared" si="781"/>
        <v>0</v>
      </c>
      <c r="BW486" s="54"/>
      <c r="BX486" s="350">
        <f t="shared" si="782"/>
        <v>21</v>
      </c>
      <c r="BY486" s="6"/>
      <c r="BZ486" s="6">
        <f t="shared" si="783"/>
        <v>0</v>
      </c>
      <c r="CA486" s="508"/>
      <c r="CB486" s="7"/>
      <c r="CC486" s="7"/>
      <c r="CD486" s="7"/>
      <c r="CE486" s="504"/>
      <c r="CF486" s="105"/>
      <c r="CG486" s="105">
        <f t="shared" si="791"/>
        <v>0</v>
      </c>
      <c r="CH486" s="105"/>
      <c r="CI486" s="105"/>
      <c r="CJ486" s="105">
        <f t="shared" si="792"/>
        <v>0</v>
      </c>
      <c r="CK486" s="523"/>
      <c r="CL486" s="102">
        <f t="shared" si="784"/>
        <v>0</v>
      </c>
      <c r="CM486" s="103"/>
      <c r="CN486" s="100"/>
      <c r="CO486" s="100">
        <f t="shared" si="728"/>
        <v>0</v>
      </c>
      <c r="CP486" s="515"/>
      <c r="CQ486" s="441"/>
      <c r="CR486" s="504"/>
      <c r="CS486" s="105"/>
      <c r="CT486" s="105">
        <f t="shared" si="729"/>
        <v>0</v>
      </c>
      <c r="CU486" s="105"/>
      <c r="CV486" s="105"/>
      <c r="CW486" s="105">
        <f t="shared" si="730"/>
        <v>0</v>
      </c>
      <c r="CX486" s="53"/>
      <c r="CY486" s="109">
        <f t="shared" si="731"/>
        <v>0</v>
      </c>
      <c r="CZ486" s="54"/>
      <c r="DA486" s="105"/>
      <c r="DB486" s="455">
        <f t="shared" si="790"/>
        <v>0</v>
      </c>
      <c r="DC486" s="495"/>
      <c r="DD486" s="24"/>
      <c r="DF486" s="1133"/>
      <c r="DG486" s="674">
        <f t="shared" si="757"/>
        <v>0</v>
      </c>
      <c r="DH486" s="1119">
        <f t="shared" si="758"/>
        <v>0</v>
      </c>
      <c r="DI486" s="1119"/>
      <c r="DJ486" s="101">
        <f t="shared" si="796"/>
        <v>21</v>
      </c>
      <c r="DK486" s="101"/>
      <c r="DL486" s="101">
        <f t="shared" si="759"/>
        <v>0</v>
      </c>
      <c r="DM486" s="101"/>
      <c r="DN486" s="112"/>
      <c r="DO486" s="112"/>
      <c r="DP486" s="112"/>
      <c r="DQ486" s="112"/>
      <c r="DS486" s="140"/>
      <c r="DT486" s="140"/>
      <c r="DU486" s="140"/>
      <c r="DV486" s="140"/>
      <c r="DW486" s="140"/>
      <c r="DX486" s="140"/>
      <c r="DY486" s="140"/>
      <c r="DZ486" s="140"/>
    </row>
    <row r="487" spans="1:130" s="139" customFormat="1" ht="33.75" customHeight="1" x14ac:dyDescent="0.25">
      <c r="A487" s="308"/>
      <c r="B487" s="308"/>
      <c r="C487" s="134" t="s">
        <v>368</v>
      </c>
      <c r="D487" s="182" t="s">
        <v>431</v>
      </c>
      <c r="E487" s="15" t="s">
        <v>569</v>
      </c>
      <c r="F487" s="300"/>
      <c r="G487" s="300"/>
      <c r="H487" s="300"/>
      <c r="I487" s="300"/>
      <c r="J487" s="300"/>
      <c r="K487" s="300"/>
      <c r="L487" s="309"/>
      <c r="M487" s="5"/>
      <c r="N487" s="41"/>
      <c r="O487" s="6"/>
      <c r="P487" s="7"/>
      <c r="Q487" s="7"/>
      <c r="R487" s="7"/>
      <c r="S487" s="7"/>
      <c r="T487" s="310"/>
      <c r="U487" s="310"/>
      <c r="V487" s="310">
        <f t="shared" si="771"/>
        <v>0</v>
      </c>
      <c r="W487" s="311"/>
      <c r="X487" s="311"/>
      <c r="Y487" s="48">
        <f t="shared" si="788"/>
        <v>0</v>
      </c>
      <c r="Z487" s="55"/>
      <c r="AA487" s="310"/>
      <c r="AB487" s="310"/>
      <c r="AC487" s="310">
        <f t="shared" si="772"/>
        <v>0</v>
      </c>
      <c r="AD487" s="48"/>
      <c r="AE487" s="48"/>
      <c r="AF487" s="49">
        <f t="shared" si="773"/>
        <v>0</v>
      </c>
      <c r="AG487" s="483"/>
      <c r="AH487" s="52">
        <v>517.5</v>
      </c>
      <c r="AI487" s="277">
        <f t="shared" si="785"/>
        <v>34.5</v>
      </c>
      <c r="AJ487" s="105">
        <v>515</v>
      </c>
      <c r="AK487" s="138">
        <f t="shared" si="774"/>
        <v>34.333333333333336</v>
      </c>
      <c r="AL487" s="106"/>
      <c r="AM487" s="105"/>
      <c r="AN487" s="105">
        <f t="shared" si="775"/>
        <v>0</v>
      </c>
      <c r="AO487" s="106"/>
      <c r="AP487" s="105"/>
      <c r="AQ487" s="105">
        <f t="shared" si="789"/>
        <v>0</v>
      </c>
      <c r="AR487" s="106"/>
      <c r="AS487" s="97">
        <f t="shared" si="786"/>
        <v>34.333333333333336</v>
      </c>
      <c r="AT487" s="6"/>
      <c r="AU487" s="105"/>
      <c r="AV487" s="455">
        <f t="shared" si="724"/>
        <v>0</v>
      </c>
      <c r="AW487" s="496"/>
      <c r="AX487" s="508"/>
      <c r="AY487" s="504"/>
      <c r="AZ487" s="494"/>
      <c r="BA487" s="101"/>
      <c r="BB487" s="100"/>
      <c r="BC487" s="100">
        <f t="shared" si="777"/>
        <v>0</v>
      </c>
      <c r="BD487" s="101"/>
      <c r="BE487" s="105">
        <f t="shared" si="793"/>
        <v>34.333333333333336</v>
      </c>
      <c r="BF487" s="106"/>
      <c r="BG487" s="100">
        <f t="shared" si="794"/>
        <v>0</v>
      </c>
      <c r="BH487" s="106"/>
      <c r="BI487" s="100">
        <f t="shared" si="795"/>
        <v>0</v>
      </c>
      <c r="BJ487" s="106"/>
      <c r="BK487" s="101">
        <f t="shared" si="787"/>
        <v>34.333333333333336</v>
      </c>
      <c r="BL487" s="106"/>
      <c r="BM487" s="52">
        <v>1725</v>
      </c>
      <c r="BN487" s="52">
        <f t="shared" si="779"/>
        <v>34.5</v>
      </c>
      <c r="BO487" s="105">
        <v>1700</v>
      </c>
      <c r="BP487" s="105">
        <f t="shared" si="726"/>
        <v>34</v>
      </c>
      <c r="BQ487" s="106"/>
      <c r="BR487" s="105"/>
      <c r="BS487" s="105">
        <f t="shared" si="780"/>
        <v>0</v>
      </c>
      <c r="BT487" s="106"/>
      <c r="BU487" s="53"/>
      <c r="BV487" s="53">
        <f t="shared" si="781"/>
        <v>0</v>
      </c>
      <c r="BW487" s="54"/>
      <c r="BX487" s="350">
        <f t="shared" si="782"/>
        <v>34</v>
      </c>
      <c r="BY487" s="6"/>
      <c r="BZ487" s="6">
        <f t="shared" si="783"/>
        <v>0.3333333333333357</v>
      </c>
      <c r="CA487" s="508"/>
      <c r="CB487" s="7"/>
      <c r="CC487" s="7"/>
      <c r="CD487" s="7"/>
      <c r="CE487" s="504"/>
      <c r="CF487" s="105"/>
      <c r="CG487" s="105">
        <f t="shared" si="791"/>
        <v>0</v>
      </c>
      <c r="CH487" s="105"/>
      <c r="CI487" s="105"/>
      <c r="CJ487" s="105">
        <f t="shared" si="792"/>
        <v>0</v>
      </c>
      <c r="CK487" s="523"/>
      <c r="CL487" s="102">
        <f t="shared" si="784"/>
        <v>0</v>
      </c>
      <c r="CM487" s="103"/>
      <c r="CN487" s="100"/>
      <c r="CO487" s="100">
        <f t="shared" si="728"/>
        <v>0</v>
      </c>
      <c r="CP487" s="515"/>
      <c r="CQ487" s="441"/>
      <c r="CR487" s="504"/>
      <c r="CS487" s="105"/>
      <c r="CT487" s="105">
        <f t="shared" ref="CT487:CT511" si="797">CR487+CS487</f>
        <v>0</v>
      </c>
      <c r="CU487" s="105"/>
      <c r="CV487" s="105"/>
      <c r="CW487" s="105">
        <f t="shared" ref="CW487:CW511" si="798">CU487+CV487</f>
        <v>0</v>
      </c>
      <c r="CX487" s="53"/>
      <c r="CY487" s="109">
        <f t="shared" si="731"/>
        <v>0</v>
      </c>
      <c r="CZ487" s="54"/>
      <c r="DA487" s="105"/>
      <c r="DB487" s="455">
        <f t="shared" si="790"/>
        <v>0</v>
      </c>
      <c r="DC487" s="495"/>
      <c r="DD487" s="24"/>
      <c r="DE487" s="95"/>
      <c r="DF487" s="1133"/>
      <c r="DG487" s="674">
        <f t="shared" si="757"/>
        <v>0</v>
      </c>
      <c r="DH487" s="1119">
        <f t="shared" si="758"/>
        <v>0</v>
      </c>
      <c r="DI487" s="1119"/>
      <c r="DJ487" s="101">
        <f t="shared" si="796"/>
        <v>34.333333333333336</v>
      </c>
      <c r="DK487" s="101"/>
      <c r="DL487" s="101">
        <f t="shared" si="759"/>
        <v>0</v>
      </c>
      <c r="DM487" s="101"/>
      <c r="DN487" s="112"/>
      <c r="DO487" s="112"/>
      <c r="DP487" s="112"/>
      <c r="DQ487" s="112"/>
      <c r="DR487" s="95"/>
      <c r="DS487" s="111"/>
      <c r="DT487" s="111"/>
      <c r="DU487" s="111"/>
      <c r="DV487" s="140"/>
      <c r="DW487" s="140"/>
      <c r="DX487" s="140"/>
      <c r="DY487" s="140"/>
      <c r="DZ487" s="140"/>
    </row>
    <row r="488" spans="1:130" s="139" customFormat="1" ht="21.6" customHeight="1" x14ac:dyDescent="0.25">
      <c r="A488" s="4"/>
      <c r="B488" s="4"/>
      <c r="C488" s="134" t="s">
        <v>368</v>
      </c>
      <c r="D488" s="182" t="s">
        <v>431</v>
      </c>
      <c r="E488" s="3" t="s">
        <v>562</v>
      </c>
      <c r="F488" s="135"/>
      <c r="G488" s="135"/>
      <c r="H488" s="135"/>
      <c r="I488" s="135"/>
      <c r="J488" s="135"/>
      <c r="K488" s="135"/>
      <c r="L488" s="183"/>
      <c r="M488" s="5"/>
      <c r="N488" s="41"/>
      <c r="O488" s="6"/>
      <c r="P488" s="7"/>
      <c r="Q488" s="7"/>
      <c r="R488" s="7"/>
      <c r="S488" s="7"/>
      <c r="T488" s="273"/>
      <c r="U488" s="273"/>
      <c r="V488" s="273">
        <f t="shared" si="771"/>
        <v>0</v>
      </c>
      <c r="W488" s="274"/>
      <c r="X488" s="274"/>
      <c r="Y488" s="275">
        <f t="shared" si="788"/>
        <v>0</v>
      </c>
      <c r="Z488" s="91"/>
      <c r="AA488" s="273"/>
      <c r="AB488" s="273"/>
      <c r="AC488" s="273">
        <f t="shared" si="772"/>
        <v>0</v>
      </c>
      <c r="AD488" s="275"/>
      <c r="AE488" s="275"/>
      <c r="AF488" s="276">
        <f t="shared" si="773"/>
        <v>0</v>
      </c>
      <c r="AG488" s="473"/>
      <c r="AH488" s="277"/>
      <c r="AI488" s="99">
        <f t="shared" si="785"/>
        <v>0</v>
      </c>
      <c r="AJ488" s="138"/>
      <c r="AK488" s="138">
        <f t="shared" si="774"/>
        <v>0</v>
      </c>
      <c r="AL488" s="106"/>
      <c r="AM488" s="105"/>
      <c r="AN488" s="105">
        <f t="shared" si="775"/>
        <v>0</v>
      </c>
      <c r="AO488" s="106"/>
      <c r="AP488" s="105"/>
      <c r="AQ488" s="105">
        <f t="shared" si="789"/>
        <v>0</v>
      </c>
      <c r="AR488" s="106"/>
      <c r="AS488" s="97">
        <f t="shared" si="786"/>
        <v>0</v>
      </c>
      <c r="AT488" s="6"/>
      <c r="AU488" s="105"/>
      <c r="AV488" s="455">
        <f t="shared" si="724"/>
        <v>0</v>
      </c>
      <c r="AW488" s="496"/>
      <c r="AX488" s="508"/>
      <c r="AY488" s="498">
        <v>215</v>
      </c>
      <c r="AZ488" s="100">
        <f t="shared" ref="AZ488:AZ502" si="799">AY488/15</f>
        <v>14.333333333333334</v>
      </c>
      <c r="BA488" s="101"/>
      <c r="BB488" s="100"/>
      <c r="BC488" s="100">
        <f t="shared" si="777"/>
        <v>0</v>
      </c>
      <c r="BD488" s="101"/>
      <c r="BE488" s="105">
        <f t="shared" si="793"/>
        <v>14.333333333333334</v>
      </c>
      <c r="BF488" s="106"/>
      <c r="BG488" s="100">
        <f t="shared" si="794"/>
        <v>0</v>
      </c>
      <c r="BH488" s="106"/>
      <c r="BI488" s="100">
        <f t="shared" si="795"/>
        <v>0</v>
      </c>
      <c r="BJ488" s="106"/>
      <c r="BK488" s="101">
        <f t="shared" si="787"/>
        <v>14.333333333333334</v>
      </c>
      <c r="BL488" s="106"/>
      <c r="BM488" s="52">
        <v>725</v>
      </c>
      <c r="BN488" s="52">
        <f t="shared" si="779"/>
        <v>14.5</v>
      </c>
      <c r="BO488" s="105">
        <v>700</v>
      </c>
      <c r="BP488" s="105">
        <f t="shared" si="726"/>
        <v>14</v>
      </c>
      <c r="BQ488" s="106"/>
      <c r="BR488" s="105"/>
      <c r="BS488" s="105">
        <f t="shared" si="780"/>
        <v>0</v>
      </c>
      <c r="BT488" s="106"/>
      <c r="BU488" s="53"/>
      <c r="BV488" s="53">
        <f t="shared" si="781"/>
        <v>0</v>
      </c>
      <c r="BW488" s="54"/>
      <c r="BX488" s="350">
        <f t="shared" si="782"/>
        <v>14</v>
      </c>
      <c r="BY488" s="6"/>
      <c r="BZ488" s="6">
        <f t="shared" si="783"/>
        <v>0.33333333333333393</v>
      </c>
      <c r="CA488" s="508"/>
      <c r="CB488" s="7"/>
      <c r="CC488" s="7"/>
      <c r="CD488" s="7"/>
      <c r="CE488" s="504"/>
      <c r="CF488" s="105"/>
      <c r="CG488" s="105">
        <f t="shared" si="791"/>
        <v>0</v>
      </c>
      <c r="CH488" s="105"/>
      <c r="CI488" s="105"/>
      <c r="CJ488" s="105">
        <f t="shared" si="792"/>
        <v>0</v>
      </c>
      <c r="CK488" s="523"/>
      <c r="CL488" s="102">
        <f t="shared" si="784"/>
        <v>0</v>
      </c>
      <c r="CM488" s="103"/>
      <c r="CN488" s="100"/>
      <c r="CO488" s="100">
        <f t="shared" si="728"/>
        <v>0</v>
      </c>
      <c r="CP488" s="515"/>
      <c r="CQ488" s="441"/>
      <c r="CR488" s="504"/>
      <c r="CS488" s="105"/>
      <c r="CT488" s="105">
        <f t="shared" si="797"/>
        <v>0</v>
      </c>
      <c r="CU488" s="105"/>
      <c r="CV488" s="105"/>
      <c r="CW488" s="105">
        <f t="shared" si="798"/>
        <v>0</v>
      </c>
      <c r="CX488" s="53"/>
      <c r="CY488" s="109">
        <f t="shared" si="731"/>
        <v>0</v>
      </c>
      <c r="CZ488" s="54"/>
      <c r="DA488" s="105"/>
      <c r="DB488" s="455">
        <f t="shared" si="790"/>
        <v>0</v>
      </c>
      <c r="DC488" s="495"/>
      <c r="DD488" s="24"/>
      <c r="DF488" s="1133"/>
      <c r="DG488" s="674">
        <f t="shared" si="757"/>
        <v>0</v>
      </c>
      <c r="DH488" s="1119">
        <f t="shared" si="758"/>
        <v>0</v>
      </c>
      <c r="DI488" s="1119"/>
      <c r="DJ488" s="101">
        <f t="shared" si="796"/>
        <v>14.333333333333334</v>
      </c>
      <c r="DK488" s="101"/>
      <c r="DL488" s="101">
        <f t="shared" si="759"/>
        <v>0</v>
      </c>
      <c r="DM488" s="101"/>
      <c r="DN488" s="112"/>
      <c r="DO488" s="112"/>
      <c r="DP488" s="112"/>
      <c r="DQ488" s="112"/>
      <c r="DS488" s="140"/>
      <c r="DT488" s="140"/>
      <c r="DU488" s="140"/>
      <c r="DV488" s="140"/>
      <c r="DW488" s="140"/>
      <c r="DX488" s="140"/>
      <c r="DY488" s="140"/>
      <c r="DZ488" s="140"/>
    </row>
    <row r="489" spans="1:130" s="139" customFormat="1" ht="53.25" customHeight="1" x14ac:dyDescent="0.25">
      <c r="A489" s="4"/>
      <c r="B489" s="4"/>
      <c r="C489" s="134" t="s">
        <v>368</v>
      </c>
      <c r="D489" s="182" t="s">
        <v>489</v>
      </c>
      <c r="E489" s="3" t="s">
        <v>675</v>
      </c>
      <c r="F489" s="135"/>
      <c r="G489" s="135"/>
      <c r="H489" s="135"/>
      <c r="I489" s="135"/>
      <c r="J489" s="135"/>
      <c r="K489" s="135"/>
      <c r="L489" s="183"/>
      <c r="M489" s="5"/>
      <c r="N489" s="41"/>
      <c r="O489" s="6"/>
      <c r="P489" s="7"/>
      <c r="Q489" s="7"/>
      <c r="R489" s="7"/>
      <c r="S489" s="7"/>
      <c r="T489" s="273"/>
      <c r="U489" s="273"/>
      <c r="V489" s="273">
        <f t="shared" si="771"/>
        <v>0</v>
      </c>
      <c r="W489" s="274"/>
      <c r="X489" s="274"/>
      <c r="Y489" s="90">
        <f t="shared" si="788"/>
        <v>0</v>
      </c>
      <c r="Z489" s="91"/>
      <c r="AA489" s="273"/>
      <c r="AB489" s="273"/>
      <c r="AC489" s="273">
        <f t="shared" si="772"/>
        <v>0</v>
      </c>
      <c r="AD489" s="275"/>
      <c r="AE489" s="275"/>
      <c r="AF489" s="307">
        <f t="shared" si="773"/>
        <v>0</v>
      </c>
      <c r="AG489" s="473"/>
      <c r="AH489" s="277"/>
      <c r="AI489" s="99">
        <f t="shared" si="785"/>
        <v>0</v>
      </c>
      <c r="AJ489" s="138"/>
      <c r="AK489" s="138">
        <f t="shared" si="774"/>
        <v>0</v>
      </c>
      <c r="AL489" s="106"/>
      <c r="AM489" s="105"/>
      <c r="AN489" s="105">
        <f t="shared" si="775"/>
        <v>0</v>
      </c>
      <c r="AO489" s="106"/>
      <c r="AP489" s="105"/>
      <c r="AQ489" s="105">
        <f t="shared" si="789"/>
        <v>0</v>
      </c>
      <c r="AR489" s="106"/>
      <c r="AS489" s="97">
        <f t="shared" si="786"/>
        <v>0</v>
      </c>
      <c r="AT489" s="6"/>
      <c r="AU489" s="105"/>
      <c r="AV489" s="455">
        <f t="shared" si="724"/>
        <v>0</v>
      </c>
      <c r="AW489" s="496"/>
      <c r="AX489" s="508"/>
      <c r="AY489" s="498"/>
      <c r="AZ489" s="100">
        <f t="shared" si="799"/>
        <v>0</v>
      </c>
      <c r="BA489" s="101"/>
      <c r="BB489" s="100"/>
      <c r="BC489" s="100">
        <f t="shared" si="777"/>
        <v>0</v>
      </c>
      <c r="BD489" s="101"/>
      <c r="BE489" s="105">
        <f t="shared" si="793"/>
        <v>0</v>
      </c>
      <c r="BF489" s="106"/>
      <c r="BG489" s="100">
        <f t="shared" si="794"/>
        <v>0</v>
      </c>
      <c r="BH489" s="106"/>
      <c r="BI489" s="100">
        <f t="shared" si="795"/>
        <v>0</v>
      </c>
      <c r="BJ489" s="106"/>
      <c r="BK489" s="101">
        <f t="shared" si="787"/>
        <v>0</v>
      </c>
      <c r="BL489" s="106"/>
      <c r="BM489" s="52">
        <v>2745</v>
      </c>
      <c r="BN489" s="104">
        <f t="shared" si="779"/>
        <v>54.9</v>
      </c>
      <c r="BO489" s="105"/>
      <c r="BP489" s="105">
        <f t="shared" si="726"/>
        <v>0</v>
      </c>
      <c r="BQ489" s="106"/>
      <c r="BR489" s="105"/>
      <c r="BS489" s="105">
        <f t="shared" si="780"/>
        <v>0</v>
      </c>
      <c r="BT489" s="106"/>
      <c r="BU489" s="53"/>
      <c r="BV489" s="53">
        <f t="shared" si="781"/>
        <v>0</v>
      </c>
      <c r="BW489" s="54"/>
      <c r="BX489" s="350">
        <f t="shared" si="782"/>
        <v>0</v>
      </c>
      <c r="BY489" s="6"/>
      <c r="BZ489" s="6">
        <f t="shared" si="783"/>
        <v>0</v>
      </c>
      <c r="CA489" s="508"/>
      <c r="CB489" s="7"/>
      <c r="CC489" s="7"/>
      <c r="CD489" s="7"/>
      <c r="CE489" s="504"/>
      <c r="CF489" s="105"/>
      <c r="CG489" s="105">
        <f t="shared" si="791"/>
        <v>0</v>
      </c>
      <c r="CH489" s="105"/>
      <c r="CI489" s="105"/>
      <c r="CJ489" s="105">
        <f t="shared" si="792"/>
        <v>0</v>
      </c>
      <c r="CK489" s="523"/>
      <c r="CL489" s="102">
        <f t="shared" si="784"/>
        <v>0</v>
      </c>
      <c r="CM489" s="103"/>
      <c r="CN489" s="100">
        <v>820</v>
      </c>
      <c r="CO489" s="100">
        <f t="shared" si="728"/>
        <v>54.666666666666664</v>
      </c>
      <c r="CP489" s="515"/>
      <c r="CQ489" s="441"/>
      <c r="CR489" s="504"/>
      <c r="CS489" s="105"/>
      <c r="CT489" s="105">
        <f t="shared" si="797"/>
        <v>0</v>
      </c>
      <c r="CU489" s="105"/>
      <c r="CV489" s="105"/>
      <c r="CW489" s="105">
        <f t="shared" si="798"/>
        <v>0</v>
      </c>
      <c r="CX489" s="53"/>
      <c r="CY489" s="109">
        <f t="shared" si="731"/>
        <v>0</v>
      </c>
      <c r="CZ489" s="54"/>
      <c r="DA489" s="105"/>
      <c r="DB489" s="455">
        <f t="shared" si="790"/>
        <v>0</v>
      </c>
      <c r="DC489" s="495"/>
      <c r="DD489" s="24"/>
      <c r="DF489" s="1133"/>
      <c r="DG489" s="674">
        <f t="shared" ref="DG489:DG512" si="800">AV489+CY489+DB489</f>
        <v>0</v>
      </c>
      <c r="DH489" s="1119">
        <f t="shared" ref="DH489:DH512" si="801">BC489+CL489+CO489</f>
        <v>54.666666666666664</v>
      </c>
      <c r="DI489" s="1119"/>
      <c r="DJ489" s="101">
        <f t="shared" si="796"/>
        <v>54.666666666666664</v>
      </c>
      <c r="DK489" s="101"/>
      <c r="DL489" s="101">
        <f t="shared" ref="DL489:DL512" si="802">CT489+CG489+AC489</f>
        <v>0</v>
      </c>
      <c r="DM489" s="101"/>
      <c r="DN489" s="112"/>
      <c r="DO489" s="112"/>
      <c r="DP489" s="112"/>
      <c r="DQ489" s="112"/>
      <c r="DS489" s="140"/>
      <c r="DT489" s="140"/>
      <c r="DU489" s="140"/>
      <c r="DV489" s="140"/>
      <c r="DW489" s="140"/>
      <c r="DX489" s="140"/>
      <c r="DY489" s="140"/>
      <c r="DZ489" s="140"/>
    </row>
    <row r="490" spans="1:130" s="139" customFormat="1" ht="21.6" customHeight="1" x14ac:dyDescent="0.25">
      <c r="A490" s="4"/>
      <c r="B490" s="4"/>
      <c r="C490" s="134" t="s">
        <v>368</v>
      </c>
      <c r="D490" s="182" t="s">
        <v>431</v>
      </c>
      <c r="E490" s="3" t="s">
        <v>570</v>
      </c>
      <c r="F490" s="135"/>
      <c r="G490" s="135"/>
      <c r="H490" s="135"/>
      <c r="I490" s="135"/>
      <c r="J490" s="135"/>
      <c r="K490" s="135"/>
      <c r="L490" s="183"/>
      <c r="M490" s="5"/>
      <c r="N490" s="41"/>
      <c r="O490" s="6"/>
      <c r="P490" s="7"/>
      <c r="Q490" s="7"/>
      <c r="R490" s="7"/>
      <c r="S490" s="7"/>
      <c r="T490" s="273"/>
      <c r="U490" s="273"/>
      <c r="V490" s="273">
        <f t="shared" si="771"/>
        <v>0</v>
      </c>
      <c r="W490" s="274"/>
      <c r="X490" s="274"/>
      <c r="Y490" s="275">
        <f t="shared" si="788"/>
        <v>0</v>
      </c>
      <c r="Z490" s="91"/>
      <c r="AA490" s="273"/>
      <c r="AB490" s="273"/>
      <c r="AC490" s="273">
        <f t="shared" si="772"/>
        <v>0</v>
      </c>
      <c r="AD490" s="275"/>
      <c r="AE490" s="275"/>
      <c r="AF490" s="276">
        <f t="shared" si="773"/>
        <v>0</v>
      </c>
      <c r="AG490" s="473"/>
      <c r="AH490" s="277">
        <v>517.5</v>
      </c>
      <c r="AI490" s="277">
        <f t="shared" si="785"/>
        <v>34.5</v>
      </c>
      <c r="AJ490" s="138">
        <v>515</v>
      </c>
      <c r="AK490" s="138">
        <f t="shared" si="774"/>
        <v>34.333333333333336</v>
      </c>
      <c r="AL490" s="106"/>
      <c r="AM490" s="105"/>
      <c r="AN490" s="105">
        <f t="shared" si="775"/>
        <v>0</v>
      </c>
      <c r="AO490" s="106"/>
      <c r="AP490" s="105"/>
      <c r="AQ490" s="105">
        <f t="shared" si="789"/>
        <v>0</v>
      </c>
      <c r="AR490" s="106"/>
      <c r="AS490" s="97">
        <f t="shared" si="786"/>
        <v>34.333333333333336</v>
      </c>
      <c r="AT490" s="6"/>
      <c r="AU490" s="105"/>
      <c r="AV490" s="455">
        <f t="shared" si="724"/>
        <v>0</v>
      </c>
      <c r="AW490" s="496"/>
      <c r="AX490" s="508"/>
      <c r="AY490" s="498"/>
      <c r="AZ490" s="100">
        <f t="shared" si="799"/>
        <v>0</v>
      </c>
      <c r="BA490" s="101"/>
      <c r="BB490" s="100"/>
      <c r="BC490" s="100">
        <f t="shared" si="777"/>
        <v>0</v>
      </c>
      <c r="BD490" s="101"/>
      <c r="BE490" s="105">
        <f t="shared" si="793"/>
        <v>34.333333333333336</v>
      </c>
      <c r="BF490" s="106"/>
      <c r="BG490" s="100">
        <f t="shared" si="794"/>
        <v>0</v>
      </c>
      <c r="BH490" s="106"/>
      <c r="BI490" s="100">
        <f t="shared" si="795"/>
        <v>0</v>
      </c>
      <c r="BJ490" s="106"/>
      <c r="BK490" s="101">
        <f t="shared" si="787"/>
        <v>34.333333333333336</v>
      </c>
      <c r="BL490" s="106"/>
      <c r="BM490" s="52">
        <v>1725</v>
      </c>
      <c r="BN490" s="52">
        <f t="shared" si="779"/>
        <v>34.5</v>
      </c>
      <c r="BO490" s="105">
        <v>1700</v>
      </c>
      <c r="BP490" s="105">
        <f t="shared" si="726"/>
        <v>34</v>
      </c>
      <c r="BQ490" s="106"/>
      <c r="BR490" s="105"/>
      <c r="BS490" s="105">
        <f t="shared" si="780"/>
        <v>0</v>
      </c>
      <c r="BT490" s="106"/>
      <c r="BU490" s="53"/>
      <c r="BV490" s="53">
        <f t="shared" si="781"/>
        <v>0</v>
      </c>
      <c r="BW490" s="54"/>
      <c r="BX490" s="350">
        <f t="shared" si="782"/>
        <v>34</v>
      </c>
      <c r="BY490" s="6"/>
      <c r="BZ490" s="6">
        <f t="shared" si="783"/>
        <v>0.3333333333333357</v>
      </c>
      <c r="CA490" s="508"/>
      <c r="CB490" s="7"/>
      <c r="CC490" s="7"/>
      <c r="CD490" s="7"/>
      <c r="CE490" s="504"/>
      <c r="CF490" s="105"/>
      <c r="CG490" s="105">
        <f t="shared" si="791"/>
        <v>0</v>
      </c>
      <c r="CH490" s="105"/>
      <c r="CI490" s="105"/>
      <c r="CJ490" s="105">
        <f t="shared" si="792"/>
        <v>0</v>
      </c>
      <c r="CK490" s="523"/>
      <c r="CL490" s="102">
        <f t="shared" si="784"/>
        <v>0</v>
      </c>
      <c r="CM490" s="103"/>
      <c r="CN490" s="494">
        <v>0</v>
      </c>
      <c r="CO490" s="100">
        <f t="shared" si="728"/>
        <v>0</v>
      </c>
      <c r="CP490" s="515"/>
      <c r="CQ490" s="441"/>
      <c r="CR490" s="504"/>
      <c r="CS490" s="105"/>
      <c r="CT490" s="105">
        <f t="shared" si="797"/>
        <v>0</v>
      </c>
      <c r="CU490" s="105"/>
      <c r="CV490" s="105"/>
      <c r="CW490" s="105">
        <f t="shared" si="798"/>
        <v>0</v>
      </c>
      <c r="CX490" s="53"/>
      <c r="CY490" s="109">
        <f t="shared" ref="CY490:CY511" si="803">CX490/15</f>
        <v>0</v>
      </c>
      <c r="CZ490" s="54"/>
      <c r="DA490" s="105"/>
      <c r="DB490" s="455">
        <f t="shared" si="790"/>
        <v>0</v>
      </c>
      <c r="DC490" s="495"/>
      <c r="DD490" s="24"/>
      <c r="DF490" s="1133"/>
      <c r="DG490" s="674">
        <f t="shared" si="800"/>
        <v>0</v>
      </c>
      <c r="DH490" s="1119">
        <f t="shared" si="801"/>
        <v>0</v>
      </c>
      <c r="DI490" s="1119"/>
      <c r="DJ490" s="101">
        <f t="shared" si="796"/>
        <v>34.333333333333336</v>
      </c>
      <c r="DK490" s="101"/>
      <c r="DL490" s="101">
        <f t="shared" si="802"/>
        <v>0</v>
      </c>
      <c r="DM490" s="101"/>
      <c r="DN490" s="112"/>
      <c r="DO490" s="112"/>
      <c r="DP490" s="112"/>
      <c r="DQ490" s="112"/>
      <c r="DS490" s="140"/>
      <c r="DT490" s="140"/>
      <c r="DU490" s="140"/>
      <c r="DV490" s="140"/>
      <c r="DW490" s="140"/>
      <c r="DX490" s="140"/>
      <c r="DY490" s="140"/>
      <c r="DZ490" s="140"/>
    </row>
    <row r="491" spans="1:130" s="139" customFormat="1" ht="30" customHeight="1" x14ac:dyDescent="0.25">
      <c r="A491" s="4"/>
      <c r="B491" s="4"/>
      <c r="C491" s="134" t="s">
        <v>368</v>
      </c>
      <c r="D491" s="182" t="s">
        <v>431</v>
      </c>
      <c r="E491" s="3" t="s">
        <v>729</v>
      </c>
      <c r="F491" s="135"/>
      <c r="G491" s="135"/>
      <c r="H491" s="135"/>
      <c r="I491" s="135"/>
      <c r="J491" s="135"/>
      <c r="K491" s="135"/>
      <c r="L491" s="183"/>
      <c r="M491" s="5"/>
      <c r="N491" s="41"/>
      <c r="O491" s="6"/>
      <c r="P491" s="7"/>
      <c r="Q491" s="7"/>
      <c r="R491" s="7"/>
      <c r="S491" s="7"/>
      <c r="T491" s="273"/>
      <c r="U491" s="273"/>
      <c r="V491" s="273"/>
      <c r="W491" s="274"/>
      <c r="X491" s="274"/>
      <c r="Y491" s="275"/>
      <c r="Z491" s="91"/>
      <c r="AA491" s="273"/>
      <c r="AB491" s="273"/>
      <c r="AC491" s="273"/>
      <c r="AD491" s="275"/>
      <c r="AE491" s="275"/>
      <c r="AF491" s="276"/>
      <c r="AG491" s="473"/>
      <c r="AH491" s="277"/>
      <c r="AI491" s="277"/>
      <c r="AJ491" s="138"/>
      <c r="AK491" s="138"/>
      <c r="AL491" s="106"/>
      <c r="AM491" s="105"/>
      <c r="AN491" s="105"/>
      <c r="AO491" s="106"/>
      <c r="AP491" s="105"/>
      <c r="AQ491" s="105"/>
      <c r="AR491" s="106"/>
      <c r="AS491" s="97"/>
      <c r="AT491" s="6"/>
      <c r="AU491" s="105"/>
      <c r="AV491" s="455"/>
      <c r="AW491" s="496"/>
      <c r="AX491" s="508"/>
      <c r="AY491" s="498"/>
      <c r="AZ491" s="100"/>
      <c r="BA491" s="101"/>
      <c r="BB491" s="100"/>
      <c r="BC491" s="100"/>
      <c r="BD491" s="101"/>
      <c r="BE491" s="105"/>
      <c r="BF491" s="106"/>
      <c r="BG491" s="100"/>
      <c r="BH491" s="106"/>
      <c r="BI491" s="100"/>
      <c r="BJ491" s="106"/>
      <c r="BK491" s="101"/>
      <c r="BL491" s="106"/>
      <c r="BM491" s="52"/>
      <c r="BN491" s="52"/>
      <c r="BO491" s="105"/>
      <c r="BP491" s="105"/>
      <c r="BQ491" s="106"/>
      <c r="BR491" s="105"/>
      <c r="BS491" s="105"/>
      <c r="BT491" s="106"/>
      <c r="BU491" s="53"/>
      <c r="BV491" s="53"/>
      <c r="BW491" s="54"/>
      <c r="BX491" s="350"/>
      <c r="BY491" s="6"/>
      <c r="BZ491" s="6"/>
      <c r="CA491" s="508"/>
      <c r="CB491" s="7"/>
      <c r="CC491" s="7"/>
      <c r="CD491" s="7"/>
      <c r="CE491" s="504"/>
      <c r="CF491" s="105"/>
      <c r="CG491" s="105"/>
      <c r="CH491" s="105"/>
      <c r="CI491" s="105"/>
      <c r="CJ491" s="105"/>
      <c r="CK491" s="523"/>
      <c r="CL491" s="102"/>
      <c r="CM491" s="103"/>
      <c r="CN491" s="494"/>
      <c r="CO491" s="100"/>
      <c r="CP491" s="515"/>
      <c r="CQ491" s="441"/>
      <c r="CR491" s="504"/>
      <c r="CS491" s="105"/>
      <c r="CT491" s="105"/>
      <c r="CU491" s="105"/>
      <c r="CV491" s="105"/>
      <c r="CW491" s="105"/>
      <c r="CX491" s="53"/>
      <c r="CY491" s="109"/>
      <c r="CZ491" s="54"/>
      <c r="DA491" s="105"/>
      <c r="DB491" s="455"/>
      <c r="DC491" s="495"/>
      <c r="DD491" s="24"/>
      <c r="DF491" s="1133"/>
      <c r="DG491" s="674">
        <f t="shared" si="800"/>
        <v>0</v>
      </c>
      <c r="DH491" s="1119">
        <f t="shared" si="801"/>
        <v>0</v>
      </c>
      <c r="DI491" s="1119"/>
      <c r="DJ491" s="101">
        <f t="shared" si="796"/>
        <v>0</v>
      </c>
      <c r="DK491" s="101"/>
      <c r="DL491" s="101">
        <f t="shared" si="802"/>
        <v>0</v>
      </c>
      <c r="DM491" s="101"/>
      <c r="DN491" s="112"/>
      <c r="DO491" s="112"/>
      <c r="DP491" s="112"/>
      <c r="DQ491" s="112"/>
      <c r="DS491" s="140"/>
      <c r="DT491" s="140"/>
      <c r="DU491" s="140"/>
      <c r="DV491" s="140"/>
      <c r="DW491" s="140"/>
      <c r="DX491" s="140"/>
      <c r="DY491" s="140"/>
      <c r="DZ491" s="140"/>
    </row>
    <row r="492" spans="1:130" s="139" customFormat="1" ht="21.6" customHeight="1" x14ac:dyDescent="0.25">
      <c r="A492" s="4"/>
      <c r="B492" s="4"/>
      <c r="C492" s="134" t="s">
        <v>368</v>
      </c>
      <c r="D492" s="182" t="s">
        <v>489</v>
      </c>
      <c r="E492" s="3" t="s">
        <v>564</v>
      </c>
      <c r="F492" s="135"/>
      <c r="G492" s="135"/>
      <c r="H492" s="135"/>
      <c r="I492" s="135"/>
      <c r="J492" s="135"/>
      <c r="K492" s="135"/>
      <c r="L492" s="183"/>
      <c r="M492" s="5"/>
      <c r="N492" s="41"/>
      <c r="O492" s="6"/>
      <c r="P492" s="7"/>
      <c r="Q492" s="7"/>
      <c r="R492" s="7"/>
      <c r="S492" s="7"/>
      <c r="T492" s="273"/>
      <c r="U492" s="273"/>
      <c r="V492" s="273">
        <f t="shared" si="771"/>
        <v>0</v>
      </c>
      <c r="W492" s="274"/>
      <c r="X492" s="274"/>
      <c r="Y492" s="275">
        <f t="shared" si="788"/>
        <v>0</v>
      </c>
      <c r="Z492" s="91"/>
      <c r="AA492" s="273"/>
      <c r="AB492" s="273"/>
      <c r="AC492" s="273">
        <f t="shared" si="772"/>
        <v>0</v>
      </c>
      <c r="AD492" s="275"/>
      <c r="AE492" s="275"/>
      <c r="AF492" s="276">
        <f t="shared" si="773"/>
        <v>0</v>
      </c>
      <c r="AG492" s="473"/>
      <c r="AH492" s="277"/>
      <c r="AI492" s="99">
        <f t="shared" si="785"/>
        <v>0</v>
      </c>
      <c r="AJ492" s="138"/>
      <c r="AK492" s="138">
        <f t="shared" si="774"/>
        <v>0</v>
      </c>
      <c r="AL492" s="106"/>
      <c r="AM492" s="105"/>
      <c r="AN492" s="105">
        <f t="shared" si="775"/>
        <v>0</v>
      </c>
      <c r="AO492" s="106"/>
      <c r="AP492" s="105"/>
      <c r="AQ492" s="105">
        <f t="shared" si="789"/>
        <v>0</v>
      </c>
      <c r="AR492" s="106"/>
      <c r="AS492" s="97">
        <f t="shared" si="786"/>
        <v>0</v>
      </c>
      <c r="AT492" s="6"/>
      <c r="AU492" s="105"/>
      <c r="AV492" s="455">
        <f t="shared" si="724"/>
        <v>0</v>
      </c>
      <c r="AW492" s="496"/>
      <c r="AX492" s="508"/>
      <c r="AY492" s="498">
        <v>1245</v>
      </c>
      <c r="AZ492" s="100">
        <f t="shared" si="799"/>
        <v>83</v>
      </c>
      <c r="BA492" s="101"/>
      <c r="BB492" s="100"/>
      <c r="BC492" s="100">
        <f t="shared" si="777"/>
        <v>0</v>
      </c>
      <c r="BD492" s="101"/>
      <c r="BE492" s="105">
        <f t="shared" ref="BE492:BE499" si="804">AK492+AZ492</f>
        <v>83</v>
      </c>
      <c r="BF492" s="106"/>
      <c r="BG492" s="100">
        <f t="shared" ref="BG492:BG499" si="805">BC492+AQ492+AN492</f>
        <v>0</v>
      </c>
      <c r="BH492" s="106"/>
      <c r="BI492" s="100">
        <f t="shared" ref="BI492:BI499" si="806">AV492</f>
        <v>0</v>
      </c>
      <c r="BJ492" s="106"/>
      <c r="BK492" s="101">
        <f t="shared" si="787"/>
        <v>83</v>
      </c>
      <c r="BL492" s="106"/>
      <c r="BM492" s="52">
        <v>4150</v>
      </c>
      <c r="BN492" s="52">
        <f t="shared" si="779"/>
        <v>83</v>
      </c>
      <c r="BO492" s="105">
        <v>4150</v>
      </c>
      <c r="BP492" s="105">
        <f t="shared" si="726"/>
        <v>83</v>
      </c>
      <c r="BQ492" s="106"/>
      <c r="BR492" s="105"/>
      <c r="BS492" s="105">
        <f t="shared" si="780"/>
        <v>0</v>
      </c>
      <c r="BT492" s="106"/>
      <c r="BU492" s="53"/>
      <c r="BV492" s="53">
        <f t="shared" si="781"/>
        <v>0</v>
      </c>
      <c r="BW492" s="54"/>
      <c r="BX492" s="350">
        <f t="shared" si="782"/>
        <v>83</v>
      </c>
      <c r="BY492" s="6"/>
      <c r="BZ492" s="6">
        <f t="shared" si="783"/>
        <v>0</v>
      </c>
      <c r="CA492" s="508"/>
      <c r="CB492" s="7"/>
      <c r="CC492" s="7"/>
      <c r="CD492" s="7"/>
      <c r="CE492" s="504"/>
      <c r="CF492" s="105"/>
      <c r="CG492" s="105">
        <f t="shared" si="791"/>
        <v>0</v>
      </c>
      <c r="CH492" s="105"/>
      <c r="CI492" s="105"/>
      <c r="CJ492" s="105">
        <f t="shared" si="792"/>
        <v>0</v>
      </c>
      <c r="CK492" s="523"/>
      <c r="CL492" s="102">
        <f t="shared" si="784"/>
        <v>0</v>
      </c>
      <c r="CM492" s="103"/>
      <c r="CN492" s="100"/>
      <c r="CO492" s="100">
        <f t="shared" ref="CO492:CO511" si="807">CN492/15</f>
        <v>0</v>
      </c>
      <c r="CP492" s="515"/>
      <c r="CQ492" s="441"/>
      <c r="CR492" s="504"/>
      <c r="CS492" s="105"/>
      <c r="CT492" s="105">
        <f t="shared" si="797"/>
        <v>0</v>
      </c>
      <c r="CU492" s="105"/>
      <c r="CV492" s="105"/>
      <c r="CW492" s="105">
        <f t="shared" si="798"/>
        <v>0</v>
      </c>
      <c r="CX492" s="53"/>
      <c r="CY492" s="109">
        <f t="shared" si="803"/>
        <v>0</v>
      </c>
      <c r="CZ492" s="54"/>
      <c r="DA492" s="105"/>
      <c r="DB492" s="455">
        <f t="shared" si="790"/>
        <v>0</v>
      </c>
      <c r="DC492" s="495"/>
      <c r="DD492" s="24"/>
      <c r="DF492" s="1133"/>
      <c r="DG492" s="674">
        <f t="shared" si="800"/>
        <v>0</v>
      </c>
      <c r="DH492" s="1119">
        <f t="shared" si="801"/>
        <v>0</v>
      </c>
      <c r="DI492" s="1119"/>
      <c r="DJ492" s="101">
        <f t="shared" si="796"/>
        <v>83</v>
      </c>
      <c r="DK492" s="101"/>
      <c r="DL492" s="101">
        <f t="shared" si="802"/>
        <v>0</v>
      </c>
      <c r="DM492" s="101"/>
      <c r="DN492" s="112"/>
      <c r="DO492" s="112"/>
      <c r="DP492" s="112"/>
      <c r="DQ492" s="112"/>
      <c r="DS492" s="140"/>
      <c r="DT492" s="140"/>
      <c r="DU492" s="140"/>
      <c r="DV492" s="140"/>
      <c r="DW492" s="140"/>
      <c r="DX492" s="140"/>
      <c r="DY492" s="140"/>
      <c r="DZ492" s="140"/>
    </row>
    <row r="493" spans="1:130" s="139" customFormat="1" ht="21.6" customHeight="1" x14ac:dyDescent="0.25">
      <c r="A493" s="4"/>
      <c r="B493" s="4"/>
      <c r="C493" s="134" t="s">
        <v>368</v>
      </c>
      <c r="D493" s="182" t="s">
        <v>431</v>
      </c>
      <c r="E493" s="3" t="s">
        <v>571</v>
      </c>
      <c r="F493" s="135"/>
      <c r="G493" s="135"/>
      <c r="H493" s="135"/>
      <c r="I493" s="135"/>
      <c r="J493" s="135"/>
      <c r="K493" s="135"/>
      <c r="L493" s="183"/>
      <c r="M493" s="5"/>
      <c r="N493" s="41"/>
      <c r="O493" s="6"/>
      <c r="P493" s="7"/>
      <c r="Q493" s="7"/>
      <c r="R493" s="7"/>
      <c r="S493" s="7"/>
      <c r="T493" s="273"/>
      <c r="U493" s="273"/>
      <c r="V493" s="273">
        <f t="shared" si="771"/>
        <v>0</v>
      </c>
      <c r="W493" s="274"/>
      <c r="X493" s="274"/>
      <c r="Y493" s="275">
        <f t="shared" si="788"/>
        <v>0</v>
      </c>
      <c r="Z493" s="91"/>
      <c r="AA493" s="273"/>
      <c r="AB493" s="273"/>
      <c r="AC493" s="273">
        <f t="shared" si="772"/>
        <v>0</v>
      </c>
      <c r="AD493" s="275"/>
      <c r="AE493" s="275"/>
      <c r="AF493" s="276">
        <f t="shared" si="773"/>
        <v>0</v>
      </c>
      <c r="AG493" s="473"/>
      <c r="AH493" s="277">
        <v>372</v>
      </c>
      <c r="AI493" s="277">
        <f t="shared" si="785"/>
        <v>24.8</v>
      </c>
      <c r="AJ493" s="138">
        <v>370</v>
      </c>
      <c r="AK493" s="138">
        <f t="shared" si="774"/>
        <v>24.666666666666668</v>
      </c>
      <c r="AL493" s="106"/>
      <c r="AM493" s="105"/>
      <c r="AN493" s="105">
        <f t="shared" si="775"/>
        <v>0</v>
      </c>
      <c r="AO493" s="106"/>
      <c r="AP493" s="105"/>
      <c r="AQ493" s="105">
        <f t="shared" si="789"/>
        <v>0</v>
      </c>
      <c r="AR493" s="106"/>
      <c r="AS493" s="97">
        <f t="shared" si="786"/>
        <v>24.666666666666668</v>
      </c>
      <c r="AT493" s="6"/>
      <c r="AU493" s="105"/>
      <c r="AV493" s="455">
        <f t="shared" ref="AV493:AV511" si="808">AU493/15</f>
        <v>0</v>
      </c>
      <c r="AW493" s="496"/>
      <c r="AX493" s="508"/>
      <c r="AY493" s="498"/>
      <c r="AZ493" s="100">
        <f t="shared" si="799"/>
        <v>0</v>
      </c>
      <c r="BA493" s="101"/>
      <c r="BB493" s="100"/>
      <c r="BC493" s="100">
        <f t="shared" si="777"/>
        <v>0</v>
      </c>
      <c r="BD493" s="101"/>
      <c r="BE493" s="105">
        <f t="shared" si="804"/>
        <v>24.666666666666668</v>
      </c>
      <c r="BF493" s="106"/>
      <c r="BG493" s="100">
        <f t="shared" si="805"/>
        <v>0</v>
      </c>
      <c r="BH493" s="106"/>
      <c r="BI493" s="100">
        <f t="shared" si="806"/>
        <v>0</v>
      </c>
      <c r="BJ493" s="106"/>
      <c r="BK493" s="101">
        <f t="shared" si="787"/>
        <v>24.666666666666668</v>
      </c>
      <c r="BL493" s="106"/>
      <c r="BM493" s="52">
        <v>1240</v>
      </c>
      <c r="BN493" s="52">
        <f t="shared" si="779"/>
        <v>24.8</v>
      </c>
      <c r="BO493" s="105">
        <v>1200</v>
      </c>
      <c r="BP493" s="105">
        <f t="shared" ref="BP493:BP511" si="809">BO493/50</f>
        <v>24</v>
      </c>
      <c r="BQ493" s="106"/>
      <c r="BR493" s="105"/>
      <c r="BS493" s="105">
        <f t="shared" si="780"/>
        <v>0</v>
      </c>
      <c r="BT493" s="106"/>
      <c r="BU493" s="53"/>
      <c r="BV493" s="53">
        <f t="shared" si="781"/>
        <v>0</v>
      </c>
      <c r="BW493" s="54"/>
      <c r="BX493" s="350">
        <f t="shared" si="782"/>
        <v>24</v>
      </c>
      <c r="BY493" s="6"/>
      <c r="BZ493" s="6">
        <f t="shared" si="783"/>
        <v>0.66666666666666785</v>
      </c>
      <c r="CA493" s="508"/>
      <c r="CB493" s="7"/>
      <c r="CC493" s="7"/>
      <c r="CD493" s="7"/>
      <c r="CE493" s="504"/>
      <c r="CF493" s="105"/>
      <c r="CG493" s="105">
        <f t="shared" si="791"/>
        <v>0</v>
      </c>
      <c r="CH493" s="105"/>
      <c r="CI493" s="105"/>
      <c r="CJ493" s="105">
        <f t="shared" si="792"/>
        <v>0</v>
      </c>
      <c r="CK493" s="523"/>
      <c r="CL493" s="102">
        <f t="shared" si="784"/>
        <v>0</v>
      </c>
      <c r="CM493" s="103"/>
      <c r="CN493" s="100"/>
      <c r="CO493" s="100">
        <f t="shared" si="807"/>
        <v>0</v>
      </c>
      <c r="CP493" s="515"/>
      <c r="CQ493" s="441"/>
      <c r="CR493" s="504"/>
      <c r="CS493" s="105"/>
      <c r="CT493" s="105">
        <f t="shared" si="797"/>
        <v>0</v>
      </c>
      <c r="CU493" s="105"/>
      <c r="CV493" s="105"/>
      <c r="CW493" s="105">
        <f t="shared" si="798"/>
        <v>0</v>
      </c>
      <c r="CX493" s="53"/>
      <c r="CY493" s="109">
        <f t="shared" si="803"/>
        <v>0</v>
      </c>
      <c r="CZ493" s="54"/>
      <c r="DA493" s="105"/>
      <c r="DB493" s="455">
        <f t="shared" si="790"/>
        <v>0</v>
      </c>
      <c r="DC493" s="495"/>
      <c r="DD493" s="24"/>
      <c r="DF493" s="1133"/>
      <c r="DG493" s="674">
        <f t="shared" si="800"/>
        <v>0</v>
      </c>
      <c r="DH493" s="1119">
        <f t="shared" si="801"/>
        <v>0</v>
      </c>
      <c r="DI493" s="1119"/>
      <c r="DJ493" s="101">
        <f t="shared" si="796"/>
        <v>24.666666666666668</v>
      </c>
      <c r="DK493" s="101"/>
      <c r="DL493" s="101">
        <f t="shared" si="802"/>
        <v>0</v>
      </c>
      <c r="DM493" s="101"/>
      <c r="DN493" s="112"/>
      <c r="DO493" s="112"/>
      <c r="DP493" s="112"/>
      <c r="DQ493" s="112"/>
      <c r="DS493" s="140"/>
      <c r="DT493" s="140"/>
      <c r="DU493" s="140"/>
      <c r="DV493" s="140"/>
      <c r="DW493" s="140"/>
      <c r="DX493" s="140"/>
      <c r="DY493" s="140"/>
      <c r="DZ493" s="140"/>
    </row>
    <row r="494" spans="1:130" s="139" customFormat="1" ht="21.6" customHeight="1" x14ac:dyDescent="0.25">
      <c r="A494" s="4"/>
      <c r="B494" s="4"/>
      <c r="C494" s="134" t="s">
        <v>368</v>
      </c>
      <c r="D494" s="182" t="s">
        <v>431</v>
      </c>
      <c r="E494" s="3" t="s">
        <v>566</v>
      </c>
      <c r="F494" s="135"/>
      <c r="G494" s="135"/>
      <c r="H494" s="135"/>
      <c r="I494" s="135"/>
      <c r="J494" s="135"/>
      <c r="K494" s="135"/>
      <c r="L494" s="183"/>
      <c r="M494" s="5"/>
      <c r="N494" s="41"/>
      <c r="O494" s="6"/>
      <c r="P494" s="7"/>
      <c r="Q494" s="7"/>
      <c r="R494" s="7"/>
      <c r="S494" s="7"/>
      <c r="T494" s="273"/>
      <c r="U494" s="273"/>
      <c r="V494" s="273">
        <f t="shared" si="771"/>
        <v>0</v>
      </c>
      <c r="W494" s="274"/>
      <c r="X494" s="274"/>
      <c r="Y494" s="275">
        <f t="shared" si="788"/>
        <v>0</v>
      </c>
      <c r="Z494" s="91"/>
      <c r="AA494" s="273"/>
      <c r="AB494" s="273"/>
      <c r="AC494" s="273">
        <f t="shared" si="772"/>
        <v>0</v>
      </c>
      <c r="AD494" s="275"/>
      <c r="AE494" s="275"/>
      <c r="AF494" s="276">
        <f t="shared" si="773"/>
        <v>0</v>
      </c>
      <c r="AG494" s="473"/>
      <c r="AH494" s="277"/>
      <c r="AI494" s="99">
        <f t="shared" si="785"/>
        <v>0</v>
      </c>
      <c r="AJ494" s="138"/>
      <c r="AK494" s="138">
        <f t="shared" si="774"/>
        <v>0</v>
      </c>
      <c r="AL494" s="106"/>
      <c r="AM494" s="105"/>
      <c r="AN494" s="105">
        <f t="shared" si="775"/>
        <v>0</v>
      </c>
      <c r="AO494" s="106"/>
      <c r="AP494" s="105"/>
      <c r="AQ494" s="105">
        <f t="shared" si="789"/>
        <v>0</v>
      </c>
      <c r="AR494" s="106"/>
      <c r="AS494" s="97">
        <f t="shared" si="786"/>
        <v>0</v>
      </c>
      <c r="AT494" s="6"/>
      <c r="AU494" s="105"/>
      <c r="AV494" s="455">
        <f t="shared" si="808"/>
        <v>0</v>
      </c>
      <c r="AW494" s="496"/>
      <c r="AX494" s="508"/>
      <c r="AY494" s="498">
        <v>1495</v>
      </c>
      <c r="AZ494" s="100">
        <f t="shared" si="799"/>
        <v>99.666666666666671</v>
      </c>
      <c r="BA494" s="101"/>
      <c r="BB494" s="100"/>
      <c r="BC494" s="100">
        <f t="shared" si="777"/>
        <v>0</v>
      </c>
      <c r="BD494" s="101"/>
      <c r="BE494" s="105">
        <f t="shared" si="804"/>
        <v>99.666666666666671</v>
      </c>
      <c r="BF494" s="106"/>
      <c r="BG494" s="100">
        <f t="shared" si="805"/>
        <v>0</v>
      </c>
      <c r="BH494" s="106"/>
      <c r="BI494" s="100">
        <f t="shared" si="806"/>
        <v>0</v>
      </c>
      <c r="BJ494" s="106"/>
      <c r="BK494" s="101">
        <f t="shared" si="787"/>
        <v>99.666666666666671</v>
      </c>
      <c r="BL494" s="106"/>
      <c r="BM494" s="52">
        <v>4995</v>
      </c>
      <c r="BN494" s="52">
        <f t="shared" si="779"/>
        <v>99.9</v>
      </c>
      <c r="BO494" s="105">
        <v>4950</v>
      </c>
      <c r="BP494" s="105">
        <f t="shared" si="809"/>
        <v>99</v>
      </c>
      <c r="BQ494" s="106"/>
      <c r="BR494" s="105"/>
      <c r="BS494" s="105">
        <f t="shared" si="780"/>
        <v>0</v>
      </c>
      <c r="BT494" s="106"/>
      <c r="BU494" s="53"/>
      <c r="BV494" s="53">
        <f t="shared" si="781"/>
        <v>0</v>
      </c>
      <c r="BW494" s="54"/>
      <c r="BX494" s="350">
        <f t="shared" si="782"/>
        <v>99</v>
      </c>
      <c r="BY494" s="6"/>
      <c r="BZ494" s="6">
        <f t="shared" si="783"/>
        <v>0.6666666666666714</v>
      </c>
      <c r="CA494" s="508"/>
      <c r="CB494" s="7"/>
      <c r="CC494" s="7"/>
      <c r="CD494" s="7"/>
      <c r="CE494" s="504"/>
      <c r="CF494" s="105"/>
      <c r="CG494" s="105">
        <f t="shared" si="791"/>
        <v>0</v>
      </c>
      <c r="CH494" s="105"/>
      <c r="CI494" s="105"/>
      <c r="CJ494" s="105">
        <f t="shared" si="792"/>
        <v>0</v>
      </c>
      <c r="CK494" s="523"/>
      <c r="CL494" s="102">
        <f t="shared" si="784"/>
        <v>0</v>
      </c>
      <c r="CM494" s="103"/>
      <c r="CN494" s="100"/>
      <c r="CO494" s="100">
        <f t="shared" si="807"/>
        <v>0</v>
      </c>
      <c r="CP494" s="515"/>
      <c r="CQ494" s="441"/>
      <c r="CR494" s="504"/>
      <c r="CS494" s="105"/>
      <c r="CT494" s="105">
        <f t="shared" si="797"/>
        <v>0</v>
      </c>
      <c r="CU494" s="105"/>
      <c r="CV494" s="105"/>
      <c r="CW494" s="105">
        <f t="shared" si="798"/>
        <v>0</v>
      </c>
      <c r="CX494" s="53"/>
      <c r="CY494" s="109">
        <f t="shared" si="803"/>
        <v>0</v>
      </c>
      <c r="CZ494" s="54"/>
      <c r="DA494" s="105"/>
      <c r="DB494" s="455">
        <f t="shared" si="790"/>
        <v>0</v>
      </c>
      <c r="DC494" s="495"/>
      <c r="DD494" s="24"/>
      <c r="DF494" s="1133"/>
      <c r="DG494" s="674">
        <f t="shared" si="800"/>
        <v>0</v>
      </c>
      <c r="DH494" s="1119">
        <f t="shared" si="801"/>
        <v>0</v>
      </c>
      <c r="DI494" s="1119"/>
      <c r="DJ494" s="101">
        <f t="shared" si="796"/>
        <v>99.666666666666671</v>
      </c>
      <c r="DK494" s="101"/>
      <c r="DL494" s="101">
        <f t="shared" si="802"/>
        <v>0</v>
      </c>
      <c r="DM494" s="101"/>
      <c r="DN494" s="112"/>
      <c r="DO494" s="112"/>
      <c r="DP494" s="112"/>
      <c r="DQ494" s="112"/>
      <c r="DS494" s="140"/>
      <c r="DT494" s="140"/>
      <c r="DU494" s="140"/>
      <c r="DV494" s="140"/>
      <c r="DW494" s="140"/>
      <c r="DX494" s="140"/>
      <c r="DY494" s="140"/>
      <c r="DZ494" s="140"/>
    </row>
    <row r="495" spans="1:130" s="139" customFormat="1" ht="21.6" customHeight="1" x14ac:dyDescent="0.25">
      <c r="A495" s="4"/>
      <c r="B495" s="4"/>
      <c r="C495" s="134" t="s">
        <v>368</v>
      </c>
      <c r="D495" s="182" t="s">
        <v>431</v>
      </c>
      <c r="E495" s="3" t="s">
        <v>572</v>
      </c>
      <c r="F495" s="135"/>
      <c r="G495" s="135"/>
      <c r="H495" s="135"/>
      <c r="I495" s="135"/>
      <c r="J495" s="135"/>
      <c r="K495" s="135"/>
      <c r="L495" s="183"/>
      <c r="M495" s="5"/>
      <c r="N495" s="41"/>
      <c r="O495" s="6"/>
      <c r="P495" s="7"/>
      <c r="Q495" s="7"/>
      <c r="R495" s="7"/>
      <c r="S495" s="7"/>
      <c r="T495" s="273"/>
      <c r="U495" s="273"/>
      <c r="V495" s="273">
        <f t="shared" si="771"/>
        <v>0</v>
      </c>
      <c r="W495" s="274"/>
      <c r="X495" s="274"/>
      <c r="Y495" s="275">
        <f t="shared" si="788"/>
        <v>0</v>
      </c>
      <c r="Z495" s="91"/>
      <c r="AA495" s="273"/>
      <c r="AB495" s="273"/>
      <c r="AC495" s="273">
        <f t="shared" si="772"/>
        <v>0</v>
      </c>
      <c r="AD495" s="275"/>
      <c r="AE495" s="275"/>
      <c r="AF495" s="276">
        <f t="shared" si="773"/>
        <v>0</v>
      </c>
      <c r="AG495" s="473"/>
      <c r="AH495" s="277">
        <v>397.5</v>
      </c>
      <c r="AI495" s="277">
        <f t="shared" si="785"/>
        <v>26.5</v>
      </c>
      <c r="AJ495" s="138">
        <v>395</v>
      </c>
      <c r="AK495" s="138">
        <f t="shared" si="774"/>
        <v>26.333333333333332</v>
      </c>
      <c r="AL495" s="106"/>
      <c r="AM495" s="105"/>
      <c r="AN495" s="105">
        <f t="shared" si="775"/>
        <v>0</v>
      </c>
      <c r="AO495" s="106"/>
      <c r="AP495" s="105"/>
      <c r="AQ495" s="105">
        <f t="shared" si="789"/>
        <v>0</v>
      </c>
      <c r="AR495" s="106"/>
      <c r="AS495" s="97">
        <f t="shared" si="786"/>
        <v>26.333333333333332</v>
      </c>
      <c r="AT495" s="6"/>
      <c r="AU495" s="105"/>
      <c r="AV495" s="455">
        <f t="shared" si="808"/>
        <v>0</v>
      </c>
      <c r="AW495" s="496"/>
      <c r="AX495" s="508"/>
      <c r="AY495" s="498"/>
      <c r="AZ495" s="100">
        <f t="shared" si="799"/>
        <v>0</v>
      </c>
      <c r="BA495" s="101"/>
      <c r="BB495" s="100"/>
      <c r="BC495" s="100">
        <f t="shared" si="777"/>
        <v>0</v>
      </c>
      <c r="BD495" s="101"/>
      <c r="BE495" s="105">
        <f t="shared" si="804"/>
        <v>26.333333333333332</v>
      </c>
      <c r="BF495" s="106"/>
      <c r="BG495" s="100">
        <f t="shared" si="805"/>
        <v>0</v>
      </c>
      <c r="BH495" s="106"/>
      <c r="BI495" s="100">
        <f t="shared" si="806"/>
        <v>0</v>
      </c>
      <c r="BJ495" s="106"/>
      <c r="BK495" s="101">
        <f t="shared" si="787"/>
        <v>26.333333333333332</v>
      </c>
      <c r="BL495" s="106"/>
      <c r="BM495" s="52">
        <v>1325</v>
      </c>
      <c r="BN495" s="52">
        <f t="shared" si="779"/>
        <v>26.5</v>
      </c>
      <c r="BO495" s="105">
        <v>1300</v>
      </c>
      <c r="BP495" s="105">
        <f t="shared" si="809"/>
        <v>26</v>
      </c>
      <c r="BQ495" s="106"/>
      <c r="BR495" s="105"/>
      <c r="BS495" s="105">
        <f t="shared" si="780"/>
        <v>0</v>
      </c>
      <c r="BT495" s="106"/>
      <c r="BU495" s="53"/>
      <c r="BV495" s="53">
        <f t="shared" si="781"/>
        <v>0</v>
      </c>
      <c r="BW495" s="54"/>
      <c r="BX495" s="350">
        <f t="shared" si="782"/>
        <v>26</v>
      </c>
      <c r="BY495" s="6"/>
      <c r="BZ495" s="6">
        <f t="shared" si="783"/>
        <v>0.33333333333333215</v>
      </c>
      <c r="CA495" s="508"/>
      <c r="CB495" s="7"/>
      <c r="CC495" s="7"/>
      <c r="CD495" s="7"/>
      <c r="CE495" s="504"/>
      <c r="CF495" s="105"/>
      <c r="CG495" s="105">
        <f t="shared" si="791"/>
        <v>0</v>
      </c>
      <c r="CH495" s="105"/>
      <c r="CI495" s="105"/>
      <c r="CJ495" s="105">
        <f t="shared" si="792"/>
        <v>0</v>
      </c>
      <c r="CK495" s="523"/>
      <c r="CL495" s="102">
        <f t="shared" si="784"/>
        <v>0</v>
      </c>
      <c r="CM495" s="103"/>
      <c r="CN495" s="100"/>
      <c r="CO495" s="100">
        <f t="shared" si="807"/>
        <v>0</v>
      </c>
      <c r="CP495" s="515"/>
      <c r="CQ495" s="441"/>
      <c r="CR495" s="504"/>
      <c r="CS495" s="105"/>
      <c r="CT495" s="105">
        <f t="shared" si="797"/>
        <v>0</v>
      </c>
      <c r="CU495" s="105"/>
      <c r="CV495" s="105"/>
      <c r="CW495" s="105">
        <f t="shared" si="798"/>
        <v>0</v>
      </c>
      <c r="CX495" s="53"/>
      <c r="CY495" s="109">
        <f t="shared" si="803"/>
        <v>0</v>
      </c>
      <c r="CZ495" s="54"/>
      <c r="DA495" s="105"/>
      <c r="DB495" s="455">
        <f t="shared" si="790"/>
        <v>0</v>
      </c>
      <c r="DC495" s="495"/>
      <c r="DD495" s="24"/>
      <c r="DF495" s="1133"/>
      <c r="DG495" s="674">
        <f t="shared" si="800"/>
        <v>0</v>
      </c>
      <c r="DH495" s="1119">
        <f t="shared" si="801"/>
        <v>0</v>
      </c>
      <c r="DI495" s="1119"/>
      <c r="DJ495" s="101">
        <f t="shared" si="796"/>
        <v>26.333333333333332</v>
      </c>
      <c r="DK495" s="101"/>
      <c r="DL495" s="101">
        <f t="shared" si="802"/>
        <v>0</v>
      </c>
      <c r="DM495" s="101"/>
      <c r="DN495" s="112"/>
      <c r="DO495" s="112"/>
      <c r="DP495" s="112"/>
      <c r="DQ495" s="112"/>
      <c r="DS495" s="140"/>
      <c r="DT495" s="140"/>
      <c r="DU495" s="140"/>
      <c r="DV495" s="140"/>
      <c r="DW495" s="140"/>
      <c r="DX495" s="140"/>
      <c r="DY495" s="140"/>
      <c r="DZ495" s="140"/>
    </row>
    <row r="496" spans="1:130" s="139" customFormat="1" ht="21.6" customHeight="1" x14ac:dyDescent="0.25">
      <c r="A496" s="4"/>
      <c r="B496" s="4"/>
      <c r="C496" s="134" t="s">
        <v>368</v>
      </c>
      <c r="D496" s="182" t="s">
        <v>431</v>
      </c>
      <c r="E496" s="3" t="s">
        <v>573</v>
      </c>
      <c r="F496" s="135"/>
      <c r="G496" s="135"/>
      <c r="H496" s="135"/>
      <c r="I496" s="135"/>
      <c r="J496" s="135"/>
      <c r="K496" s="135"/>
      <c r="L496" s="183"/>
      <c r="M496" s="5"/>
      <c r="N496" s="41"/>
      <c r="O496" s="6"/>
      <c r="P496" s="7"/>
      <c r="Q496" s="7"/>
      <c r="R496" s="7"/>
      <c r="S496" s="7"/>
      <c r="T496" s="273"/>
      <c r="U496" s="273"/>
      <c r="V496" s="273">
        <f t="shared" si="771"/>
        <v>0</v>
      </c>
      <c r="W496" s="274"/>
      <c r="X496" s="274"/>
      <c r="Y496" s="275">
        <f t="shared" si="788"/>
        <v>0</v>
      </c>
      <c r="Z496" s="91"/>
      <c r="AA496" s="273"/>
      <c r="AB496" s="273"/>
      <c r="AC496" s="273">
        <f t="shared" si="772"/>
        <v>0</v>
      </c>
      <c r="AD496" s="275"/>
      <c r="AE496" s="275"/>
      <c r="AF496" s="276">
        <f t="shared" si="773"/>
        <v>0</v>
      </c>
      <c r="AG496" s="473"/>
      <c r="AH496" s="277">
        <v>306</v>
      </c>
      <c r="AI496" s="99">
        <f t="shared" si="785"/>
        <v>20.399999999999999</v>
      </c>
      <c r="AJ496" s="138">
        <v>305</v>
      </c>
      <c r="AK496" s="138">
        <f t="shared" si="774"/>
        <v>20.333333333333332</v>
      </c>
      <c r="AL496" s="106"/>
      <c r="AM496" s="105"/>
      <c r="AN496" s="105">
        <f t="shared" si="775"/>
        <v>0</v>
      </c>
      <c r="AO496" s="106"/>
      <c r="AP496" s="105"/>
      <c r="AQ496" s="105">
        <f t="shared" si="789"/>
        <v>0</v>
      </c>
      <c r="AR496" s="106"/>
      <c r="AS496" s="97">
        <f t="shared" si="786"/>
        <v>20.333333333333332</v>
      </c>
      <c r="AT496" s="6"/>
      <c r="AU496" s="105"/>
      <c r="AV496" s="455">
        <f t="shared" si="808"/>
        <v>0</v>
      </c>
      <c r="AW496" s="496"/>
      <c r="AX496" s="508"/>
      <c r="AY496" s="498"/>
      <c r="AZ496" s="100">
        <f t="shared" si="799"/>
        <v>0</v>
      </c>
      <c r="BA496" s="101"/>
      <c r="BB496" s="100"/>
      <c r="BC496" s="100">
        <f t="shared" si="777"/>
        <v>0</v>
      </c>
      <c r="BD496" s="101"/>
      <c r="BE496" s="105">
        <f t="shared" si="804"/>
        <v>20.333333333333332</v>
      </c>
      <c r="BF496" s="106"/>
      <c r="BG496" s="100">
        <f t="shared" si="805"/>
        <v>0</v>
      </c>
      <c r="BH496" s="106"/>
      <c r="BI496" s="100">
        <f t="shared" si="806"/>
        <v>0</v>
      </c>
      <c r="BJ496" s="106"/>
      <c r="BK496" s="101">
        <f t="shared" si="787"/>
        <v>20.333333333333332</v>
      </c>
      <c r="BL496" s="106"/>
      <c r="BM496" s="52">
        <v>1045</v>
      </c>
      <c r="BN496" s="52">
        <f t="shared" si="779"/>
        <v>20.9</v>
      </c>
      <c r="BO496" s="105">
        <v>1000</v>
      </c>
      <c r="BP496" s="105">
        <f t="shared" si="809"/>
        <v>20</v>
      </c>
      <c r="BQ496" s="106"/>
      <c r="BR496" s="105"/>
      <c r="BS496" s="105">
        <f t="shared" si="780"/>
        <v>0</v>
      </c>
      <c r="BT496" s="106"/>
      <c r="BU496" s="53"/>
      <c r="BV496" s="53">
        <f t="shared" si="781"/>
        <v>0</v>
      </c>
      <c r="BW496" s="54"/>
      <c r="BX496" s="350">
        <f t="shared" si="782"/>
        <v>20</v>
      </c>
      <c r="BY496" s="6"/>
      <c r="BZ496" s="6">
        <f t="shared" si="783"/>
        <v>0.33333333333333215</v>
      </c>
      <c r="CA496" s="508"/>
      <c r="CB496" s="7"/>
      <c r="CC496" s="7"/>
      <c r="CD496" s="7"/>
      <c r="CE496" s="504"/>
      <c r="CF496" s="105"/>
      <c r="CG496" s="105">
        <f t="shared" si="791"/>
        <v>0</v>
      </c>
      <c r="CH496" s="105"/>
      <c r="CI496" s="105"/>
      <c r="CJ496" s="105">
        <f t="shared" si="792"/>
        <v>0</v>
      </c>
      <c r="CK496" s="523"/>
      <c r="CL496" s="102">
        <f t="shared" si="784"/>
        <v>0</v>
      </c>
      <c r="CM496" s="103"/>
      <c r="CN496" s="100"/>
      <c r="CO496" s="100">
        <f t="shared" si="807"/>
        <v>0</v>
      </c>
      <c r="CP496" s="515"/>
      <c r="CQ496" s="441"/>
      <c r="CR496" s="504"/>
      <c r="CS496" s="105"/>
      <c r="CT496" s="105">
        <f t="shared" si="797"/>
        <v>0</v>
      </c>
      <c r="CU496" s="105"/>
      <c r="CV496" s="105"/>
      <c r="CW496" s="105">
        <f t="shared" si="798"/>
        <v>0</v>
      </c>
      <c r="CX496" s="53"/>
      <c r="CY496" s="109">
        <f t="shared" si="803"/>
        <v>0</v>
      </c>
      <c r="CZ496" s="54"/>
      <c r="DA496" s="105"/>
      <c r="DB496" s="455">
        <f t="shared" si="790"/>
        <v>0</v>
      </c>
      <c r="DC496" s="495"/>
      <c r="DD496" s="24"/>
      <c r="DF496" s="1133"/>
      <c r="DG496" s="674">
        <f t="shared" si="800"/>
        <v>0</v>
      </c>
      <c r="DH496" s="1119">
        <f t="shared" si="801"/>
        <v>0</v>
      </c>
      <c r="DI496" s="1119"/>
      <c r="DJ496" s="101">
        <f t="shared" si="796"/>
        <v>20.333333333333332</v>
      </c>
      <c r="DK496" s="101"/>
      <c r="DL496" s="101">
        <f t="shared" si="802"/>
        <v>0</v>
      </c>
      <c r="DM496" s="101"/>
      <c r="DN496" s="112"/>
      <c r="DO496" s="112"/>
      <c r="DP496" s="112"/>
      <c r="DQ496" s="112"/>
      <c r="DS496" s="140"/>
      <c r="DT496" s="140"/>
      <c r="DU496" s="140"/>
      <c r="DV496" s="140"/>
      <c r="DW496" s="140"/>
      <c r="DX496" s="140"/>
      <c r="DY496" s="140"/>
      <c r="DZ496" s="140"/>
    </row>
    <row r="497" spans="1:130" s="139" customFormat="1" ht="28.5" customHeight="1" x14ac:dyDescent="0.25">
      <c r="A497" s="4"/>
      <c r="B497" s="4"/>
      <c r="C497" s="134" t="s">
        <v>368</v>
      </c>
      <c r="D497" s="182" t="s">
        <v>431</v>
      </c>
      <c r="E497" s="3" t="s">
        <v>576</v>
      </c>
      <c r="F497" s="135"/>
      <c r="G497" s="135"/>
      <c r="H497" s="135"/>
      <c r="I497" s="135"/>
      <c r="J497" s="135"/>
      <c r="K497" s="135"/>
      <c r="L497" s="183"/>
      <c r="M497" s="5"/>
      <c r="N497" s="41"/>
      <c r="O497" s="6"/>
      <c r="P497" s="7"/>
      <c r="Q497" s="7"/>
      <c r="R497" s="7"/>
      <c r="S497" s="7"/>
      <c r="T497" s="273"/>
      <c r="U497" s="273"/>
      <c r="V497" s="273">
        <f t="shared" si="771"/>
        <v>0</v>
      </c>
      <c r="W497" s="274"/>
      <c r="X497" s="274"/>
      <c r="Y497" s="275">
        <f t="shared" si="788"/>
        <v>0</v>
      </c>
      <c r="Z497" s="91"/>
      <c r="AA497" s="273"/>
      <c r="AB497" s="273"/>
      <c r="AC497" s="273">
        <f t="shared" si="772"/>
        <v>0</v>
      </c>
      <c r="AD497" s="275"/>
      <c r="AE497" s="275"/>
      <c r="AF497" s="276">
        <f t="shared" si="773"/>
        <v>0</v>
      </c>
      <c r="AG497" s="473"/>
      <c r="AH497" s="277">
        <v>189.75</v>
      </c>
      <c r="AI497" s="277">
        <f t="shared" si="785"/>
        <v>12.65</v>
      </c>
      <c r="AJ497" s="138"/>
      <c r="AK497" s="138">
        <f t="shared" si="774"/>
        <v>0</v>
      </c>
      <c r="AL497" s="106"/>
      <c r="AM497" s="105">
        <f>185+90</f>
        <v>275</v>
      </c>
      <c r="AN497" s="105">
        <f t="shared" si="775"/>
        <v>18.333333333333332</v>
      </c>
      <c r="AO497" s="106"/>
      <c r="AP497" s="105"/>
      <c r="AQ497" s="105">
        <f t="shared" si="789"/>
        <v>0</v>
      </c>
      <c r="AR497" s="106"/>
      <c r="AS497" s="97">
        <f t="shared" si="786"/>
        <v>18.333333333333332</v>
      </c>
      <c r="AT497" s="6"/>
      <c r="AU497" s="105"/>
      <c r="AV497" s="455">
        <f t="shared" si="808"/>
        <v>0</v>
      </c>
      <c r="AW497" s="496"/>
      <c r="AX497" s="508"/>
      <c r="AY497" s="498"/>
      <c r="AZ497" s="100">
        <f t="shared" si="799"/>
        <v>0</v>
      </c>
      <c r="BA497" s="101"/>
      <c r="BB497" s="100"/>
      <c r="BC497" s="100">
        <f t="shared" si="777"/>
        <v>0</v>
      </c>
      <c r="BD497" s="101"/>
      <c r="BE497" s="105">
        <f t="shared" si="804"/>
        <v>0</v>
      </c>
      <c r="BF497" s="106"/>
      <c r="BG497" s="100">
        <f t="shared" si="805"/>
        <v>18.333333333333332</v>
      </c>
      <c r="BH497" s="106"/>
      <c r="BI497" s="100">
        <f t="shared" si="806"/>
        <v>0</v>
      </c>
      <c r="BJ497" s="106"/>
      <c r="BK497" s="101">
        <f t="shared" si="787"/>
        <v>18.333333333333332</v>
      </c>
      <c r="BL497" s="106"/>
      <c r="BM497" s="52">
        <v>632.5</v>
      </c>
      <c r="BN497" s="52">
        <f t="shared" si="779"/>
        <v>12.65</v>
      </c>
      <c r="BO497" s="105"/>
      <c r="BP497" s="105">
        <f t="shared" si="809"/>
        <v>0</v>
      </c>
      <c r="BQ497" s="106"/>
      <c r="BR497" s="105">
        <v>900</v>
      </c>
      <c r="BS497" s="105">
        <f t="shared" si="780"/>
        <v>18</v>
      </c>
      <c r="BT497" s="106"/>
      <c r="BU497" s="53"/>
      <c r="BV497" s="53">
        <f t="shared" si="781"/>
        <v>0</v>
      </c>
      <c r="BW497" s="54"/>
      <c r="BX497" s="350">
        <f t="shared" si="782"/>
        <v>18</v>
      </c>
      <c r="BY497" s="6"/>
      <c r="BZ497" s="6">
        <f t="shared" si="783"/>
        <v>0.33333333333333215</v>
      </c>
      <c r="CA497" s="508"/>
      <c r="CB497" s="7"/>
      <c r="CC497" s="7"/>
      <c r="CD497" s="7"/>
      <c r="CE497" s="504"/>
      <c r="CF497" s="105"/>
      <c r="CG497" s="105">
        <f t="shared" si="791"/>
        <v>0</v>
      </c>
      <c r="CH497" s="105"/>
      <c r="CI497" s="105"/>
      <c r="CJ497" s="105">
        <f t="shared" si="792"/>
        <v>0</v>
      </c>
      <c r="CK497" s="523"/>
      <c r="CL497" s="102">
        <f t="shared" si="784"/>
        <v>0</v>
      </c>
      <c r="CM497" s="103"/>
      <c r="CN497" s="100"/>
      <c r="CO497" s="100">
        <f t="shared" si="807"/>
        <v>0</v>
      </c>
      <c r="CP497" s="515"/>
      <c r="CQ497" s="441"/>
      <c r="CR497" s="504"/>
      <c r="CS497" s="105"/>
      <c r="CT497" s="105">
        <f t="shared" si="797"/>
        <v>0</v>
      </c>
      <c r="CU497" s="105"/>
      <c r="CV497" s="105"/>
      <c r="CW497" s="105">
        <f t="shared" si="798"/>
        <v>0</v>
      </c>
      <c r="CX497" s="53"/>
      <c r="CY497" s="109">
        <f t="shared" si="803"/>
        <v>0</v>
      </c>
      <c r="CZ497" s="54"/>
      <c r="DA497" s="105"/>
      <c r="DB497" s="455">
        <f t="shared" si="790"/>
        <v>0</v>
      </c>
      <c r="DC497" s="495"/>
      <c r="DD497" s="24"/>
      <c r="DF497" s="1133"/>
      <c r="DG497" s="674">
        <f t="shared" si="800"/>
        <v>0</v>
      </c>
      <c r="DH497" s="1119">
        <f t="shared" si="801"/>
        <v>0</v>
      </c>
      <c r="DI497" s="1119"/>
      <c r="DJ497" s="101">
        <f t="shared" si="796"/>
        <v>18.333333333333332</v>
      </c>
      <c r="DK497" s="101"/>
      <c r="DL497" s="101">
        <f t="shared" si="802"/>
        <v>0</v>
      </c>
      <c r="DM497" s="101"/>
      <c r="DN497" s="112"/>
      <c r="DO497" s="112"/>
      <c r="DP497" s="112"/>
      <c r="DQ497" s="112"/>
      <c r="DS497" s="140"/>
      <c r="DT497" s="140"/>
      <c r="DU497" s="140"/>
      <c r="DV497" s="140"/>
      <c r="DW497" s="140"/>
      <c r="DX497" s="140"/>
      <c r="DY497" s="140"/>
      <c r="DZ497" s="140"/>
    </row>
    <row r="498" spans="1:130" s="139" customFormat="1" ht="21.6" customHeight="1" x14ac:dyDescent="0.25">
      <c r="A498" s="4"/>
      <c r="B498" s="4"/>
      <c r="C498" s="134" t="s">
        <v>368</v>
      </c>
      <c r="D498" s="300" t="s">
        <v>431</v>
      </c>
      <c r="E498" s="3" t="s">
        <v>578</v>
      </c>
      <c r="F498" s="135"/>
      <c r="G498" s="135"/>
      <c r="H498" s="135"/>
      <c r="I498" s="135"/>
      <c r="J498" s="135"/>
      <c r="K498" s="135"/>
      <c r="L498" s="183"/>
      <c r="M498" s="5"/>
      <c r="N498" s="41"/>
      <c r="O498" s="6"/>
      <c r="P498" s="7"/>
      <c r="Q498" s="7"/>
      <c r="R498" s="7"/>
      <c r="S498" s="7"/>
      <c r="T498" s="273"/>
      <c r="U498" s="273"/>
      <c r="V498" s="273">
        <f t="shared" si="771"/>
        <v>0</v>
      </c>
      <c r="W498" s="274"/>
      <c r="X498" s="274"/>
      <c r="Y498" s="275">
        <f t="shared" si="788"/>
        <v>0</v>
      </c>
      <c r="Z498" s="91"/>
      <c r="AA498" s="273"/>
      <c r="AB498" s="273"/>
      <c r="AC498" s="273">
        <f t="shared" si="772"/>
        <v>0</v>
      </c>
      <c r="AD498" s="275"/>
      <c r="AE498" s="275"/>
      <c r="AF498" s="276">
        <f t="shared" si="773"/>
        <v>0</v>
      </c>
      <c r="AG498" s="473"/>
      <c r="AH498" s="277">
        <v>196.5</v>
      </c>
      <c r="AI498" s="277">
        <f t="shared" si="785"/>
        <v>13.1</v>
      </c>
      <c r="AJ498" s="138"/>
      <c r="AK498" s="138">
        <f t="shared" si="774"/>
        <v>0</v>
      </c>
      <c r="AL498" s="106"/>
      <c r="AM498" s="105">
        <v>195</v>
      </c>
      <c r="AN498" s="105">
        <f t="shared" si="775"/>
        <v>13</v>
      </c>
      <c r="AO498" s="106"/>
      <c r="AP498" s="105"/>
      <c r="AQ498" s="105">
        <f t="shared" si="789"/>
        <v>0</v>
      </c>
      <c r="AR498" s="106"/>
      <c r="AS498" s="97">
        <f t="shared" si="786"/>
        <v>13</v>
      </c>
      <c r="AT498" s="6"/>
      <c r="AU498" s="105"/>
      <c r="AV498" s="455">
        <f t="shared" si="808"/>
        <v>0</v>
      </c>
      <c r="AW498" s="496"/>
      <c r="AX498" s="508"/>
      <c r="AY498" s="498"/>
      <c r="AZ498" s="100">
        <f t="shared" si="799"/>
        <v>0</v>
      </c>
      <c r="BA498" s="101"/>
      <c r="BB498" s="100"/>
      <c r="BC498" s="100">
        <f t="shared" si="777"/>
        <v>0</v>
      </c>
      <c r="BD498" s="101"/>
      <c r="BE498" s="105">
        <f t="shared" si="804"/>
        <v>0</v>
      </c>
      <c r="BF498" s="106"/>
      <c r="BG498" s="100">
        <f t="shared" si="805"/>
        <v>13</v>
      </c>
      <c r="BH498" s="106"/>
      <c r="BI498" s="100">
        <f t="shared" si="806"/>
        <v>0</v>
      </c>
      <c r="BJ498" s="106"/>
      <c r="BK498" s="101">
        <f t="shared" si="787"/>
        <v>13</v>
      </c>
      <c r="BL498" s="106"/>
      <c r="BM498" s="52"/>
      <c r="BN498" s="52">
        <f t="shared" si="779"/>
        <v>0</v>
      </c>
      <c r="BO498" s="105"/>
      <c r="BP498" s="105">
        <f t="shared" si="809"/>
        <v>0</v>
      </c>
      <c r="BQ498" s="106"/>
      <c r="BR498" s="105">
        <v>650</v>
      </c>
      <c r="BS498" s="105">
        <f t="shared" si="780"/>
        <v>13</v>
      </c>
      <c r="BT498" s="106"/>
      <c r="BU498" s="53"/>
      <c r="BV498" s="53">
        <f t="shared" si="781"/>
        <v>0</v>
      </c>
      <c r="BW498" s="54"/>
      <c r="BX498" s="350">
        <f t="shared" si="782"/>
        <v>13</v>
      </c>
      <c r="BY498" s="6"/>
      <c r="BZ498" s="6">
        <f t="shared" si="783"/>
        <v>0</v>
      </c>
      <c r="CA498" s="508"/>
      <c r="CB498" s="7"/>
      <c r="CC498" s="7"/>
      <c r="CD498" s="7"/>
      <c r="CE498" s="504"/>
      <c r="CF498" s="105"/>
      <c r="CG498" s="105">
        <f t="shared" si="791"/>
        <v>0</v>
      </c>
      <c r="CH498" s="105"/>
      <c r="CI498" s="105"/>
      <c r="CJ498" s="105">
        <f t="shared" si="792"/>
        <v>0</v>
      </c>
      <c r="CK498" s="523"/>
      <c r="CL498" s="102">
        <f t="shared" si="784"/>
        <v>0</v>
      </c>
      <c r="CM498" s="103"/>
      <c r="CN498" s="100"/>
      <c r="CO498" s="100">
        <f t="shared" si="807"/>
        <v>0</v>
      </c>
      <c r="CP498" s="515"/>
      <c r="CQ498" s="441"/>
      <c r="CR498" s="504"/>
      <c r="CS498" s="105"/>
      <c r="CT498" s="105">
        <f t="shared" si="797"/>
        <v>0</v>
      </c>
      <c r="CU498" s="105"/>
      <c r="CV498" s="105"/>
      <c r="CW498" s="105">
        <f t="shared" si="798"/>
        <v>0</v>
      </c>
      <c r="CX498" s="53"/>
      <c r="CY498" s="109">
        <f t="shared" si="803"/>
        <v>0</v>
      </c>
      <c r="CZ498" s="54"/>
      <c r="DA498" s="105"/>
      <c r="DB498" s="455">
        <f t="shared" si="790"/>
        <v>0</v>
      </c>
      <c r="DC498" s="495"/>
      <c r="DD498" s="24"/>
      <c r="DF498" s="1133"/>
      <c r="DG498" s="674">
        <f t="shared" si="800"/>
        <v>0</v>
      </c>
      <c r="DH498" s="1119">
        <f t="shared" si="801"/>
        <v>0</v>
      </c>
      <c r="DI498" s="1119"/>
      <c r="DJ498" s="101">
        <f t="shared" si="796"/>
        <v>13</v>
      </c>
      <c r="DK498" s="101"/>
      <c r="DL498" s="101">
        <f t="shared" si="802"/>
        <v>0</v>
      </c>
      <c r="DM498" s="101"/>
      <c r="DN498" s="112"/>
      <c r="DO498" s="112"/>
      <c r="DP498" s="112"/>
      <c r="DQ498" s="112"/>
      <c r="DS498" s="140"/>
      <c r="DT498" s="140"/>
      <c r="DU498" s="140"/>
      <c r="DV498" s="140"/>
      <c r="DW498" s="140"/>
      <c r="DX498" s="140"/>
      <c r="DY498" s="140"/>
      <c r="DZ498" s="140"/>
    </row>
    <row r="499" spans="1:130" s="139" customFormat="1" ht="21.6" customHeight="1" x14ac:dyDescent="0.25">
      <c r="A499" s="4"/>
      <c r="B499" s="4"/>
      <c r="C499" s="134" t="s">
        <v>368</v>
      </c>
      <c r="D499" s="182" t="s">
        <v>489</v>
      </c>
      <c r="E499" s="3" t="s">
        <v>574</v>
      </c>
      <c r="F499" s="135"/>
      <c r="G499" s="135"/>
      <c r="H499" s="135"/>
      <c r="I499" s="135"/>
      <c r="J499" s="135"/>
      <c r="K499" s="135"/>
      <c r="L499" s="183"/>
      <c r="M499" s="5"/>
      <c r="N499" s="41"/>
      <c r="O499" s="6"/>
      <c r="P499" s="7"/>
      <c r="Q499" s="7"/>
      <c r="R499" s="7"/>
      <c r="S499" s="7"/>
      <c r="T499" s="273"/>
      <c r="U499" s="273"/>
      <c r="V499" s="273">
        <f t="shared" si="771"/>
        <v>0</v>
      </c>
      <c r="W499" s="274"/>
      <c r="X499" s="274"/>
      <c r="Y499" s="275">
        <f t="shared" si="788"/>
        <v>0</v>
      </c>
      <c r="Z499" s="91"/>
      <c r="AA499" s="273"/>
      <c r="AB499" s="273"/>
      <c r="AC499" s="273">
        <f t="shared" si="772"/>
        <v>0</v>
      </c>
      <c r="AD499" s="275"/>
      <c r="AE499" s="275"/>
      <c r="AF499" s="276">
        <f t="shared" si="773"/>
        <v>0</v>
      </c>
      <c r="AG499" s="473"/>
      <c r="AH499" s="277">
        <v>397.5</v>
      </c>
      <c r="AI499" s="277">
        <f t="shared" si="785"/>
        <v>26.5</v>
      </c>
      <c r="AJ499" s="138">
        <v>395</v>
      </c>
      <c r="AK499" s="138">
        <f t="shared" si="774"/>
        <v>26.333333333333332</v>
      </c>
      <c r="AL499" s="106"/>
      <c r="AM499" s="105"/>
      <c r="AN499" s="105">
        <f t="shared" si="775"/>
        <v>0</v>
      </c>
      <c r="AO499" s="106"/>
      <c r="AP499" s="105"/>
      <c r="AQ499" s="105">
        <f t="shared" si="789"/>
        <v>0</v>
      </c>
      <c r="AR499" s="106"/>
      <c r="AS499" s="97">
        <f t="shared" si="786"/>
        <v>26.333333333333332</v>
      </c>
      <c r="AT499" s="6"/>
      <c r="AU499" s="105"/>
      <c r="AV499" s="455">
        <f t="shared" si="808"/>
        <v>0</v>
      </c>
      <c r="AW499" s="496"/>
      <c r="AX499" s="508"/>
      <c r="AY499" s="498"/>
      <c r="AZ499" s="100">
        <f t="shared" si="799"/>
        <v>0</v>
      </c>
      <c r="BA499" s="101"/>
      <c r="BB499" s="100"/>
      <c r="BC499" s="100">
        <f t="shared" si="777"/>
        <v>0</v>
      </c>
      <c r="BD499" s="101"/>
      <c r="BE499" s="105">
        <f t="shared" si="804"/>
        <v>26.333333333333332</v>
      </c>
      <c r="BF499" s="106"/>
      <c r="BG499" s="100">
        <f t="shared" si="805"/>
        <v>0</v>
      </c>
      <c r="BH499" s="106"/>
      <c r="BI499" s="100">
        <f t="shared" si="806"/>
        <v>0</v>
      </c>
      <c r="BJ499" s="106"/>
      <c r="BK499" s="101">
        <f t="shared" si="787"/>
        <v>26.333333333333332</v>
      </c>
      <c r="BL499" s="106"/>
      <c r="BM499" s="52">
        <v>1375</v>
      </c>
      <c r="BN499" s="52">
        <f t="shared" si="779"/>
        <v>27.5</v>
      </c>
      <c r="BO499" s="105">
        <v>1350</v>
      </c>
      <c r="BP499" s="105">
        <f t="shared" si="809"/>
        <v>27</v>
      </c>
      <c r="BQ499" s="106"/>
      <c r="BR499" s="105"/>
      <c r="BS499" s="105">
        <f t="shared" si="780"/>
        <v>0</v>
      </c>
      <c r="BT499" s="106"/>
      <c r="BU499" s="53"/>
      <c r="BV499" s="53">
        <f t="shared" si="781"/>
        <v>0</v>
      </c>
      <c r="BW499" s="54"/>
      <c r="BX499" s="350">
        <f t="shared" si="782"/>
        <v>27</v>
      </c>
      <c r="BY499" s="6"/>
      <c r="BZ499" s="6">
        <f t="shared" si="783"/>
        <v>-0.66666666666666785</v>
      </c>
      <c r="CA499" s="508"/>
      <c r="CB499" s="7"/>
      <c r="CC499" s="7"/>
      <c r="CD499" s="7"/>
      <c r="CE499" s="504"/>
      <c r="CF499" s="105"/>
      <c r="CG499" s="105">
        <f t="shared" si="791"/>
        <v>0</v>
      </c>
      <c r="CH499" s="105"/>
      <c r="CI499" s="105"/>
      <c r="CJ499" s="105">
        <f t="shared" si="792"/>
        <v>0</v>
      </c>
      <c r="CK499" s="523"/>
      <c r="CL499" s="102">
        <f t="shared" si="784"/>
        <v>0</v>
      </c>
      <c r="CM499" s="103"/>
      <c r="CN499" s="100"/>
      <c r="CO499" s="100">
        <f t="shared" si="807"/>
        <v>0</v>
      </c>
      <c r="CP499" s="515"/>
      <c r="CQ499" s="441"/>
      <c r="CR499" s="504"/>
      <c r="CS499" s="105"/>
      <c r="CT499" s="105">
        <f t="shared" si="797"/>
        <v>0</v>
      </c>
      <c r="CU499" s="105"/>
      <c r="CV499" s="105"/>
      <c r="CW499" s="105">
        <f t="shared" si="798"/>
        <v>0</v>
      </c>
      <c r="CX499" s="53"/>
      <c r="CY499" s="109">
        <f t="shared" si="803"/>
        <v>0</v>
      </c>
      <c r="CZ499" s="54"/>
      <c r="DA499" s="105"/>
      <c r="DB499" s="455">
        <f t="shared" si="790"/>
        <v>0</v>
      </c>
      <c r="DC499" s="495"/>
      <c r="DD499" s="24"/>
      <c r="DF499" s="1133"/>
      <c r="DG499" s="674">
        <f t="shared" si="800"/>
        <v>0</v>
      </c>
      <c r="DH499" s="1119">
        <f t="shared" si="801"/>
        <v>0</v>
      </c>
      <c r="DI499" s="1119"/>
      <c r="DJ499" s="101">
        <f t="shared" si="796"/>
        <v>26.333333333333332</v>
      </c>
      <c r="DK499" s="101"/>
      <c r="DL499" s="101">
        <f t="shared" si="802"/>
        <v>0</v>
      </c>
      <c r="DM499" s="101"/>
      <c r="DN499" s="112"/>
      <c r="DO499" s="112"/>
      <c r="DP499" s="112"/>
      <c r="DQ499" s="112"/>
      <c r="DS499" s="140"/>
      <c r="DT499" s="140"/>
      <c r="DU499" s="140"/>
      <c r="DV499" s="140"/>
      <c r="DW499" s="140"/>
      <c r="DX499" s="140"/>
      <c r="DY499" s="140"/>
      <c r="DZ499" s="140"/>
    </row>
    <row r="500" spans="1:130" s="139" customFormat="1" ht="29.25" customHeight="1" x14ac:dyDescent="0.25">
      <c r="A500" s="4"/>
      <c r="B500" s="4"/>
      <c r="C500" s="134" t="s">
        <v>368</v>
      </c>
      <c r="D500" s="182" t="s">
        <v>489</v>
      </c>
      <c r="E500" s="3" t="s">
        <v>726</v>
      </c>
      <c r="F500" s="135"/>
      <c r="G500" s="135"/>
      <c r="H500" s="135"/>
      <c r="I500" s="135"/>
      <c r="J500" s="135"/>
      <c r="K500" s="135"/>
      <c r="L500" s="183"/>
      <c r="M500" s="5"/>
      <c r="N500" s="41"/>
      <c r="O500" s="6"/>
      <c r="P500" s="7"/>
      <c r="Q500" s="7"/>
      <c r="R500" s="7"/>
      <c r="S500" s="7"/>
      <c r="T500" s="273"/>
      <c r="U500" s="273"/>
      <c r="V500" s="273"/>
      <c r="W500" s="274"/>
      <c r="X500" s="274"/>
      <c r="Y500" s="275"/>
      <c r="Z500" s="91"/>
      <c r="AA500" s="273"/>
      <c r="AB500" s="273"/>
      <c r="AC500" s="273"/>
      <c r="AD500" s="275"/>
      <c r="AE500" s="275"/>
      <c r="AF500" s="276"/>
      <c r="AG500" s="473"/>
      <c r="AH500" s="277"/>
      <c r="AI500" s="277"/>
      <c r="AJ500" s="138"/>
      <c r="AK500" s="138"/>
      <c r="AL500" s="106"/>
      <c r="AM500" s="105"/>
      <c r="AN500" s="105"/>
      <c r="AO500" s="106"/>
      <c r="AP500" s="105"/>
      <c r="AQ500" s="105"/>
      <c r="AR500" s="106"/>
      <c r="AS500" s="97"/>
      <c r="AT500" s="6"/>
      <c r="AU500" s="105"/>
      <c r="AV500" s="455"/>
      <c r="AW500" s="496"/>
      <c r="AX500" s="508"/>
      <c r="AY500" s="498"/>
      <c r="AZ500" s="100"/>
      <c r="BA500" s="101"/>
      <c r="BB500" s="100"/>
      <c r="BC500" s="100"/>
      <c r="BD500" s="101"/>
      <c r="BE500" s="105"/>
      <c r="BF500" s="106"/>
      <c r="BG500" s="100"/>
      <c r="BH500" s="106"/>
      <c r="BI500" s="100"/>
      <c r="BJ500" s="106"/>
      <c r="BK500" s="101"/>
      <c r="BL500" s="106"/>
      <c r="BM500" s="52"/>
      <c r="BN500" s="52"/>
      <c r="BO500" s="105"/>
      <c r="BP500" s="105"/>
      <c r="BQ500" s="106"/>
      <c r="BR500" s="105"/>
      <c r="BS500" s="105"/>
      <c r="BT500" s="106"/>
      <c r="BU500" s="53"/>
      <c r="BV500" s="53"/>
      <c r="BW500" s="54"/>
      <c r="BX500" s="350"/>
      <c r="BY500" s="6"/>
      <c r="BZ500" s="6"/>
      <c r="CA500" s="508"/>
      <c r="CB500" s="7"/>
      <c r="CC500" s="7"/>
      <c r="CD500" s="7"/>
      <c r="CE500" s="504"/>
      <c r="CF500" s="105"/>
      <c r="CG500" s="105"/>
      <c r="CH500" s="105"/>
      <c r="CI500" s="105"/>
      <c r="CJ500" s="105"/>
      <c r="CK500" s="523"/>
      <c r="CL500" s="102"/>
      <c r="CM500" s="103"/>
      <c r="CN500" s="100"/>
      <c r="CO500" s="100"/>
      <c r="CP500" s="515"/>
      <c r="CQ500" s="441"/>
      <c r="CR500" s="504"/>
      <c r="CS500" s="105"/>
      <c r="CT500" s="105"/>
      <c r="CU500" s="105"/>
      <c r="CV500" s="105"/>
      <c r="CW500" s="105"/>
      <c r="CX500" s="53"/>
      <c r="CY500" s="109"/>
      <c r="CZ500" s="54"/>
      <c r="DA500" s="105"/>
      <c r="DB500" s="455"/>
      <c r="DC500" s="495"/>
      <c r="DD500" s="24"/>
      <c r="DF500" s="1133"/>
      <c r="DG500" s="674">
        <f t="shared" si="800"/>
        <v>0</v>
      </c>
      <c r="DH500" s="1119">
        <f t="shared" si="801"/>
        <v>0</v>
      </c>
      <c r="DI500" s="1119"/>
      <c r="DJ500" s="101">
        <f t="shared" si="796"/>
        <v>0</v>
      </c>
      <c r="DK500" s="101"/>
      <c r="DL500" s="101">
        <f t="shared" si="802"/>
        <v>0</v>
      </c>
      <c r="DM500" s="101"/>
      <c r="DN500" s="112"/>
      <c r="DO500" s="112"/>
      <c r="DP500" s="112"/>
      <c r="DQ500" s="112"/>
      <c r="DS500" s="140"/>
      <c r="DT500" s="140"/>
      <c r="DU500" s="140"/>
      <c r="DV500" s="140"/>
      <c r="DW500" s="140"/>
      <c r="DX500" s="140"/>
      <c r="DY500" s="140"/>
      <c r="DZ500" s="140"/>
    </row>
    <row r="501" spans="1:130" s="139" customFormat="1" ht="39" customHeight="1" x14ac:dyDescent="0.25">
      <c r="A501" s="4"/>
      <c r="B501" s="4"/>
      <c r="C501" s="134" t="s">
        <v>368</v>
      </c>
      <c r="D501" s="182" t="s">
        <v>489</v>
      </c>
      <c r="E501" s="3" t="s">
        <v>575</v>
      </c>
      <c r="F501" s="135"/>
      <c r="G501" s="135"/>
      <c r="H501" s="135"/>
      <c r="I501" s="135"/>
      <c r="J501" s="135"/>
      <c r="K501" s="135"/>
      <c r="L501" s="183"/>
      <c r="M501" s="5"/>
      <c r="N501" s="41"/>
      <c r="O501" s="6"/>
      <c r="P501" s="7"/>
      <c r="Q501" s="7"/>
      <c r="R501" s="7"/>
      <c r="S501" s="7"/>
      <c r="T501" s="273"/>
      <c r="U501" s="273"/>
      <c r="V501" s="273">
        <f t="shared" si="771"/>
        <v>0</v>
      </c>
      <c r="W501" s="274"/>
      <c r="X501" s="274"/>
      <c r="Y501" s="275">
        <f t="shared" si="788"/>
        <v>0</v>
      </c>
      <c r="Z501" s="91"/>
      <c r="AA501" s="273"/>
      <c r="AB501" s="273"/>
      <c r="AC501" s="273">
        <f t="shared" si="772"/>
        <v>0</v>
      </c>
      <c r="AD501" s="275"/>
      <c r="AE501" s="275"/>
      <c r="AF501" s="276">
        <f t="shared" si="773"/>
        <v>0</v>
      </c>
      <c r="AG501" s="473"/>
      <c r="AH501" s="277">
        <v>390</v>
      </c>
      <c r="AI501" s="277">
        <f t="shared" si="785"/>
        <v>26</v>
      </c>
      <c r="AJ501" s="138">
        <v>390</v>
      </c>
      <c r="AK501" s="138">
        <f t="shared" si="774"/>
        <v>26</v>
      </c>
      <c r="AL501" s="106"/>
      <c r="AM501" s="105"/>
      <c r="AN501" s="105">
        <f t="shared" si="775"/>
        <v>0</v>
      </c>
      <c r="AO501" s="106"/>
      <c r="AP501" s="105"/>
      <c r="AQ501" s="105">
        <f t="shared" si="789"/>
        <v>0</v>
      </c>
      <c r="AR501" s="106"/>
      <c r="AS501" s="97">
        <f t="shared" si="786"/>
        <v>26</v>
      </c>
      <c r="AT501" s="6"/>
      <c r="AU501" s="105"/>
      <c r="AV501" s="455">
        <f t="shared" si="808"/>
        <v>0</v>
      </c>
      <c r="AW501" s="496"/>
      <c r="AX501" s="508"/>
      <c r="AY501" s="498"/>
      <c r="AZ501" s="100">
        <f t="shared" si="799"/>
        <v>0</v>
      </c>
      <c r="BA501" s="101"/>
      <c r="BB501" s="100"/>
      <c r="BC501" s="100">
        <f t="shared" si="777"/>
        <v>0</v>
      </c>
      <c r="BD501" s="101"/>
      <c r="BE501" s="105">
        <f>AK501+AZ501</f>
        <v>26</v>
      </c>
      <c r="BF501" s="106"/>
      <c r="BG501" s="100">
        <f t="shared" ref="BG501:BG511" si="810">BC501+AQ501+AN501</f>
        <v>0</v>
      </c>
      <c r="BH501" s="106"/>
      <c r="BI501" s="100">
        <f t="shared" ref="BI501:BI511" si="811">AV501</f>
        <v>0</v>
      </c>
      <c r="BJ501" s="106"/>
      <c r="BK501" s="101">
        <f t="shared" si="787"/>
        <v>26</v>
      </c>
      <c r="BL501" s="106"/>
      <c r="BM501" s="52">
        <v>1300</v>
      </c>
      <c r="BN501" s="52">
        <f t="shared" si="779"/>
        <v>26</v>
      </c>
      <c r="BO501" s="105">
        <v>1300</v>
      </c>
      <c r="BP501" s="105">
        <f t="shared" si="809"/>
        <v>26</v>
      </c>
      <c r="BQ501" s="106"/>
      <c r="BR501" s="105"/>
      <c r="BS501" s="105">
        <f t="shared" si="780"/>
        <v>0</v>
      </c>
      <c r="BT501" s="106"/>
      <c r="BU501" s="53"/>
      <c r="BV501" s="53">
        <f t="shared" si="781"/>
        <v>0</v>
      </c>
      <c r="BW501" s="54"/>
      <c r="BX501" s="350">
        <f t="shared" si="782"/>
        <v>26</v>
      </c>
      <c r="BY501" s="6"/>
      <c r="BZ501" s="6">
        <f t="shared" si="783"/>
        <v>0</v>
      </c>
      <c r="CA501" s="508"/>
      <c r="CB501" s="7"/>
      <c r="CC501" s="7"/>
      <c r="CD501" s="7"/>
      <c r="CE501" s="504"/>
      <c r="CF501" s="105"/>
      <c r="CG501" s="105">
        <f t="shared" si="791"/>
        <v>0</v>
      </c>
      <c r="CH501" s="105"/>
      <c r="CI501" s="105"/>
      <c r="CJ501" s="105">
        <f t="shared" si="792"/>
        <v>0</v>
      </c>
      <c r="CK501" s="523"/>
      <c r="CL501" s="102">
        <f t="shared" si="784"/>
        <v>0</v>
      </c>
      <c r="CM501" s="103"/>
      <c r="CN501" s="100"/>
      <c r="CO501" s="100">
        <f t="shared" si="807"/>
        <v>0</v>
      </c>
      <c r="CP501" s="515"/>
      <c r="CQ501" s="441"/>
      <c r="CR501" s="504"/>
      <c r="CS501" s="105"/>
      <c r="CT501" s="105">
        <f t="shared" si="797"/>
        <v>0</v>
      </c>
      <c r="CU501" s="105"/>
      <c r="CV501" s="105"/>
      <c r="CW501" s="105">
        <f t="shared" si="798"/>
        <v>0</v>
      </c>
      <c r="CX501" s="53"/>
      <c r="CY501" s="109">
        <f t="shared" si="803"/>
        <v>0</v>
      </c>
      <c r="CZ501" s="54"/>
      <c r="DA501" s="105"/>
      <c r="DB501" s="455">
        <f t="shared" si="790"/>
        <v>0</v>
      </c>
      <c r="DC501" s="495"/>
      <c r="DD501" s="24"/>
      <c r="DF501" s="1133"/>
      <c r="DG501" s="674">
        <f t="shared" si="800"/>
        <v>0</v>
      </c>
      <c r="DH501" s="1119">
        <f t="shared" si="801"/>
        <v>0</v>
      </c>
      <c r="DI501" s="1119"/>
      <c r="DJ501" s="101">
        <f t="shared" si="796"/>
        <v>26</v>
      </c>
      <c r="DK501" s="101"/>
      <c r="DL501" s="101">
        <f t="shared" si="802"/>
        <v>0</v>
      </c>
      <c r="DM501" s="101"/>
      <c r="DN501" s="112"/>
      <c r="DO501" s="112"/>
      <c r="DP501" s="112"/>
      <c r="DQ501" s="112"/>
      <c r="DS501" s="140"/>
      <c r="DT501" s="140"/>
      <c r="DU501" s="140"/>
      <c r="DV501" s="140"/>
      <c r="DW501" s="140"/>
      <c r="DX501" s="140"/>
      <c r="DY501" s="140"/>
      <c r="DZ501" s="140"/>
    </row>
    <row r="502" spans="1:130" s="139" customFormat="1" ht="37.5" customHeight="1" x14ac:dyDescent="0.25">
      <c r="A502" s="4"/>
      <c r="B502" s="4"/>
      <c r="C502" s="134" t="s">
        <v>368</v>
      </c>
      <c r="D502" s="300" t="s">
        <v>489</v>
      </c>
      <c r="E502" s="3" t="s">
        <v>577</v>
      </c>
      <c r="F502" s="135"/>
      <c r="G502" s="135"/>
      <c r="H502" s="135"/>
      <c r="I502" s="135"/>
      <c r="J502" s="135"/>
      <c r="K502" s="135"/>
      <c r="L502" s="183"/>
      <c r="M502" s="5"/>
      <c r="N502" s="41"/>
      <c r="O502" s="6"/>
      <c r="P502" s="7"/>
      <c r="Q502" s="7"/>
      <c r="R502" s="7"/>
      <c r="S502" s="7"/>
      <c r="T502" s="273"/>
      <c r="U502" s="273"/>
      <c r="V502" s="273">
        <f t="shared" si="771"/>
        <v>0</v>
      </c>
      <c r="W502" s="274"/>
      <c r="X502" s="274"/>
      <c r="Y502" s="275">
        <f t="shared" si="788"/>
        <v>0</v>
      </c>
      <c r="Z502" s="91"/>
      <c r="AA502" s="273"/>
      <c r="AB502" s="273"/>
      <c r="AC502" s="273">
        <f t="shared" si="772"/>
        <v>0</v>
      </c>
      <c r="AD502" s="275"/>
      <c r="AE502" s="275"/>
      <c r="AF502" s="276">
        <f t="shared" si="773"/>
        <v>0</v>
      </c>
      <c r="AG502" s="473"/>
      <c r="AH502" s="277">
        <v>624</v>
      </c>
      <c r="AI502" s="277">
        <f t="shared" si="785"/>
        <v>41.6</v>
      </c>
      <c r="AJ502" s="138"/>
      <c r="AK502" s="138">
        <f t="shared" si="774"/>
        <v>0</v>
      </c>
      <c r="AL502" s="106"/>
      <c r="AM502" s="105">
        <v>620</v>
      </c>
      <c r="AN502" s="105">
        <f t="shared" si="775"/>
        <v>41.333333333333336</v>
      </c>
      <c r="AO502" s="106"/>
      <c r="AP502" s="105"/>
      <c r="AQ502" s="105">
        <f t="shared" si="789"/>
        <v>0</v>
      </c>
      <c r="AR502" s="106"/>
      <c r="AS502" s="97">
        <f t="shared" si="786"/>
        <v>41.333333333333336</v>
      </c>
      <c r="AT502" s="6"/>
      <c r="AU502" s="105"/>
      <c r="AV502" s="455">
        <f t="shared" si="808"/>
        <v>0</v>
      </c>
      <c r="AW502" s="496"/>
      <c r="AX502" s="508"/>
      <c r="AY502" s="498"/>
      <c r="AZ502" s="100">
        <f t="shared" si="799"/>
        <v>0</v>
      </c>
      <c r="BA502" s="101"/>
      <c r="BB502" s="100"/>
      <c r="BC502" s="100">
        <f t="shared" si="777"/>
        <v>0</v>
      </c>
      <c r="BD502" s="101"/>
      <c r="BE502" s="105">
        <f>AK502+AZ502</f>
        <v>0</v>
      </c>
      <c r="BF502" s="106"/>
      <c r="BG502" s="100">
        <f t="shared" si="810"/>
        <v>41.333333333333336</v>
      </c>
      <c r="BH502" s="106"/>
      <c r="BI502" s="100">
        <f t="shared" si="811"/>
        <v>0</v>
      </c>
      <c r="BJ502" s="106"/>
      <c r="BK502" s="101">
        <f t="shared" si="787"/>
        <v>41.333333333333336</v>
      </c>
      <c r="BL502" s="106"/>
      <c r="BM502" s="52"/>
      <c r="BN502" s="52">
        <f t="shared" si="779"/>
        <v>0</v>
      </c>
      <c r="BO502" s="105"/>
      <c r="BP502" s="105">
        <f t="shared" si="809"/>
        <v>0</v>
      </c>
      <c r="BQ502" s="106"/>
      <c r="BR502" s="105">
        <v>2050</v>
      </c>
      <c r="BS502" s="105">
        <f t="shared" si="780"/>
        <v>41</v>
      </c>
      <c r="BT502" s="106"/>
      <c r="BU502" s="53"/>
      <c r="BV502" s="53">
        <f t="shared" si="781"/>
        <v>0</v>
      </c>
      <c r="BW502" s="54"/>
      <c r="BX502" s="350">
        <f t="shared" si="782"/>
        <v>41</v>
      </c>
      <c r="BY502" s="6"/>
      <c r="BZ502" s="6">
        <f t="shared" si="783"/>
        <v>0.3333333333333357</v>
      </c>
      <c r="CA502" s="508"/>
      <c r="CB502" s="7"/>
      <c r="CC502" s="7"/>
      <c r="CD502" s="7"/>
      <c r="CE502" s="504"/>
      <c r="CF502" s="105"/>
      <c r="CG502" s="105">
        <f t="shared" si="791"/>
        <v>0</v>
      </c>
      <c r="CH502" s="105"/>
      <c r="CI502" s="105"/>
      <c r="CJ502" s="105">
        <f t="shared" si="792"/>
        <v>0</v>
      </c>
      <c r="CK502" s="523"/>
      <c r="CL502" s="102">
        <f t="shared" si="784"/>
        <v>0</v>
      </c>
      <c r="CM502" s="103"/>
      <c r="CN502" s="100"/>
      <c r="CO502" s="100">
        <f t="shared" si="807"/>
        <v>0</v>
      </c>
      <c r="CP502" s="515"/>
      <c r="CQ502" s="441"/>
      <c r="CR502" s="504"/>
      <c r="CS502" s="105"/>
      <c r="CT502" s="105">
        <f t="shared" si="797"/>
        <v>0</v>
      </c>
      <c r="CU502" s="105"/>
      <c r="CV502" s="105"/>
      <c r="CW502" s="105">
        <f t="shared" si="798"/>
        <v>0</v>
      </c>
      <c r="CX502" s="53"/>
      <c r="CY502" s="109">
        <f t="shared" si="803"/>
        <v>0</v>
      </c>
      <c r="CZ502" s="54"/>
      <c r="DA502" s="105"/>
      <c r="DB502" s="455">
        <f t="shared" si="790"/>
        <v>0</v>
      </c>
      <c r="DC502" s="495"/>
      <c r="DD502" s="24"/>
      <c r="DF502" s="1133"/>
      <c r="DG502" s="674">
        <f t="shared" si="800"/>
        <v>0</v>
      </c>
      <c r="DH502" s="1119">
        <f t="shared" si="801"/>
        <v>0</v>
      </c>
      <c r="DI502" s="1119"/>
      <c r="DJ502" s="101">
        <f t="shared" si="796"/>
        <v>41.333333333333336</v>
      </c>
      <c r="DK502" s="101"/>
      <c r="DL502" s="101">
        <f t="shared" si="802"/>
        <v>0</v>
      </c>
      <c r="DM502" s="101"/>
      <c r="DN502" s="112"/>
      <c r="DO502" s="112"/>
      <c r="DP502" s="112"/>
      <c r="DQ502" s="112"/>
      <c r="DS502" s="140"/>
      <c r="DT502" s="140"/>
      <c r="DU502" s="140"/>
      <c r="DV502" s="140"/>
      <c r="DW502" s="140"/>
      <c r="DX502" s="140"/>
      <c r="DY502" s="140"/>
      <c r="DZ502" s="140"/>
    </row>
    <row r="503" spans="1:130" s="151" customFormat="1" ht="21.6" customHeight="1" x14ac:dyDescent="0.25">
      <c r="A503" s="141"/>
      <c r="B503" s="141"/>
      <c r="C503" s="142"/>
      <c r="D503" s="143"/>
      <c r="E503" s="22"/>
      <c r="F503" s="144"/>
      <c r="G503" s="144"/>
      <c r="H503" s="144"/>
      <c r="I503" s="144"/>
      <c r="J503" s="144"/>
      <c r="K503" s="144"/>
      <c r="L503" s="145"/>
      <c r="M503" s="146"/>
      <c r="N503" s="147"/>
      <c r="O503" s="131"/>
      <c r="P503" s="148"/>
      <c r="Q503" s="148"/>
      <c r="R503" s="148"/>
      <c r="S503" s="148"/>
      <c r="T503" s="123"/>
      <c r="U503" s="123"/>
      <c r="V503" s="123"/>
      <c r="W503" s="149"/>
      <c r="X503" s="149"/>
      <c r="Y503" s="124"/>
      <c r="Z503" s="125"/>
      <c r="AA503" s="123"/>
      <c r="AB503" s="123"/>
      <c r="AC503" s="123"/>
      <c r="AD503" s="124"/>
      <c r="AE503" s="124"/>
      <c r="AF503" s="126"/>
      <c r="AG503" s="474"/>
      <c r="AH503" s="129"/>
      <c r="AI503" s="129"/>
      <c r="AJ503" s="138"/>
      <c r="AK503" s="138"/>
      <c r="AL503" s="106"/>
      <c r="AM503" s="105"/>
      <c r="AN503" s="105"/>
      <c r="AO503" s="106"/>
      <c r="AP503" s="105"/>
      <c r="AQ503" s="105">
        <f t="shared" si="789"/>
        <v>0</v>
      </c>
      <c r="AR503" s="106"/>
      <c r="AS503" s="97">
        <f t="shared" si="786"/>
        <v>0</v>
      </c>
      <c r="AT503" s="6"/>
      <c r="AU503" s="105"/>
      <c r="AV503" s="455">
        <f t="shared" si="808"/>
        <v>0</v>
      </c>
      <c r="AW503" s="496"/>
      <c r="AX503" s="508"/>
      <c r="AY503" s="498"/>
      <c r="AZ503" s="100"/>
      <c r="BA503" s="101"/>
      <c r="BB503" s="100"/>
      <c r="BC503" s="100"/>
      <c r="BD503" s="101"/>
      <c r="BE503" s="105"/>
      <c r="BF503" s="106"/>
      <c r="BG503" s="100">
        <f t="shared" si="810"/>
        <v>0</v>
      </c>
      <c r="BH503" s="106"/>
      <c r="BI503" s="100">
        <f t="shared" si="811"/>
        <v>0</v>
      </c>
      <c r="BJ503" s="106"/>
      <c r="BK503" s="101">
        <f t="shared" si="787"/>
        <v>0</v>
      </c>
      <c r="BL503" s="106"/>
      <c r="BM503" s="130"/>
      <c r="BN503" s="130"/>
      <c r="BO503" s="105"/>
      <c r="BP503" s="105">
        <f t="shared" si="809"/>
        <v>0</v>
      </c>
      <c r="BQ503" s="106"/>
      <c r="BR503" s="105"/>
      <c r="BS503" s="105"/>
      <c r="BT503" s="106"/>
      <c r="BU503" s="53"/>
      <c r="BV503" s="53"/>
      <c r="BW503" s="54"/>
      <c r="BX503" s="350">
        <f t="shared" si="782"/>
        <v>0</v>
      </c>
      <c r="BY503" s="131"/>
      <c r="BZ503" s="131">
        <f t="shared" si="783"/>
        <v>0</v>
      </c>
      <c r="CA503" s="536"/>
      <c r="CB503" s="148"/>
      <c r="CC503" s="148"/>
      <c r="CD503" s="148"/>
      <c r="CE503" s="504"/>
      <c r="CF503" s="105"/>
      <c r="CG503" s="105">
        <f t="shared" si="791"/>
        <v>0</v>
      </c>
      <c r="CH503" s="105"/>
      <c r="CI503" s="105"/>
      <c r="CJ503" s="105">
        <f t="shared" si="792"/>
        <v>0</v>
      </c>
      <c r="CK503" s="523"/>
      <c r="CL503" s="102"/>
      <c r="CM503" s="103"/>
      <c r="CN503" s="100"/>
      <c r="CO503" s="100">
        <f t="shared" si="807"/>
        <v>0</v>
      </c>
      <c r="CP503" s="515"/>
      <c r="CQ503" s="441"/>
      <c r="CR503" s="504"/>
      <c r="CS503" s="105"/>
      <c r="CT503" s="105">
        <f t="shared" si="797"/>
        <v>0</v>
      </c>
      <c r="CU503" s="105"/>
      <c r="CV503" s="105"/>
      <c r="CW503" s="105">
        <f t="shared" si="798"/>
        <v>0</v>
      </c>
      <c r="CX503" s="53"/>
      <c r="CY503" s="109">
        <f t="shared" si="803"/>
        <v>0</v>
      </c>
      <c r="CZ503" s="54"/>
      <c r="DA503" s="105"/>
      <c r="DB503" s="455">
        <f t="shared" si="790"/>
        <v>0</v>
      </c>
      <c r="DC503" s="495"/>
      <c r="DD503" s="31"/>
      <c r="DF503" s="1133"/>
      <c r="DG503" s="674">
        <f t="shared" si="800"/>
        <v>0</v>
      </c>
      <c r="DH503" s="1119">
        <f t="shared" si="801"/>
        <v>0</v>
      </c>
      <c r="DI503" s="1119"/>
      <c r="DJ503" s="101">
        <f t="shared" si="796"/>
        <v>0</v>
      </c>
      <c r="DK503" s="101"/>
      <c r="DL503" s="101">
        <f t="shared" si="802"/>
        <v>0</v>
      </c>
      <c r="DM503" s="101"/>
      <c r="DN503" s="112"/>
      <c r="DO503" s="112"/>
      <c r="DP503" s="112"/>
      <c r="DQ503" s="112"/>
      <c r="DS503" s="152"/>
      <c r="DT503" s="152"/>
      <c r="DU503" s="152"/>
      <c r="DV503" s="152"/>
      <c r="DW503" s="152"/>
      <c r="DX503" s="152"/>
      <c r="DY503" s="152"/>
      <c r="DZ503" s="152"/>
    </row>
    <row r="504" spans="1:130" s="139" customFormat="1" ht="28.9" customHeight="1" x14ac:dyDescent="0.25">
      <c r="A504" s="4" t="s">
        <v>130</v>
      </c>
      <c r="B504" s="4">
        <v>7</v>
      </c>
      <c r="C504" s="134" t="s">
        <v>256</v>
      </c>
      <c r="D504" s="182" t="s">
        <v>431</v>
      </c>
      <c r="E504" s="13" t="s">
        <v>200</v>
      </c>
      <c r="F504" s="135">
        <v>19</v>
      </c>
      <c r="G504" s="135">
        <v>17</v>
      </c>
      <c r="H504" s="135">
        <f t="shared" ref="H504:H511" si="812">F504+G504</f>
        <v>36</v>
      </c>
      <c r="I504" s="135"/>
      <c r="J504" s="135">
        <v>13</v>
      </c>
      <c r="K504" s="300">
        <f t="shared" ref="K504:K511" si="813">I504+J504</f>
        <v>13</v>
      </c>
      <c r="L504" s="309"/>
      <c r="M504" s="5"/>
      <c r="N504" s="41"/>
      <c r="O504" s="6"/>
      <c r="P504" s="7"/>
      <c r="Q504" s="7"/>
      <c r="R504" s="7"/>
      <c r="S504" s="7"/>
      <c r="T504" s="89"/>
      <c r="U504" s="89"/>
      <c r="V504" s="89">
        <f t="shared" si="663"/>
        <v>0</v>
      </c>
      <c r="W504" s="137"/>
      <c r="X504" s="137"/>
      <c r="Y504" s="90">
        <f t="shared" si="764"/>
        <v>0</v>
      </c>
      <c r="Z504" s="91"/>
      <c r="AA504" s="92"/>
      <c r="AB504" s="92"/>
      <c r="AC504" s="92">
        <f t="shared" si="721"/>
        <v>0</v>
      </c>
      <c r="AD504" s="93"/>
      <c r="AE504" s="93"/>
      <c r="AF504" s="94">
        <f t="shared" si="722"/>
        <v>0</v>
      </c>
      <c r="AG504" s="473"/>
      <c r="AH504" s="99">
        <v>45</v>
      </c>
      <c r="AI504" s="99">
        <f t="shared" si="770"/>
        <v>3</v>
      </c>
      <c r="AJ504" s="138">
        <v>45</v>
      </c>
      <c r="AK504" s="138">
        <f t="shared" ref="AK504:AK509" si="814">AJ504/15</f>
        <v>3</v>
      </c>
      <c r="AL504" s="106">
        <f>SUM(AK504:AK512)</f>
        <v>34</v>
      </c>
      <c r="AM504" s="105"/>
      <c r="AN504" s="105">
        <f t="shared" ref="AN504:AN512" si="815">AM504/15</f>
        <v>0</v>
      </c>
      <c r="AO504" s="106">
        <f>SUM(AN504:AN512)</f>
        <v>16</v>
      </c>
      <c r="AP504" s="105"/>
      <c r="AQ504" s="105">
        <f t="shared" si="789"/>
        <v>0</v>
      </c>
      <c r="AR504" s="106">
        <f>SUM(AQ504:AQ512)</f>
        <v>15.333333333333334</v>
      </c>
      <c r="AS504" s="97">
        <f t="shared" si="786"/>
        <v>3</v>
      </c>
      <c r="AT504" s="6">
        <f>SUM(AS504:AS512)</f>
        <v>65.333333333333343</v>
      </c>
      <c r="AU504" s="105"/>
      <c r="AV504" s="455">
        <f t="shared" si="808"/>
        <v>0</v>
      </c>
      <c r="AW504" s="496">
        <f>SUM(AV504:AV512)</f>
        <v>20.333333333333332</v>
      </c>
      <c r="AX504" s="508"/>
      <c r="AY504" s="498">
        <v>15</v>
      </c>
      <c r="AZ504" s="100">
        <f t="shared" ref="AZ504:AZ512" si="816">AY504/15</f>
        <v>1</v>
      </c>
      <c r="BA504" s="106">
        <f>SUM(AZ504:AZ512)</f>
        <v>29.000000000000004</v>
      </c>
      <c r="BB504" s="105"/>
      <c r="BC504" s="105">
        <f t="shared" ref="BC504:BC510" si="817">BB504/15</f>
        <v>0</v>
      </c>
      <c r="BD504" s="106">
        <f>SUM(BC504:BC512)</f>
        <v>3.6666666666666665</v>
      </c>
      <c r="BE504" s="105">
        <f>AK504+AZ504</f>
        <v>4</v>
      </c>
      <c r="BF504" s="106">
        <f>SUM(BE504:BE512)</f>
        <v>63</v>
      </c>
      <c r="BG504" s="100">
        <f t="shared" si="810"/>
        <v>0</v>
      </c>
      <c r="BH504" s="106">
        <f>SUM(BG504:BG512)</f>
        <v>35</v>
      </c>
      <c r="BI504" s="100">
        <f t="shared" si="811"/>
        <v>0</v>
      </c>
      <c r="BJ504" s="106">
        <f>SUM(BI504:BI512)</f>
        <v>20.333333333333332</v>
      </c>
      <c r="BK504" s="101">
        <f t="shared" si="787"/>
        <v>4</v>
      </c>
      <c r="BL504" s="106">
        <f>SUM(BK504:BK512)</f>
        <v>118.33333333333334</v>
      </c>
      <c r="BM504" s="104">
        <v>200</v>
      </c>
      <c r="BN504" s="104">
        <f t="shared" si="767"/>
        <v>4</v>
      </c>
      <c r="BO504" s="105"/>
      <c r="BP504" s="105">
        <f t="shared" si="809"/>
        <v>0</v>
      </c>
      <c r="BQ504" s="106">
        <f>SUM(BP504:BP512)</f>
        <v>0</v>
      </c>
      <c r="BR504" s="105">
        <f>100+50+50</f>
        <v>200</v>
      </c>
      <c r="BS504" s="105">
        <f t="shared" ref="BS504:BS512" si="818">BR504/50</f>
        <v>4</v>
      </c>
      <c r="BT504" s="106">
        <f>SUM(BS504:BS512)</f>
        <v>111</v>
      </c>
      <c r="BU504" s="53"/>
      <c r="BV504" s="53">
        <f t="shared" ref="BV504:BV508" si="819">BU504/50</f>
        <v>0</v>
      </c>
      <c r="BW504" s="54">
        <f>SUM(BV504:BV512)</f>
        <v>6</v>
      </c>
      <c r="BX504" s="350">
        <f t="shared" si="782"/>
        <v>4</v>
      </c>
      <c r="BY504" s="6">
        <f>SUM(BX504:BX512)</f>
        <v>117</v>
      </c>
      <c r="BZ504" s="6">
        <f t="shared" si="783"/>
        <v>0</v>
      </c>
      <c r="CA504" s="508"/>
      <c r="CB504" s="7"/>
      <c r="CC504" s="7"/>
      <c r="CD504" s="7"/>
      <c r="CE504" s="504"/>
      <c r="CF504" s="105"/>
      <c r="CG504" s="105">
        <f t="shared" si="791"/>
        <v>0</v>
      </c>
      <c r="CH504" s="105"/>
      <c r="CI504" s="105"/>
      <c r="CJ504" s="105">
        <f t="shared" si="792"/>
        <v>0</v>
      </c>
      <c r="CK504" s="524"/>
      <c r="CL504" s="53">
        <f t="shared" ref="CL504:CL511" si="820">CK504/15</f>
        <v>0</v>
      </c>
      <c r="CM504" s="54">
        <f>SUM(CL504:CL512)</f>
        <v>0</v>
      </c>
      <c r="CN504" s="105"/>
      <c r="CO504" s="100">
        <f t="shared" si="807"/>
        <v>0</v>
      </c>
      <c r="CP504" s="496">
        <f>SUM(CO504:CO512)</f>
        <v>0</v>
      </c>
      <c r="CQ504" s="439"/>
      <c r="CR504" s="504"/>
      <c r="CS504" s="105"/>
      <c r="CT504" s="105">
        <f t="shared" si="797"/>
        <v>0</v>
      </c>
      <c r="CU504" s="105"/>
      <c r="CV504" s="105"/>
      <c r="CW504" s="105">
        <f t="shared" si="798"/>
        <v>0</v>
      </c>
      <c r="CX504" s="53"/>
      <c r="CY504" s="109">
        <f t="shared" si="803"/>
        <v>0</v>
      </c>
      <c r="CZ504" s="54">
        <f>SUM(CY504:CY512)</f>
        <v>0</v>
      </c>
      <c r="DA504" s="105"/>
      <c r="DB504" s="455">
        <f t="shared" si="790"/>
        <v>0</v>
      </c>
      <c r="DC504" s="495">
        <f>SUM(DB504:DB512)</f>
        <v>0</v>
      </c>
      <c r="DD504" s="24" t="s">
        <v>336</v>
      </c>
      <c r="DF504" s="1133"/>
      <c r="DG504" s="674">
        <f t="shared" si="800"/>
        <v>0</v>
      </c>
      <c r="DH504" s="1119">
        <f t="shared" si="801"/>
        <v>0</v>
      </c>
      <c r="DI504" s="1119"/>
      <c r="DJ504" s="101">
        <f t="shared" si="796"/>
        <v>4</v>
      </c>
      <c r="DK504" s="101">
        <f>SUM(DJ504:DJ512)</f>
        <v>118.33333333333334</v>
      </c>
      <c r="DL504" s="101">
        <f t="shared" si="802"/>
        <v>0</v>
      </c>
      <c r="DM504" s="101"/>
      <c r="DN504" s="112"/>
      <c r="DO504" s="112"/>
      <c r="DP504" s="112"/>
      <c r="DQ504" s="112"/>
      <c r="DS504" s="140"/>
      <c r="DT504" s="140"/>
      <c r="DU504" s="140"/>
      <c r="DV504" s="140"/>
      <c r="DW504" s="140"/>
      <c r="DX504" s="140"/>
      <c r="DY504" s="140"/>
      <c r="DZ504" s="140"/>
    </row>
    <row r="505" spans="1:130" s="139" customFormat="1" ht="30" customHeight="1" x14ac:dyDescent="0.25">
      <c r="A505" s="4"/>
      <c r="B505" s="4"/>
      <c r="C505" s="134" t="s">
        <v>256</v>
      </c>
      <c r="D505" s="182" t="s">
        <v>437</v>
      </c>
      <c r="E505" s="3" t="s">
        <v>616</v>
      </c>
      <c r="F505" s="135"/>
      <c r="G505" s="135"/>
      <c r="H505" s="135"/>
      <c r="I505" s="135"/>
      <c r="J505" s="135"/>
      <c r="K505" s="300"/>
      <c r="L505" s="309"/>
      <c r="M505" s="5"/>
      <c r="N505" s="41"/>
      <c r="O505" s="6"/>
      <c r="P505" s="7"/>
      <c r="Q505" s="7"/>
      <c r="R505" s="7"/>
      <c r="S505" s="7"/>
      <c r="T505" s="89"/>
      <c r="U505" s="89"/>
      <c r="V505" s="89"/>
      <c r="W505" s="137"/>
      <c r="X505" s="137"/>
      <c r="Y505" s="90"/>
      <c r="Z505" s="91"/>
      <c r="AA505" s="92"/>
      <c r="AB505" s="92"/>
      <c r="AC505" s="92"/>
      <c r="AD505" s="93"/>
      <c r="AE505" s="93"/>
      <c r="AF505" s="94"/>
      <c r="AG505" s="473"/>
      <c r="AH505" s="99"/>
      <c r="AI505" s="99"/>
      <c r="AJ505" s="138"/>
      <c r="AK505" s="138"/>
      <c r="AL505" s="106"/>
      <c r="AM505" s="105"/>
      <c r="AN505" s="105"/>
      <c r="AO505" s="106"/>
      <c r="AP505" s="105"/>
      <c r="AQ505" s="105">
        <f t="shared" si="789"/>
        <v>0</v>
      </c>
      <c r="AR505" s="106"/>
      <c r="AS505" s="97">
        <f t="shared" si="786"/>
        <v>0</v>
      </c>
      <c r="AT505" s="6"/>
      <c r="AU505" s="105"/>
      <c r="AV505" s="455">
        <f t="shared" si="808"/>
        <v>0</v>
      </c>
      <c r="AW505" s="496"/>
      <c r="AX505" s="508"/>
      <c r="AY505" s="498"/>
      <c r="AZ505" s="100"/>
      <c r="BA505" s="106"/>
      <c r="BB505" s="105"/>
      <c r="BC505" s="105"/>
      <c r="BD505" s="106"/>
      <c r="BE505" s="105"/>
      <c r="BF505" s="106"/>
      <c r="BG505" s="100">
        <f t="shared" si="810"/>
        <v>0</v>
      </c>
      <c r="BH505" s="106"/>
      <c r="BI505" s="100">
        <f t="shared" si="811"/>
        <v>0</v>
      </c>
      <c r="BJ505" s="106"/>
      <c r="BK505" s="101">
        <f t="shared" si="787"/>
        <v>0</v>
      </c>
      <c r="BL505" s="106"/>
      <c r="BM505" s="104"/>
      <c r="BN505" s="104"/>
      <c r="BO505" s="105"/>
      <c r="BP505" s="105">
        <f t="shared" si="809"/>
        <v>0</v>
      </c>
      <c r="BQ505" s="106"/>
      <c r="BR505" s="105">
        <f>500</f>
        <v>500</v>
      </c>
      <c r="BS505" s="105">
        <f t="shared" si="818"/>
        <v>10</v>
      </c>
      <c r="BT505" s="106"/>
      <c r="BU505" s="53"/>
      <c r="BV505" s="53"/>
      <c r="BW505" s="54"/>
      <c r="BX505" s="350">
        <f t="shared" si="782"/>
        <v>10</v>
      </c>
      <c r="BY505" s="6"/>
      <c r="BZ505" s="6">
        <f t="shared" si="783"/>
        <v>-10</v>
      </c>
      <c r="CA505" s="508"/>
      <c r="CB505" s="7"/>
      <c r="CC505" s="7" t="s">
        <v>265</v>
      </c>
      <c r="CD505" s="7" t="s">
        <v>657</v>
      </c>
      <c r="CE505" s="504">
        <v>5</v>
      </c>
      <c r="CF505" s="105">
        <v>5</v>
      </c>
      <c r="CG505" s="105">
        <f t="shared" si="791"/>
        <v>10</v>
      </c>
      <c r="CH505" s="105">
        <v>10</v>
      </c>
      <c r="CI505" s="105"/>
      <c r="CJ505" s="105">
        <f t="shared" si="792"/>
        <v>10</v>
      </c>
      <c r="CK505" s="524"/>
      <c r="CL505" s="53">
        <f t="shared" si="820"/>
        <v>0</v>
      </c>
      <c r="CM505" s="54"/>
      <c r="CN505" s="105"/>
      <c r="CO505" s="100">
        <f t="shared" si="807"/>
        <v>0</v>
      </c>
      <c r="CP505" s="496"/>
      <c r="CQ505" s="439"/>
      <c r="CR505" s="504"/>
      <c r="CS505" s="105"/>
      <c r="CT505" s="105">
        <f t="shared" si="797"/>
        <v>0</v>
      </c>
      <c r="CU505" s="105"/>
      <c r="CV505" s="105"/>
      <c r="CW505" s="105">
        <f t="shared" si="798"/>
        <v>0</v>
      </c>
      <c r="CX505" s="53"/>
      <c r="CY505" s="109">
        <f t="shared" si="803"/>
        <v>0</v>
      </c>
      <c r="CZ505" s="54"/>
      <c r="DA505" s="105"/>
      <c r="DB505" s="455">
        <f t="shared" si="790"/>
        <v>0</v>
      </c>
      <c r="DC505" s="495"/>
      <c r="DD505" s="24"/>
      <c r="DF505" s="1133"/>
      <c r="DG505" s="674">
        <f t="shared" si="800"/>
        <v>0</v>
      </c>
      <c r="DH505" s="1119">
        <f t="shared" si="801"/>
        <v>0</v>
      </c>
      <c r="DI505" s="1119"/>
      <c r="DJ505" s="101">
        <f t="shared" si="796"/>
        <v>0</v>
      </c>
      <c r="DK505" s="101"/>
      <c r="DL505" s="101">
        <f t="shared" si="802"/>
        <v>10</v>
      </c>
      <c r="DM505" s="101"/>
      <c r="DN505" s="112"/>
      <c r="DO505" s="112">
        <f>DJ505</f>
        <v>0</v>
      </c>
      <c r="DP505" s="112"/>
      <c r="DQ505" s="112"/>
      <c r="DS505" s="140"/>
      <c r="DT505" s="140"/>
      <c r="DU505" s="140"/>
      <c r="DV505" s="140"/>
      <c r="DW505" s="140"/>
      <c r="DX505" s="140"/>
      <c r="DY505" s="140"/>
      <c r="DZ505" s="140"/>
    </row>
    <row r="506" spans="1:130" s="139" customFormat="1" ht="33.75" customHeight="1" x14ac:dyDescent="0.25">
      <c r="A506" s="4" t="s">
        <v>130</v>
      </c>
      <c r="B506" s="4">
        <v>1</v>
      </c>
      <c r="C506" s="182" t="s">
        <v>256</v>
      </c>
      <c r="D506" s="182" t="s">
        <v>437</v>
      </c>
      <c r="E506" s="13" t="s">
        <v>257</v>
      </c>
      <c r="F506" s="135">
        <v>112</v>
      </c>
      <c r="G506" s="135">
        <v>28</v>
      </c>
      <c r="H506" s="135">
        <f t="shared" si="812"/>
        <v>140</v>
      </c>
      <c r="I506" s="135">
        <v>58.9</v>
      </c>
      <c r="J506" s="135"/>
      <c r="K506" s="300">
        <f t="shared" si="813"/>
        <v>58.9</v>
      </c>
      <c r="L506" s="309"/>
      <c r="M506" s="5"/>
      <c r="N506" s="41"/>
      <c r="O506" s="6"/>
      <c r="P506" s="7"/>
      <c r="Q506" s="7"/>
      <c r="R506" s="7"/>
      <c r="S506" s="7"/>
      <c r="T506" s="89"/>
      <c r="U506" s="89"/>
      <c r="V506" s="89">
        <f t="shared" si="663"/>
        <v>0</v>
      </c>
      <c r="W506" s="137"/>
      <c r="X506" s="137"/>
      <c r="Y506" s="90">
        <f t="shared" si="764"/>
        <v>0</v>
      </c>
      <c r="Z506" s="91"/>
      <c r="AA506" s="92"/>
      <c r="AB506" s="92"/>
      <c r="AC506" s="92">
        <f t="shared" si="721"/>
        <v>0</v>
      </c>
      <c r="AD506" s="93"/>
      <c r="AE506" s="93"/>
      <c r="AF506" s="94">
        <f t="shared" si="722"/>
        <v>0</v>
      </c>
      <c r="AG506" s="473"/>
      <c r="AH506" s="99">
        <f>130+80</f>
        <v>210</v>
      </c>
      <c r="AI506" s="99">
        <f t="shared" si="770"/>
        <v>14</v>
      </c>
      <c r="AJ506" s="138"/>
      <c r="AK506" s="138">
        <f t="shared" si="814"/>
        <v>0</v>
      </c>
      <c r="AL506" s="106"/>
      <c r="AM506" s="105">
        <v>165</v>
      </c>
      <c r="AN506" s="105">
        <f t="shared" si="815"/>
        <v>11</v>
      </c>
      <c r="AO506" s="106"/>
      <c r="AP506" s="105">
        <v>45</v>
      </c>
      <c r="AQ506" s="105">
        <f t="shared" si="789"/>
        <v>3</v>
      </c>
      <c r="AR506" s="106"/>
      <c r="AS506" s="97">
        <f t="shared" si="786"/>
        <v>14</v>
      </c>
      <c r="AT506" s="6"/>
      <c r="AU506" s="105"/>
      <c r="AV506" s="455">
        <f t="shared" si="808"/>
        <v>0</v>
      </c>
      <c r="AW506" s="496"/>
      <c r="AX506" s="508"/>
      <c r="AY506" s="498">
        <v>105</v>
      </c>
      <c r="AZ506" s="100">
        <f t="shared" si="816"/>
        <v>7</v>
      </c>
      <c r="BA506" s="101"/>
      <c r="BB506" s="100"/>
      <c r="BC506" s="100">
        <f t="shared" si="817"/>
        <v>0</v>
      </c>
      <c r="BD506" s="101"/>
      <c r="BE506" s="105">
        <f t="shared" ref="BE506:BE512" si="821">AK506+AZ506</f>
        <v>7</v>
      </c>
      <c r="BF506" s="106"/>
      <c r="BG506" s="100">
        <f t="shared" si="810"/>
        <v>14</v>
      </c>
      <c r="BH506" s="106"/>
      <c r="BI506" s="100">
        <f t="shared" si="811"/>
        <v>0</v>
      </c>
      <c r="BJ506" s="106"/>
      <c r="BK506" s="101">
        <f t="shared" si="787"/>
        <v>21</v>
      </c>
      <c r="BL506" s="106"/>
      <c r="BM506" s="104">
        <f>701+350</f>
        <v>1051</v>
      </c>
      <c r="BN506" s="104">
        <f t="shared" si="767"/>
        <v>21.02</v>
      </c>
      <c r="BO506" s="105"/>
      <c r="BP506" s="105">
        <f t="shared" si="809"/>
        <v>0</v>
      </c>
      <c r="BQ506" s="106"/>
      <c r="BR506" s="105">
        <f>350+550+150</f>
        <v>1050</v>
      </c>
      <c r="BS506" s="105">
        <f t="shared" si="818"/>
        <v>21</v>
      </c>
      <c r="BT506" s="106"/>
      <c r="BU506" s="53"/>
      <c r="BV506" s="53">
        <f t="shared" si="819"/>
        <v>0</v>
      </c>
      <c r="BW506" s="54"/>
      <c r="BX506" s="350">
        <f t="shared" si="782"/>
        <v>21</v>
      </c>
      <c r="BY506" s="6"/>
      <c r="BZ506" s="6">
        <f t="shared" ref="BZ506:BZ512" si="822">BK506-BX506</f>
        <v>0</v>
      </c>
      <c r="CA506" s="508"/>
      <c r="CB506" s="7"/>
      <c r="CC506" s="7"/>
      <c r="CD506" s="7"/>
      <c r="CE506" s="504">
        <v>9</v>
      </c>
      <c r="CF506" s="105"/>
      <c r="CG506" s="105">
        <f t="shared" si="791"/>
        <v>9</v>
      </c>
      <c r="CH506" s="105">
        <v>3.02</v>
      </c>
      <c r="CI506" s="105"/>
      <c r="CJ506" s="105">
        <f t="shared" si="792"/>
        <v>3.02</v>
      </c>
      <c r="CK506" s="523"/>
      <c r="CL506" s="102">
        <f t="shared" si="820"/>
        <v>0</v>
      </c>
      <c r="CM506" s="103"/>
      <c r="CN506" s="100"/>
      <c r="CO506" s="100">
        <f t="shared" si="807"/>
        <v>0</v>
      </c>
      <c r="CP506" s="515"/>
      <c r="CQ506" s="441"/>
      <c r="CR506" s="504">
        <v>9</v>
      </c>
      <c r="CS506" s="105"/>
      <c r="CT506" s="105">
        <f t="shared" si="797"/>
        <v>9</v>
      </c>
      <c r="CU506" s="105">
        <v>3.02</v>
      </c>
      <c r="CV506" s="105"/>
      <c r="CW506" s="105">
        <f t="shared" si="798"/>
        <v>3.02</v>
      </c>
      <c r="CX506" s="53"/>
      <c r="CY506" s="109">
        <f t="shared" si="803"/>
        <v>0</v>
      </c>
      <c r="CZ506" s="54"/>
      <c r="DA506" s="105"/>
      <c r="DB506" s="455">
        <f t="shared" si="790"/>
        <v>0</v>
      </c>
      <c r="DC506" s="495"/>
      <c r="DD506" s="24"/>
      <c r="DF506" s="1133"/>
      <c r="DG506" s="674">
        <f t="shared" si="800"/>
        <v>0</v>
      </c>
      <c r="DH506" s="1119">
        <f t="shared" si="801"/>
        <v>0</v>
      </c>
      <c r="DI506" s="1119"/>
      <c r="DJ506" s="101">
        <f t="shared" si="796"/>
        <v>21</v>
      </c>
      <c r="DK506" s="101"/>
      <c r="DL506" s="101">
        <f t="shared" si="802"/>
        <v>18</v>
      </c>
      <c r="DM506" s="101"/>
      <c r="DN506" s="112"/>
      <c r="DO506" s="112">
        <f>DJ506</f>
        <v>21</v>
      </c>
      <c r="DP506" s="112"/>
      <c r="DQ506" s="112"/>
      <c r="DS506" s="140"/>
      <c r="DT506" s="140"/>
      <c r="DU506" s="140"/>
      <c r="DV506" s="140"/>
      <c r="DW506" s="140"/>
      <c r="DX506" s="140"/>
      <c r="DY506" s="140"/>
      <c r="DZ506" s="140"/>
    </row>
    <row r="507" spans="1:130" ht="33" customHeight="1" x14ac:dyDescent="0.25">
      <c r="A507" s="4" t="s">
        <v>130</v>
      </c>
      <c r="B507" s="4">
        <v>2</v>
      </c>
      <c r="C507" s="153" t="s">
        <v>256</v>
      </c>
      <c r="D507" s="182" t="s">
        <v>431</v>
      </c>
      <c r="E507" s="13" t="s">
        <v>258</v>
      </c>
      <c r="F507" s="135">
        <v>9</v>
      </c>
      <c r="G507" s="135">
        <v>22</v>
      </c>
      <c r="H507" s="135">
        <f t="shared" si="812"/>
        <v>31</v>
      </c>
      <c r="I507" s="135"/>
      <c r="J507" s="135">
        <v>23.1</v>
      </c>
      <c r="K507" s="300">
        <f t="shared" si="813"/>
        <v>23.1</v>
      </c>
      <c r="L507" s="309"/>
      <c r="M507" s="5"/>
      <c r="N507" s="41"/>
      <c r="O507" s="6"/>
      <c r="P507" s="7"/>
      <c r="Q507" s="7"/>
      <c r="R507" s="7"/>
      <c r="S507" s="7"/>
      <c r="T507" s="89"/>
      <c r="U507" s="89"/>
      <c r="V507" s="89">
        <f t="shared" si="663"/>
        <v>0</v>
      </c>
      <c r="W507" s="137"/>
      <c r="X507" s="137"/>
      <c r="Y507" s="90">
        <f t="shared" si="764"/>
        <v>0</v>
      </c>
      <c r="Z507" s="91"/>
      <c r="AA507" s="92"/>
      <c r="AB507" s="92"/>
      <c r="AC507" s="92">
        <f t="shared" si="721"/>
        <v>0</v>
      </c>
      <c r="AD507" s="93"/>
      <c r="AE507" s="93"/>
      <c r="AF507" s="94">
        <f t="shared" si="722"/>
        <v>0</v>
      </c>
      <c r="AG507" s="473"/>
      <c r="AH507" s="99">
        <f>65+10</f>
        <v>75</v>
      </c>
      <c r="AI507" s="99">
        <f t="shared" si="770"/>
        <v>5</v>
      </c>
      <c r="AJ507" s="138">
        <v>75</v>
      </c>
      <c r="AK507" s="138">
        <f t="shared" si="814"/>
        <v>5</v>
      </c>
      <c r="AL507" s="106"/>
      <c r="AM507" s="105"/>
      <c r="AN507" s="105">
        <f t="shared" si="815"/>
        <v>0</v>
      </c>
      <c r="AO507" s="106"/>
      <c r="AP507" s="105"/>
      <c r="AQ507" s="105">
        <f t="shared" si="789"/>
        <v>0</v>
      </c>
      <c r="AR507" s="106"/>
      <c r="AS507" s="97">
        <f t="shared" si="786"/>
        <v>5</v>
      </c>
      <c r="AT507" s="6"/>
      <c r="AU507" s="105"/>
      <c r="AV507" s="455">
        <f t="shared" si="808"/>
        <v>0</v>
      </c>
      <c r="AW507" s="496"/>
      <c r="AX507" s="508"/>
      <c r="AY507" s="498">
        <f>45+25</f>
        <v>70</v>
      </c>
      <c r="AZ507" s="100">
        <f t="shared" si="816"/>
        <v>4.666666666666667</v>
      </c>
      <c r="BA507" s="101"/>
      <c r="BB507" s="100"/>
      <c r="BC507" s="100">
        <f t="shared" si="817"/>
        <v>0</v>
      </c>
      <c r="BD507" s="101"/>
      <c r="BE507" s="105">
        <f t="shared" si="821"/>
        <v>9.6666666666666679</v>
      </c>
      <c r="BF507" s="106"/>
      <c r="BG507" s="100">
        <f t="shared" si="810"/>
        <v>0</v>
      </c>
      <c r="BH507" s="106"/>
      <c r="BI507" s="100">
        <f t="shared" si="811"/>
        <v>0</v>
      </c>
      <c r="BJ507" s="106"/>
      <c r="BK507" s="101">
        <f t="shared" si="787"/>
        <v>9.6666666666666679</v>
      </c>
      <c r="BL507" s="106"/>
      <c r="BM507" s="104">
        <f>366.5+33.5</f>
        <v>400</v>
      </c>
      <c r="BN507" s="104">
        <f t="shared" si="767"/>
        <v>8</v>
      </c>
      <c r="BO507" s="105"/>
      <c r="BP507" s="105">
        <f t="shared" si="809"/>
        <v>0</v>
      </c>
      <c r="BQ507" s="106"/>
      <c r="BR507" s="105">
        <f>200+150+50+150+50</f>
        <v>600</v>
      </c>
      <c r="BS507" s="105">
        <f t="shared" si="818"/>
        <v>12</v>
      </c>
      <c r="BT507" s="106"/>
      <c r="BU507" s="53"/>
      <c r="BV507" s="53">
        <f t="shared" si="819"/>
        <v>0</v>
      </c>
      <c r="BW507" s="54"/>
      <c r="BX507" s="350">
        <f t="shared" si="782"/>
        <v>12</v>
      </c>
      <c r="BY507" s="6"/>
      <c r="BZ507" s="6">
        <f t="shared" si="822"/>
        <v>-2.3333333333333321</v>
      </c>
      <c r="CA507" s="508"/>
      <c r="CB507" s="7"/>
      <c r="CC507" s="7"/>
      <c r="CD507" s="7"/>
      <c r="CE507" s="504"/>
      <c r="CF507" s="105"/>
      <c r="CG507" s="105">
        <f t="shared" si="791"/>
        <v>0</v>
      </c>
      <c r="CH507" s="105"/>
      <c r="CI507" s="105"/>
      <c r="CJ507" s="105">
        <f t="shared" si="792"/>
        <v>0</v>
      </c>
      <c r="CK507" s="523"/>
      <c r="CL507" s="102">
        <f t="shared" si="820"/>
        <v>0</v>
      </c>
      <c r="CM507" s="103"/>
      <c r="CN507" s="100"/>
      <c r="CO507" s="100">
        <f t="shared" si="807"/>
        <v>0</v>
      </c>
      <c r="CP507" s="515"/>
      <c r="CQ507" s="441"/>
      <c r="CR507" s="504"/>
      <c r="CS507" s="105"/>
      <c r="CT507" s="105">
        <f t="shared" si="797"/>
        <v>0</v>
      </c>
      <c r="CU507" s="105"/>
      <c r="CV507" s="105"/>
      <c r="CW507" s="105">
        <f t="shared" si="798"/>
        <v>0</v>
      </c>
      <c r="CX507" s="53"/>
      <c r="CY507" s="109">
        <f t="shared" si="803"/>
        <v>0</v>
      </c>
      <c r="CZ507" s="54"/>
      <c r="DA507" s="105"/>
      <c r="DB507" s="455">
        <f t="shared" si="790"/>
        <v>0</v>
      </c>
      <c r="DC507" s="495"/>
      <c r="DD507" s="24"/>
      <c r="DE507" s="139"/>
      <c r="DF507" s="1133"/>
      <c r="DG507" s="674">
        <f t="shared" si="800"/>
        <v>0</v>
      </c>
      <c r="DH507" s="1119">
        <f t="shared" si="801"/>
        <v>0</v>
      </c>
      <c r="DI507" s="1119"/>
      <c r="DJ507" s="101">
        <f t="shared" si="796"/>
        <v>9.6666666666666679</v>
      </c>
      <c r="DK507" s="101"/>
      <c r="DL507" s="101">
        <f t="shared" si="802"/>
        <v>0</v>
      </c>
      <c r="DM507" s="101"/>
      <c r="DN507" s="112"/>
      <c r="DO507" s="112"/>
      <c r="DP507" s="112"/>
      <c r="DQ507" s="112"/>
      <c r="DR507" s="139"/>
      <c r="DS507" s="140"/>
      <c r="DT507" s="140"/>
      <c r="DU507" s="140"/>
    </row>
    <row r="508" spans="1:130" ht="31.5" customHeight="1" x14ac:dyDescent="0.25">
      <c r="A508" s="4"/>
      <c r="B508" s="4"/>
      <c r="C508" s="153" t="s">
        <v>256</v>
      </c>
      <c r="D508" s="182" t="s">
        <v>431</v>
      </c>
      <c r="E508" s="3" t="s">
        <v>615</v>
      </c>
      <c r="F508" s="135"/>
      <c r="G508" s="135"/>
      <c r="H508" s="135"/>
      <c r="I508" s="135"/>
      <c r="J508" s="135"/>
      <c r="K508" s="300"/>
      <c r="L508" s="309"/>
      <c r="M508" s="5"/>
      <c r="N508" s="41"/>
      <c r="O508" s="6"/>
      <c r="P508" s="7"/>
      <c r="Q508" s="7"/>
      <c r="R508" s="7"/>
      <c r="S508" s="7"/>
      <c r="T508" s="89"/>
      <c r="U508" s="89"/>
      <c r="V508" s="89"/>
      <c r="W508" s="137"/>
      <c r="X508" s="137"/>
      <c r="Y508" s="90"/>
      <c r="Z508" s="91"/>
      <c r="AA508" s="92"/>
      <c r="AB508" s="92"/>
      <c r="AC508" s="92">
        <f t="shared" si="721"/>
        <v>0</v>
      </c>
      <c r="AD508" s="93"/>
      <c r="AE508" s="93"/>
      <c r="AF508" s="94">
        <f t="shared" si="722"/>
        <v>0</v>
      </c>
      <c r="AG508" s="473"/>
      <c r="AH508" s="99"/>
      <c r="AI508" s="99"/>
      <c r="AJ508" s="138"/>
      <c r="AK508" s="138"/>
      <c r="AL508" s="106"/>
      <c r="AM508" s="105"/>
      <c r="AN508" s="105"/>
      <c r="AO508" s="106"/>
      <c r="AP508" s="105">
        <v>170</v>
      </c>
      <c r="AQ508" s="105">
        <f t="shared" ref="AQ508:AQ510" si="823">AP508/15</f>
        <v>11.333333333333334</v>
      </c>
      <c r="AR508" s="106"/>
      <c r="AS508" s="97">
        <f t="shared" si="786"/>
        <v>11.333333333333334</v>
      </c>
      <c r="AT508" s="6"/>
      <c r="AU508" s="105"/>
      <c r="AV508" s="455">
        <f t="shared" si="808"/>
        <v>0</v>
      </c>
      <c r="AW508" s="496"/>
      <c r="AX508" s="508"/>
      <c r="AY508" s="498">
        <v>15</v>
      </c>
      <c r="AZ508" s="100">
        <f t="shared" si="816"/>
        <v>1</v>
      </c>
      <c r="BA508" s="101"/>
      <c r="BB508" s="100"/>
      <c r="BC508" s="100"/>
      <c r="BD508" s="101"/>
      <c r="BE508" s="105">
        <f t="shared" si="821"/>
        <v>1</v>
      </c>
      <c r="BF508" s="106"/>
      <c r="BG508" s="100">
        <f t="shared" si="810"/>
        <v>11.333333333333334</v>
      </c>
      <c r="BH508" s="106"/>
      <c r="BI508" s="100">
        <f t="shared" si="811"/>
        <v>0</v>
      </c>
      <c r="BJ508" s="106"/>
      <c r="BK508" s="101">
        <f t="shared" si="787"/>
        <v>12.333333333333334</v>
      </c>
      <c r="BL508" s="106"/>
      <c r="BM508" s="104"/>
      <c r="BN508" s="104">
        <f t="shared" si="767"/>
        <v>0</v>
      </c>
      <c r="BO508" s="105"/>
      <c r="BP508" s="105">
        <f t="shared" si="809"/>
        <v>0</v>
      </c>
      <c r="BQ508" s="106"/>
      <c r="BR508" s="105">
        <f>50+250+300</f>
        <v>600</v>
      </c>
      <c r="BS508" s="105">
        <f>BR508/50</f>
        <v>12</v>
      </c>
      <c r="BT508" s="106"/>
      <c r="BU508" s="53"/>
      <c r="BV508" s="53">
        <f t="shared" si="819"/>
        <v>0</v>
      </c>
      <c r="BW508" s="54"/>
      <c r="BX508" s="350">
        <f t="shared" si="782"/>
        <v>12</v>
      </c>
      <c r="BY508" s="6"/>
      <c r="BZ508" s="6">
        <f t="shared" si="822"/>
        <v>0.33333333333333393</v>
      </c>
      <c r="CA508" s="508"/>
      <c r="CB508" s="7"/>
      <c r="CC508" s="7"/>
      <c r="CD508" s="7"/>
      <c r="CE508" s="504">
        <v>15</v>
      </c>
      <c r="CF508" s="105">
        <v>16</v>
      </c>
      <c r="CG508" s="105">
        <f t="shared" si="791"/>
        <v>31</v>
      </c>
      <c r="CH508" s="105">
        <v>11.34</v>
      </c>
      <c r="CI508" s="105"/>
      <c r="CJ508" s="105">
        <f t="shared" si="792"/>
        <v>11.34</v>
      </c>
      <c r="CK508" s="523"/>
      <c r="CL508" s="102"/>
      <c r="CM508" s="103"/>
      <c r="CN508" s="100"/>
      <c r="CO508" s="100">
        <f t="shared" si="807"/>
        <v>0</v>
      </c>
      <c r="CP508" s="515"/>
      <c r="CQ508" s="441"/>
      <c r="CR508" s="504">
        <v>15</v>
      </c>
      <c r="CS508" s="105">
        <v>16</v>
      </c>
      <c r="CT508" s="105">
        <f t="shared" si="797"/>
        <v>31</v>
      </c>
      <c r="CU508" s="105">
        <v>11.34</v>
      </c>
      <c r="CV508" s="105"/>
      <c r="CW508" s="105">
        <f t="shared" si="798"/>
        <v>11.34</v>
      </c>
      <c r="CX508" s="53"/>
      <c r="CY508" s="109">
        <f t="shared" si="803"/>
        <v>0</v>
      </c>
      <c r="CZ508" s="54"/>
      <c r="DA508" s="105"/>
      <c r="DB508" s="455">
        <f t="shared" si="790"/>
        <v>0</v>
      </c>
      <c r="DC508" s="495"/>
      <c r="DD508" s="24"/>
      <c r="DE508" s="139"/>
      <c r="DF508" s="1133"/>
      <c r="DG508" s="674">
        <f t="shared" si="800"/>
        <v>0</v>
      </c>
      <c r="DH508" s="1119">
        <f t="shared" si="801"/>
        <v>0</v>
      </c>
      <c r="DI508" s="1119"/>
      <c r="DJ508" s="101">
        <f t="shared" si="796"/>
        <v>12.333333333333334</v>
      </c>
      <c r="DK508" s="101"/>
      <c r="DL508" s="101">
        <f t="shared" si="802"/>
        <v>62</v>
      </c>
      <c r="DM508" s="101"/>
      <c r="DN508" s="112"/>
      <c r="DO508" s="112"/>
      <c r="DP508" s="112"/>
      <c r="DQ508" s="112"/>
      <c r="DR508" s="139"/>
      <c r="DS508" s="140"/>
      <c r="DT508" s="140"/>
      <c r="DU508" s="140"/>
    </row>
    <row r="509" spans="1:130" s="139" customFormat="1" ht="33.75" customHeight="1" x14ac:dyDescent="0.25">
      <c r="A509" s="4" t="s">
        <v>130</v>
      </c>
      <c r="B509" s="4">
        <v>3</v>
      </c>
      <c r="C509" s="153" t="s">
        <v>256</v>
      </c>
      <c r="D509" s="182" t="s">
        <v>437</v>
      </c>
      <c r="E509" s="13" t="s">
        <v>259</v>
      </c>
      <c r="F509" s="135">
        <v>254</v>
      </c>
      <c r="G509" s="135">
        <v>25</v>
      </c>
      <c r="H509" s="135">
        <f t="shared" si="812"/>
        <v>279</v>
      </c>
      <c r="I509" s="135">
        <v>148.1</v>
      </c>
      <c r="J509" s="135"/>
      <c r="K509" s="300">
        <f t="shared" si="813"/>
        <v>148.1</v>
      </c>
      <c r="L509" s="309"/>
      <c r="M509" s="5"/>
      <c r="N509" s="41"/>
      <c r="O509" s="6"/>
      <c r="P509" s="7"/>
      <c r="Q509" s="7"/>
      <c r="R509" s="7"/>
      <c r="S509" s="7"/>
      <c r="T509" s="89"/>
      <c r="U509" s="89"/>
      <c r="V509" s="89">
        <f t="shared" si="663"/>
        <v>0</v>
      </c>
      <c r="W509" s="137"/>
      <c r="X509" s="137"/>
      <c r="Y509" s="90">
        <f t="shared" si="764"/>
        <v>0</v>
      </c>
      <c r="Z509" s="91"/>
      <c r="AA509" s="92"/>
      <c r="AB509" s="92"/>
      <c r="AC509" s="92">
        <f t="shared" si="721"/>
        <v>0</v>
      </c>
      <c r="AD509" s="93"/>
      <c r="AE509" s="93"/>
      <c r="AF509" s="94">
        <f t="shared" si="722"/>
        <v>0</v>
      </c>
      <c r="AG509" s="473"/>
      <c r="AH509" s="99">
        <f>100+245+150</f>
        <v>495</v>
      </c>
      <c r="AI509" s="99">
        <f t="shared" si="770"/>
        <v>33</v>
      </c>
      <c r="AJ509" s="138"/>
      <c r="AK509" s="138">
        <f t="shared" si="814"/>
        <v>0</v>
      </c>
      <c r="AL509" s="106"/>
      <c r="AM509" s="105"/>
      <c r="AN509" s="105">
        <f t="shared" si="815"/>
        <v>0</v>
      </c>
      <c r="AO509" s="106"/>
      <c r="AP509" s="105"/>
      <c r="AQ509" s="105">
        <f t="shared" si="823"/>
        <v>0</v>
      </c>
      <c r="AR509" s="106"/>
      <c r="AS509" s="97">
        <f t="shared" si="786"/>
        <v>0</v>
      </c>
      <c r="AT509" s="6"/>
      <c r="AU509" s="105">
        <v>305</v>
      </c>
      <c r="AV509" s="455">
        <f t="shared" si="808"/>
        <v>20.333333333333332</v>
      </c>
      <c r="AW509" s="496"/>
      <c r="AX509" s="508"/>
      <c r="AY509" s="498"/>
      <c r="AZ509" s="100">
        <f t="shared" si="816"/>
        <v>0</v>
      </c>
      <c r="BA509" s="101"/>
      <c r="BB509" s="100">
        <v>55</v>
      </c>
      <c r="BC509" s="100">
        <f t="shared" si="817"/>
        <v>3.6666666666666665</v>
      </c>
      <c r="BD509" s="101"/>
      <c r="BE509" s="105">
        <f t="shared" si="821"/>
        <v>0</v>
      </c>
      <c r="BF509" s="106"/>
      <c r="BG509" s="100">
        <f t="shared" si="810"/>
        <v>3.6666666666666665</v>
      </c>
      <c r="BH509" s="106"/>
      <c r="BI509" s="100">
        <f t="shared" si="811"/>
        <v>20.333333333333332</v>
      </c>
      <c r="BJ509" s="106"/>
      <c r="BK509" s="101">
        <f t="shared" si="787"/>
        <v>24</v>
      </c>
      <c r="BL509" s="106"/>
      <c r="BM509" s="104">
        <f>510+1250+740</f>
        <v>2500</v>
      </c>
      <c r="BN509" s="104">
        <f t="shared" si="767"/>
        <v>50</v>
      </c>
      <c r="BO509" s="105"/>
      <c r="BP509" s="105">
        <f t="shared" si="809"/>
        <v>0</v>
      </c>
      <c r="BQ509" s="106"/>
      <c r="BR509" s="105">
        <f>150+1000</f>
        <v>1150</v>
      </c>
      <c r="BS509" s="105">
        <f>BR509/50</f>
        <v>23</v>
      </c>
      <c r="BT509" s="106"/>
      <c r="BU509" s="53"/>
      <c r="BV509" s="53">
        <f>BU509/50</f>
        <v>0</v>
      </c>
      <c r="BW509" s="54"/>
      <c r="BX509" s="350">
        <f t="shared" si="782"/>
        <v>23</v>
      </c>
      <c r="BY509" s="6"/>
      <c r="BZ509" s="6">
        <f t="shared" si="822"/>
        <v>1</v>
      </c>
      <c r="CA509" s="508"/>
      <c r="CB509" s="7"/>
      <c r="CC509" s="7"/>
      <c r="CD509" s="7"/>
      <c r="CE509" s="504"/>
      <c r="CF509" s="105"/>
      <c r="CG509" s="105">
        <f t="shared" si="791"/>
        <v>0</v>
      </c>
      <c r="CH509" s="105"/>
      <c r="CI509" s="105"/>
      <c r="CJ509" s="105">
        <f t="shared" si="792"/>
        <v>0</v>
      </c>
      <c r="CK509" s="523"/>
      <c r="CL509" s="102">
        <f t="shared" si="820"/>
        <v>0</v>
      </c>
      <c r="CM509" s="103"/>
      <c r="CN509" s="100"/>
      <c r="CO509" s="100">
        <f t="shared" si="807"/>
        <v>0</v>
      </c>
      <c r="CP509" s="515"/>
      <c r="CQ509" s="441"/>
      <c r="CR509" s="504"/>
      <c r="CS509" s="105"/>
      <c r="CT509" s="105">
        <f t="shared" si="797"/>
        <v>0</v>
      </c>
      <c r="CU509" s="105"/>
      <c r="CV509" s="105"/>
      <c r="CW509" s="105">
        <f t="shared" si="798"/>
        <v>0</v>
      </c>
      <c r="CX509" s="53"/>
      <c r="CY509" s="109">
        <f t="shared" si="803"/>
        <v>0</v>
      </c>
      <c r="CZ509" s="54"/>
      <c r="DA509" s="105"/>
      <c r="DB509" s="455">
        <f t="shared" si="790"/>
        <v>0</v>
      </c>
      <c r="DC509" s="495"/>
      <c r="DD509" s="24"/>
      <c r="DF509" s="1133"/>
      <c r="DG509" s="674">
        <f t="shared" si="800"/>
        <v>20.333333333333332</v>
      </c>
      <c r="DH509" s="1119">
        <f t="shared" si="801"/>
        <v>3.6666666666666665</v>
      </c>
      <c r="DI509" s="1119"/>
      <c r="DJ509" s="101">
        <f t="shared" si="796"/>
        <v>24</v>
      </c>
      <c r="DK509" s="101"/>
      <c r="DL509" s="101">
        <f t="shared" si="802"/>
        <v>0</v>
      </c>
      <c r="DM509" s="101"/>
      <c r="DN509" s="112"/>
      <c r="DO509" s="112">
        <f>DJ509</f>
        <v>24</v>
      </c>
      <c r="DP509" s="112"/>
      <c r="DQ509" s="112"/>
      <c r="DS509" s="140"/>
      <c r="DT509" s="140"/>
      <c r="DU509" s="140"/>
      <c r="DV509" s="140"/>
      <c r="DW509" s="140"/>
      <c r="DX509" s="140"/>
      <c r="DY509" s="140"/>
      <c r="DZ509" s="140"/>
    </row>
    <row r="510" spans="1:130" s="139" customFormat="1" ht="21.6" customHeight="1" x14ac:dyDescent="0.25">
      <c r="A510" s="4" t="s">
        <v>130</v>
      </c>
      <c r="B510" s="4">
        <v>4</v>
      </c>
      <c r="C510" s="153" t="s">
        <v>256</v>
      </c>
      <c r="D510" s="182" t="s">
        <v>437</v>
      </c>
      <c r="E510" s="13" t="s">
        <v>260</v>
      </c>
      <c r="F510" s="135">
        <v>388</v>
      </c>
      <c r="G510" s="135">
        <v>109</v>
      </c>
      <c r="H510" s="135">
        <f t="shared" si="812"/>
        <v>497</v>
      </c>
      <c r="I510" s="135">
        <v>120</v>
      </c>
      <c r="J510" s="135"/>
      <c r="K510" s="300">
        <f t="shared" si="813"/>
        <v>120</v>
      </c>
      <c r="L510" s="309"/>
      <c r="M510" s="5"/>
      <c r="N510" s="41"/>
      <c r="O510" s="6"/>
      <c r="P510" s="7"/>
      <c r="Q510" s="7"/>
      <c r="R510" s="7"/>
      <c r="S510" s="7"/>
      <c r="T510" s="89"/>
      <c r="U510" s="89"/>
      <c r="V510" s="89">
        <f t="shared" si="663"/>
        <v>0</v>
      </c>
      <c r="W510" s="137"/>
      <c r="X510" s="137"/>
      <c r="Y510" s="90">
        <f t="shared" si="764"/>
        <v>0</v>
      </c>
      <c r="Z510" s="91"/>
      <c r="AA510" s="92"/>
      <c r="AB510" s="92"/>
      <c r="AC510" s="92">
        <f t="shared" si="721"/>
        <v>0</v>
      </c>
      <c r="AD510" s="93"/>
      <c r="AE510" s="93"/>
      <c r="AF510" s="94">
        <f t="shared" si="722"/>
        <v>0</v>
      </c>
      <c r="AG510" s="473"/>
      <c r="AH510" s="99">
        <v>390</v>
      </c>
      <c r="AI510" s="99">
        <f t="shared" si="770"/>
        <v>26</v>
      </c>
      <c r="AJ510" s="138">
        <v>390</v>
      </c>
      <c r="AK510" s="138">
        <f>AJ510/15</f>
        <v>26</v>
      </c>
      <c r="AL510" s="106"/>
      <c r="AM510" s="105"/>
      <c r="AN510" s="105">
        <f t="shared" si="815"/>
        <v>0</v>
      </c>
      <c r="AO510" s="106"/>
      <c r="AP510" s="105"/>
      <c r="AQ510" s="105">
        <f t="shared" si="823"/>
        <v>0</v>
      </c>
      <c r="AR510" s="106"/>
      <c r="AS510" s="97">
        <f t="shared" si="786"/>
        <v>26</v>
      </c>
      <c r="AT510" s="6"/>
      <c r="AU510" s="105"/>
      <c r="AV510" s="455">
        <f t="shared" si="808"/>
        <v>0</v>
      </c>
      <c r="AW510" s="496"/>
      <c r="AX510" s="508"/>
      <c r="AY510" s="498">
        <f>110-25</f>
        <v>85</v>
      </c>
      <c r="AZ510" s="100">
        <f t="shared" si="816"/>
        <v>5.666666666666667</v>
      </c>
      <c r="BA510" s="101"/>
      <c r="BB510" s="100"/>
      <c r="BC510" s="100">
        <f t="shared" si="817"/>
        <v>0</v>
      </c>
      <c r="BD510" s="101"/>
      <c r="BE510" s="105">
        <f>AK510+AZ510</f>
        <v>31.666666666666668</v>
      </c>
      <c r="BF510" s="106"/>
      <c r="BG510" s="100">
        <f t="shared" si="810"/>
        <v>0</v>
      </c>
      <c r="BH510" s="106"/>
      <c r="BI510" s="100">
        <f t="shared" si="811"/>
        <v>0</v>
      </c>
      <c r="BJ510" s="106"/>
      <c r="BK510" s="101">
        <f t="shared" si="787"/>
        <v>31.666666666666668</v>
      </c>
      <c r="BL510" s="106"/>
      <c r="BM510" s="104">
        <v>2049</v>
      </c>
      <c r="BN510" s="104">
        <f t="shared" si="767"/>
        <v>40.98</v>
      </c>
      <c r="BO510" s="105"/>
      <c r="BP510" s="105">
        <f t="shared" si="809"/>
        <v>0</v>
      </c>
      <c r="BQ510" s="106"/>
      <c r="BR510" s="105">
        <f>600+150</f>
        <v>750</v>
      </c>
      <c r="BS510" s="105">
        <f t="shared" si="818"/>
        <v>15</v>
      </c>
      <c r="BT510" s="106"/>
      <c r="BU510" s="53">
        <v>300</v>
      </c>
      <c r="BV510" s="53">
        <f t="shared" ref="BV510:BV512" si="824">BU510/50</f>
        <v>6</v>
      </c>
      <c r="BW510" s="54"/>
      <c r="BX510" s="350">
        <f>BP510+BS510+BV510</f>
        <v>21</v>
      </c>
      <c r="BY510" s="6"/>
      <c r="BZ510" s="6">
        <f t="shared" si="822"/>
        <v>10.666666666666668</v>
      </c>
      <c r="CA510" s="508"/>
      <c r="CB510" s="7"/>
      <c r="CC510" s="7"/>
      <c r="CD510" s="7"/>
      <c r="CE510" s="504"/>
      <c r="CF510" s="105"/>
      <c r="CG510" s="105">
        <f t="shared" si="791"/>
        <v>0</v>
      </c>
      <c r="CH510" s="105"/>
      <c r="CI510" s="105"/>
      <c r="CJ510" s="105">
        <f t="shared" si="792"/>
        <v>0</v>
      </c>
      <c r="CK510" s="523"/>
      <c r="CL510" s="102">
        <f t="shared" si="820"/>
        <v>0</v>
      </c>
      <c r="CM510" s="103"/>
      <c r="CN510" s="100"/>
      <c r="CO510" s="100">
        <f t="shared" si="807"/>
        <v>0</v>
      </c>
      <c r="CP510" s="515"/>
      <c r="CQ510" s="441"/>
      <c r="CR510" s="504"/>
      <c r="CS510" s="105"/>
      <c r="CT510" s="105">
        <f t="shared" si="797"/>
        <v>0</v>
      </c>
      <c r="CU510" s="105"/>
      <c r="CV510" s="105"/>
      <c r="CW510" s="105">
        <f t="shared" si="798"/>
        <v>0</v>
      </c>
      <c r="CX510" s="53"/>
      <c r="CY510" s="109">
        <f t="shared" si="803"/>
        <v>0</v>
      </c>
      <c r="CZ510" s="54"/>
      <c r="DA510" s="105"/>
      <c r="DB510" s="455">
        <f t="shared" si="790"/>
        <v>0</v>
      </c>
      <c r="DC510" s="495"/>
      <c r="DD510" s="24"/>
      <c r="DF510" s="1133"/>
      <c r="DG510" s="674">
        <f t="shared" si="800"/>
        <v>0</v>
      </c>
      <c r="DH510" s="1119">
        <f t="shared" si="801"/>
        <v>0</v>
      </c>
      <c r="DI510" s="1119"/>
      <c r="DJ510" s="101">
        <f t="shared" si="796"/>
        <v>31.666666666666668</v>
      </c>
      <c r="DK510" s="101"/>
      <c r="DL510" s="101">
        <f t="shared" si="802"/>
        <v>0</v>
      </c>
      <c r="DM510" s="101"/>
      <c r="DN510" s="112"/>
      <c r="DO510" s="112">
        <f>DJ510</f>
        <v>31.666666666666668</v>
      </c>
      <c r="DP510" s="112"/>
      <c r="DQ510" s="112"/>
      <c r="DS510" s="140"/>
      <c r="DT510" s="140"/>
      <c r="DU510" s="140"/>
      <c r="DV510" s="140"/>
      <c r="DW510" s="140"/>
      <c r="DX510" s="140"/>
      <c r="DY510" s="140"/>
      <c r="DZ510" s="140"/>
    </row>
    <row r="511" spans="1:130" s="139" customFormat="1" ht="21.6" customHeight="1" x14ac:dyDescent="0.25">
      <c r="A511" s="686" t="s">
        <v>130</v>
      </c>
      <c r="B511" s="686">
        <v>5</v>
      </c>
      <c r="C511" s="687" t="s">
        <v>256</v>
      </c>
      <c r="D511" s="688" t="s">
        <v>437</v>
      </c>
      <c r="E511" s="689" t="s">
        <v>261</v>
      </c>
      <c r="F511" s="690">
        <v>50</v>
      </c>
      <c r="G511" s="690">
        <v>10</v>
      </c>
      <c r="H511" s="690">
        <f t="shared" si="812"/>
        <v>60</v>
      </c>
      <c r="I511" s="690">
        <v>28.6</v>
      </c>
      <c r="J511" s="690"/>
      <c r="K511" s="691">
        <f t="shared" si="813"/>
        <v>28.6</v>
      </c>
      <c r="L511" s="692"/>
      <c r="M511" s="693"/>
      <c r="N511" s="694"/>
      <c r="O511" s="695"/>
      <c r="P511" s="696"/>
      <c r="Q511" s="696"/>
      <c r="R511" s="696"/>
      <c r="S511" s="696"/>
      <c r="T511" s="423"/>
      <c r="U511" s="423"/>
      <c r="V511" s="423">
        <f t="shared" si="663"/>
        <v>0</v>
      </c>
      <c r="W511" s="424"/>
      <c r="X511" s="424"/>
      <c r="Y511" s="425">
        <f t="shared" si="764"/>
        <v>0</v>
      </c>
      <c r="Z511" s="697"/>
      <c r="AA511" s="427"/>
      <c r="AB511" s="427"/>
      <c r="AC511" s="427">
        <f t="shared" si="721"/>
        <v>0</v>
      </c>
      <c r="AD511" s="428"/>
      <c r="AE511" s="428"/>
      <c r="AF511" s="429">
        <f t="shared" si="722"/>
        <v>0</v>
      </c>
      <c r="AG511" s="473"/>
      <c r="AH511" s="430">
        <v>90</v>
      </c>
      <c r="AI511" s="430">
        <f t="shared" si="770"/>
        <v>6</v>
      </c>
      <c r="AJ511" s="698"/>
      <c r="AK511" s="698">
        <f>AJ511/15</f>
        <v>0</v>
      </c>
      <c r="AL511" s="432"/>
      <c r="AM511" s="436">
        <v>75</v>
      </c>
      <c r="AN511" s="436">
        <f t="shared" si="815"/>
        <v>5</v>
      </c>
      <c r="AO511" s="432"/>
      <c r="AP511" s="436">
        <v>15</v>
      </c>
      <c r="AQ511" s="436">
        <f>AP511/15</f>
        <v>1</v>
      </c>
      <c r="AR511" s="432"/>
      <c r="AS511" s="699">
        <f t="shared" si="786"/>
        <v>6</v>
      </c>
      <c r="AT511" s="695"/>
      <c r="AU511" s="436"/>
      <c r="AV511" s="492">
        <f t="shared" si="808"/>
        <v>0</v>
      </c>
      <c r="AW511" s="516"/>
      <c r="AX511" s="508"/>
      <c r="AY511" s="501">
        <v>45</v>
      </c>
      <c r="AZ511" s="431">
        <f t="shared" si="816"/>
        <v>3</v>
      </c>
      <c r="BA511" s="700"/>
      <c r="BB511" s="431"/>
      <c r="BC511" s="431">
        <f>BB511/15</f>
        <v>0</v>
      </c>
      <c r="BD511" s="700"/>
      <c r="BE511" s="436">
        <f t="shared" si="821"/>
        <v>3</v>
      </c>
      <c r="BF511" s="432"/>
      <c r="BG511" s="431">
        <f t="shared" si="810"/>
        <v>6</v>
      </c>
      <c r="BH511" s="432"/>
      <c r="BI511" s="431">
        <f t="shared" si="811"/>
        <v>0</v>
      </c>
      <c r="BJ511" s="432"/>
      <c r="BK511" s="700">
        <f t="shared" si="787"/>
        <v>9</v>
      </c>
      <c r="BL511" s="432"/>
      <c r="BM511" s="435">
        <v>450</v>
      </c>
      <c r="BN511" s="435">
        <f t="shared" si="767"/>
        <v>9</v>
      </c>
      <c r="BO511" s="436"/>
      <c r="BP511" s="436">
        <f t="shared" si="809"/>
        <v>0</v>
      </c>
      <c r="BQ511" s="432"/>
      <c r="BR511" s="436">
        <f>200+150+50</f>
        <v>400</v>
      </c>
      <c r="BS511" s="436">
        <f t="shared" si="818"/>
        <v>8</v>
      </c>
      <c r="BT511" s="432"/>
      <c r="BU511" s="433"/>
      <c r="BV511" s="433">
        <f t="shared" si="824"/>
        <v>0</v>
      </c>
      <c r="BW511" s="434"/>
      <c r="BX511" s="701">
        <f t="shared" si="782"/>
        <v>8</v>
      </c>
      <c r="BY511" s="695"/>
      <c r="BZ511" s="695">
        <f t="shared" si="822"/>
        <v>1</v>
      </c>
      <c r="CA511" s="508"/>
      <c r="CB511" s="696"/>
      <c r="CC511" s="696"/>
      <c r="CD511" s="696"/>
      <c r="CE511" s="545">
        <v>1</v>
      </c>
      <c r="CF511" s="436">
        <v>2</v>
      </c>
      <c r="CG511" s="436">
        <f t="shared" si="791"/>
        <v>3</v>
      </c>
      <c r="CH511" s="436">
        <v>1</v>
      </c>
      <c r="CI511" s="436"/>
      <c r="CJ511" s="436">
        <f t="shared" si="792"/>
        <v>1</v>
      </c>
      <c r="CK511" s="702"/>
      <c r="CL511" s="703">
        <f t="shared" si="820"/>
        <v>0</v>
      </c>
      <c r="CM511" s="704"/>
      <c r="CN511" s="431"/>
      <c r="CO511" s="431">
        <f t="shared" si="807"/>
        <v>0</v>
      </c>
      <c r="CP511" s="705"/>
      <c r="CQ511" s="441"/>
      <c r="CR511" s="545">
        <v>1</v>
      </c>
      <c r="CS511" s="436">
        <v>2</v>
      </c>
      <c r="CT511" s="436">
        <f t="shared" si="797"/>
        <v>3</v>
      </c>
      <c r="CU511" s="436">
        <v>1</v>
      </c>
      <c r="CV511" s="436"/>
      <c r="CW511" s="436">
        <f t="shared" si="798"/>
        <v>1</v>
      </c>
      <c r="CX511" s="433"/>
      <c r="CY511" s="440">
        <f t="shared" si="803"/>
        <v>0</v>
      </c>
      <c r="CZ511" s="434"/>
      <c r="DA511" s="436"/>
      <c r="DB511" s="492">
        <f t="shared" si="790"/>
        <v>0</v>
      </c>
      <c r="DC511" s="1121"/>
      <c r="DD511" s="707"/>
      <c r="DF511" s="1136"/>
      <c r="DG511" s="706">
        <f t="shared" si="800"/>
        <v>0</v>
      </c>
      <c r="DH511" s="1120">
        <f t="shared" si="801"/>
        <v>0</v>
      </c>
      <c r="DI511" s="1120"/>
      <c r="DJ511" s="101">
        <f t="shared" si="796"/>
        <v>9</v>
      </c>
      <c r="DK511" s="101"/>
      <c r="DL511" s="101">
        <f t="shared" si="802"/>
        <v>6</v>
      </c>
      <c r="DM511" s="101"/>
      <c r="DN511" s="112"/>
      <c r="DO511" s="112">
        <f>DJ511</f>
        <v>9</v>
      </c>
      <c r="DP511" s="112"/>
      <c r="DQ511" s="112"/>
      <c r="DS511" s="140"/>
      <c r="DT511" s="140"/>
      <c r="DU511" s="140"/>
      <c r="DV511" s="140"/>
      <c r="DW511" s="140"/>
      <c r="DX511" s="140"/>
      <c r="DY511" s="140"/>
      <c r="DZ511" s="140"/>
    </row>
    <row r="512" spans="1:130" ht="21.6" customHeight="1" x14ac:dyDescent="0.25">
      <c r="A512" s="135"/>
      <c r="B512" s="135"/>
      <c r="C512" s="153" t="s">
        <v>256</v>
      </c>
      <c r="D512" s="182" t="s">
        <v>431</v>
      </c>
      <c r="E512" s="13" t="s">
        <v>755</v>
      </c>
      <c r="F512" s="162"/>
      <c r="G512" s="162"/>
      <c r="H512" s="162"/>
      <c r="I512" s="162"/>
      <c r="J512" s="162"/>
      <c r="K512" s="162"/>
      <c r="L512" s="162"/>
      <c r="M512" s="166"/>
      <c r="N512" s="165"/>
      <c r="O512" s="463"/>
      <c r="P512" s="708"/>
      <c r="Q512" s="708"/>
      <c r="R512" s="708"/>
      <c r="S512" s="708"/>
      <c r="T512" s="462"/>
      <c r="U512" s="462"/>
      <c r="V512" s="462"/>
      <c r="W512" s="461"/>
      <c r="X512" s="461"/>
      <c r="Y512" s="99"/>
      <c r="Z512" s="463"/>
      <c r="AA512" s="394"/>
      <c r="AB512" s="394"/>
      <c r="AC512" s="427">
        <f t="shared" si="721"/>
        <v>0</v>
      </c>
      <c r="AD512" s="138"/>
      <c r="AE512" s="138"/>
      <c r="AF512" s="429">
        <f t="shared" si="722"/>
        <v>0</v>
      </c>
      <c r="AG512" s="463"/>
      <c r="AH512" s="99"/>
      <c r="AI512" s="99"/>
      <c r="AJ512" s="138"/>
      <c r="AK512" s="698">
        <f>AJ512/15</f>
        <v>0</v>
      </c>
      <c r="AL512" s="106"/>
      <c r="AM512" s="105"/>
      <c r="AN512" s="436">
        <f t="shared" si="815"/>
        <v>0</v>
      </c>
      <c r="AO512" s="106"/>
      <c r="AP512" s="105"/>
      <c r="AQ512" s="436">
        <f>AP512/15</f>
        <v>0</v>
      </c>
      <c r="AR512" s="106"/>
      <c r="AS512" s="52"/>
      <c r="AT512" s="6"/>
      <c r="AU512" s="105"/>
      <c r="AV512" s="105"/>
      <c r="AW512" s="106"/>
      <c r="AX512" s="52"/>
      <c r="AY512" s="138">
        <v>100</v>
      </c>
      <c r="AZ512" s="138">
        <f t="shared" si="816"/>
        <v>6.666666666666667</v>
      </c>
      <c r="BA512" s="106"/>
      <c r="BB512" s="105"/>
      <c r="BC512" s="431">
        <f>BB512/15</f>
        <v>0</v>
      </c>
      <c r="BD512" s="106"/>
      <c r="BE512" s="138">
        <f t="shared" si="821"/>
        <v>6.666666666666667</v>
      </c>
      <c r="BF512" s="106"/>
      <c r="BG512" s="105"/>
      <c r="BH512" s="106"/>
      <c r="BI512" s="105"/>
      <c r="BJ512" s="106"/>
      <c r="BK512" s="700">
        <f t="shared" si="787"/>
        <v>6.666666666666667</v>
      </c>
      <c r="BL512" s="106"/>
      <c r="BM512" s="99"/>
      <c r="BN512" s="435">
        <f t="shared" si="767"/>
        <v>0</v>
      </c>
      <c r="BO512" s="138"/>
      <c r="BP512" s="138"/>
      <c r="BQ512" s="106"/>
      <c r="BR512" s="105">
        <v>300</v>
      </c>
      <c r="BS512" s="436">
        <f t="shared" si="818"/>
        <v>6</v>
      </c>
      <c r="BT512" s="106"/>
      <c r="BU512" s="53"/>
      <c r="BV512" s="433">
        <f t="shared" si="824"/>
        <v>0</v>
      </c>
      <c r="BW512" s="54"/>
      <c r="BX512" s="701">
        <f>BP512+BS512+BV512</f>
        <v>6</v>
      </c>
      <c r="BY512" s="6"/>
      <c r="BZ512" s="695">
        <f t="shared" si="822"/>
        <v>0.66666666666666696</v>
      </c>
      <c r="CA512" s="52"/>
      <c r="CB512" s="708"/>
      <c r="CC512" s="708"/>
      <c r="CD512" s="708"/>
      <c r="CE512" s="105"/>
      <c r="CF512" s="105"/>
      <c r="CG512" s="105"/>
      <c r="CH512" s="105"/>
      <c r="CI512" s="105"/>
      <c r="CJ512" s="105"/>
      <c r="CK512" s="54"/>
      <c r="CL512" s="54"/>
      <c r="CM512" s="54"/>
      <c r="CN512" s="105"/>
      <c r="CO512" s="105"/>
      <c r="CP512" s="106"/>
      <c r="CQ512" s="6"/>
      <c r="CR512" s="105"/>
      <c r="CS512" s="105"/>
      <c r="CT512" s="105"/>
      <c r="CU512" s="105"/>
      <c r="CV512" s="105"/>
      <c r="CW512" s="105"/>
      <c r="CX512" s="53"/>
      <c r="CY512" s="53"/>
      <c r="CZ512" s="54"/>
      <c r="DA512" s="105"/>
      <c r="DB512" s="105"/>
      <c r="DC512" s="496"/>
      <c r="DD512" s="709"/>
      <c r="DF512" s="1138"/>
      <c r="DG512" s="706">
        <f t="shared" si="800"/>
        <v>0</v>
      </c>
      <c r="DH512" s="1120">
        <f t="shared" si="801"/>
        <v>0</v>
      </c>
      <c r="DI512" s="1120"/>
      <c r="DJ512" s="101">
        <f t="shared" si="796"/>
        <v>6.666666666666667</v>
      </c>
      <c r="DK512" s="106"/>
      <c r="DL512" s="106">
        <f t="shared" si="802"/>
        <v>0</v>
      </c>
      <c r="DM512" s="106"/>
      <c r="DN512" s="1122"/>
      <c r="DO512" s="695"/>
      <c r="DP512" s="695"/>
      <c r="DQ512" s="695"/>
    </row>
    <row r="513" spans="3:3" ht="31.9" customHeight="1" x14ac:dyDescent="0.25">
      <c r="C513" s="44" t="s">
        <v>635</v>
      </c>
    </row>
  </sheetData>
  <sortState ref="A177:GM181">
    <sortCondition ref="E177:E181"/>
  </sortState>
  <mergeCells count="112">
    <mergeCell ref="DK4:DK5"/>
    <mergeCell ref="DJ4:DJ5"/>
    <mergeCell ref="DJ2:DM3"/>
    <mergeCell ref="CE3:CP3"/>
    <mergeCell ref="BE2:BL2"/>
    <mergeCell ref="DN3:DN5"/>
    <mergeCell ref="DO3:DO5"/>
    <mergeCell ref="DP3:DP5"/>
    <mergeCell ref="BG4:BH4"/>
    <mergeCell ref="BK4:BL4"/>
    <mergeCell ref="CS5:CS6"/>
    <mergeCell ref="CT5:CT6"/>
    <mergeCell ref="CU5:CU6"/>
    <mergeCell ref="CC5:CC6"/>
    <mergeCell ref="CB5:CB6"/>
    <mergeCell ref="BI4:BJ4"/>
    <mergeCell ref="BO4:BQ4"/>
    <mergeCell ref="CD5:CD6"/>
    <mergeCell ref="CE4:CG4"/>
    <mergeCell ref="CH4:CJ4"/>
    <mergeCell ref="CE5:CE6"/>
    <mergeCell ref="CF5:CF6"/>
    <mergeCell ref="CG5:CG6"/>
    <mergeCell ref="CH5:CH6"/>
    <mergeCell ref="AH2:AW2"/>
    <mergeCell ref="AU3:AW3"/>
    <mergeCell ref="AM4:AR4"/>
    <mergeCell ref="AP5:AR5"/>
    <mergeCell ref="AY3:BA3"/>
    <mergeCell ref="AH3:AT3"/>
    <mergeCell ref="AM5:AN5"/>
    <mergeCell ref="AJ5:AK5"/>
    <mergeCell ref="AY5:AZ5"/>
    <mergeCell ref="AY2:BD2"/>
    <mergeCell ref="AU4:AW4"/>
    <mergeCell ref="AJ4:AL4"/>
    <mergeCell ref="BB3:BD3"/>
    <mergeCell ref="AH4:AI5"/>
    <mergeCell ref="AU5:AV5"/>
    <mergeCell ref="BB5:BC5"/>
    <mergeCell ref="T5:T6"/>
    <mergeCell ref="U5:U6"/>
    <mergeCell ref="V5:V6"/>
    <mergeCell ref="W5:W6"/>
    <mergeCell ref="CR4:CT4"/>
    <mergeCell ref="CR5:CR6"/>
    <mergeCell ref="AE5:AE6"/>
    <mergeCell ref="AF5:AF6"/>
    <mergeCell ref="BM5:BN5"/>
    <mergeCell ref="BO5:BP5"/>
    <mergeCell ref="X5:X6"/>
    <mergeCell ref="Y5:Y6"/>
    <mergeCell ref="AA5:AA6"/>
    <mergeCell ref="AB5:AB6"/>
    <mergeCell ref="AC5:AC6"/>
    <mergeCell ref="AD5:AD6"/>
    <mergeCell ref="AS4:AS5"/>
    <mergeCell ref="AT4:AT5"/>
    <mergeCell ref="AY4:BA4"/>
    <mergeCell ref="BB4:BD4"/>
    <mergeCell ref="BR4:BT4"/>
    <mergeCell ref="BE4:BF4"/>
    <mergeCell ref="CI5:CI6"/>
    <mergeCell ref="CJ5:CJ6"/>
    <mergeCell ref="DS2:DU2"/>
    <mergeCell ref="BE3:BL3"/>
    <mergeCell ref="DD2:DD4"/>
    <mergeCell ref="CK4:CM4"/>
    <mergeCell ref="CN4:CP4"/>
    <mergeCell ref="CB2:DC2"/>
    <mergeCell ref="CR3:DC3"/>
    <mergeCell ref="CX4:DC4"/>
    <mergeCell ref="BM2:BZ2"/>
    <mergeCell ref="BU4:BW4"/>
    <mergeCell ref="BX4:BX5"/>
    <mergeCell ref="BY4:BY5"/>
    <mergeCell ref="BZ4:BZ6"/>
    <mergeCell ref="BR5:BS5"/>
    <mergeCell ref="BU5:BV5"/>
    <mergeCell ref="CU4:CW4"/>
    <mergeCell ref="CX5:CZ5"/>
    <mergeCell ref="DA5:DC5"/>
    <mergeCell ref="CV5:CV6"/>
    <mergeCell ref="CW5:CW6"/>
    <mergeCell ref="DL4:DL5"/>
    <mergeCell ref="DM4:DM5"/>
    <mergeCell ref="DG3:DG5"/>
    <mergeCell ref="CB3:CD4"/>
    <mergeCell ref="DH3:DH5"/>
    <mergeCell ref="DG2:DH2"/>
    <mergeCell ref="D2:D4"/>
    <mergeCell ref="E2:E4"/>
    <mergeCell ref="F2:F4"/>
    <mergeCell ref="G2:G4"/>
    <mergeCell ref="H2:H4"/>
    <mergeCell ref="I2:J2"/>
    <mergeCell ref="K2:K4"/>
    <mergeCell ref="M2:M4"/>
    <mergeCell ref="N2:N4"/>
    <mergeCell ref="O2:O4"/>
    <mergeCell ref="P2:S4"/>
    <mergeCell ref="T2:Y3"/>
    <mergeCell ref="AA2:AF3"/>
    <mergeCell ref="T4:V4"/>
    <mergeCell ref="W4:Y4"/>
    <mergeCell ref="AA4:AC4"/>
    <mergeCell ref="AD4:AF4"/>
    <mergeCell ref="P5:P6"/>
    <mergeCell ref="Q5:Q6"/>
    <mergeCell ref="DE2:DE4"/>
    <mergeCell ref="R5:R6"/>
    <mergeCell ref="S5:S6"/>
  </mergeCells>
  <pageMargins left="0.5" right="0.25" top="0.5" bottom="0.25" header="0.3" footer="0.3"/>
  <pageSetup paperSize="14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V118"/>
  <sheetViews>
    <sheetView tabSelected="1" topLeftCell="D1" zoomScaleNormal="100" workbookViewId="0">
      <pane xSplit="3" ySplit="7" topLeftCell="G8" activePane="bottomRight" state="frozen"/>
      <selection activeCell="D1" sqref="D1"/>
      <selection pane="topRight" activeCell="N1" sqref="N1"/>
      <selection pane="bottomLeft" activeCell="D8" sqref="D8"/>
      <selection pane="bottomRight" activeCell="E12" sqref="A12:E17"/>
    </sheetView>
  </sheetViews>
  <sheetFormatPr defaultColWidth="8.85546875" defaultRowHeight="15" x14ac:dyDescent="0.25"/>
  <cols>
    <col min="1" max="1" width="3.7109375" style="1017" customWidth="1"/>
    <col min="2" max="3" width="2.85546875" style="1017" hidden="1" customWidth="1"/>
    <col min="4" max="4" width="15.5703125" style="1017" customWidth="1"/>
    <col min="5" max="5" width="27" style="618" customWidth="1"/>
    <col min="6" max="6" width="1.7109375" style="1076" customWidth="1"/>
    <col min="7" max="7" width="7.42578125" style="1076" customWidth="1"/>
    <col min="8" max="8" width="7.42578125" style="1077" customWidth="1"/>
    <col min="9" max="9" width="9.42578125" style="1078" customWidth="1"/>
    <col min="10" max="10" width="12.140625" style="1262" customWidth="1"/>
    <col min="11" max="12" width="8.85546875" style="1235" customWidth="1"/>
    <col min="13" max="13" width="7.42578125" style="1235" customWidth="1"/>
    <col min="14" max="14" width="8.85546875" style="1017" customWidth="1"/>
    <col min="15" max="15" width="10.42578125" style="1017" customWidth="1"/>
    <col min="16" max="16" width="8.140625" style="1017" customWidth="1"/>
    <col min="17" max="19" width="8.85546875" style="1082" customWidth="1"/>
    <col min="20" max="20" width="8.85546875" style="1017" customWidth="1"/>
    <col min="21" max="21" width="9.5703125" style="1017" customWidth="1"/>
    <col min="22" max="22" width="8.85546875" style="1083" customWidth="1"/>
    <col min="23" max="23" width="10" style="1038" customWidth="1"/>
    <col min="24" max="24" width="9.140625" style="1038" customWidth="1"/>
    <col min="25" max="25" width="8.85546875" style="1084" customWidth="1"/>
    <col min="26" max="26" width="9.7109375" style="1084" customWidth="1"/>
    <col min="27" max="27" width="7" style="1084" customWidth="1"/>
    <col min="28" max="28" width="8.85546875" style="1084" customWidth="1"/>
    <col min="29" max="29" width="10" style="1085" customWidth="1"/>
    <col min="30" max="30" width="7.140625" style="1085" customWidth="1"/>
    <col min="31" max="31" width="7.7109375" style="1085" customWidth="1"/>
    <col min="32" max="33" width="8.85546875" style="1084" customWidth="1"/>
    <col min="34" max="34" width="7.140625" style="1084" customWidth="1"/>
    <col min="35" max="35" width="9.5703125" style="1084" customWidth="1"/>
    <col min="36" max="36" width="9.28515625" style="1084" customWidth="1"/>
    <col min="37" max="37" width="7.7109375" style="1084" customWidth="1"/>
    <col min="38" max="41" width="6.85546875" style="1080" customWidth="1"/>
    <col min="42" max="42" width="9.5703125" style="1080" customWidth="1"/>
    <col min="43" max="49" width="6.85546875" style="1080" customWidth="1"/>
    <col min="50" max="50" width="8.28515625" style="1080" customWidth="1"/>
    <col min="51" max="51" width="6.85546875" style="1080" customWidth="1"/>
    <col min="52" max="52" width="6.28515625" style="1080" customWidth="1"/>
    <col min="53" max="53" width="8.7109375" style="1081" customWidth="1"/>
    <col min="54" max="54" width="38.42578125" style="1075" customWidth="1"/>
    <col min="55" max="55" width="25.5703125" style="1017" customWidth="1"/>
    <col min="56" max="56" width="11" style="1017" customWidth="1"/>
    <col min="57" max="57" width="8.85546875" style="1024"/>
    <col min="58" max="16384" width="8.85546875" style="1017"/>
  </cols>
  <sheetData>
    <row r="1" spans="1:58" ht="20.25" customHeight="1" x14ac:dyDescent="0.25">
      <c r="D1" s="1648"/>
      <c r="E1" s="1648"/>
      <c r="F1" s="1648"/>
      <c r="G1" s="1648"/>
      <c r="H1" s="1648"/>
      <c r="I1" s="1648"/>
      <c r="J1" s="1648"/>
      <c r="K1" s="1648"/>
      <c r="L1" s="1648"/>
      <c r="M1" s="1648"/>
      <c r="N1" s="1648"/>
      <c r="O1" s="1648"/>
      <c r="P1" s="1648"/>
      <c r="Q1" s="1648"/>
      <c r="R1" s="1648"/>
      <c r="S1" s="1648"/>
      <c r="T1" s="1648"/>
      <c r="U1" s="1648"/>
      <c r="V1" s="1648"/>
      <c r="W1" s="1648"/>
      <c r="X1" s="1648"/>
      <c r="Y1" s="1100"/>
      <c r="Z1" s="1100"/>
      <c r="AA1" s="1100"/>
      <c r="AB1" s="1100"/>
      <c r="AC1" s="1649"/>
      <c r="AD1" s="1649"/>
      <c r="AE1" s="1101"/>
      <c r="AF1" s="1018">
        <f>AF5-AF6</f>
        <v>0</v>
      </c>
      <c r="AG1" s="1019"/>
      <c r="AH1" s="1019"/>
      <c r="AI1" s="1019"/>
      <c r="AJ1" s="1019"/>
      <c r="AK1" s="1019"/>
      <c r="AL1" s="1020"/>
      <c r="AM1" s="1650" t="s">
        <v>790</v>
      </c>
      <c r="AN1" s="1650"/>
      <c r="AO1" s="1650"/>
      <c r="AP1" s="1650"/>
      <c r="AQ1" s="1650"/>
      <c r="AR1" s="1650"/>
      <c r="AS1" s="1650"/>
      <c r="AT1" s="1650"/>
      <c r="AU1" s="1650"/>
      <c r="AV1" s="1650"/>
      <c r="AW1" s="1650"/>
      <c r="AX1" s="1650"/>
      <c r="AY1" s="1020"/>
      <c r="AZ1" s="1021">
        <f>AZ6+AX6</f>
        <v>209</v>
      </c>
      <c r="BA1" s="1022"/>
      <c r="BB1" s="1023"/>
    </row>
    <row r="2" spans="1:58" ht="18" customHeight="1" x14ac:dyDescent="0.25">
      <c r="A2" s="1651" t="s">
        <v>3</v>
      </c>
      <c r="B2" s="1096"/>
      <c r="C2" s="1025"/>
      <c r="D2" s="1095"/>
      <c r="E2" s="1653" t="s">
        <v>4</v>
      </c>
      <c r="F2" s="1654"/>
      <c r="G2" s="1654" t="s">
        <v>266</v>
      </c>
      <c r="H2" s="1655" t="s">
        <v>272</v>
      </c>
      <c r="I2" s="1656" t="s">
        <v>670</v>
      </c>
      <c r="J2" s="1657" t="s">
        <v>305</v>
      </c>
      <c r="K2" s="1660" t="s">
        <v>720</v>
      </c>
      <c r="L2" s="1660"/>
      <c r="M2" s="1660"/>
      <c r="N2" s="1660"/>
      <c r="O2" s="1660"/>
      <c r="P2" s="1026"/>
      <c r="Q2" s="1661" t="s">
        <v>482</v>
      </c>
      <c r="R2" s="1661"/>
      <c r="S2" s="1661"/>
      <c r="T2" s="1661"/>
      <c r="U2" s="1661"/>
      <c r="V2" s="1661"/>
      <c r="W2" s="1662" t="s">
        <v>693</v>
      </c>
      <c r="X2" s="1662"/>
      <c r="Y2" s="1662"/>
      <c r="Z2" s="1662"/>
      <c r="AA2" s="1662"/>
      <c r="AB2" s="1662"/>
      <c r="AC2" s="1662"/>
      <c r="AD2" s="1662"/>
      <c r="AE2" s="1662"/>
      <c r="AF2" s="1662"/>
      <c r="AG2" s="1662"/>
      <c r="AH2" s="1662" t="s">
        <v>694</v>
      </c>
      <c r="AI2" s="1662"/>
      <c r="AJ2" s="1662"/>
      <c r="AK2" s="1662"/>
      <c r="AL2" s="1663" t="s">
        <v>791</v>
      </c>
      <c r="AM2" s="1678" t="s">
        <v>865</v>
      </c>
      <c r="AN2" s="1678"/>
      <c r="AO2" s="1678"/>
      <c r="AP2" s="1678"/>
      <c r="AQ2" s="1667" t="s">
        <v>623</v>
      </c>
      <c r="AR2" s="805"/>
      <c r="AS2" s="806"/>
      <c r="AT2" s="806"/>
      <c r="AU2" s="806"/>
      <c r="AV2" s="806"/>
      <c r="AW2" s="806"/>
      <c r="AX2" s="807"/>
      <c r="AY2" s="1099"/>
      <c r="AZ2" s="1669" t="s">
        <v>792</v>
      </c>
      <c r="BA2" s="1670"/>
      <c r="BB2" s="1671" t="s">
        <v>273</v>
      </c>
      <c r="BC2" s="1674" t="s">
        <v>711</v>
      </c>
      <c r="BD2" s="1674"/>
      <c r="BF2" s="1027"/>
    </row>
    <row r="3" spans="1:58" ht="15.75" customHeight="1" x14ac:dyDescent="0.25">
      <c r="A3" s="1652"/>
      <c r="B3" s="1097"/>
      <c r="C3" s="1028"/>
      <c r="D3" s="1095"/>
      <c r="E3" s="1653"/>
      <c r="F3" s="1654"/>
      <c r="G3" s="1654"/>
      <c r="H3" s="1655"/>
      <c r="I3" s="1656"/>
      <c r="J3" s="1658"/>
      <c r="K3" s="1660"/>
      <c r="L3" s="1660"/>
      <c r="M3" s="1660"/>
      <c r="N3" s="1660"/>
      <c r="O3" s="1660"/>
      <c r="P3" s="1026"/>
      <c r="Q3" s="1661"/>
      <c r="R3" s="1661"/>
      <c r="S3" s="1661"/>
      <c r="T3" s="1661"/>
      <c r="U3" s="1661"/>
      <c r="V3" s="1661"/>
      <c r="W3" s="1662" t="s">
        <v>695</v>
      </c>
      <c r="X3" s="1662"/>
      <c r="Y3" s="1662"/>
      <c r="Z3" s="1662" t="s">
        <v>524</v>
      </c>
      <c r="AA3" s="1662"/>
      <c r="AB3" s="1662"/>
      <c r="AC3" s="1662" t="s">
        <v>523</v>
      </c>
      <c r="AD3" s="1662"/>
      <c r="AE3" s="1662"/>
      <c r="AF3" s="274" t="s">
        <v>672</v>
      </c>
      <c r="AG3" s="274" t="s">
        <v>532</v>
      </c>
      <c r="AH3" s="1095" t="s">
        <v>524</v>
      </c>
      <c r="AI3" s="1095" t="s">
        <v>696</v>
      </c>
      <c r="AJ3" s="1095" t="s">
        <v>523</v>
      </c>
      <c r="AK3" s="1095" t="s">
        <v>585</v>
      </c>
      <c r="AL3" s="1663"/>
      <c r="AM3" s="808" t="s">
        <v>524</v>
      </c>
      <c r="AN3" s="808" t="s">
        <v>696</v>
      </c>
      <c r="AO3" s="808" t="s">
        <v>523</v>
      </c>
      <c r="AP3" s="808" t="s">
        <v>585</v>
      </c>
      <c r="AQ3" s="1667"/>
      <c r="AR3" s="809"/>
      <c r="AS3" s="809"/>
      <c r="AT3" s="810"/>
      <c r="AU3" s="810">
        <f>AS6+AR6</f>
        <v>307</v>
      </c>
      <c r="AV3" s="809"/>
      <c r="AW3" s="811"/>
      <c r="AX3" s="809"/>
      <c r="AY3" s="1029"/>
      <c r="AZ3" s="1029"/>
      <c r="BA3" s="1030"/>
      <c r="BB3" s="1672"/>
      <c r="BC3" s="1031" t="s">
        <v>712</v>
      </c>
      <c r="BD3" s="1031" t="s">
        <v>713</v>
      </c>
    </row>
    <row r="4" spans="1:58" ht="16.5" customHeight="1" x14ac:dyDescent="0.25">
      <c r="A4" s="1652"/>
      <c r="B4" s="1097"/>
      <c r="C4" s="1028"/>
      <c r="D4" s="1095"/>
      <c r="E4" s="1653"/>
      <c r="F4" s="1654"/>
      <c r="G4" s="1654"/>
      <c r="H4" s="1655"/>
      <c r="I4" s="1656"/>
      <c r="J4" s="1659"/>
      <c r="K4" s="1664" t="s">
        <v>267</v>
      </c>
      <c r="L4" s="1664"/>
      <c r="M4" s="1664"/>
      <c r="N4" s="1665" t="s">
        <v>277</v>
      </c>
      <c r="O4" s="1665"/>
      <c r="P4" s="1665"/>
      <c r="Q4" s="1666" t="s">
        <v>267</v>
      </c>
      <c r="R4" s="1666"/>
      <c r="S4" s="1666"/>
      <c r="T4" s="1665" t="s">
        <v>277</v>
      </c>
      <c r="U4" s="1665"/>
      <c r="V4" s="1665"/>
      <c r="W4" s="1032" t="s">
        <v>271</v>
      </c>
      <c r="X4" s="274" t="s">
        <v>672</v>
      </c>
      <c r="Y4" s="274" t="s">
        <v>532</v>
      </c>
      <c r="Z4" s="1032" t="s">
        <v>271</v>
      </c>
      <c r="AA4" s="274" t="s">
        <v>672</v>
      </c>
      <c r="AB4" s="274" t="s">
        <v>532</v>
      </c>
      <c r="AC4" s="1032" t="s">
        <v>271</v>
      </c>
      <c r="AD4" s="274" t="s">
        <v>672</v>
      </c>
      <c r="AE4" s="274" t="s">
        <v>532</v>
      </c>
      <c r="AF4" s="1032" t="s">
        <v>275</v>
      </c>
      <c r="AG4" s="1032"/>
      <c r="AH4" s="1032"/>
      <c r="AI4" s="1032"/>
      <c r="AJ4" s="1032"/>
      <c r="AK4" s="1032"/>
      <c r="AL4" s="1663"/>
      <c r="AM4" s="812"/>
      <c r="AN4" s="812"/>
      <c r="AO4" s="812"/>
      <c r="AP4" s="812"/>
      <c r="AQ4" s="1668"/>
      <c r="AR4" s="1675" t="s">
        <v>267</v>
      </c>
      <c r="AS4" s="1676"/>
      <c r="AT4" s="1676"/>
      <c r="AU4" s="1677"/>
      <c r="AV4" s="1675" t="s">
        <v>277</v>
      </c>
      <c r="AW4" s="1676"/>
      <c r="AX4" s="1677"/>
      <c r="AY4" s="1033" t="s">
        <v>586</v>
      </c>
      <c r="AZ4" s="1033"/>
      <c r="BA4" s="1034"/>
      <c r="BB4" s="1673"/>
      <c r="BC4" s="1031"/>
      <c r="BD4" s="1031"/>
    </row>
    <row r="5" spans="1:58" ht="28.5" customHeight="1" x14ac:dyDescent="0.25">
      <c r="A5" s="1028"/>
      <c r="B5" s="1097"/>
      <c r="C5" s="1028"/>
      <c r="D5" s="1095"/>
      <c r="E5" s="1098"/>
      <c r="F5" s="1095"/>
      <c r="G5" s="1095"/>
      <c r="H5" s="1035"/>
      <c r="I5" s="1036"/>
      <c r="J5" s="1260"/>
      <c r="K5" s="1232" t="s">
        <v>263</v>
      </c>
      <c r="L5" s="1232" t="s">
        <v>264</v>
      </c>
      <c r="M5" s="1232" t="s">
        <v>2</v>
      </c>
      <c r="N5" s="1031" t="s">
        <v>278</v>
      </c>
      <c r="O5" s="1256" t="s">
        <v>279</v>
      </c>
      <c r="P5" s="274" t="s">
        <v>2</v>
      </c>
      <c r="Q5" s="1037" t="s">
        <v>263</v>
      </c>
      <c r="R5" s="1037" t="s">
        <v>264</v>
      </c>
      <c r="S5" s="1037" t="s">
        <v>2</v>
      </c>
      <c r="T5" s="1031" t="s">
        <v>278</v>
      </c>
      <c r="U5" s="1256" t="s">
        <v>279</v>
      </c>
      <c r="V5" s="274" t="s">
        <v>2</v>
      </c>
      <c r="Y5" s="1038"/>
      <c r="Z5" s="1038"/>
      <c r="AA5" s="1038"/>
      <c r="AB5" s="1038"/>
      <c r="AC5" s="1039"/>
      <c r="AD5" s="1039"/>
      <c r="AE5" s="1039"/>
      <c r="AF5" s="1038">
        <f>AD6+AA6+X6</f>
        <v>744.5</v>
      </c>
      <c r="AG5" s="1038">
        <f>AE6+AB6+Y6</f>
        <v>682.5</v>
      </c>
      <c r="AH5" s="1038"/>
      <c r="AI5" s="1038"/>
      <c r="AJ5" s="1038"/>
      <c r="AK5" s="1038"/>
      <c r="AL5" s="1040"/>
      <c r="AM5" s="813"/>
      <c r="AN5" s="813"/>
      <c r="AO5" s="813"/>
      <c r="AP5" s="813"/>
      <c r="AQ5" s="814"/>
      <c r="AR5" s="814" t="s">
        <v>263</v>
      </c>
      <c r="AS5" s="814" t="s">
        <v>264</v>
      </c>
      <c r="AT5" s="814" t="s">
        <v>672</v>
      </c>
      <c r="AU5" s="814" t="s">
        <v>532</v>
      </c>
      <c r="AV5" s="814" t="s">
        <v>278</v>
      </c>
      <c r="AW5" s="814" t="s">
        <v>279</v>
      </c>
      <c r="AX5" s="814" t="s">
        <v>672</v>
      </c>
      <c r="AY5" s="1041"/>
      <c r="AZ5" s="1041" t="s">
        <v>431</v>
      </c>
      <c r="BA5" s="1042" t="s">
        <v>793</v>
      </c>
      <c r="BB5" s="1043"/>
      <c r="BC5" s="1031"/>
      <c r="BD5" s="1031"/>
    </row>
    <row r="6" spans="1:58" s="1374" customFormat="1" ht="15" customHeight="1" x14ac:dyDescent="0.25">
      <c r="A6" s="1358" t="e">
        <f>A7+A35+A71</f>
        <v>#REF!</v>
      </c>
      <c r="B6" s="1359" t="s">
        <v>8</v>
      </c>
      <c r="C6" s="1360"/>
      <c r="D6" s="1361"/>
      <c r="E6" s="1361">
        <f>COUNTA(E10:E115)</f>
        <v>77</v>
      </c>
      <c r="F6" s="1362"/>
      <c r="G6" s="1363"/>
      <c r="H6" s="1364"/>
      <c r="I6" s="1365"/>
      <c r="J6" s="1366"/>
      <c r="K6" s="1367">
        <f t="shared" ref="K6:AJ6" si="0">K7+K35+K71</f>
        <v>58</v>
      </c>
      <c r="L6" s="1367">
        <f t="shared" si="0"/>
        <v>214</v>
      </c>
      <c r="M6" s="1367">
        <f t="shared" si="0"/>
        <v>272</v>
      </c>
      <c r="N6" s="1368">
        <f t="shared" si="0"/>
        <v>35</v>
      </c>
      <c r="O6" s="1368">
        <f t="shared" si="0"/>
        <v>158.5</v>
      </c>
      <c r="P6" s="1368">
        <f t="shared" si="0"/>
        <v>193.5</v>
      </c>
      <c r="Q6" s="1369">
        <f t="shared" si="0"/>
        <v>401</v>
      </c>
      <c r="R6" s="1369">
        <f t="shared" si="0"/>
        <v>747</v>
      </c>
      <c r="S6" s="1369">
        <f t="shared" si="0"/>
        <v>1118</v>
      </c>
      <c r="T6" s="1368">
        <f t="shared" si="0"/>
        <v>359.32</v>
      </c>
      <c r="U6" s="1368">
        <f t="shared" si="0"/>
        <v>660.43000000000006</v>
      </c>
      <c r="V6" s="1368">
        <f t="shared" si="0"/>
        <v>1010.5</v>
      </c>
      <c r="W6" s="1368">
        <f t="shared" si="0"/>
        <v>23110</v>
      </c>
      <c r="X6" s="1368">
        <f t="shared" si="0"/>
        <v>577.75</v>
      </c>
      <c r="Y6" s="1368">
        <f t="shared" si="0"/>
        <v>555.75</v>
      </c>
      <c r="Z6" s="1368">
        <f t="shared" si="0"/>
        <v>1280</v>
      </c>
      <c r="AA6" s="1368">
        <f t="shared" si="0"/>
        <v>32</v>
      </c>
      <c r="AB6" s="1368">
        <f t="shared" si="0"/>
        <v>32</v>
      </c>
      <c r="AC6" s="1368">
        <f t="shared" si="0"/>
        <v>5390</v>
      </c>
      <c r="AD6" s="1368">
        <f t="shared" si="0"/>
        <v>134.75</v>
      </c>
      <c r="AE6" s="1368">
        <f t="shared" si="0"/>
        <v>94.75</v>
      </c>
      <c r="AF6" s="1368">
        <f t="shared" si="0"/>
        <v>744.5</v>
      </c>
      <c r="AG6" s="1368">
        <f t="shared" si="0"/>
        <v>682.5</v>
      </c>
      <c r="AH6" s="1368">
        <f t="shared" si="0"/>
        <v>110</v>
      </c>
      <c r="AI6" s="1368">
        <f t="shared" si="0"/>
        <v>0</v>
      </c>
      <c r="AJ6" s="1368">
        <f t="shared" si="0"/>
        <v>60</v>
      </c>
      <c r="AK6" s="1368">
        <f>AH6+AI6+AJ6</f>
        <v>170</v>
      </c>
      <c r="AL6" s="1370">
        <f>AL7+AL35+AL71</f>
        <v>130</v>
      </c>
      <c r="AM6" s="1368">
        <f>AM7+AM35+AM71</f>
        <v>74</v>
      </c>
      <c r="AN6" s="1368">
        <f>AN7+AN35+AN71</f>
        <v>0</v>
      </c>
      <c r="AO6" s="1368">
        <f>AO7+AO35+AO71</f>
        <v>114.75</v>
      </c>
      <c r="AP6" s="1368">
        <f>AM6+AN6+AO6</f>
        <v>188.75</v>
      </c>
      <c r="AQ6" s="1370">
        <f t="shared" ref="AQ6:BA6" si="1">AQ7+AQ35+AQ71</f>
        <v>148.75</v>
      </c>
      <c r="AR6" s="1370">
        <f t="shared" si="1"/>
        <v>90</v>
      </c>
      <c r="AS6" s="1370">
        <f t="shared" si="1"/>
        <v>217</v>
      </c>
      <c r="AT6" s="1370">
        <f t="shared" si="1"/>
        <v>307</v>
      </c>
      <c r="AU6" s="1370">
        <f t="shared" si="1"/>
        <v>250</v>
      </c>
      <c r="AV6" s="1370">
        <f t="shared" si="1"/>
        <v>49</v>
      </c>
      <c r="AW6" s="1370">
        <f t="shared" si="1"/>
        <v>149.75</v>
      </c>
      <c r="AX6" s="1370">
        <f t="shared" si="1"/>
        <v>198.75</v>
      </c>
      <c r="AY6" s="1371">
        <f t="shared" si="1"/>
        <v>158.75</v>
      </c>
      <c r="AZ6" s="1371">
        <f t="shared" si="1"/>
        <v>10.25</v>
      </c>
      <c r="BA6" s="1371">
        <f t="shared" si="1"/>
        <v>-18.75</v>
      </c>
      <c r="BB6" s="1372"/>
      <c r="BC6" s="1373"/>
      <c r="BD6" s="1373"/>
    </row>
    <row r="7" spans="1:58" s="1383" customFormat="1" ht="15" customHeight="1" x14ac:dyDescent="0.25">
      <c r="A7" s="1375" t="e">
        <f>#REF!</f>
        <v>#REF!</v>
      </c>
      <c r="B7" s="1375" t="s">
        <v>9</v>
      </c>
      <c r="C7" s="1375"/>
      <c r="D7" s="1352" t="s">
        <v>9</v>
      </c>
      <c r="E7" s="1350"/>
      <c r="F7" s="1351"/>
      <c r="G7" s="1352"/>
      <c r="H7" s="1353"/>
      <c r="I7" s="1354"/>
      <c r="J7" s="1376"/>
      <c r="K7" s="1377">
        <f t="shared" ref="K7:AJ7" si="2">SUM(K8:K34)</f>
        <v>28</v>
      </c>
      <c r="L7" s="1377">
        <f t="shared" si="2"/>
        <v>123</v>
      </c>
      <c r="M7" s="1377">
        <f t="shared" si="2"/>
        <v>151</v>
      </c>
      <c r="N7" s="1378">
        <f t="shared" si="2"/>
        <v>0</v>
      </c>
      <c r="O7" s="1378">
        <f t="shared" si="2"/>
        <v>101</v>
      </c>
      <c r="P7" s="1378">
        <f t="shared" si="2"/>
        <v>101</v>
      </c>
      <c r="Q7" s="1379">
        <f t="shared" si="2"/>
        <v>65</v>
      </c>
      <c r="R7" s="1356">
        <f t="shared" si="2"/>
        <v>201</v>
      </c>
      <c r="S7" s="1356">
        <f t="shared" si="2"/>
        <v>236</v>
      </c>
      <c r="T7" s="1355">
        <f t="shared" si="2"/>
        <v>0</v>
      </c>
      <c r="U7" s="1355">
        <f t="shared" si="2"/>
        <v>174.75</v>
      </c>
      <c r="V7" s="1355">
        <f t="shared" si="2"/>
        <v>165.5</v>
      </c>
      <c r="W7" s="1353">
        <f t="shared" si="2"/>
        <v>280</v>
      </c>
      <c r="X7" s="1355">
        <f t="shared" si="2"/>
        <v>7</v>
      </c>
      <c r="Y7" s="1355">
        <f t="shared" si="2"/>
        <v>7</v>
      </c>
      <c r="Z7" s="1355">
        <f t="shared" si="2"/>
        <v>0</v>
      </c>
      <c r="AA7" s="1355">
        <f t="shared" si="2"/>
        <v>0</v>
      </c>
      <c r="AB7" s="1355">
        <f t="shared" si="2"/>
        <v>0</v>
      </c>
      <c r="AC7" s="1355">
        <f t="shared" si="2"/>
        <v>400</v>
      </c>
      <c r="AD7" s="1355">
        <f t="shared" si="2"/>
        <v>10</v>
      </c>
      <c r="AE7" s="1355">
        <f t="shared" si="2"/>
        <v>10</v>
      </c>
      <c r="AF7" s="1355">
        <f t="shared" si="2"/>
        <v>17</v>
      </c>
      <c r="AG7" s="1355">
        <f t="shared" si="2"/>
        <v>17</v>
      </c>
      <c r="AH7" s="1355">
        <f t="shared" si="2"/>
        <v>0</v>
      </c>
      <c r="AI7" s="1355">
        <f t="shared" si="2"/>
        <v>0</v>
      </c>
      <c r="AJ7" s="1355">
        <f t="shared" si="2"/>
        <v>0</v>
      </c>
      <c r="AK7" s="1355">
        <f>AH7+AI7+AJ7</f>
        <v>0</v>
      </c>
      <c r="AL7" s="1357">
        <f>SUM(AL8:AL34)</f>
        <v>0</v>
      </c>
      <c r="AM7" s="1355">
        <f>SUM(AM8:AM34)</f>
        <v>0</v>
      </c>
      <c r="AN7" s="1355">
        <f>SUM(AN8:AN34)</f>
        <v>0</v>
      </c>
      <c r="AO7" s="1355">
        <f>SUM(AO8:AO34)</f>
        <v>0</v>
      </c>
      <c r="AP7" s="1355">
        <f>AM7+AN7+AO7</f>
        <v>0</v>
      </c>
      <c r="AQ7" s="1357">
        <f t="shared" ref="AQ7:BA7" si="3">SUM(AQ8:AQ34)</f>
        <v>0</v>
      </c>
      <c r="AR7" s="1357">
        <f t="shared" si="3"/>
        <v>7</v>
      </c>
      <c r="AS7" s="1357">
        <f t="shared" si="3"/>
        <v>13</v>
      </c>
      <c r="AT7" s="1357">
        <f t="shared" si="3"/>
        <v>20</v>
      </c>
      <c r="AU7" s="1357">
        <f t="shared" si="3"/>
        <v>20</v>
      </c>
      <c r="AV7" s="1357">
        <f t="shared" si="3"/>
        <v>0</v>
      </c>
      <c r="AW7" s="1357">
        <f t="shared" si="3"/>
        <v>10</v>
      </c>
      <c r="AX7" s="1357">
        <f t="shared" si="3"/>
        <v>10</v>
      </c>
      <c r="AY7" s="1380">
        <f t="shared" si="3"/>
        <v>10</v>
      </c>
      <c r="AZ7" s="1380">
        <f t="shared" si="3"/>
        <v>0</v>
      </c>
      <c r="BA7" s="1380">
        <f t="shared" si="3"/>
        <v>0</v>
      </c>
      <c r="BB7" s="1381"/>
      <c r="BC7" s="1382"/>
      <c r="BD7" s="1382"/>
    </row>
    <row r="8" spans="1:58" s="1057" customFormat="1" ht="15" customHeight="1" x14ac:dyDescent="0.25">
      <c r="A8" s="1046"/>
      <c r="B8" s="1046"/>
      <c r="C8" s="1046"/>
      <c r="D8" s="1047" t="s">
        <v>310</v>
      </c>
      <c r="E8" s="1064" t="s">
        <v>908</v>
      </c>
      <c r="F8" s="1050"/>
      <c r="G8" s="1036" t="s">
        <v>909</v>
      </c>
      <c r="H8" s="1049"/>
      <c r="I8" s="1036" t="s">
        <v>909</v>
      </c>
      <c r="J8" s="1261" t="s">
        <v>907</v>
      </c>
      <c r="K8" s="1233">
        <v>0</v>
      </c>
      <c r="L8" s="1233">
        <v>9</v>
      </c>
      <c r="M8" s="1234">
        <f>K8+L8</f>
        <v>9</v>
      </c>
      <c r="N8" s="1049"/>
      <c r="O8" s="1049"/>
      <c r="P8" s="1049">
        <f>N8+O8</f>
        <v>0</v>
      </c>
      <c r="Q8" s="1254">
        <v>0</v>
      </c>
      <c r="R8" s="1254">
        <v>9</v>
      </c>
      <c r="S8" s="1254">
        <f>Q8+R8</f>
        <v>9</v>
      </c>
      <c r="T8" s="1049"/>
      <c r="U8" s="1049">
        <v>7</v>
      </c>
      <c r="V8" s="1052">
        <f>T8+U8</f>
        <v>7</v>
      </c>
      <c r="W8" s="1049">
        <v>280</v>
      </c>
      <c r="X8" s="1049">
        <f>W8/40</f>
        <v>7</v>
      </c>
      <c r="Y8" s="1049">
        <f>X8</f>
        <v>7</v>
      </c>
      <c r="Z8" s="1049"/>
      <c r="AA8" s="1049">
        <f t="shared" ref="AA8:AA55" si="4">Z8/40</f>
        <v>0</v>
      </c>
      <c r="AB8" s="1049">
        <f>AA8</f>
        <v>0</v>
      </c>
      <c r="AC8" s="1052"/>
      <c r="AD8" s="1052">
        <f>AC8/40</f>
        <v>0</v>
      </c>
      <c r="AE8" s="1052">
        <f>AD8</f>
        <v>0</v>
      </c>
      <c r="AF8" s="1044">
        <f>AD8+AA8+X8</f>
        <v>7</v>
      </c>
      <c r="AG8" s="1044">
        <f>AF8</f>
        <v>7</v>
      </c>
      <c r="AH8" s="1044"/>
      <c r="AI8" s="1044"/>
      <c r="AJ8" s="1044"/>
      <c r="AK8" s="1044">
        <f>AJ8+AI8+AH8</f>
        <v>0</v>
      </c>
      <c r="AL8" s="1053">
        <f>AK8</f>
        <v>0</v>
      </c>
      <c r="AM8" s="1044"/>
      <c r="AN8" s="1044"/>
      <c r="AO8" s="1044"/>
      <c r="AP8" s="1044">
        <f>AO8+AN8+AM8</f>
        <v>0</v>
      </c>
      <c r="AQ8" s="1053">
        <f>AP8</f>
        <v>0</v>
      </c>
      <c r="AR8" s="1053">
        <v>7</v>
      </c>
      <c r="AS8" s="1053">
        <v>13</v>
      </c>
      <c r="AT8" s="1045">
        <f>AS8+AR8</f>
        <v>20</v>
      </c>
      <c r="AU8" s="1053">
        <f>AT8</f>
        <v>20</v>
      </c>
      <c r="AV8" s="1053"/>
      <c r="AW8" s="1053">
        <v>10</v>
      </c>
      <c r="AX8" s="1053">
        <f>AV8+AW8</f>
        <v>10</v>
      </c>
      <c r="AY8" s="1054">
        <f>AX8</f>
        <v>10</v>
      </c>
      <c r="AZ8" s="1055">
        <f>AK8-AP8</f>
        <v>0</v>
      </c>
      <c r="BA8" s="1055">
        <f>AL8-AQ8</f>
        <v>0</v>
      </c>
      <c r="BB8" s="1056"/>
      <c r="BC8" s="1051"/>
      <c r="BD8" s="1051"/>
    </row>
    <row r="9" spans="1:58" s="1332" customFormat="1" ht="15" customHeight="1" x14ac:dyDescent="0.25">
      <c r="A9" s="1320"/>
      <c r="B9" s="1320"/>
      <c r="C9" s="1320"/>
      <c r="D9" s="1321"/>
      <c r="E9" s="1322"/>
      <c r="F9" s="1323"/>
      <c r="G9" s="1324"/>
      <c r="H9" s="1273"/>
      <c r="I9" s="1325"/>
      <c r="J9" s="1326"/>
      <c r="K9" s="1327"/>
      <c r="L9" s="1327"/>
      <c r="M9" s="1271"/>
      <c r="N9" s="1273"/>
      <c r="O9" s="1273"/>
      <c r="P9" s="1273"/>
      <c r="Q9" s="1274"/>
      <c r="R9" s="1274"/>
      <c r="S9" s="1274"/>
      <c r="T9" s="1273"/>
      <c r="U9" s="1273"/>
      <c r="V9" s="1275"/>
      <c r="W9" s="1273"/>
      <c r="X9" s="1273"/>
      <c r="Y9" s="1273"/>
      <c r="Z9" s="1273"/>
      <c r="AA9" s="1273"/>
      <c r="AB9" s="1273"/>
      <c r="AC9" s="1275"/>
      <c r="AD9" s="1275"/>
      <c r="AE9" s="1275"/>
      <c r="AF9" s="1276"/>
      <c r="AG9" s="1276"/>
      <c r="AH9" s="1276"/>
      <c r="AI9" s="1276"/>
      <c r="AJ9" s="1276"/>
      <c r="AK9" s="1276">
        <f t="shared" ref="AK9:AK45" si="5">AJ9+AI9+AH9</f>
        <v>0</v>
      </c>
      <c r="AL9" s="1328"/>
      <c r="AM9" s="1276"/>
      <c r="AN9" s="1276"/>
      <c r="AO9" s="1276"/>
      <c r="AP9" s="1276">
        <f t="shared" ref="AP9:AP45" si="6">AO9+AN9+AM9</f>
        <v>0</v>
      </c>
      <c r="AQ9" s="1328"/>
      <c r="AR9" s="1328"/>
      <c r="AS9" s="1328"/>
      <c r="AT9" s="1329"/>
      <c r="AU9" s="1328"/>
      <c r="AV9" s="1328"/>
      <c r="AW9" s="1328"/>
      <c r="AX9" s="1328">
        <f t="shared" ref="AX9:AX34" si="7">AV9+AW9</f>
        <v>0</v>
      </c>
      <c r="AY9" s="1330"/>
      <c r="AZ9" s="1330">
        <f t="shared" ref="AZ9:BA45" si="8">AK9-AP9</f>
        <v>0</v>
      </c>
      <c r="BA9" s="1330">
        <f t="shared" si="8"/>
        <v>0</v>
      </c>
      <c r="BB9" s="1331"/>
      <c r="BC9" s="1324"/>
      <c r="BD9" s="1324"/>
    </row>
    <row r="10" spans="1:58" ht="15" customHeight="1" x14ac:dyDescent="0.25">
      <c r="A10" s="1058">
        <v>1</v>
      </c>
      <c r="B10" s="1058" t="s">
        <v>9</v>
      </c>
      <c r="C10" s="1058">
        <v>1</v>
      </c>
      <c r="D10" s="1098" t="s">
        <v>10</v>
      </c>
      <c r="E10" s="1016" t="s">
        <v>11</v>
      </c>
      <c r="F10" s="1095"/>
      <c r="G10" s="1095"/>
      <c r="H10" s="1035"/>
      <c r="I10" s="1036" t="s">
        <v>909</v>
      </c>
      <c r="J10" s="1257"/>
      <c r="K10" s="1234">
        <f>5+4</f>
        <v>9</v>
      </c>
      <c r="L10" s="1234">
        <f>20+17</f>
        <v>37</v>
      </c>
      <c r="M10" s="1234">
        <f>K10+L10</f>
        <v>46</v>
      </c>
      <c r="N10" s="1038"/>
      <c r="O10" s="1038"/>
      <c r="P10" s="1049">
        <f t="shared" ref="P10:P57" si="9">N10+O10</f>
        <v>0</v>
      </c>
      <c r="Q10" s="1254"/>
      <c r="R10" s="1254"/>
      <c r="S10" s="1254">
        <f t="shared" ref="S10:S34" si="10">Q10+R10</f>
        <v>0</v>
      </c>
      <c r="T10" s="1049"/>
      <c r="U10" s="1049"/>
      <c r="V10" s="1052">
        <f t="shared" ref="V10:V34" si="11">T10+U10</f>
        <v>0</v>
      </c>
      <c r="X10" s="1049">
        <f t="shared" ref="X10:X57" si="12">W10/40</f>
        <v>0</v>
      </c>
      <c r="Y10" s="1049">
        <f>X10</f>
        <v>0</v>
      </c>
      <c r="Z10" s="1049"/>
      <c r="AA10" s="1049">
        <f t="shared" si="4"/>
        <v>0</v>
      </c>
      <c r="AB10" s="1049">
        <f>AA10</f>
        <v>0</v>
      </c>
      <c r="AC10" s="1052"/>
      <c r="AD10" s="1052">
        <f t="shared" ref="AD10:AD34" si="13">AC10/40</f>
        <v>0</v>
      </c>
      <c r="AE10" s="1052">
        <f>AD10</f>
        <v>0</v>
      </c>
      <c r="AF10" s="1044">
        <f t="shared" ref="AF10:AF45" si="14">AD10+AA10+X10</f>
        <v>0</v>
      </c>
      <c r="AG10" s="1044">
        <f>AF10</f>
        <v>0</v>
      </c>
      <c r="AH10" s="1044"/>
      <c r="AI10" s="1044"/>
      <c r="AJ10" s="1044"/>
      <c r="AK10" s="1044">
        <f t="shared" si="5"/>
        <v>0</v>
      </c>
      <c r="AL10" s="1059">
        <f>AK10</f>
        <v>0</v>
      </c>
      <c r="AM10" s="1044"/>
      <c r="AN10" s="1044"/>
      <c r="AO10" s="1044"/>
      <c r="AP10" s="1044">
        <f t="shared" si="6"/>
        <v>0</v>
      </c>
      <c r="AQ10" s="1059">
        <f>AP10</f>
        <v>0</v>
      </c>
      <c r="AR10" s="1059"/>
      <c r="AS10" s="1059"/>
      <c r="AT10" s="1045">
        <f>AS10+AR10</f>
        <v>0</v>
      </c>
      <c r="AU10" s="1059">
        <f>AT10</f>
        <v>0</v>
      </c>
      <c r="AV10" s="1059"/>
      <c r="AW10" s="1059"/>
      <c r="AX10" s="1059">
        <f t="shared" si="7"/>
        <v>0</v>
      </c>
      <c r="AY10" s="1060">
        <f>AX10</f>
        <v>0</v>
      </c>
      <c r="AZ10" s="1060">
        <f t="shared" si="8"/>
        <v>0</v>
      </c>
      <c r="BA10" s="1060">
        <f t="shared" si="8"/>
        <v>0</v>
      </c>
      <c r="BB10" s="1061"/>
      <c r="BC10" s="1031"/>
      <c r="BD10" s="1031"/>
    </row>
    <row r="11" spans="1:58" s="1282" customFormat="1" ht="15" customHeight="1" x14ac:dyDescent="0.25">
      <c r="A11" s="1264"/>
      <c r="B11" s="1264"/>
      <c r="C11" s="1264"/>
      <c r="D11" s="1265"/>
      <c r="E11" s="1266"/>
      <c r="F11" s="1267"/>
      <c r="G11" s="1267"/>
      <c r="H11" s="1268"/>
      <c r="I11" s="1269"/>
      <c r="J11" s="1270"/>
      <c r="K11" s="1271"/>
      <c r="L11" s="1271"/>
      <c r="M11" s="1271"/>
      <c r="N11" s="1272"/>
      <c r="O11" s="1272"/>
      <c r="P11" s="1273"/>
      <c r="Q11" s="1274"/>
      <c r="R11" s="1274"/>
      <c r="S11" s="1274"/>
      <c r="T11" s="1273"/>
      <c r="U11" s="1273"/>
      <c r="V11" s="1275"/>
      <c r="W11" s="1272"/>
      <c r="X11" s="1273"/>
      <c r="Y11" s="1273"/>
      <c r="Z11" s="1273"/>
      <c r="AA11" s="1273"/>
      <c r="AB11" s="1273"/>
      <c r="AC11" s="1275"/>
      <c r="AD11" s="1275"/>
      <c r="AE11" s="1275"/>
      <c r="AF11" s="1276">
        <f t="shared" si="14"/>
        <v>0</v>
      </c>
      <c r="AG11" s="1276"/>
      <c r="AH11" s="1276"/>
      <c r="AI11" s="1276"/>
      <c r="AJ11" s="1276"/>
      <c r="AK11" s="1276">
        <f t="shared" si="5"/>
        <v>0</v>
      </c>
      <c r="AL11" s="1277"/>
      <c r="AM11" s="1276"/>
      <c r="AN11" s="1276"/>
      <c r="AO11" s="1276"/>
      <c r="AP11" s="1276">
        <f t="shared" si="6"/>
        <v>0</v>
      </c>
      <c r="AQ11" s="1277"/>
      <c r="AR11" s="1277"/>
      <c r="AS11" s="1277"/>
      <c r="AT11" s="1329"/>
      <c r="AU11" s="1277"/>
      <c r="AV11" s="1277"/>
      <c r="AW11" s="1277"/>
      <c r="AX11" s="1277">
        <f t="shared" si="7"/>
        <v>0</v>
      </c>
      <c r="AY11" s="1278"/>
      <c r="AZ11" s="1278">
        <f t="shared" si="8"/>
        <v>0</v>
      </c>
      <c r="BA11" s="1278">
        <f t="shared" si="8"/>
        <v>0</v>
      </c>
      <c r="BB11" s="1279"/>
      <c r="BC11" s="1280"/>
      <c r="BD11" s="1280"/>
      <c r="BE11" s="1281"/>
    </row>
    <row r="12" spans="1:58" ht="15" customHeight="1" x14ac:dyDescent="0.25">
      <c r="A12" s="1058">
        <v>4</v>
      </c>
      <c r="B12" s="1058" t="s">
        <v>9</v>
      </c>
      <c r="C12" s="1058">
        <v>1</v>
      </c>
      <c r="D12" s="1062" t="s">
        <v>371</v>
      </c>
      <c r="E12" s="1016" t="s">
        <v>910</v>
      </c>
      <c r="F12" s="1095"/>
      <c r="G12" s="1036" t="s">
        <v>909</v>
      </c>
      <c r="H12" s="1035"/>
      <c r="I12" s="1036" t="s">
        <v>909</v>
      </c>
      <c r="J12" s="1257" t="s">
        <v>907</v>
      </c>
      <c r="K12" s="1234">
        <v>1</v>
      </c>
      <c r="L12" s="1234">
        <v>8</v>
      </c>
      <c r="M12" s="1234">
        <f t="shared" ref="M12:M34" si="15">K12+L12</f>
        <v>9</v>
      </c>
      <c r="N12" s="1038"/>
      <c r="O12" s="1038">
        <v>9</v>
      </c>
      <c r="P12" s="1049">
        <f t="shared" si="9"/>
        <v>9</v>
      </c>
      <c r="Q12" s="1234">
        <v>1</v>
      </c>
      <c r="R12" s="1234">
        <v>8</v>
      </c>
      <c r="S12" s="1254">
        <f t="shared" si="10"/>
        <v>9</v>
      </c>
      <c r="T12" s="1049"/>
      <c r="U12" s="1038">
        <v>9</v>
      </c>
      <c r="V12" s="1052">
        <f t="shared" si="11"/>
        <v>9</v>
      </c>
      <c r="X12" s="1049">
        <f t="shared" si="12"/>
        <v>0</v>
      </c>
      <c r="Y12" s="1049">
        <f>X12</f>
        <v>0</v>
      </c>
      <c r="Z12" s="1049"/>
      <c r="AA12" s="1049">
        <f t="shared" si="4"/>
        <v>0</v>
      </c>
      <c r="AB12" s="1049">
        <f>AA12</f>
        <v>0</v>
      </c>
      <c r="AC12" s="1052"/>
      <c r="AD12" s="1052">
        <f t="shared" si="13"/>
        <v>0</v>
      </c>
      <c r="AE12" s="1052">
        <f>AD12</f>
        <v>0</v>
      </c>
      <c r="AF12" s="1044">
        <f t="shared" si="14"/>
        <v>0</v>
      </c>
      <c r="AG12" s="1044">
        <f>AF12</f>
        <v>0</v>
      </c>
      <c r="AH12" s="1044"/>
      <c r="AI12" s="1044"/>
      <c r="AJ12" s="1044"/>
      <c r="AK12" s="1044">
        <f t="shared" si="5"/>
        <v>0</v>
      </c>
      <c r="AL12" s="1059">
        <f>AK12</f>
        <v>0</v>
      </c>
      <c r="AM12" s="1044"/>
      <c r="AN12" s="1044"/>
      <c r="AO12" s="1044"/>
      <c r="AP12" s="1044">
        <f t="shared" si="6"/>
        <v>0</v>
      </c>
      <c r="AQ12" s="1059">
        <f>AP12</f>
        <v>0</v>
      </c>
      <c r="AR12" s="1059"/>
      <c r="AS12" s="1059"/>
      <c r="AT12" s="1045">
        <f>AS12+AR12</f>
        <v>0</v>
      </c>
      <c r="AU12" s="1059">
        <f>AT12</f>
        <v>0</v>
      </c>
      <c r="AV12" s="1059"/>
      <c r="AW12" s="1059"/>
      <c r="AX12" s="1059">
        <f t="shared" si="7"/>
        <v>0</v>
      </c>
      <c r="AY12" s="1060">
        <f>AX12</f>
        <v>0</v>
      </c>
      <c r="AZ12" s="1060">
        <f t="shared" si="8"/>
        <v>0</v>
      </c>
      <c r="BA12" s="1060">
        <f t="shared" si="8"/>
        <v>0</v>
      </c>
      <c r="BB12" s="1061"/>
      <c r="BC12" s="1031"/>
      <c r="BD12" s="1031"/>
    </row>
    <row r="13" spans="1:58" ht="15" customHeight="1" x14ac:dyDescent="0.25">
      <c r="A13" s="1058"/>
      <c r="B13" s="1058"/>
      <c r="C13" s="1058"/>
      <c r="D13" s="1062" t="s">
        <v>371</v>
      </c>
      <c r="E13" s="1016" t="s">
        <v>911</v>
      </c>
      <c r="F13" s="1229"/>
      <c r="G13" s="1036" t="s">
        <v>909</v>
      </c>
      <c r="H13" s="1035"/>
      <c r="I13" s="1036" t="s">
        <v>909</v>
      </c>
      <c r="J13" s="1257" t="s">
        <v>907</v>
      </c>
      <c r="K13" s="1234">
        <v>0</v>
      </c>
      <c r="L13" s="1234">
        <v>2</v>
      </c>
      <c r="M13" s="1234">
        <f t="shared" si="15"/>
        <v>2</v>
      </c>
      <c r="N13" s="1038"/>
      <c r="O13" s="1038">
        <v>2</v>
      </c>
      <c r="P13" s="1049">
        <f t="shared" si="9"/>
        <v>2</v>
      </c>
      <c r="Q13" s="1234">
        <v>0</v>
      </c>
      <c r="R13" s="1234">
        <v>2</v>
      </c>
      <c r="S13" s="1254">
        <f t="shared" si="10"/>
        <v>2</v>
      </c>
      <c r="T13" s="1049"/>
      <c r="U13" s="1038">
        <v>2</v>
      </c>
      <c r="V13" s="1052">
        <f t="shared" si="11"/>
        <v>2</v>
      </c>
      <c r="X13" s="1049"/>
      <c r="Y13" s="1049"/>
      <c r="Z13" s="1049"/>
      <c r="AA13" s="1049"/>
      <c r="AB13" s="1049"/>
      <c r="AC13" s="1052"/>
      <c r="AD13" s="1052"/>
      <c r="AE13" s="1052"/>
      <c r="AF13" s="1044"/>
      <c r="AG13" s="1044"/>
      <c r="AH13" s="1044"/>
      <c r="AI13" s="1044"/>
      <c r="AJ13" s="1044"/>
      <c r="AK13" s="1044"/>
      <c r="AL13" s="1059"/>
      <c r="AM13" s="1044"/>
      <c r="AN13" s="1044"/>
      <c r="AO13" s="1044"/>
      <c r="AP13" s="1044"/>
      <c r="AQ13" s="1059"/>
      <c r="AR13" s="1059"/>
      <c r="AS13" s="1059"/>
      <c r="AT13" s="1045"/>
      <c r="AU13" s="1059"/>
      <c r="AV13" s="1059"/>
      <c r="AW13" s="1059"/>
      <c r="AX13" s="1059"/>
      <c r="AY13" s="1060"/>
      <c r="AZ13" s="1060"/>
      <c r="BA13" s="1060"/>
      <c r="BB13" s="1061"/>
      <c r="BC13" s="1031"/>
      <c r="BD13" s="1031"/>
    </row>
    <row r="14" spans="1:58" ht="15" customHeight="1" x14ac:dyDescent="0.25">
      <c r="A14" s="1058"/>
      <c r="B14" s="1058"/>
      <c r="C14" s="1058"/>
      <c r="D14" s="1062" t="s">
        <v>371</v>
      </c>
      <c r="E14" s="1016" t="s">
        <v>912</v>
      </c>
      <c r="F14" s="1229"/>
      <c r="G14" s="1036" t="s">
        <v>909</v>
      </c>
      <c r="H14" s="1035"/>
      <c r="I14" s="1036" t="s">
        <v>909</v>
      </c>
      <c r="J14" s="1257" t="s">
        <v>907</v>
      </c>
      <c r="K14" s="1234">
        <v>0</v>
      </c>
      <c r="L14" s="1234">
        <v>7</v>
      </c>
      <c r="M14" s="1234">
        <f t="shared" si="15"/>
        <v>7</v>
      </c>
      <c r="N14" s="1038"/>
      <c r="O14" s="1038">
        <v>7</v>
      </c>
      <c r="P14" s="1049">
        <f t="shared" si="9"/>
        <v>7</v>
      </c>
      <c r="Q14" s="1234">
        <v>0</v>
      </c>
      <c r="R14" s="1234">
        <v>7</v>
      </c>
      <c r="S14" s="1254">
        <f t="shared" si="10"/>
        <v>7</v>
      </c>
      <c r="T14" s="1049"/>
      <c r="U14" s="1038">
        <v>7</v>
      </c>
      <c r="V14" s="1052">
        <f t="shared" si="11"/>
        <v>7</v>
      </c>
      <c r="X14" s="1049"/>
      <c r="Y14" s="1049"/>
      <c r="Z14" s="1049"/>
      <c r="AA14" s="1049"/>
      <c r="AB14" s="1049"/>
      <c r="AC14" s="1052"/>
      <c r="AD14" s="1052"/>
      <c r="AE14" s="1052"/>
      <c r="AF14" s="1044"/>
      <c r="AG14" s="1044"/>
      <c r="AH14" s="1044"/>
      <c r="AI14" s="1044"/>
      <c r="AJ14" s="1044"/>
      <c r="AK14" s="1044"/>
      <c r="AL14" s="1059"/>
      <c r="AM14" s="1044"/>
      <c r="AN14" s="1044"/>
      <c r="AO14" s="1044"/>
      <c r="AP14" s="1044"/>
      <c r="AQ14" s="1059"/>
      <c r="AR14" s="1059"/>
      <c r="AS14" s="1059"/>
      <c r="AT14" s="1045"/>
      <c r="AU14" s="1059"/>
      <c r="AV14" s="1059"/>
      <c r="AW14" s="1059"/>
      <c r="AX14" s="1059"/>
      <c r="AY14" s="1060"/>
      <c r="AZ14" s="1060"/>
      <c r="BA14" s="1060"/>
      <c r="BB14" s="1061"/>
      <c r="BC14" s="1031"/>
      <c r="BD14" s="1031"/>
    </row>
    <row r="15" spans="1:58" ht="15" customHeight="1" x14ac:dyDescent="0.25">
      <c r="A15" s="1058"/>
      <c r="B15" s="1058"/>
      <c r="C15" s="1058"/>
      <c r="D15" s="1062" t="s">
        <v>371</v>
      </c>
      <c r="E15" s="1016" t="s">
        <v>913</v>
      </c>
      <c r="F15" s="1229"/>
      <c r="G15" s="1036" t="s">
        <v>909</v>
      </c>
      <c r="H15" s="1035"/>
      <c r="I15" s="1036" t="s">
        <v>909</v>
      </c>
      <c r="J15" s="1257" t="s">
        <v>907</v>
      </c>
      <c r="K15" s="1234">
        <v>0</v>
      </c>
      <c r="L15" s="1234">
        <v>10</v>
      </c>
      <c r="M15" s="1234">
        <f t="shared" si="15"/>
        <v>10</v>
      </c>
      <c r="N15" s="1038"/>
      <c r="O15" s="1038">
        <v>28</v>
      </c>
      <c r="P15" s="1049">
        <f t="shared" si="9"/>
        <v>28</v>
      </c>
      <c r="Q15" s="1234">
        <v>0</v>
      </c>
      <c r="R15" s="1234">
        <v>10</v>
      </c>
      <c r="S15" s="1254">
        <f t="shared" si="10"/>
        <v>10</v>
      </c>
      <c r="T15" s="1049"/>
      <c r="U15" s="1038">
        <v>28</v>
      </c>
      <c r="V15" s="1052">
        <f t="shared" si="11"/>
        <v>28</v>
      </c>
      <c r="X15" s="1049"/>
      <c r="Y15" s="1049"/>
      <c r="Z15" s="1049"/>
      <c r="AA15" s="1049"/>
      <c r="AB15" s="1049"/>
      <c r="AC15" s="1052"/>
      <c r="AD15" s="1052"/>
      <c r="AE15" s="1052"/>
      <c r="AF15" s="1044"/>
      <c r="AG15" s="1044"/>
      <c r="AH15" s="1044"/>
      <c r="AI15" s="1044"/>
      <c r="AJ15" s="1044"/>
      <c r="AK15" s="1044"/>
      <c r="AL15" s="1059"/>
      <c r="AM15" s="1044"/>
      <c r="AN15" s="1044"/>
      <c r="AO15" s="1044"/>
      <c r="AP15" s="1044"/>
      <c r="AQ15" s="1059"/>
      <c r="AR15" s="1059"/>
      <c r="AS15" s="1059"/>
      <c r="AT15" s="1045"/>
      <c r="AU15" s="1059"/>
      <c r="AV15" s="1059"/>
      <c r="AW15" s="1059"/>
      <c r="AX15" s="1059"/>
      <c r="AY15" s="1060"/>
      <c r="AZ15" s="1060"/>
      <c r="BA15" s="1060"/>
      <c r="BB15" s="1061"/>
      <c r="BC15" s="1031"/>
      <c r="BD15" s="1031"/>
    </row>
    <row r="16" spans="1:58" ht="15" customHeight="1" x14ac:dyDescent="0.25">
      <c r="A16" s="1058"/>
      <c r="B16" s="1058"/>
      <c r="C16" s="1058"/>
      <c r="D16" s="1062" t="s">
        <v>371</v>
      </c>
      <c r="E16" s="1016" t="s">
        <v>914</v>
      </c>
      <c r="F16" s="1229"/>
      <c r="G16" s="1036" t="s">
        <v>909</v>
      </c>
      <c r="H16" s="1035"/>
      <c r="I16" s="1036" t="s">
        <v>909</v>
      </c>
      <c r="J16" s="1257" t="s">
        <v>907</v>
      </c>
      <c r="K16" s="1234">
        <v>6</v>
      </c>
      <c r="L16" s="1234">
        <v>9</v>
      </c>
      <c r="M16" s="1234">
        <f t="shared" si="15"/>
        <v>15</v>
      </c>
      <c r="N16" s="1038"/>
      <c r="O16" s="1038">
        <v>9</v>
      </c>
      <c r="P16" s="1049">
        <f t="shared" si="9"/>
        <v>9</v>
      </c>
      <c r="Q16" s="1234">
        <v>6</v>
      </c>
      <c r="R16" s="1234">
        <v>9</v>
      </c>
      <c r="S16" s="1254">
        <f t="shared" si="10"/>
        <v>15</v>
      </c>
      <c r="T16" s="1049"/>
      <c r="U16" s="1038">
        <v>9</v>
      </c>
      <c r="V16" s="1052">
        <f t="shared" si="11"/>
        <v>9</v>
      </c>
      <c r="X16" s="1049"/>
      <c r="Y16" s="1049"/>
      <c r="Z16" s="1049"/>
      <c r="AA16" s="1049"/>
      <c r="AB16" s="1049"/>
      <c r="AC16" s="1052"/>
      <c r="AD16" s="1052"/>
      <c r="AE16" s="1052"/>
      <c r="AF16" s="1044"/>
      <c r="AG16" s="1044"/>
      <c r="AH16" s="1044"/>
      <c r="AI16" s="1044"/>
      <c r="AJ16" s="1044"/>
      <c r="AK16" s="1044"/>
      <c r="AL16" s="1059"/>
      <c r="AM16" s="1044"/>
      <c r="AN16" s="1044"/>
      <c r="AO16" s="1044"/>
      <c r="AP16" s="1044"/>
      <c r="AQ16" s="1059"/>
      <c r="AR16" s="1059"/>
      <c r="AS16" s="1059"/>
      <c r="AT16" s="1045"/>
      <c r="AU16" s="1059"/>
      <c r="AV16" s="1059"/>
      <c r="AW16" s="1059"/>
      <c r="AX16" s="1059"/>
      <c r="AY16" s="1060"/>
      <c r="AZ16" s="1060"/>
      <c r="BA16" s="1060"/>
      <c r="BB16" s="1061"/>
      <c r="BC16" s="1031"/>
      <c r="BD16" s="1031"/>
    </row>
    <row r="17" spans="1:57" ht="15" customHeight="1" x14ac:dyDescent="0.25">
      <c r="A17" s="1058"/>
      <c r="B17" s="1058"/>
      <c r="C17" s="1058"/>
      <c r="D17" s="1062" t="s">
        <v>371</v>
      </c>
      <c r="E17" s="1016" t="s">
        <v>915</v>
      </c>
      <c r="F17" s="1229"/>
      <c r="G17" s="1036" t="s">
        <v>909</v>
      </c>
      <c r="H17" s="1035"/>
      <c r="I17" s="1036"/>
      <c r="J17" s="1257"/>
      <c r="K17" s="1234"/>
      <c r="L17" s="1234"/>
      <c r="M17" s="1234"/>
      <c r="N17" s="1038"/>
      <c r="O17" s="1038"/>
      <c r="P17" s="1049"/>
      <c r="Q17" s="1254"/>
      <c r="R17" s="1254"/>
      <c r="S17" s="1254"/>
      <c r="T17" s="1049"/>
      <c r="U17" s="1049"/>
      <c r="V17" s="1052"/>
      <c r="X17" s="1049"/>
      <c r="Y17" s="1049"/>
      <c r="Z17" s="1049"/>
      <c r="AA17" s="1049"/>
      <c r="AB17" s="1049"/>
      <c r="AC17" s="1052"/>
      <c r="AD17" s="1052"/>
      <c r="AE17" s="1052"/>
      <c r="AF17" s="1044"/>
      <c r="AG17" s="1044"/>
      <c r="AH17" s="1044"/>
      <c r="AI17" s="1044"/>
      <c r="AJ17" s="1044"/>
      <c r="AK17" s="1044"/>
      <c r="AL17" s="1059"/>
      <c r="AM17" s="1044"/>
      <c r="AN17" s="1044"/>
      <c r="AO17" s="1044"/>
      <c r="AP17" s="1044"/>
      <c r="AQ17" s="1059"/>
      <c r="AR17" s="1059"/>
      <c r="AS17" s="1059"/>
      <c r="AT17" s="1045"/>
      <c r="AU17" s="1059"/>
      <c r="AV17" s="1059"/>
      <c r="AW17" s="1059"/>
      <c r="AX17" s="1059"/>
      <c r="AY17" s="1060"/>
      <c r="AZ17" s="1060"/>
      <c r="BA17" s="1060"/>
      <c r="BB17" s="1061"/>
      <c r="BC17" s="1031"/>
      <c r="BD17" s="1031"/>
    </row>
    <row r="18" spans="1:57" s="1282" customFormat="1" ht="15" customHeight="1" x14ac:dyDescent="0.25">
      <c r="A18" s="1264"/>
      <c r="B18" s="1264"/>
      <c r="C18" s="1264"/>
      <c r="D18" s="1333"/>
      <c r="E18" s="1266"/>
      <c r="F18" s="1267"/>
      <c r="G18" s="1267"/>
      <c r="H18" s="1268"/>
      <c r="I18" s="1269"/>
      <c r="J18" s="1270"/>
      <c r="K18" s="1271"/>
      <c r="L18" s="1271"/>
      <c r="M18" s="1271"/>
      <c r="N18" s="1272"/>
      <c r="O18" s="1272"/>
      <c r="P18" s="1273"/>
      <c r="Q18" s="1274"/>
      <c r="R18" s="1274"/>
      <c r="S18" s="1274"/>
      <c r="T18" s="1273"/>
      <c r="U18" s="1273"/>
      <c r="V18" s="1275"/>
      <c r="W18" s="1272"/>
      <c r="X18" s="1273"/>
      <c r="Y18" s="1273"/>
      <c r="Z18" s="1273"/>
      <c r="AA18" s="1273"/>
      <c r="AB18" s="1273"/>
      <c r="AC18" s="1275"/>
      <c r="AD18" s="1275"/>
      <c r="AE18" s="1275"/>
      <c r="AF18" s="1276">
        <f t="shared" si="14"/>
        <v>0</v>
      </c>
      <c r="AG18" s="1276"/>
      <c r="AH18" s="1276"/>
      <c r="AI18" s="1276"/>
      <c r="AJ18" s="1276"/>
      <c r="AK18" s="1276">
        <f t="shared" si="5"/>
        <v>0</v>
      </c>
      <c r="AL18" s="1277"/>
      <c r="AM18" s="1276"/>
      <c r="AN18" s="1276"/>
      <c r="AO18" s="1276"/>
      <c r="AP18" s="1276">
        <f t="shared" si="6"/>
        <v>0</v>
      </c>
      <c r="AQ18" s="1277"/>
      <c r="AR18" s="1277"/>
      <c r="AS18" s="1277"/>
      <c r="AT18" s="1329"/>
      <c r="AU18" s="1277"/>
      <c r="AV18" s="1277"/>
      <c r="AW18" s="1277"/>
      <c r="AX18" s="1277">
        <f t="shared" si="7"/>
        <v>0</v>
      </c>
      <c r="AY18" s="1278"/>
      <c r="AZ18" s="1278">
        <f t="shared" si="8"/>
        <v>0</v>
      </c>
      <c r="BA18" s="1278">
        <f t="shared" si="8"/>
        <v>0</v>
      </c>
      <c r="BB18" s="1279"/>
      <c r="BC18" s="1280"/>
      <c r="BD18" s="1280"/>
      <c r="BE18" s="1281"/>
    </row>
    <row r="19" spans="1:57" ht="15.75" customHeight="1" x14ac:dyDescent="0.25">
      <c r="A19" s="1058">
        <v>7</v>
      </c>
      <c r="B19" s="1058" t="s">
        <v>9</v>
      </c>
      <c r="C19" s="1058">
        <v>3</v>
      </c>
      <c r="D19" s="1098" t="s">
        <v>17</v>
      </c>
      <c r="E19" s="1016" t="s">
        <v>20</v>
      </c>
      <c r="F19" s="1095"/>
      <c r="G19" s="1095"/>
      <c r="H19" s="1035"/>
      <c r="I19" s="1036" t="s">
        <v>909</v>
      </c>
      <c r="J19" s="1257" t="s">
        <v>907</v>
      </c>
      <c r="K19" s="1234"/>
      <c r="L19" s="1234"/>
      <c r="M19" s="1234">
        <f t="shared" si="15"/>
        <v>0</v>
      </c>
      <c r="N19" s="1038"/>
      <c r="O19" s="1038"/>
      <c r="P19" s="1049">
        <f t="shared" si="9"/>
        <v>0</v>
      </c>
      <c r="Q19" s="1254">
        <v>1</v>
      </c>
      <c r="R19" s="1254">
        <v>10</v>
      </c>
      <c r="S19" s="1254">
        <f t="shared" si="10"/>
        <v>11</v>
      </c>
      <c r="T19" s="1049"/>
      <c r="U19" s="1049">
        <v>7.75</v>
      </c>
      <c r="V19" s="1052">
        <f t="shared" si="11"/>
        <v>7.75</v>
      </c>
      <c r="X19" s="1049">
        <f t="shared" si="12"/>
        <v>0</v>
      </c>
      <c r="Y19" s="1049"/>
      <c r="Z19" s="1049"/>
      <c r="AA19" s="1049">
        <f t="shared" si="4"/>
        <v>0</v>
      </c>
      <c r="AB19" s="1049"/>
      <c r="AC19" s="1052"/>
      <c r="AD19" s="1052">
        <f t="shared" si="13"/>
        <v>0</v>
      </c>
      <c r="AE19" s="1052"/>
      <c r="AF19" s="1044">
        <f t="shared" si="14"/>
        <v>0</v>
      </c>
      <c r="AG19" s="1044"/>
      <c r="AH19" s="1044"/>
      <c r="AI19" s="1044"/>
      <c r="AJ19" s="1044"/>
      <c r="AK19" s="1044">
        <f t="shared" si="5"/>
        <v>0</v>
      </c>
      <c r="AL19" s="1059"/>
      <c r="AM19" s="1044"/>
      <c r="AN19" s="1044"/>
      <c r="AO19" s="1044"/>
      <c r="AP19" s="1044">
        <f t="shared" si="6"/>
        <v>0</v>
      </c>
      <c r="AQ19" s="1059"/>
      <c r="AR19" s="1059"/>
      <c r="AS19" s="1059"/>
      <c r="AT19" s="1045">
        <f t="shared" ref="AT19:AT27" si="16">AR19+AS19</f>
        <v>0</v>
      </c>
      <c r="AU19" s="1059"/>
      <c r="AV19" s="1059"/>
      <c r="AW19" s="1059"/>
      <c r="AX19" s="1059">
        <f t="shared" si="7"/>
        <v>0</v>
      </c>
      <c r="AY19" s="1060"/>
      <c r="AZ19" s="1060">
        <f t="shared" si="8"/>
        <v>0</v>
      </c>
      <c r="BA19" s="1060">
        <f t="shared" si="8"/>
        <v>0</v>
      </c>
      <c r="BB19" s="1061"/>
      <c r="BC19" s="1031"/>
      <c r="BD19" s="1031"/>
    </row>
    <row r="20" spans="1:57" s="1282" customFormat="1" ht="15.75" customHeight="1" x14ac:dyDescent="0.25">
      <c r="A20" s="1264"/>
      <c r="B20" s="1264"/>
      <c r="C20" s="1264"/>
      <c r="D20" s="1265"/>
      <c r="E20" s="1266"/>
      <c r="F20" s="1267"/>
      <c r="G20" s="1267"/>
      <c r="H20" s="1268"/>
      <c r="I20" s="1269"/>
      <c r="J20" s="1270"/>
      <c r="K20" s="1271"/>
      <c r="L20" s="1271"/>
      <c r="M20" s="1271"/>
      <c r="N20" s="1272"/>
      <c r="O20" s="1272"/>
      <c r="P20" s="1273"/>
      <c r="Q20" s="1274"/>
      <c r="R20" s="1274"/>
      <c r="S20" s="1274"/>
      <c r="T20" s="1273"/>
      <c r="U20" s="1273"/>
      <c r="V20" s="1275"/>
      <c r="W20" s="1272"/>
      <c r="X20" s="1273"/>
      <c r="Y20" s="1273"/>
      <c r="Z20" s="1273"/>
      <c r="AA20" s="1273"/>
      <c r="AB20" s="1273"/>
      <c r="AC20" s="1275"/>
      <c r="AD20" s="1275"/>
      <c r="AE20" s="1275"/>
      <c r="AF20" s="1276"/>
      <c r="AG20" s="1276"/>
      <c r="AH20" s="1276"/>
      <c r="AI20" s="1276"/>
      <c r="AJ20" s="1276"/>
      <c r="AK20" s="1276"/>
      <c r="AL20" s="1277"/>
      <c r="AM20" s="1276"/>
      <c r="AN20" s="1276"/>
      <c r="AO20" s="1276"/>
      <c r="AP20" s="1276"/>
      <c r="AQ20" s="1277"/>
      <c r="AR20" s="1277"/>
      <c r="AS20" s="1277"/>
      <c r="AT20" s="1329"/>
      <c r="AU20" s="1277"/>
      <c r="AV20" s="1277"/>
      <c r="AW20" s="1277"/>
      <c r="AX20" s="1277"/>
      <c r="AY20" s="1278"/>
      <c r="AZ20" s="1278"/>
      <c r="BA20" s="1278"/>
      <c r="BB20" s="1279"/>
      <c r="BC20" s="1280"/>
      <c r="BD20" s="1280"/>
      <c r="BE20" s="1281"/>
    </row>
    <row r="21" spans="1:57" ht="15.75" customHeight="1" x14ac:dyDescent="0.25">
      <c r="A21" s="1058">
        <v>7</v>
      </c>
      <c r="B21" s="1058" t="s">
        <v>9</v>
      </c>
      <c r="C21" s="1058">
        <v>3</v>
      </c>
      <c r="D21" s="1231" t="s">
        <v>351</v>
      </c>
      <c r="E21" s="1016" t="s">
        <v>353</v>
      </c>
      <c r="F21" s="1230"/>
      <c r="G21" s="1036" t="s">
        <v>909</v>
      </c>
      <c r="H21" s="1035"/>
      <c r="I21" s="1031"/>
      <c r="J21" s="1257" t="s">
        <v>907</v>
      </c>
      <c r="K21" s="1234"/>
      <c r="L21" s="1234"/>
      <c r="M21" s="1234">
        <f t="shared" ref="M21" si="17">K21+L21</f>
        <v>0</v>
      </c>
      <c r="N21" s="1038"/>
      <c r="O21" s="1038"/>
      <c r="P21" s="1049">
        <f t="shared" ref="P21" si="18">N21+O21</f>
        <v>0</v>
      </c>
      <c r="Q21" s="1254">
        <v>3</v>
      </c>
      <c r="R21" s="1254">
        <v>11</v>
      </c>
      <c r="S21" s="1254">
        <f t="shared" ref="S21" si="19">Q21+R21</f>
        <v>14</v>
      </c>
      <c r="T21" s="1049"/>
      <c r="U21" s="1049">
        <v>6</v>
      </c>
      <c r="V21" s="1052">
        <f t="shared" ref="V21" si="20">T21+U21</f>
        <v>6</v>
      </c>
      <c r="X21" s="1049">
        <f t="shared" ref="X21" si="21">W21/40</f>
        <v>0</v>
      </c>
      <c r="Y21" s="1049"/>
      <c r="Z21" s="1049"/>
      <c r="AA21" s="1049">
        <f t="shared" ref="AA21" si="22">Z21/40</f>
        <v>0</v>
      </c>
      <c r="AB21" s="1049"/>
      <c r="AC21" s="1052"/>
      <c r="AD21" s="1052">
        <f t="shared" ref="AD21" si="23">AC21/40</f>
        <v>0</v>
      </c>
      <c r="AE21" s="1052"/>
      <c r="AF21" s="1044">
        <f t="shared" ref="AF21" si="24">AD21+AA21+X21</f>
        <v>0</v>
      </c>
      <c r="AG21" s="1044"/>
      <c r="AH21" s="1044"/>
      <c r="AI21" s="1044"/>
      <c r="AJ21" s="1044"/>
      <c r="AK21" s="1044">
        <f t="shared" ref="AK21" si="25">AJ21+AI21+AH21</f>
        <v>0</v>
      </c>
      <c r="AL21" s="1059"/>
      <c r="AM21" s="1044"/>
      <c r="AN21" s="1044"/>
      <c r="AO21" s="1044"/>
      <c r="AP21" s="1044">
        <f t="shared" ref="AP21" si="26">AO21+AN21+AM21</f>
        <v>0</v>
      </c>
      <c r="AQ21" s="1059"/>
      <c r="AR21" s="1059"/>
      <c r="AS21" s="1059"/>
      <c r="AT21" s="1045">
        <f t="shared" ref="AT21" si="27">AR21+AS21</f>
        <v>0</v>
      </c>
      <c r="AU21" s="1059"/>
      <c r="AV21" s="1059"/>
      <c r="AW21" s="1059"/>
      <c r="AX21" s="1059">
        <f t="shared" ref="AX21" si="28">AV21+AW21</f>
        <v>0</v>
      </c>
      <c r="AY21" s="1060"/>
      <c r="AZ21" s="1060">
        <f t="shared" ref="AZ21" si="29">AK21-AP21</f>
        <v>0</v>
      </c>
      <c r="BA21" s="1060">
        <f t="shared" ref="BA21" si="30">AL21-AQ21</f>
        <v>0</v>
      </c>
      <c r="BB21" s="1061"/>
      <c r="BC21" s="1031"/>
      <c r="BD21" s="1031"/>
    </row>
    <row r="22" spans="1:57" ht="15.75" customHeight="1" x14ac:dyDescent="0.25">
      <c r="A22" s="1058">
        <v>7</v>
      </c>
      <c r="B22" s="1058" t="s">
        <v>9</v>
      </c>
      <c r="C22" s="1058">
        <v>3</v>
      </c>
      <c r="D22" s="1231" t="s">
        <v>351</v>
      </c>
      <c r="E22" s="1016" t="s">
        <v>352</v>
      </c>
      <c r="F22" s="1230"/>
      <c r="G22" s="1036" t="s">
        <v>909</v>
      </c>
      <c r="H22" s="1035"/>
      <c r="I22" s="1031"/>
      <c r="J22" s="1257" t="s">
        <v>907</v>
      </c>
      <c r="K22" s="1234"/>
      <c r="L22" s="1234"/>
      <c r="M22" s="1234">
        <f t="shared" ref="M22" si="31">K22+L22</f>
        <v>0</v>
      </c>
      <c r="N22" s="1038"/>
      <c r="O22" s="1038"/>
      <c r="P22" s="1049">
        <f t="shared" ref="P22" si="32">N22+O22</f>
        <v>0</v>
      </c>
      <c r="Q22" s="1254">
        <v>2</v>
      </c>
      <c r="R22" s="1254">
        <v>8</v>
      </c>
      <c r="S22" s="1254">
        <f t="shared" ref="S22" si="33">Q22+R22</f>
        <v>10</v>
      </c>
      <c r="T22" s="1049"/>
      <c r="U22" s="1049">
        <v>5</v>
      </c>
      <c r="V22" s="1052">
        <f t="shared" ref="V22" si="34">T22+U22</f>
        <v>5</v>
      </c>
      <c r="X22" s="1049">
        <f t="shared" ref="X22" si="35">W22/40</f>
        <v>0</v>
      </c>
      <c r="Y22" s="1049"/>
      <c r="Z22" s="1049"/>
      <c r="AA22" s="1049">
        <f t="shared" ref="AA22" si="36">Z22/40</f>
        <v>0</v>
      </c>
      <c r="AB22" s="1049"/>
      <c r="AC22" s="1052"/>
      <c r="AD22" s="1052">
        <f t="shared" ref="AD22" si="37">AC22/40</f>
        <v>0</v>
      </c>
      <c r="AE22" s="1052"/>
      <c r="AF22" s="1044">
        <f t="shared" ref="AF22" si="38">AD22+AA22+X22</f>
        <v>0</v>
      </c>
      <c r="AG22" s="1044"/>
      <c r="AH22" s="1044"/>
      <c r="AI22" s="1044"/>
      <c r="AJ22" s="1044"/>
      <c r="AK22" s="1044">
        <f t="shared" ref="AK22" si="39">AJ22+AI22+AH22</f>
        <v>0</v>
      </c>
      <c r="AL22" s="1059"/>
      <c r="AM22" s="1044"/>
      <c r="AN22" s="1044"/>
      <c r="AO22" s="1044"/>
      <c r="AP22" s="1044">
        <f t="shared" ref="AP22" si="40">AO22+AN22+AM22</f>
        <v>0</v>
      </c>
      <c r="AQ22" s="1059"/>
      <c r="AR22" s="1059"/>
      <c r="AS22" s="1059"/>
      <c r="AT22" s="1045">
        <f t="shared" ref="AT22" si="41">AR22+AS22</f>
        <v>0</v>
      </c>
      <c r="AU22" s="1059"/>
      <c r="AV22" s="1059"/>
      <c r="AW22" s="1059"/>
      <c r="AX22" s="1059">
        <f t="shared" ref="AX22" si="42">AV22+AW22</f>
        <v>0</v>
      </c>
      <c r="AY22" s="1060"/>
      <c r="AZ22" s="1060">
        <f t="shared" ref="AZ22" si="43">AK22-AP22</f>
        <v>0</v>
      </c>
      <c r="BA22" s="1060">
        <f t="shared" ref="BA22" si="44">AL22-AQ22</f>
        <v>0</v>
      </c>
      <c r="BB22" s="1061"/>
      <c r="BC22" s="1031"/>
      <c r="BD22" s="1031"/>
    </row>
    <row r="23" spans="1:57" ht="15.75" customHeight="1" x14ac:dyDescent="0.25">
      <c r="A23" s="1058">
        <v>7</v>
      </c>
      <c r="B23" s="1058" t="s">
        <v>9</v>
      </c>
      <c r="C23" s="1058">
        <v>3</v>
      </c>
      <c r="D23" s="1231" t="s">
        <v>351</v>
      </c>
      <c r="E23" s="1016" t="s">
        <v>949</v>
      </c>
      <c r="F23" s="1230"/>
      <c r="G23" s="1036" t="s">
        <v>909</v>
      </c>
      <c r="H23" s="1035"/>
      <c r="I23" s="1031"/>
      <c r="J23" s="1257" t="s">
        <v>907</v>
      </c>
      <c r="K23" s="1234"/>
      <c r="L23" s="1234"/>
      <c r="M23" s="1234">
        <f t="shared" ref="M23" si="45">K23+L23</f>
        <v>0</v>
      </c>
      <c r="N23" s="1038"/>
      <c r="O23" s="1038"/>
      <c r="P23" s="1049">
        <f t="shared" ref="P23" si="46">N23+O23</f>
        <v>0</v>
      </c>
      <c r="Q23" s="1254">
        <v>27</v>
      </c>
      <c r="R23" s="1254">
        <v>19</v>
      </c>
      <c r="S23" s="1254">
        <f t="shared" ref="S23" si="47">Q23+R23</f>
        <v>46</v>
      </c>
      <c r="T23" s="1049"/>
      <c r="U23" s="1049">
        <v>14</v>
      </c>
      <c r="V23" s="1052">
        <f t="shared" ref="V23" si="48">T23+U23</f>
        <v>14</v>
      </c>
      <c r="X23" s="1049">
        <f t="shared" ref="X23" si="49">W23/40</f>
        <v>0</v>
      </c>
      <c r="Y23" s="1049"/>
      <c r="Z23" s="1049"/>
      <c r="AA23" s="1049">
        <f t="shared" ref="AA23" si="50">Z23/40</f>
        <v>0</v>
      </c>
      <c r="AB23" s="1049"/>
      <c r="AC23" s="1052"/>
      <c r="AD23" s="1052">
        <f t="shared" ref="AD23" si="51">AC23/40</f>
        <v>0</v>
      </c>
      <c r="AE23" s="1052"/>
      <c r="AF23" s="1044">
        <f t="shared" ref="AF23" si="52">AD23+AA23+X23</f>
        <v>0</v>
      </c>
      <c r="AG23" s="1044"/>
      <c r="AH23" s="1044"/>
      <c r="AI23" s="1044"/>
      <c r="AJ23" s="1044"/>
      <c r="AK23" s="1044">
        <f t="shared" ref="AK23" si="53">AJ23+AI23+AH23</f>
        <v>0</v>
      </c>
      <c r="AL23" s="1059"/>
      <c r="AM23" s="1044"/>
      <c r="AN23" s="1044"/>
      <c r="AO23" s="1044"/>
      <c r="AP23" s="1044">
        <f t="shared" ref="AP23" si="54">AO23+AN23+AM23</f>
        <v>0</v>
      </c>
      <c r="AQ23" s="1059"/>
      <c r="AR23" s="1059"/>
      <c r="AS23" s="1059"/>
      <c r="AT23" s="1045">
        <f t="shared" ref="AT23" si="55">AR23+AS23</f>
        <v>0</v>
      </c>
      <c r="AU23" s="1059"/>
      <c r="AV23" s="1059"/>
      <c r="AW23" s="1059"/>
      <c r="AX23" s="1059">
        <f t="shared" ref="AX23" si="56">AV23+AW23</f>
        <v>0</v>
      </c>
      <c r="AY23" s="1060"/>
      <c r="AZ23" s="1060">
        <f t="shared" ref="AZ23" si="57">AK23-AP23</f>
        <v>0</v>
      </c>
      <c r="BA23" s="1060">
        <f t="shared" ref="BA23" si="58">AL23-AQ23</f>
        <v>0</v>
      </c>
      <c r="BB23" s="1061"/>
      <c r="BC23" s="1031"/>
      <c r="BD23" s="1031"/>
    </row>
    <row r="24" spans="1:57" ht="15.75" customHeight="1" x14ac:dyDescent="0.25">
      <c r="A24" s="1058">
        <v>7</v>
      </c>
      <c r="B24" s="1058" t="s">
        <v>9</v>
      </c>
      <c r="C24" s="1058">
        <v>3</v>
      </c>
      <c r="D24" s="1231" t="s">
        <v>351</v>
      </c>
      <c r="E24" s="1016" t="s">
        <v>354</v>
      </c>
      <c r="F24" s="1230"/>
      <c r="G24" s="1036" t="s">
        <v>909</v>
      </c>
      <c r="H24" s="1035"/>
      <c r="I24" s="1031"/>
      <c r="J24" s="1257" t="s">
        <v>907</v>
      </c>
      <c r="K24" s="1234"/>
      <c r="L24" s="1234"/>
      <c r="M24" s="1234">
        <f t="shared" ref="M24" si="59">K24+L24</f>
        <v>0</v>
      </c>
      <c r="N24" s="1038"/>
      <c r="O24" s="1038"/>
      <c r="P24" s="1049">
        <f t="shared" ref="P24" si="60">N24+O24</f>
        <v>0</v>
      </c>
      <c r="Q24" s="1254">
        <v>5</v>
      </c>
      <c r="R24" s="1254">
        <v>21</v>
      </c>
      <c r="S24" s="1254">
        <f t="shared" ref="S24" si="61">Q24+R24</f>
        <v>26</v>
      </c>
      <c r="T24" s="1049"/>
      <c r="U24" s="1049">
        <v>15</v>
      </c>
      <c r="V24" s="1052">
        <f t="shared" ref="V24" si="62">T24+U24</f>
        <v>15</v>
      </c>
      <c r="X24" s="1049">
        <f t="shared" ref="X24" si="63">W24/40</f>
        <v>0</v>
      </c>
      <c r="Y24" s="1049"/>
      <c r="Z24" s="1049"/>
      <c r="AA24" s="1049">
        <f t="shared" ref="AA24" si="64">Z24/40</f>
        <v>0</v>
      </c>
      <c r="AB24" s="1049"/>
      <c r="AC24" s="1052"/>
      <c r="AD24" s="1052">
        <f t="shared" ref="AD24" si="65">AC24/40</f>
        <v>0</v>
      </c>
      <c r="AE24" s="1052"/>
      <c r="AF24" s="1044">
        <f t="shared" ref="AF24" si="66">AD24+AA24+X24</f>
        <v>0</v>
      </c>
      <c r="AG24" s="1044"/>
      <c r="AH24" s="1044"/>
      <c r="AI24" s="1044"/>
      <c r="AJ24" s="1044"/>
      <c r="AK24" s="1044">
        <f t="shared" ref="AK24" si="67">AJ24+AI24+AH24</f>
        <v>0</v>
      </c>
      <c r="AL24" s="1059"/>
      <c r="AM24" s="1044"/>
      <c r="AN24" s="1044"/>
      <c r="AO24" s="1044"/>
      <c r="AP24" s="1044">
        <f t="shared" ref="AP24" si="68">AO24+AN24+AM24</f>
        <v>0</v>
      </c>
      <c r="AQ24" s="1059"/>
      <c r="AR24" s="1059"/>
      <c r="AS24" s="1059"/>
      <c r="AT24" s="1045">
        <f t="shared" ref="AT24" si="69">AR24+AS24</f>
        <v>0</v>
      </c>
      <c r="AU24" s="1059"/>
      <c r="AV24" s="1059"/>
      <c r="AW24" s="1059"/>
      <c r="AX24" s="1059">
        <f t="shared" ref="AX24" si="70">AV24+AW24</f>
        <v>0</v>
      </c>
      <c r="AY24" s="1060"/>
      <c r="AZ24" s="1060">
        <f t="shared" ref="AZ24" si="71">AK24-AP24</f>
        <v>0</v>
      </c>
      <c r="BA24" s="1060">
        <f t="shared" ref="BA24" si="72">AL24-AQ24</f>
        <v>0</v>
      </c>
      <c r="BB24" s="1061"/>
      <c r="BC24" s="1031"/>
      <c r="BD24" s="1031"/>
    </row>
    <row r="25" spans="1:57" ht="15.75" customHeight="1" x14ac:dyDescent="0.25">
      <c r="A25" s="1058">
        <v>7</v>
      </c>
      <c r="B25" s="1058" t="s">
        <v>9</v>
      </c>
      <c r="C25" s="1058">
        <v>3</v>
      </c>
      <c r="D25" s="1231" t="s">
        <v>351</v>
      </c>
      <c r="E25" s="1016" t="s">
        <v>950</v>
      </c>
      <c r="F25" s="1230"/>
      <c r="G25" s="1036" t="s">
        <v>909</v>
      </c>
      <c r="H25" s="1035"/>
      <c r="I25" s="1031"/>
      <c r="J25" s="1257" t="s">
        <v>907</v>
      </c>
      <c r="K25" s="1234"/>
      <c r="L25" s="1234"/>
      <c r="M25" s="1234">
        <f t="shared" ref="M25" si="73">K25+L25</f>
        <v>0</v>
      </c>
      <c r="N25" s="1038"/>
      <c r="O25" s="1038"/>
      <c r="P25" s="1049">
        <f t="shared" ref="P25" si="74">N25+O25</f>
        <v>0</v>
      </c>
      <c r="Q25" s="1254">
        <v>0</v>
      </c>
      <c r="R25" s="1254">
        <v>10</v>
      </c>
      <c r="S25" s="1254">
        <f t="shared" ref="S25" si="75">Q25+R25</f>
        <v>10</v>
      </c>
      <c r="T25" s="1049"/>
      <c r="U25" s="1049">
        <v>4</v>
      </c>
      <c r="V25" s="1052">
        <f t="shared" ref="V25" si="76">T25+U25</f>
        <v>4</v>
      </c>
      <c r="X25" s="1049">
        <f t="shared" ref="X25" si="77">W25/40</f>
        <v>0</v>
      </c>
      <c r="Y25" s="1049"/>
      <c r="Z25" s="1049"/>
      <c r="AA25" s="1049">
        <f t="shared" ref="AA25" si="78">Z25/40</f>
        <v>0</v>
      </c>
      <c r="AB25" s="1049"/>
      <c r="AC25" s="1052"/>
      <c r="AD25" s="1052">
        <f t="shared" ref="AD25" si="79">AC25/40</f>
        <v>0</v>
      </c>
      <c r="AE25" s="1052"/>
      <c r="AF25" s="1044">
        <f t="shared" ref="AF25" si="80">AD25+AA25+X25</f>
        <v>0</v>
      </c>
      <c r="AG25" s="1044"/>
      <c r="AH25" s="1044"/>
      <c r="AI25" s="1044"/>
      <c r="AJ25" s="1044"/>
      <c r="AK25" s="1044">
        <f t="shared" ref="AK25" si="81">AJ25+AI25+AH25</f>
        <v>0</v>
      </c>
      <c r="AL25" s="1059"/>
      <c r="AM25" s="1044"/>
      <c r="AN25" s="1044"/>
      <c r="AO25" s="1044"/>
      <c r="AP25" s="1044">
        <f t="shared" ref="AP25" si="82">AO25+AN25+AM25</f>
        <v>0</v>
      </c>
      <c r="AQ25" s="1059"/>
      <c r="AR25" s="1059"/>
      <c r="AS25" s="1059"/>
      <c r="AT25" s="1045">
        <f t="shared" ref="AT25" si="83">AR25+AS25</f>
        <v>0</v>
      </c>
      <c r="AU25" s="1059"/>
      <c r="AV25" s="1059"/>
      <c r="AW25" s="1059"/>
      <c r="AX25" s="1059">
        <f t="shared" ref="AX25" si="84">AV25+AW25</f>
        <v>0</v>
      </c>
      <c r="AY25" s="1060"/>
      <c r="AZ25" s="1060">
        <f t="shared" ref="AZ25" si="85">AK25-AP25</f>
        <v>0</v>
      </c>
      <c r="BA25" s="1060">
        <f t="shared" ref="BA25" si="86">AL25-AQ25</f>
        <v>0</v>
      </c>
      <c r="BB25" s="1061"/>
      <c r="BC25" s="1031"/>
      <c r="BD25" s="1031"/>
    </row>
    <row r="26" spans="1:57" s="1282" customFormat="1" ht="15" customHeight="1" x14ac:dyDescent="0.25">
      <c r="A26" s="1264"/>
      <c r="B26" s="1264"/>
      <c r="C26" s="1264"/>
      <c r="D26" s="1265"/>
      <c r="E26" s="1266"/>
      <c r="F26" s="1267"/>
      <c r="G26" s="1267"/>
      <c r="H26" s="1268"/>
      <c r="I26" s="1269"/>
      <c r="J26" s="1270"/>
      <c r="K26" s="1271"/>
      <c r="L26" s="1271"/>
      <c r="M26" s="1271"/>
      <c r="N26" s="1272"/>
      <c r="O26" s="1272"/>
      <c r="P26" s="1273"/>
      <c r="Q26" s="1274"/>
      <c r="R26" s="1274"/>
      <c r="S26" s="1274"/>
      <c r="T26" s="1273"/>
      <c r="U26" s="1273"/>
      <c r="V26" s="1275"/>
      <c r="W26" s="1272"/>
      <c r="X26" s="1273"/>
      <c r="Y26" s="1273"/>
      <c r="Z26" s="1273"/>
      <c r="AA26" s="1273"/>
      <c r="AB26" s="1273"/>
      <c r="AC26" s="1275"/>
      <c r="AD26" s="1275"/>
      <c r="AE26" s="1275"/>
      <c r="AF26" s="1276">
        <f t="shared" si="14"/>
        <v>0</v>
      </c>
      <c r="AG26" s="1276"/>
      <c r="AH26" s="1276"/>
      <c r="AI26" s="1276"/>
      <c r="AJ26" s="1276"/>
      <c r="AK26" s="1276">
        <f t="shared" si="5"/>
        <v>0</v>
      </c>
      <c r="AL26" s="1277"/>
      <c r="AM26" s="1276"/>
      <c r="AN26" s="1276"/>
      <c r="AO26" s="1276"/>
      <c r="AP26" s="1276">
        <f t="shared" si="6"/>
        <v>0</v>
      </c>
      <c r="AQ26" s="1277"/>
      <c r="AR26" s="1277"/>
      <c r="AS26" s="1277"/>
      <c r="AT26" s="1329"/>
      <c r="AU26" s="1277"/>
      <c r="AV26" s="1277"/>
      <c r="AW26" s="1277"/>
      <c r="AX26" s="1277">
        <f t="shared" si="7"/>
        <v>0</v>
      </c>
      <c r="AY26" s="1278"/>
      <c r="AZ26" s="1278">
        <f t="shared" si="8"/>
        <v>0</v>
      </c>
      <c r="BA26" s="1278">
        <f t="shared" si="8"/>
        <v>0</v>
      </c>
      <c r="BB26" s="1279"/>
      <c r="BC26" s="1280"/>
      <c r="BD26" s="1280"/>
      <c r="BE26" s="1281"/>
    </row>
    <row r="27" spans="1:57" ht="15" customHeight="1" x14ac:dyDescent="0.25">
      <c r="A27" s="1058">
        <v>10</v>
      </c>
      <c r="B27" s="1058" t="s">
        <v>9</v>
      </c>
      <c r="C27" s="1058">
        <v>1</v>
      </c>
      <c r="D27" s="1063" t="s">
        <v>23</v>
      </c>
      <c r="E27" s="1016" t="s">
        <v>24</v>
      </c>
      <c r="F27" s="1095"/>
      <c r="G27" s="1095"/>
      <c r="H27" s="1035"/>
      <c r="I27" s="1036" t="s">
        <v>909</v>
      </c>
      <c r="J27" s="1257" t="s">
        <v>907</v>
      </c>
      <c r="K27" s="1234"/>
      <c r="L27" s="1234"/>
      <c r="M27" s="1234">
        <f t="shared" si="15"/>
        <v>0</v>
      </c>
      <c r="N27" s="1038"/>
      <c r="O27" s="1038"/>
      <c r="P27" s="1049">
        <f t="shared" si="9"/>
        <v>0</v>
      </c>
      <c r="Q27" s="1254">
        <v>2</v>
      </c>
      <c r="R27" s="1254">
        <v>6</v>
      </c>
      <c r="S27" s="1254">
        <f t="shared" si="10"/>
        <v>8</v>
      </c>
      <c r="T27" s="1049"/>
      <c r="U27" s="1049">
        <v>3.25</v>
      </c>
      <c r="V27" s="1052">
        <f t="shared" si="11"/>
        <v>3.25</v>
      </c>
      <c r="X27" s="1049">
        <f t="shared" si="12"/>
        <v>0</v>
      </c>
      <c r="Y27" s="1049">
        <f>SUM(X27:X28)</f>
        <v>0</v>
      </c>
      <c r="Z27" s="1049"/>
      <c r="AA27" s="1049">
        <f t="shared" si="4"/>
        <v>0</v>
      </c>
      <c r="AB27" s="1049">
        <f>SUM(AA27:AA28)</f>
        <v>0</v>
      </c>
      <c r="AC27" s="1052"/>
      <c r="AD27" s="1052">
        <f t="shared" si="13"/>
        <v>0</v>
      </c>
      <c r="AE27" s="1052">
        <f>SUM(AD27:AD28)</f>
        <v>0</v>
      </c>
      <c r="AF27" s="1044">
        <f t="shared" si="14"/>
        <v>0</v>
      </c>
      <c r="AG27" s="1044">
        <f>SUM(AF27:AF28)</f>
        <v>0</v>
      </c>
      <c r="AH27" s="1044"/>
      <c r="AI27" s="1044"/>
      <c r="AJ27" s="1044"/>
      <c r="AK27" s="1044">
        <f t="shared" si="5"/>
        <v>0</v>
      </c>
      <c r="AL27" s="1059">
        <f>SUM(AK27:AK28)</f>
        <v>0</v>
      </c>
      <c r="AM27" s="1044"/>
      <c r="AN27" s="1044"/>
      <c r="AO27" s="1044"/>
      <c r="AP27" s="1044">
        <f t="shared" si="6"/>
        <v>0</v>
      </c>
      <c r="AQ27" s="1059">
        <f>SUM(AP27:AP28)</f>
        <v>0</v>
      </c>
      <c r="AR27" s="1059"/>
      <c r="AS27" s="1059"/>
      <c r="AT27" s="1045">
        <f t="shared" si="16"/>
        <v>0</v>
      </c>
      <c r="AU27" s="1059">
        <f>SUM(AT27:AT28)</f>
        <v>0</v>
      </c>
      <c r="AV27" s="1059"/>
      <c r="AW27" s="1059"/>
      <c r="AX27" s="1059">
        <f t="shared" si="7"/>
        <v>0</v>
      </c>
      <c r="AY27" s="1060">
        <f>SUM(AX27:AX28)</f>
        <v>0</v>
      </c>
      <c r="AZ27" s="1060">
        <f t="shared" si="8"/>
        <v>0</v>
      </c>
      <c r="BA27" s="1060">
        <f t="shared" si="8"/>
        <v>0</v>
      </c>
      <c r="BB27" s="1061"/>
      <c r="BC27" s="1031"/>
      <c r="BD27" s="1031"/>
    </row>
    <row r="28" spans="1:57" ht="15" customHeight="1" x14ac:dyDescent="0.25">
      <c r="A28" s="1058">
        <v>11</v>
      </c>
      <c r="B28" s="1058" t="s">
        <v>9</v>
      </c>
      <c r="C28" s="1058">
        <v>2</v>
      </c>
      <c r="D28" s="1063" t="s">
        <v>23</v>
      </c>
      <c r="E28" s="1016" t="s">
        <v>25</v>
      </c>
      <c r="F28" s="1095"/>
      <c r="G28" s="1095"/>
      <c r="H28" s="1035"/>
      <c r="I28" s="1036" t="s">
        <v>909</v>
      </c>
      <c r="J28" s="1257" t="s">
        <v>907</v>
      </c>
      <c r="K28" s="1234"/>
      <c r="L28" s="1234"/>
      <c r="M28" s="1234">
        <f t="shared" si="15"/>
        <v>0</v>
      </c>
      <c r="N28" s="1038"/>
      <c r="O28" s="1038"/>
      <c r="P28" s="1049">
        <f t="shared" si="9"/>
        <v>0</v>
      </c>
      <c r="Q28" s="1254">
        <v>1</v>
      </c>
      <c r="R28" s="1254">
        <v>5</v>
      </c>
      <c r="S28" s="1254">
        <f t="shared" si="10"/>
        <v>6</v>
      </c>
      <c r="T28" s="1049"/>
      <c r="U28" s="1049">
        <v>2.5</v>
      </c>
      <c r="V28" s="1052">
        <f t="shared" si="11"/>
        <v>2.5</v>
      </c>
      <c r="X28" s="1049">
        <f t="shared" si="12"/>
        <v>0</v>
      </c>
      <c r="Y28" s="1049"/>
      <c r="Z28" s="1049"/>
      <c r="AA28" s="1049">
        <f t="shared" si="4"/>
        <v>0</v>
      </c>
      <c r="AB28" s="1049"/>
      <c r="AC28" s="1052"/>
      <c r="AD28" s="1052">
        <f t="shared" si="13"/>
        <v>0</v>
      </c>
      <c r="AE28" s="1052"/>
      <c r="AF28" s="1044">
        <f t="shared" si="14"/>
        <v>0</v>
      </c>
      <c r="AG28" s="1044"/>
      <c r="AH28" s="1044"/>
      <c r="AI28" s="1044"/>
      <c r="AJ28" s="1044"/>
      <c r="AK28" s="1044">
        <f t="shared" si="5"/>
        <v>0</v>
      </c>
      <c r="AL28" s="1059"/>
      <c r="AM28" s="1044"/>
      <c r="AN28" s="1044"/>
      <c r="AO28" s="1044"/>
      <c r="AP28" s="1044">
        <f t="shared" si="6"/>
        <v>0</v>
      </c>
      <c r="AQ28" s="1059"/>
      <c r="AR28" s="1059"/>
      <c r="AS28" s="1059"/>
      <c r="AT28" s="1045">
        <f>AR28+AS28</f>
        <v>0</v>
      </c>
      <c r="AU28" s="1059"/>
      <c r="AV28" s="1059"/>
      <c r="AW28" s="1059"/>
      <c r="AX28" s="1059">
        <f t="shared" si="7"/>
        <v>0</v>
      </c>
      <c r="AY28" s="1060"/>
      <c r="AZ28" s="1060">
        <f t="shared" si="8"/>
        <v>0</v>
      </c>
      <c r="BA28" s="1060">
        <f t="shared" si="8"/>
        <v>0</v>
      </c>
      <c r="BB28" s="1061"/>
      <c r="BC28" s="1031"/>
      <c r="BD28" s="1031"/>
    </row>
    <row r="29" spans="1:57" ht="15" customHeight="1" x14ac:dyDescent="0.25">
      <c r="A29" s="1058">
        <v>11</v>
      </c>
      <c r="B29" s="1058" t="s">
        <v>9</v>
      </c>
      <c r="C29" s="1058">
        <v>2</v>
      </c>
      <c r="D29" s="1063" t="s">
        <v>23</v>
      </c>
      <c r="E29" s="1016" t="s">
        <v>916</v>
      </c>
      <c r="F29" s="1229"/>
      <c r="G29" s="1229"/>
      <c r="H29" s="1035"/>
      <c r="I29" s="1036" t="s">
        <v>909</v>
      </c>
      <c r="J29" s="1257" t="s">
        <v>907</v>
      </c>
      <c r="K29" s="1234"/>
      <c r="L29" s="1234"/>
      <c r="M29" s="1234">
        <v>0</v>
      </c>
      <c r="N29" s="1038"/>
      <c r="O29" s="1038"/>
      <c r="P29" s="1049">
        <f t="shared" si="9"/>
        <v>0</v>
      </c>
      <c r="Q29" s="1254">
        <v>2</v>
      </c>
      <c r="R29" s="1254">
        <v>16</v>
      </c>
      <c r="S29" s="1254">
        <v>0</v>
      </c>
      <c r="T29" s="1049"/>
      <c r="U29" s="1049">
        <v>6.25</v>
      </c>
      <c r="V29" s="1052">
        <v>0</v>
      </c>
      <c r="X29" s="1049">
        <v>0</v>
      </c>
      <c r="Y29" s="1049"/>
      <c r="Z29" s="1049"/>
      <c r="AA29" s="1049">
        <v>0</v>
      </c>
      <c r="AB29" s="1049"/>
      <c r="AC29" s="1052"/>
      <c r="AD29" s="1052">
        <v>0</v>
      </c>
      <c r="AE29" s="1052"/>
      <c r="AF29" s="1044">
        <v>0</v>
      </c>
      <c r="AG29" s="1044"/>
      <c r="AH29" s="1044"/>
      <c r="AI29" s="1044"/>
      <c r="AJ29" s="1044"/>
      <c r="AK29" s="1044">
        <v>0</v>
      </c>
      <c r="AL29" s="1059"/>
      <c r="AM29" s="1044"/>
      <c r="AN29" s="1044"/>
      <c r="AO29" s="1044"/>
      <c r="AP29" s="1044">
        <v>0</v>
      </c>
      <c r="AQ29" s="1059"/>
      <c r="AR29" s="1059"/>
      <c r="AS29" s="1059"/>
      <c r="AT29" s="1045">
        <v>0</v>
      </c>
      <c r="AU29" s="1059"/>
      <c r="AV29" s="1059"/>
      <c r="AW29" s="1059"/>
      <c r="AX29" s="1059">
        <v>0</v>
      </c>
      <c r="AY29" s="1060"/>
      <c r="AZ29" s="1060">
        <v>0</v>
      </c>
      <c r="BA29" s="1060">
        <v>0</v>
      </c>
      <c r="BB29" s="1061"/>
      <c r="BC29" s="1031"/>
      <c r="BD29" s="1031"/>
    </row>
    <row r="30" spans="1:57" ht="15" customHeight="1" x14ac:dyDescent="0.25">
      <c r="A30" s="1058">
        <v>11</v>
      </c>
      <c r="B30" s="1058" t="s">
        <v>9</v>
      </c>
      <c r="C30" s="1058">
        <v>2</v>
      </c>
      <c r="D30" s="1063" t="s">
        <v>23</v>
      </c>
      <c r="E30" s="1016" t="s">
        <v>917</v>
      </c>
      <c r="F30" s="1229"/>
      <c r="G30" s="1229"/>
      <c r="H30" s="1035"/>
      <c r="I30" s="1036" t="s">
        <v>909</v>
      </c>
      <c r="J30" s="1257" t="s">
        <v>907</v>
      </c>
      <c r="K30" s="1234"/>
      <c r="L30" s="1234"/>
      <c r="M30" s="1234">
        <v>0</v>
      </c>
      <c r="N30" s="1038"/>
      <c r="O30" s="1038"/>
      <c r="P30" s="1049">
        <f t="shared" si="9"/>
        <v>0</v>
      </c>
      <c r="Q30" s="1254">
        <v>3</v>
      </c>
      <c r="R30" s="1254">
        <v>9</v>
      </c>
      <c r="S30" s="1254">
        <v>0</v>
      </c>
      <c r="T30" s="1049"/>
      <c r="U30" s="1049">
        <v>3</v>
      </c>
      <c r="V30" s="1052">
        <v>0</v>
      </c>
      <c r="X30" s="1049">
        <v>0</v>
      </c>
      <c r="Y30" s="1049"/>
      <c r="Z30" s="1049"/>
      <c r="AA30" s="1049">
        <v>0</v>
      </c>
      <c r="AB30" s="1049"/>
      <c r="AC30" s="1052"/>
      <c r="AD30" s="1052">
        <v>0</v>
      </c>
      <c r="AE30" s="1052"/>
      <c r="AF30" s="1044">
        <v>0</v>
      </c>
      <c r="AG30" s="1044"/>
      <c r="AH30" s="1044"/>
      <c r="AI30" s="1044"/>
      <c r="AJ30" s="1044"/>
      <c r="AK30" s="1044">
        <v>0</v>
      </c>
      <c r="AL30" s="1059"/>
      <c r="AM30" s="1044"/>
      <c r="AN30" s="1044"/>
      <c r="AO30" s="1044"/>
      <c r="AP30" s="1044">
        <v>0</v>
      </c>
      <c r="AQ30" s="1059"/>
      <c r="AR30" s="1059"/>
      <c r="AS30" s="1059"/>
      <c r="AT30" s="1045">
        <v>0</v>
      </c>
      <c r="AU30" s="1059"/>
      <c r="AV30" s="1059"/>
      <c r="AW30" s="1059"/>
      <c r="AX30" s="1059">
        <v>0</v>
      </c>
      <c r="AY30" s="1060"/>
      <c r="AZ30" s="1060">
        <v>0</v>
      </c>
      <c r="BA30" s="1060">
        <v>0</v>
      </c>
      <c r="BB30" s="1061"/>
      <c r="BC30" s="1031"/>
      <c r="BD30" s="1031"/>
    </row>
    <row r="31" spans="1:57" s="1282" customFormat="1" ht="15" customHeight="1" x14ac:dyDescent="0.25">
      <c r="A31" s="1264"/>
      <c r="B31" s="1264"/>
      <c r="C31" s="1264"/>
      <c r="D31" s="1334"/>
      <c r="E31" s="1266"/>
      <c r="F31" s="1267"/>
      <c r="G31" s="1267"/>
      <c r="H31" s="1268"/>
      <c r="I31" s="1269"/>
      <c r="J31" s="1270"/>
      <c r="K31" s="1271"/>
      <c r="L31" s="1271"/>
      <c r="M31" s="1271"/>
      <c r="N31" s="1272"/>
      <c r="O31" s="1272"/>
      <c r="P31" s="1273"/>
      <c r="Q31" s="1274"/>
      <c r="R31" s="1274"/>
      <c r="S31" s="1274"/>
      <c r="T31" s="1273"/>
      <c r="U31" s="1273"/>
      <c r="V31" s="1275"/>
      <c r="W31" s="1272"/>
      <c r="X31" s="1273"/>
      <c r="Y31" s="1273"/>
      <c r="Z31" s="1273"/>
      <c r="AA31" s="1273"/>
      <c r="AB31" s="1273"/>
      <c r="AC31" s="1275"/>
      <c r="AD31" s="1275"/>
      <c r="AE31" s="1275"/>
      <c r="AF31" s="1276">
        <f t="shared" si="14"/>
        <v>0</v>
      </c>
      <c r="AG31" s="1276"/>
      <c r="AH31" s="1276"/>
      <c r="AI31" s="1276"/>
      <c r="AJ31" s="1276"/>
      <c r="AK31" s="1276">
        <f t="shared" si="5"/>
        <v>0</v>
      </c>
      <c r="AL31" s="1277"/>
      <c r="AM31" s="1276"/>
      <c r="AN31" s="1276"/>
      <c r="AO31" s="1276"/>
      <c r="AP31" s="1276">
        <f t="shared" si="6"/>
        <v>0</v>
      </c>
      <c r="AQ31" s="1277"/>
      <c r="AR31" s="1277"/>
      <c r="AS31" s="1277"/>
      <c r="AT31" s="1329"/>
      <c r="AU31" s="1277"/>
      <c r="AV31" s="1277"/>
      <c r="AW31" s="1277"/>
      <c r="AX31" s="1277">
        <f t="shared" si="7"/>
        <v>0</v>
      </c>
      <c r="AY31" s="1278"/>
      <c r="AZ31" s="1278">
        <f t="shared" si="8"/>
        <v>0</v>
      </c>
      <c r="BA31" s="1278">
        <f t="shared" si="8"/>
        <v>0</v>
      </c>
      <c r="BB31" s="1279"/>
      <c r="BC31" s="1280"/>
      <c r="BD31" s="1280"/>
      <c r="BE31" s="1281"/>
    </row>
    <row r="32" spans="1:57" ht="15" customHeight="1" x14ac:dyDescent="0.25">
      <c r="A32" s="1058"/>
      <c r="B32" s="1058"/>
      <c r="C32" s="1058"/>
      <c r="D32" s="1063" t="s">
        <v>26</v>
      </c>
      <c r="E32" s="1070" t="s">
        <v>918</v>
      </c>
      <c r="F32" s="1095"/>
      <c r="G32" s="1036" t="s">
        <v>909</v>
      </c>
      <c r="H32" s="1035"/>
      <c r="I32" s="1036" t="s">
        <v>909</v>
      </c>
      <c r="J32" s="1257" t="s">
        <v>907</v>
      </c>
      <c r="K32" s="1234">
        <v>12</v>
      </c>
      <c r="L32" s="1234">
        <v>10</v>
      </c>
      <c r="M32" s="1234">
        <f t="shared" si="15"/>
        <v>22</v>
      </c>
      <c r="N32" s="1038"/>
      <c r="O32" s="1038">
        <v>21</v>
      </c>
      <c r="P32" s="1049">
        <f t="shared" si="9"/>
        <v>21</v>
      </c>
      <c r="Q32" s="1254">
        <v>12</v>
      </c>
      <c r="R32" s="1254">
        <v>10</v>
      </c>
      <c r="S32" s="1254">
        <f t="shared" si="10"/>
        <v>22</v>
      </c>
      <c r="T32" s="1049"/>
      <c r="U32" s="1049">
        <v>21</v>
      </c>
      <c r="V32" s="1052">
        <f t="shared" si="11"/>
        <v>21</v>
      </c>
      <c r="X32" s="1049">
        <f t="shared" si="12"/>
        <v>0</v>
      </c>
      <c r="Y32" s="1049">
        <f>SUM(X32:X34)</f>
        <v>0</v>
      </c>
      <c r="Z32" s="1049"/>
      <c r="AA32" s="1049">
        <f t="shared" si="4"/>
        <v>0</v>
      </c>
      <c r="AB32" s="1049">
        <f>SUM(AA32:AA34)</f>
        <v>0</v>
      </c>
      <c r="AC32" s="1052">
        <v>200</v>
      </c>
      <c r="AD32" s="1052">
        <f t="shared" si="13"/>
        <v>5</v>
      </c>
      <c r="AE32" s="1052">
        <f>SUM(AD32:AD34)</f>
        <v>10</v>
      </c>
      <c r="AF32" s="1044">
        <f t="shared" si="14"/>
        <v>5</v>
      </c>
      <c r="AG32" s="1044">
        <f>SUM(AF32:AF34)</f>
        <v>10</v>
      </c>
      <c r="AH32" s="1044"/>
      <c r="AI32" s="1044"/>
      <c r="AJ32" s="1044"/>
      <c r="AK32" s="1044">
        <f t="shared" si="5"/>
        <v>0</v>
      </c>
      <c r="AL32" s="1059">
        <f>SUM(AK32:AK34)</f>
        <v>0</v>
      </c>
      <c r="AM32" s="1044"/>
      <c r="AN32" s="1044"/>
      <c r="AO32" s="1044"/>
      <c r="AP32" s="1044">
        <f t="shared" si="6"/>
        <v>0</v>
      </c>
      <c r="AQ32" s="1059">
        <f>SUM(AP32:AP34)</f>
        <v>0</v>
      </c>
      <c r="AR32" s="1059"/>
      <c r="AS32" s="1059"/>
      <c r="AT32" s="1045">
        <f>AR32+AS32</f>
        <v>0</v>
      </c>
      <c r="AU32" s="1059">
        <f>SUM(AT32:AT34)</f>
        <v>0</v>
      </c>
      <c r="AV32" s="1059"/>
      <c r="AW32" s="1059"/>
      <c r="AX32" s="1059">
        <f t="shared" si="7"/>
        <v>0</v>
      </c>
      <c r="AY32" s="1060">
        <f>SUM(AX32:AX34)</f>
        <v>0</v>
      </c>
      <c r="AZ32" s="1060">
        <f t="shared" si="8"/>
        <v>0</v>
      </c>
      <c r="BA32" s="1060">
        <f t="shared" si="8"/>
        <v>0</v>
      </c>
      <c r="BB32" s="1061"/>
      <c r="BC32" s="1031"/>
      <c r="BD32" s="1031"/>
    </row>
    <row r="33" spans="1:57" ht="15" customHeight="1" x14ac:dyDescent="0.25">
      <c r="A33" s="1058"/>
      <c r="B33" s="1058"/>
      <c r="C33" s="1058"/>
      <c r="D33" s="1063" t="s">
        <v>26</v>
      </c>
      <c r="E33" s="1070" t="s">
        <v>697</v>
      </c>
      <c r="F33" s="1095"/>
      <c r="G33" s="1036" t="s">
        <v>909</v>
      </c>
      <c r="H33" s="1035"/>
      <c r="I33" s="1036" t="s">
        <v>909</v>
      </c>
      <c r="J33" s="1257" t="s">
        <v>907</v>
      </c>
      <c r="K33" s="1234">
        <v>0</v>
      </c>
      <c r="L33" s="1234">
        <v>11</v>
      </c>
      <c r="M33" s="1234">
        <f t="shared" si="15"/>
        <v>11</v>
      </c>
      <c r="N33" s="1038"/>
      <c r="O33" s="1038">
        <v>5</v>
      </c>
      <c r="P33" s="1049">
        <f t="shared" si="9"/>
        <v>5</v>
      </c>
      <c r="Q33" s="1254">
        <v>0</v>
      </c>
      <c r="R33" s="1254">
        <v>11</v>
      </c>
      <c r="S33" s="1254">
        <f t="shared" si="10"/>
        <v>11</v>
      </c>
      <c r="T33" s="1049"/>
      <c r="U33" s="1049">
        <v>5</v>
      </c>
      <c r="V33" s="1052">
        <f t="shared" si="11"/>
        <v>5</v>
      </c>
      <c r="X33" s="1049">
        <f t="shared" si="12"/>
        <v>0</v>
      </c>
      <c r="Y33" s="1049"/>
      <c r="Z33" s="1049"/>
      <c r="AA33" s="1049">
        <f t="shared" si="4"/>
        <v>0</v>
      </c>
      <c r="AB33" s="1049"/>
      <c r="AC33" s="1052">
        <v>200</v>
      </c>
      <c r="AD33" s="1052">
        <f t="shared" si="13"/>
        <v>5</v>
      </c>
      <c r="AE33" s="1052"/>
      <c r="AF33" s="1044">
        <f t="shared" si="14"/>
        <v>5</v>
      </c>
      <c r="AG33" s="1044"/>
      <c r="AH33" s="1044"/>
      <c r="AI33" s="1044"/>
      <c r="AJ33" s="1044"/>
      <c r="AK33" s="1044">
        <f t="shared" si="5"/>
        <v>0</v>
      </c>
      <c r="AL33" s="1059"/>
      <c r="AM33" s="1044"/>
      <c r="AN33" s="1044"/>
      <c r="AO33" s="1044"/>
      <c r="AP33" s="1044">
        <f t="shared" si="6"/>
        <v>0</v>
      </c>
      <c r="AQ33" s="1059"/>
      <c r="AR33" s="1059"/>
      <c r="AS33" s="1059"/>
      <c r="AT33" s="1045">
        <f>AR33+AS33</f>
        <v>0</v>
      </c>
      <c r="AU33" s="1059"/>
      <c r="AV33" s="1059"/>
      <c r="AW33" s="1059"/>
      <c r="AX33" s="1059">
        <f t="shared" si="7"/>
        <v>0</v>
      </c>
      <c r="AY33" s="1060"/>
      <c r="AZ33" s="1060">
        <f t="shared" si="8"/>
        <v>0</v>
      </c>
      <c r="BA33" s="1060">
        <f t="shared" si="8"/>
        <v>0</v>
      </c>
      <c r="BB33" s="1061"/>
      <c r="BC33" s="1031"/>
      <c r="BD33" s="1031"/>
    </row>
    <row r="34" spans="1:57" ht="15" customHeight="1" x14ac:dyDescent="0.25">
      <c r="A34" s="1058"/>
      <c r="B34" s="1058"/>
      <c r="C34" s="1058"/>
      <c r="D34" s="1063" t="s">
        <v>26</v>
      </c>
      <c r="E34" s="1070" t="s">
        <v>904</v>
      </c>
      <c r="F34" s="1065"/>
      <c r="G34" s="1036" t="s">
        <v>909</v>
      </c>
      <c r="H34" s="1035"/>
      <c r="I34" s="1036" t="s">
        <v>909</v>
      </c>
      <c r="J34" s="1257" t="s">
        <v>907</v>
      </c>
      <c r="K34" s="1234">
        <v>0</v>
      </c>
      <c r="L34" s="1234">
        <v>20</v>
      </c>
      <c r="M34" s="1234">
        <f t="shared" si="15"/>
        <v>20</v>
      </c>
      <c r="N34" s="1038"/>
      <c r="O34" s="1038">
        <v>20</v>
      </c>
      <c r="P34" s="1049">
        <f t="shared" si="9"/>
        <v>20</v>
      </c>
      <c r="Q34" s="1254">
        <v>0</v>
      </c>
      <c r="R34" s="1254">
        <v>20</v>
      </c>
      <c r="S34" s="1254">
        <f t="shared" si="10"/>
        <v>20</v>
      </c>
      <c r="T34" s="1049"/>
      <c r="U34" s="1049">
        <v>20</v>
      </c>
      <c r="V34" s="1052">
        <f t="shared" si="11"/>
        <v>20</v>
      </c>
      <c r="X34" s="1049">
        <f t="shared" si="12"/>
        <v>0</v>
      </c>
      <c r="Y34" s="1049"/>
      <c r="Z34" s="1049"/>
      <c r="AA34" s="1049">
        <f t="shared" si="4"/>
        <v>0</v>
      </c>
      <c r="AB34" s="1049"/>
      <c r="AC34" s="1052"/>
      <c r="AD34" s="1052">
        <f t="shared" si="13"/>
        <v>0</v>
      </c>
      <c r="AE34" s="1052"/>
      <c r="AF34" s="1044">
        <f t="shared" si="14"/>
        <v>0</v>
      </c>
      <c r="AG34" s="1044"/>
      <c r="AH34" s="1044"/>
      <c r="AI34" s="1044"/>
      <c r="AJ34" s="1044"/>
      <c r="AK34" s="1044">
        <f t="shared" si="5"/>
        <v>0</v>
      </c>
      <c r="AL34" s="1059"/>
      <c r="AM34" s="1044"/>
      <c r="AN34" s="1044"/>
      <c r="AO34" s="1044"/>
      <c r="AP34" s="1044">
        <f t="shared" si="6"/>
        <v>0</v>
      </c>
      <c r="AQ34" s="1059"/>
      <c r="AR34" s="1059"/>
      <c r="AS34" s="1059"/>
      <c r="AT34" s="1045">
        <f>AR34+AS34</f>
        <v>0</v>
      </c>
      <c r="AU34" s="1059"/>
      <c r="AV34" s="1059"/>
      <c r="AW34" s="1059"/>
      <c r="AX34" s="1059">
        <f t="shared" si="7"/>
        <v>0</v>
      </c>
      <c r="AY34" s="1060"/>
      <c r="AZ34" s="1060">
        <f t="shared" si="8"/>
        <v>0</v>
      </c>
      <c r="BA34" s="1060">
        <f t="shared" si="8"/>
        <v>0</v>
      </c>
      <c r="BB34" s="1061"/>
      <c r="BC34" s="1031"/>
      <c r="BD34" s="1031"/>
    </row>
    <row r="35" spans="1:57" s="1395" customFormat="1" ht="15" customHeight="1" x14ac:dyDescent="0.25">
      <c r="A35" s="1384">
        <f>A70</f>
        <v>125</v>
      </c>
      <c r="B35" s="1384" t="s">
        <v>28</v>
      </c>
      <c r="C35" s="1384"/>
      <c r="D35" s="1385" t="s">
        <v>28</v>
      </c>
      <c r="E35" s="1386"/>
      <c r="F35" s="1385"/>
      <c r="G35" s="1385"/>
      <c r="H35" s="1385"/>
      <c r="I35" s="1387"/>
      <c r="J35" s="1388"/>
      <c r="K35" s="1389">
        <f t="shared" ref="K35:BA35" si="87">SUM(K36:K70)</f>
        <v>26</v>
      </c>
      <c r="L35" s="1389">
        <f t="shared" si="87"/>
        <v>39</v>
      </c>
      <c r="M35" s="1389">
        <f t="shared" si="87"/>
        <v>65</v>
      </c>
      <c r="N35" s="1385">
        <f t="shared" si="87"/>
        <v>0</v>
      </c>
      <c r="O35" s="1385">
        <f t="shared" si="87"/>
        <v>47.5</v>
      </c>
      <c r="P35" s="1385">
        <f t="shared" si="87"/>
        <v>47.5</v>
      </c>
      <c r="Q35" s="1390">
        <f t="shared" si="87"/>
        <v>200</v>
      </c>
      <c r="R35" s="1390">
        <f t="shared" si="87"/>
        <v>225</v>
      </c>
      <c r="S35" s="1390">
        <f t="shared" si="87"/>
        <v>425</v>
      </c>
      <c r="T35" s="1385">
        <f t="shared" si="87"/>
        <v>12.25</v>
      </c>
      <c r="U35" s="1385">
        <f t="shared" si="87"/>
        <v>380.6</v>
      </c>
      <c r="V35" s="1385">
        <f t="shared" si="87"/>
        <v>392.85</v>
      </c>
      <c r="W35" s="1385">
        <f t="shared" si="87"/>
        <v>19310</v>
      </c>
      <c r="X35" s="1385">
        <f t="shared" si="87"/>
        <v>482.75</v>
      </c>
      <c r="Y35" s="1385">
        <f t="shared" si="87"/>
        <v>482.75</v>
      </c>
      <c r="Z35" s="1385">
        <f t="shared" si="87"/>
        <v>0</v>
      </c>
      <c r="AA35" s="1385">
        <f t="shared" si="87"/>
        <v>0</v>
      </c>
      <c r="AB35" s="1385">
        <f t="shared" si="87"/>
        <v>0</v>
      </c>
      <c r="AC35" s="1385">
        <f t="shared" si="87"/>
        <v>310</v>
      </c>
      <c r="AD35" s="1385">
        <f t="shared" si="87"/>
        <v>7.75</v>
      </c>
      <c r="AE35" s="1385">
        <f t="shared" si="87"/>
        <v>7.75</v>
      </c>
      <c r="AF35" s="1385">
        <f t="shared" si="87"/>
        <v>490.5</v>
      </c>
      <c r="AG35" s="1355">
        <f t="shared" si="87"/>
        <v>490.5</v>
      </c>
      <c r="AH35" s="1355">
        <f t="shared" si="87"/>
        <v>35</v>
      </c>
      <c r="AI35" s="1355">
        <f t="shared" si="87"/>
        <v>0</v>
      </c>
      <c r="AJ35" s="1355">
        <f t="shared" si="87"/>
        <v>8</v>
      </c>
      <c r="AK35" s="1355">
        <f t="shared" si="87"/>
        <v>43</v>
      </c>
      <c r="AL35" s="1355">
        <f t="shared" si="87"/>
        <v>43</v>
      </c>
      <c r="AM35" s="1355">
        <f t="shared" si="87"/>
        <v>35</v>
      </c>
      <c r="AN35" s="1355">
        <f t="shared" si="87"/>
        <v>0</v>
      </c>
      <c r="AO35" s="1355">
        <f t="shared" si="87"/>
        <v>7.75</v>
      </c>
      <c r="AP35" s="1355">
        <f t="shared" si="87"/>
        <v>42.75</v>
      </c>
      <c r="AQ35" s="1391">
        <f t="shared" si="87"/>
        <v>42.75</v>
      </c>
      <c r="AR35" s="1391">
        <f t="shared" si="87"/>
        <v>32</v>
      </c>
      <c r="AS35" s="1391">
        <f t="shared" si="87"/>
        <v>80</v>
      </c>
      <c r="AT35" s="1357">
        <f t="shared" si="87"/>
        <v>112</v>
      </c>
      <c r="AU35" s="1391">
        <f t="shared" si="87"/>
        <v>112</v>
      </c>
      <c r="AV35" s="1391">
        <f t="shared" si="87"/>
        <v>0</v>
      </c>
      <c r="AW35" s="1391">
        <f t="shared" si="87"/>
        <v>42.75</v>
      </c>
      <c r="AX35" s="1391">
        <f t="shared" si="87"/>
        <v>42.75</v>
      </c>
      <c r="AY35" s="1392">
        <f t="shared" si="87"/>
        <v>42.75</v>
      </c>
      <c r="AZ35" s="1392">
        <f t="shared" si="87"/>
        <v>0.25</v>
      </c>
      <c r="BA35" s="1392">
        <f t="shared" si="87"/>
        <v>0.25</v>
      </c>
      <c r="BB35" s="1393"/>
      <c r="BC35" s="1394"/>
      <c r="BD35" s="1394"/>
    </row>
    <row r="36" spans="1:57" ht="15" customHeight="1" x14ac:dyDescent="0.25">
      <c r="A36" s="1058">
        <v>1</v>
      </c>
      <c r="B36" s="1058" t="s">
        <v>28</v>
      </c>
      <c r="C36" s="1058">
        <v>1</v>
      </c>
      <c r="D36" s="1098" t="s">
        <v>29</v>
      </c>
      <c r="E36" s="1016" t="s">
        <v>919</v>
      </c>
      <c r="F36" s="1095"/>
      <c r="G36" s="1095"/>
      <c r="H36" s="1036" t="s">
        <v>909</v>
      </c>
      <c r="I36" s="1036" t="s">
        <v>909</v>
      </c>
      <c r="J36" s="1257" t="s">
        <v>920</v>
      </c>
      <c r="K36" s="1234">
        <v>7</v>
      </c>
      <c r="L36" s="1234">
        <v>10</v>
      </c>
      <c r="M36" s="1234">
        <f>K36+L36</f>
        <v>17</v>
      </c>
      <c r="N36" s="1038"/>
      <c r="O36" s="1038">
        <v>27.5</v>
      </c>
      <c r="P36" s="1049">
        <f t="shared" si="9"/>
        <v>27.5</v>
      </c>
      <c r="Q36" s="1254">
        <v>7</v>
      </c>
      <c r="R36" s="1254">
        <v>10</v>
      </c>
      <c r="S36" s="1254">
        <f>Q36+R36</f>
        <v>17</v>
      </c>
      <c r="T36" s="1049"/>
      <c r="U36" s="1049">
        <v>27.5</v>
      </c>
      <c r="V36" s="1052">
        <f>T36+U36</f>
        <v>27.5</v>
      </c>
      <c r="X36" s="1049">
        <f t="shared" si="12"/>
        <v>0</v>
      </c>
      <c r="Y36" s="1049">
        <f>SUM(X36:X36)</f>
        <v>0</v>
      </c>
      <c r="Z36" s="1049"/>
      <c r="AA36" s="1049">
        <f t="shared" si="4"/>
        <v>0</v>
      </c>
      <c r="AB36" s="1049">
        <f>SUM(AA36:AA36)</f>
        <v>0</v>
      </c>
      <c r="AC36" s="1052"/>
      <c r="AD36" s="1052">
        <f>AC36/40</f>
        <v>0</v>
      </c>
      <c r="AE36" s="1052">
        <f>SUM(AD36:AD36)</f>
        <v>0</v>
      </c>
      <c r="AF36" s="1044">
        <f t="shared" si="14"/>
        <v>0</v>
      </c>
      <c r="AG36" s="1044">
        <f>SUM(AF36:AF36)</f>
        <v>0</v>
      </c>
      <c r="AH36" s="1044"/>
      <c r="AI36" s="1044"/>
      <c r="AJ36" s="1044"/>
      <c r="AK36" s="1044">
        <f t="shared" si="5"/>
        <v>0</v>
      </c>
      <c r="AL36" s="1059">
        <f>SUM(AK36:AK36)</f>
        <v>0</v>
      </c>
      <c r="AM36" s="1044"/>
      <c r="AN36" s="1044"/>
      <c r="AO36" s="1044"/>
      <c r="AP36" s="1044">
        <f t="shared" si="6"/>
        <v>0</v>
      </c>
      <c r="AQ36" s="1059">
        <f>SUM(AP36:AP36)</f>
        <v>0</v>
      </c>
      <c r="AR36" s="1059"/>
      <c r="AS36" s="1059"/>
      <c r="AT36" s="1045">
        <f>SUM(AT37:AT38)</f>
        <v>0</v>
      </c>
      <c r="AU36" s="1059">
        <f>SUM(AT36:AT36)</f>
        <v>0</v>
      </c>
      <c r="AV36" s="1059"/>
      <c r="AW36" s="1059"/>
      <c r="AX36" s="1059">
        <f>AW36+AV36</f>
        <v>0</v>
      </c>
      <c r="AY36" s="1060">
        <f>SUM(AX36:AX36)</f>
        <v>0</v>
      </c>
      <c r="AZ36" s="1060">
        <f t="shared" si="8"/>
        <v>0</v>
      </c>
      <c r="BA36" s="1060">
        <f t="shared" si="8"/>
        <v>0</v>
      </c>
      <c r="BB36" s="1061"/>
      <c r="BC36" s="1031"/>
      <c r="BD36" s="1031"/>
    </row>
    <row r="37" spans="1:57" s="1282" customFormat="1" ht="16.899999999999999" customHeight="1" x14ac:dyDescent="0.25">
      <c r="A37" s="1264"/>
      <c r="B37" s="1264"/>
      <c r="C37" s="1264"/>
      <c r="D37" s="1265"/>
      <c r="E37" s="1266"/>
      <c r="F37" s="1267"/>
      <c r="G37" s="1267"/>
      <c r="H37" s="1268"/>
      <c r="I37" s="1269"/>
      <c r="J37" s="1270"/>
      <c r="K37" s="1271"/>
      <c r="L37" s="1271"/>
      <c r="M37" s="1271"/>
      <c r="N37" s="1272"/>
      <c r="O37" s="1272"/>
      <c r="P37" s="1273"/>
      <c r="Q37" s="1274"/>
      <c r="R37" s="1274"/>
      <c r="S37" s="1274"/>
      <c r="T37" s="1273"/>
      <c r="U37" s="1273"/>
      <c r="V37" s="1275"/>
      <c r="W37" s="1272"/>
      <c r="X37" s="1273"/>
      <c r="Y37" s="1273"/>
      <c r="Z37" s="1273"/>
      <c r="AA37" s="1273"/>
      <c r="AB37" s="1273"/>
      <c r="AC37" s="1275"/>
      <c r="AD37" s="1275"/>
      <c r="AE37" s="1275"/>
      <c r="AF37" s="1276">
        <f t="shared" si="14"/>
        <v>0</v>
      </c>
      <c r="AG37" s="1276"/>
      <c r="AH37" s="1276"/>
      <c r="AI37" s="1276"/>
      <c r="AJ37" s="1276"/>
      <c r="AK37" s="1276">
        <f t="shared" si="5"/>
        <v>0</v>
      </c>
      <c r="AL37" s="1277"/>
      <c r="AM37" s="1276"/>
      <c r="AN37" s="1276"/>
      <c r="AO37" s="1276"/>
      <c r="AP37" s="1276">
        <f t="shared" si="6"/>
        <v>0</v>
      </c>
      <c r="AQ37" s="1277"/>
      <c r="AR37" s="1277"/>
      <c r="AS37" s="1277"/>
      <c r="AT37" s="1277"/>
      <c r="AU37" s="1277"/>
      <c r="AV37" s="1277"/>
      <c r="AW37" s="1277"/>
      <c r="AX37" s="1277">
        <f t="shared" ref="AX37:AX55" si="88">AW37+AV37</f>
        <v>0</v>
      </c>
      <c r="AY37" s="1278"/>
      <c r="AZ37" s="1278">
        <f t="shared" si="8"/>
        <v>0</v>
      </c>
      <c r="BA37" s="1278">
        <f t="shared" si="8"/>
        <v>0</v>
      </c>
      <c r="BB37" s="1279"/>
      <c r="BC37" s="1280"/>
      <c r="BD37" s="1280"/>
      <c r="BE37" s="1281"/>
    </row>
    <row r="38" spans="1:57" ht="16.899999999999999" customHeight="1" x14ac:dyDescent="0.25">
      <c r="A38" s="1058">
        <v>13</v>
      </c>
      <c r="B38" s="1058" t="s">
        <v>28</v>
      </c>
      <c r="C38" s="1058">
        <v>1</v>
      </c>
      <c r="D38" s="1062" t="s">
        <v>42</v>
      </c>
      <c r="E38" s="1016" t="s">
        <v>923</v>
      </c>
      <c r="F38" s="1095"/>
      <c r="G38" s="1095"/>
      <c r="H38" s="1035"/>
      <c r="I38" s="1036" t="s">
        <v>909</v>
      </c>
      <c r="J38" s="1257" t="s">
        <v>920</v>
      </c>
      <c r="K38" s="1234">
        <v>19</v>
      </c>
      <c r="L38" s="1234">
        <v>4</v>
      </c>
      <c r="M38" s="1234">
        <f t="shared" ref="M38:M61" si="89">K38+L38</f>
        <v>23</v>
      </c>
      <c r="N38" s="1038"/>
      <c r="O38" s="1038"/>
      <c r="P38" s="1049">
        <f t="shared" si="9"/>
        <v>0</v>
      </c>
      <c r="Q38" s="1254"/>
      <c r="R38" s="1254"/>
      <c r="S38" s="1254">
        <f t="shared" ref="S38:S57" si="90">Q38+R38</f>
        <v>0</v>
      </c>
      <c r="T38" s="1049"/>
      <c r="U38" s="1049"/>
      <c r="V38" s="1052">
        <f t="shared" ref="V38:V57" si="91">T38+U38</f>
        <v>0</v>
      </c>
      <c r="X38" s="1049">
        <f t="shared" si="12"/>
        <v>0</v>
      </c>
      <c r="Y38" s="1049">
        <f>SUM(X38:X38)</f>
        <v>0</v>
      </c>
      <c r="Z38" s="1049"/>
      <c r="AA38" s="1049">
        <f t="shared" si="4"/>
        <v>0</v>
      </c>
      <c r="AB38" s="1049">
        <f>SUM(AA38:AA38)</f>
        <v>0</v>
      </c>
      <c r="AC38" s="1052"/>
      <c r="AD38" s="1052">
        <f t="shared" ref="AD38:AD57" si="92">AC38/40</f>
        <v>0</v>
      </c>
      <c r="AE38" s="1052">
        <f>SUM(AD38:AD38)</f>
        <v>0</v>
      </c>
      <c r="AF38" s="1044">
        <f t="shared" si="14"/>
        <v>0</v>
      </c>
      <c r="AG38" s="1044">
        <f>SUM(AF38:AF38)</f>
        <v>0</v>
      </c>
      <c r="AH38" s="1044"/>
      <c r="AI38" s="1044"/>
      <c r="AJ38" s="1044"/>
      <c r="AK38" s="1044">
        <f t="shared" si="5"/>
        <v>0</v>
      </c>
      <c r="AL38" s="1067">
        <f>SUM(AK38:AK38)</f>
        <v>0</v>
      </c>
      <c r="AM38" s="1044"/>
      <c r="AN38" s="1044"/>
      <c r="AO38" s="1044"/>
      <c r="AP38" s="1044">
        <f t="shared" si="6"/>
        <v>0</v>
      </c>
      <c r="AQ38" s="1067">
        <f>SUM(AP38:AP38)</f>
        <v>0</v>
      </c>
      <c r="AR38" s="1067"/>
      <c r="AS38" s="1067"/>
      <c r="AT38" s="1067">
        <f t="shared" ref="AT38" si="93">AR38+AS38</f>
        <v>0</v>
      </c>
      <c r="AU38" s="1067">
        <f>SUM(AT38:AT38)</f>
        <v>0</v>
      </c>
      <c r="AV38" s="1067"/>
      <c r="AW38" s="1067"/>
      <c r="AX38" s="1067">
        <f t="shared" si="88"/>
        <v>0</v>
      </c>
      <c r="AY38" s="1068">
        <f>SUM(AX38:AX38)</f>
        <v>0</v>
      </c>
      <c r="AZ38" s="1068">
        <f t="shared" si="8"/>
        <v>0</v>
      </c>
      <c r="BA38" s="1068">
        <f t="shared" si="8"/>
        <v>0</v>
      </c>
      <c r="BB38" s="1069"/>
      <c r="BC38" s="1031"/>
      <c r="BD38" s="1031"/>
    </row>
    <row r="39" spans="1:57" s="1282" customFormat="1" ht="16.899999999999999" customHeight="1" x14ac:dyDescent="0.25">
      <c r="A39" s="1264"/>
      <c r="B39" s="1264"/>
      <c r="C39" s="1264"/>
      <c r="D39" s="1333"/>
      <c r="E39" s="1266"/>
      <c r="F39" s="1267"/>
      <c r="G39" s="1267"/>
      <c r="H39" s="1268"/>
      <c r="I39" s="1269"/>
      <c r="J39" s="1270"/>
      <c r="K39" s="1271"/>
      <c r="L39" s="1271"/>
      <c r="M39" s="1271"/>
      <c r="N39" s="1272"/>
      <c r="O39" s="1272"/>
      <c r="P39" s="1273"/>
      <c r="Q39" s="1274"/>
      <c r="R39" s="1274"/>
      <c r="S39" s="1274"/>
      <c r="T39" s="1273"/>
      <c r="U39" s="1273"/>
      <c r="V39" s="1275"/>
      <c r="W39" s="1272"/>
      <c r="X39" s="1273"/>
      <c r="Y39" s="1273"/>
      <c r="Z39" s="1273"/>
      <c r="AA39" s="1273"/>
      <c r="AB39" s="1273"/>
      <c r="AC39" s="1275"/>
      <c r="AD39" s="1275"/>
      <c r="AE39" s="1275"/>
      <c r="AF39" s="1276">
        <f t="shared" si="14"/>
        <v>0</v>
      </c>
      <c r="AG39" s="1276"/>
      <c r="AH39" s="1276"/>
      <c r="AI39" s="1276"/>
      <c r="AJ39" s="1276"/>
      <c r="AK39" s="1276">
        <f t="shared" si="5"/>
        <v>0</v>
      </c>
      <c r="AL39" s="1335"/>
      <c r="AM39" s="1276"/>
      <c r="AN39" s="1276"/>
      <c r="AO39" s="1276"/>
      <c r="AP39" s="1276">
        <f t="shared" si="6"/>
        <v>0</v>
      </c>
      <c r="AQ39" s="1335"/>
      <c r="AR39" s="1335"/>
      <c r="AS39" s="1335"/>
      <c r="AT39" s="1335"/>
      <c r="AU39" s="1335"/>
      <c r="AV39" s="1335"/>
      <c r="AW39" s="1335"/>
      <c r="AX39" s="1335">
        <f t="shared" si="88"/>
        <v>0</v>
      </c>
      <c r="AY39" s="1336"/>
      <c r="AZ39" s="1336">
        <f t="shared" si="8"/>
        <v>0</v>
      </c>
      <c r="BA39" s="1336">
        <f t="shared" si="8"/>
        <v>0</v>
      </c>
      <c r="BB39" s="1337"/>
      <c r="BC39" s="1280"/>
      <c r="BD39" s="1280"/>
      <c r="BE39" s="1281"/>
    </row>
    <row r="40" spans="1:57" ht="29.25" customHeight="1" x14ac:dyDescent="0.25">
      <c r="A40" s="1058">
        <v>34</v>
      </c>
      <c r="B40" s="1058" t="s">
        <v>28</v>
      </c>
      <c r="C40" s="1058">
        <v>4</v>
      </c>
      <c r="D40" s="1098" t="s">
        <v>51</v>
      </c>
      <c r="E40" s="1016" t="s">
        <v>921</v>
      </c>
      <c r="F40" s="1095"/>
      <c r="G40" s="1095"/>
      <c r="H40" s="1035"/>
      <c r="I40" s="1036"/>
      <c r="J40" s="1257" t="s">
        <v>920</v>
      </c>
      <c r="K40" s="1234"/>
      <c r="L40" s="1234"/>
      <c r="M40" s="1234">
        <f t="shared" si="89"/>
        <v>0</v>
      </c>
      <c r="N40" s="1038"/>
      <c r="O40" s="1038"/>
      <c r="P40" s="1049">
        <f t="shared" si="9"/>
        <v>0</v>
      </c>
      <c r="Q40" s="1254">
        <v>24</v>
      </c>
      <c r="R40" s="1254">
        <v>2</v>
      </c>
      <c r="S40" s="1254">
        <f t="shared" si="90"/>
        <v>26</v>
      </c>
      <c r="T40" s="1049">
        <v>12.25</v>
      </c>
      <c r="U40" s="1049">
        <v>20.75</v>
      </c>
      <c r="V40" s="1052">
        <f t="shared" si="91"/>
        <v>33</v>
      </c>
      <c r="X40" s="1049">
        <f t="shared" si="12"/>
        <v>0</v>
      </c>
      <c r="Y40" s="1049">
        <f>SUM(X40:X43)</f>
        <v>0</v>
      </c>
      <c r="Z40" s="1049"/>
      <c r="AA40" s="1049">
        <f t="shared" si="4"/>
        <v>0</v>
      </c>
      <c r="AB40" s="1049">
        <f>SUM(AA40:AA43)</f>
        <v>0</v>
      </c>
      <c r="AC40" s="1052"/>
      <c r="AD40" s="1052">
        <f t="shared" si="92"/>
        <v>0</v>
      </c>
      <c r="AE40" s="1052">
        <f>SUM(AD40:AD43)</f>
        <v>0</v>
      </c>
      <c r="AF40" s="1044">
        <f t="shared" si="14"/>
        <v>0</v>
      </c>
      <c r="AG40" s="1044">
        <f>SUM(AF40:AF43)</f>
        <v>0</v>
      </c>
      <c r="AH40" s="1044"/>
      <c r="AI40" s="1044"/>
      <c r="AJ40" s="1044"/>
      <c r="AK40" s="1044">
        <f t="shared" si="5"/>
        <v>0</v>
      </c>
      <c r="AL40" s="1059">
        <f>SUM(AK40:AK43)</f>
        <v>0</v>
      </c>
      <c r="AM40" s="1044"/>
      <c r="AN40" s="1044"/>
      <c r="AO40" s="1044"/>
      <c r="AP40" s="1044">
        <f t="shared" si="6"/>
        <v>0</v>
      </c>
      <c r="AQ40" s="1059">
        <f>SUM(AP40:AP43)</f>
        <v>0</v>
      </c>
      <c r="AR40" s="1059"/>
      <c r="AS40" s="1059"/>
      <c r="AT40" s="1059">
        <f t="shared" ref="AT40:AT43" si="94">AR40+AS40</f>
        <v>0</v>
      </c>
      <c r="AU40" s="1059">
        <f>SUM(AT40:AT43)</f>
        <v>0</v>
      </c>
      <c r="AV40" s="1059"/>
      <c r="AW40" s="1059"/>
      <c r="AX40" s="1059">
        <f t="shared" si="88"/>
        <v>0</v>
      </c>
      <c r="AY40" s="1060">
        <f>SUM(AX40:AX43)</f>
        <v>0</v>
      </c>
      <c r="AZ40" s="1060">
        <f t="shared" si="8"/>
        <v>0</v>
      </c>
      <c r="BA40" s="1060">
        <f t="shared" si="8"/>
        <v>0</v>
      </c>
      <c r="BB40" s="1061"/>
      <c r="BC40" s="1031"/>
      <c r="BD40" s="1031"/>
    </row>
    <row r="41" spans="1:57" ht="15" customHeight="1" x14ac:dyDescent="0.25">
      <c r="A41" s="1058">
        <v>36</v>
      </c>
      <c r="B41" s="1058" t="s">
        <v>28</v>
      </c>
      <c r="C41" s="1058">
        <v>6</v>
      </c>
      <c r="D41" s="1098" t="s">
        <v>51</v>
      </c>
      <c r="E41" s="1016" t="s">
        <v>698</v>
      </c>
      <c r="F41" s="1095"/>
      <c r="G41" s="1095"/>
      <c r="H41" s="1035"/>
      <c r="I41" s="1036"/>
      <c r="J41" s="1257" t="s">
        <v>920</v>
      </c>
      <c r="K41" s="1234"/>
      <c r="L41" s="1234"/>
      <c r="M41" s="1234">
        <f t="shared" si="89"/>
        <v>0</v>
      </c>
      <c r="N41" s="1038"/>
      <c r="O41" s="1038"/>
      <c r="P41" s="1049">
        <f t="shared" si="9"/>
        <v>0</v>
      </c>
      <c r="Q41" s="1254">
        <v>27</v>
      </c>
      <c r="R41" s="1254">
        <v>11</v>
      </c>
      <c r="S41" s="1254">
        <f t="shared" si="90"/>
        <v>38</v>
      </c>
      <c r="T41" s="1049"/>
      <c r="U41" s="1049">
        <v>34.4</v>
      </c>
      <c r="V41" s="1052">
        <f t="shared" si="91"/>
        <v>34.4</v>
      </c>
      <c r="X41" s="1049">
        <f t="shared" si="12"/>
        <v>0</v>
      </c>
      <c r="Y41" s="1049"/>
      <c r="Z41" s="1049"/>
      <c r="AA41" s="1049">
        <f t="shared" si="4"/>
        <v>0</v>
      </c>
      <c r="AB41" s="1049"/>
      <c r="AC41" s="1052"/>
      <c r="AD41" s="1052">
        <f t="shared" si="92"/>
        <v>0</v>
      </c>
      <c r="AE41" s="1052"/>
      <c r="AF41" s="1044">
        <f t="shared" si="14"/>
        <v>0</v>
      </c>
      <c r="AG41" s="1044"/>
      <c r="AH41" s="1044"/>
      <c r="AI41" s="1044"/>
      <c r="AJ41" s="1044"/>
      <c r="AK41" s="1044">
        <f t="shared" si="5"/>
        <v>0</v>
      </c>
      <c r="AL41" s="1059"/>
      <c r="AM41" s="1044"/>
      <c r="AN41" s="1044"/>
      <c r="AO41" s="1044"/>
      <c r="AP41" s="1044">
        <f t="shared" si="6"/>
        <v>0</v>
      </c>
      <c r="AQ41" s="1059"/>
      <c r="AR41" s="1059"/>
      <c r="AS41" s="1059"/>
      <c r="AT41" s="1059">
        <f t="shared" si="94"/>
        <v>0</v>
      </c>
      <c r="AU41" s="1059"/>
      <c r="AV41" s="1059"/>
      <c r="AW41" s="1059"/>
      <c r="AX41" s="1059">
        <f t="shared" si="88"/>
        <v>0</v>
      </c>
      <c r="AY41" s="1060"/>
      <c r="AZ41" s="1060">
        <f t="shared" si="8"/>
        <v>0</v>
      </c>
      <c r="BA41" s="1060">
        <f t="shared" si="8"/>
        <v>0</v>
      </c>
      <c r="BB41" s="1061"/>
      <c r="BC41" s="1031"/>
      <c r="BD41" s="1031"/>
    </row>
    <row r="42" spans="1:57" ht="15" customHeight="1" x14ac:dyDescent="0.25">
      <c r="A42" s="1058"/>
      <c r="B42" s="1058"/>
      <c r="C42" s="1058"/>
      <c r="D42" s="1098" t="s">
        <v>51</v>
      </c>
      <c r="E42" s="1016" t="s">
        <v>922</v>
      </c>
      <c r="F42" s="1095"/>
      <c r="G42" s="1095"/>
      <c r="H42" s="1035"/>
      <c r="I42" s="1036"/>
      <c r="J42" s="1257" t="s">
        <v>920</v>
      </c>
      <c r="K42" s="1234"/>
      <c r="L42" s="1234"/>
      <c r="M42" s="1234">
        <f t="shared" si="89"/>
        <v>0</v>
      </c>
      <c r="N42" s="1038"/>
      <c r="O42" s="1038"/>
      <c r="P42" s="1049">
        <f t="shared" si="9"/>
        <v>0</v>
      </c>
      <c r="Q42" s="1254">
        <v>18</v>
      </c>
      <c r="R42" s="1254">
        <v>4</v>
      </c>
      <c r="S42" s="1254">
        <f t="shared" si="90"/>
        <v>22</v>
      </c>
      <c r="T42" s="1049"/>
      <c r="U42" s="1049">
        <v>29</v>
      </c>
      <c r="V42" s="1052">
        <f t="shared" si="91"/>
        <v>29</v>
      </c>
      <c r="X42" s="1049">
        <f t="shared" si="12"/>
        <v>0</v>
      </c>
      <c r="Y42" s="1049"/>
      <c r="Z42" s="1049"/>
      <c r="AA42" s="1049">
        <f t="shared" si="4"/>
        <v>0</v>
      </c>
      <c r="AB42" s="1049"/>
      <c r="AC42" s="1052"/>
      <c r="AD42" s="1052">
        <f t="shared" si="92"/>
        <v>0</v>
      </c>
      <c r="AE42" s="1052"/>
      <c r="AF42" s="1044">
        <f t="shared" si="14"/>
        <v>0</v>
      </c>
      <c r="AG42" s="1044"/>
      <c r="AH42" s="1044"/>
      <c r="AI42" s="1044"/>
      <c r="AJ42" s="1044"/>
      <c r="AK42" s="1044">
        <f t="shared" si="5"/>
        <v>0</v>
      </c>
      <c r="AL42" s="1059"/>
      <c r="AM42" s="1044"/>
      <c r="AN42" s="1044"/>
      <c r="AO42" s="1044"/>
      <c r="AP42" s="1044">
        <f t="shared" si="6"/>
        <v>0</v>
      </c>
      <c r="AQ42" s="1059"/>
      <c r="AR42" s="1059"/>
      <c r="AS42" s="1059"/>
      <c r="AT42" s="1059">
        <f t="shared" si="94"/>
        <v>0</v>
      </c>
      <c r="AU42" s="1059"/>
      <c r="AV42" s="1059"/>
      <c r="AW42" s="1059"/>
      <c r="AX42" s="1059">
        <f t="shared" si="88"/>
        <v>0</v>
      </c>
      <c r="AY42" s="1060"/>
      <c r="AZ42" s="1060">
        <f t="shared" si="8"/>
        <v>0</v>
      </c>
      <c r="BA42" s="1060">
        <f t="shared" si="8"/>
        <v>0</v>
      </c>
      <c r="BB42" s="1061"/>
      <c r="BC42" s="1031"/>
      <c r="BD42" s="1031"/>
    </row>
    <row r="43" spans="1:57" ht="15" customHeight="1" x14ac:dyDescent="0.25">
      <c r="A43" s="1058"/>
      <c r="B43" s="1058"/>
      <c r="C43" s="1058"/>
      <c r="D43" s="1098" t="s">
        <v>51</v>
      </c>
      <c r="E43" s="1016" t="s">
        <v>242</v>
      </c>
      <c r="F43" s="1095"/>
      <c r="G43" s="1095"/>
      <c r="H43" s="1035"/>
      <c r="I43" s="1036"/>
      <c r="J43" s="1257" t="s">
        <v>920</v>
      </c>
      <c r="K43" s="1234"/>
      <c r="L43" s="1234"/>
      <c r="M43" s="1234">
        <f t="shared" si="89"/>
        <v>0</v>
      </c>
      <c r="N43" s="1038"/>
      <c r="O43" s="1038"/>
      <c r="P43" s="1049">
        <f t="shared" si="9"/>
        <v>0</v>
      </c>
      <c r="Q43" s="1254">
        <v>4</v>
      </c>
      <c r="R43" s="1254">
        <v>3</v>
      </c>
      <c r="S43" s="1254">
        <f t="shared" si="90"/>
        <v>7</v>
      </c>
      <c r="T43" s="1049"/>
      <c r="U43" s="1049">
        <v>9</v>
      </c>
      <c r="V43" s="1052">
        <f t="shared" si="91"/>
        <v>9</v>
      </c>
      <c r="X43" s="1049">
        <f t="shared" si="12"/>
        <v>0</v>
      </c>
      <c r="Y43" s="1049"/>
      <c r="Z43" s="1049"/>
      <c r="AA43" s="1049">
        <f t="shared" si="4"/>
        <v>0</v>
      </c>
      <c r="AB43" s="1049"/>
      <c r="AC43" s="1052"/>
      <c r="AD43" s="1052">
        <f t="shared" si="92"/>
        <v>0</v>
      </c>
      <c r="AE43" s="1052"/>
      <c r="AF43" s="1044">
        <f t="shared" si="14"/>
        <v>0</v>
      </c>
      <c r="AG43" s="1044"/>
      <c r="AH43" s="1044"/>
      <c r="AI43" s="1044"/>
      <c r="AJ43" s="1044"/>
      <c r="AK43" s="1044">
        <f t="shared" si="5"/>
        <v>0</v>
      </c>
      <c r="AL43" s="1059"/>
      <c r="AM43" s="1044"/>
      <c r="AN43" s="1044"/>
      <c r="AO43" s="1044"/>
      <c r="AP43" s="1044">
        <f t="shared" si="6"/>
        <v>0</v>
      </c>
      <c r="AQ43" s="1059"/>
      <c r="AR43" s="1059"/>
      <c r="AS43" s="1059"/>
      <c r="AT43" s="1059">
        <f t="shared" si="94"/>
        <v>0</v>
      </c>
      <c r="AU43" s="1059"/>
      <c r="AV43" s="1059"/>
      <c r="AW43" s="1059"/>
      <c r="AX43" s="1059">
        <f t="shared" si="88"/>
        <v>0</v>
      </c>
      <c r="AY43" s="1060"/>
      <c r="AZ43" s="1060">
        <f t="shared" si="8"/>
        <v>0</v>
      </c>
      <c r="BA43" s="1060">
        <f t="shared" si="8"/>
        <v>0</v>
      </c>
      <c r="BB43" s="1061"/>
      <c r="BC43" s="1031"/>
      <c r="BD43" s="1031"/>
    </row>
    <row r="44" spans="1:57" s="1282" customFormat="1" ht="15" customHeight="1" x14ac:dyDescent="0.25">
      <c r="A44" s="1264"/>
      <c r="B44" s="1264"/>
      <c r="C44" s="1264"/>
      <c r="D44" s="1265"/>
      <c r="E44" s="1338"/>
      <c r="F44" s="1267"/>
      <c r="G44" s="1267"/>
      <c r="H44" s="1268"/>
      <c r="I44" s="1269"/>
      <c r="J44" s="1270"/>
      <c r="K44" s="1271"/>
      <c r="L44" s="1271"/>
      <c r="M44" s="1271"/>
      <c r="N44" s="1272"/>
      <c r="O44" s="1272"/>
      <c r="P44" s="1273"/>
      <c r="Q44" s="1274"/>
      <c r="R44" s="1274"/>
      <c r="S44" s="1274"/>
      <c r="T44" s="1273"/>
      <c r="U44" s="1273"/>
      <c r="V44" s="1275"/>
      <c r="W44" s="1272"/>
      <c r="X44" s="1273"/>
      <c r="Y44" s="1273"/>
      <c r="Z44" s="1273"/>
      <c r="AA44" s="1273"/>
      <c r="AB44" s="1273"/>
      <c r="AC44" s="1275"/>
      <c r="AD44" s="1275"/>
      <c r="AE44" s="1275"/>
      <c r="AF44" s="1276">
        <f t="shared" si="14"/>
        <v>0</v>
      </c>
      <c r="AG44" s="1276"/>
      <c r="AH44" s="1276"/>
      <c r="AI44" s="1276"/>
      <c r="AJ44" s="1276"/>
      <c r="AK44" s="1276">
        <f t="shared" si="5"/>
        <v>0</v>
      </c>
      <c r="AL44" s="1277"/>
      <c r="AM44" s="1276"/>
      <c r="AN44" s="1276"/>
      <c r="AO44" s="1276"/>
      <c r="AP44" s="1276">
        <f t="shared" si="6"/>
        <v>0</v>
      </c>
      <c r="AQ44" s="1277"/>
      <c r="AR44" s="1277"/>
      <c r="AS44" s="1277"/>
      <c r="AT44" s="1277"/>
      <c r="AU44" s="1277"/>
      <c r="AV44" s="1277"/>
      <c r="AW44" s="1277"/>
      <c r="AX44" s="1277">
        <f t="shared" si="88"/>
        <v>0</v>
      </c>
      <c r="AY44" s="1278"/>
      <c r="AZ44" s="1278">
        <f t="shared" si="8"/>
        <v>0</v>
      </c>
      <c r="BA44" s="1278">
        <f t="shared" si="8"/>
        <v>0</v>
      </c>
      <c r="BB44" s="1279"/>
      <c r="BC44" s="1280"/>
      <c r="BD44" s="1280"/>
      <c r="BE44" s="1281"/>
    </row>
    <row r="45" spans="1:57" ht="30" customHeight="1" x14ac:dyDescent="0.25">
      <c r="A45" s="1058"/>
      <c r="B45" s="1058"/>
      <c r="C45" s="1058"/>
      <c r="D45" s="1258" t="s">
        <v>57</v>
      </c>
      <c r="E45" s="1016" t="s">
        <v>58</v>
      </c>
      <c r="F45" s="1259"/>
      <c r="G45" s="1259"/>
      <c r="H45" s="1035"/>
      <c r="I45" s="1036" t="s">
        <v>909</v>
      </c>
      <c r="J45" s="1257" t="s">
        <v>953</v>
      </c>
      <c r="K45" s="1234"/>
      <c r="L45" s="1234"/>
      <c r="M45" s="1234">
        <f t="shared" si="89"/>
        <v>0</v>
      </c>
      <c r="N45" s="1038"/>
      <c r="O45" s="1038"/>
      <c r="P45" s="1049">
        <f t="shared" si="9"/>
        <v>0</v>
      </c>
      <c r="Q45" s="1254">
        <v>4</v>
      </c>
      <c r="R45" s="1254">
        <v>4</v>
      </c>
      <c r="S45" s="1254">
        <f t="shared" si="90"/>
        <v>8</v>
      </c>
      <c r="T45" s="1049"/>
      <c r="U45" s="1049">
        <v>5</v>
      </c>
      <c r="V45" s="1052">
        <f t="shared" si="91"/>
        <v>5</v>
      </c>
      <c r="W45" s="1038">
        <v>280</v>
      </c>
      <c r="X45" s="1049">
        <f t="shared" si="12"/>
        <v>7</v>
      </c>
      <c r="Y45" s="1049">
        <f>SUM(X45:X45)</f>
        <v>7</v>
      </c>
      <c r="Z45" s="1049"/>
      <c r="AA45" s="1049"/>
      <c r="AB45" s="1049">
        <f>SUM(AA45:AA45)</f>
        <v>0</v>
      </c>
      <c r="AC45" s="1052"/>
      <c r="AD45" s="1052"/>
      <c r="AE45" s="1052">
        <f>SUM(AD45:AD45)</f>
        <v>0</v>
      </c>
      <c r="AF45" s="1044">
        <f t="shared" si="14"/>
        <v>7</v>
      </c>
      <c r="AG45" s="1044">
        <f>SUM(AF45:AF45)</f>
        <v>7</v>
      </c>
      <c r="AH45" s="1044">
        <v>7</v>
      </c>
      <c r="AI45" s="1044"/>
      <c r="AJ45" s="1044"/>
      <c r="AK45" s="1044">
        <f t="shared" si="5"/>
        <v>7</v>
      </c>
      <c r="AL45" s="1059">
        <f>SUM(AK45:AK45)</f>
        <v>7</v>
      </c>
      <c r="AM45" s="1044">
        <v>7</v>
      </c>
      <c r="AN45" s="1044"/>
      <c r="AO45" s="1044"/>
      <c r="AP45" s="1044">
        <f t="shared" si="6"/>
        <v>7</v>
      </c>
      <c r="AQ45" s="1059">
        <f>SUM(AP45:AP45)</f>
        <v>7</v>
      </c>
      <c r="AR45" s="1059">
        <v>5</v>
      </c>
      <c r="AS45" s="1059">
        <v>14</v>
      </c>
      <c r="AT45" s="1059">
        <f t="shared" ref="AT45" si="95">AR45+AS45</f>
        <v>19</v>
      </c>
      <c r="AU45" s="1059">
        <f>SUM(AT45:AT45)</f>
        <v>19</v>
      </c>
      <c r="AV45" s="1059"/>
      <c r="AW45" s="1059">
        <v>7</v>
      </c>
      <c r="AX45" s="1059">
        <f t="shared" si="88"/>
        <v>7</v>
      </c>
      <c r="AY45" s="1060">
        <f>SUM(AX45:AX45)</f>
        <v>7</v>
      </c>
      <c r="AZ45" s="1060">
        <f t="shared" si="8"/>
        <v>0</v>
      </c>
      <c r="BA45" s="1060">
        <f t="shared" si="8"/>
        <v>0</v>
      </c>
      <c r="BB45" s="1061"/>
      <c r="BC45" s="1031"/>
      <c r="BD45" s="1031"/>
    </row>
    <row r="46" spans="1:57" ht="16.5" customHeight="1" x14ac:dyDescent="0.25">
      <c r="A46" s="1058"/>
      <c r="B46" s="1058"/>
      <c r="C46" s="1058"/>
      <c r="D46" s="1258" t="s">
        <v>57</v>
      </c>
      <c r="E46" s="1016" t="s">
        <v>308</v>
      </c>
      <c r="F46" s="1259"/>
      <c r="G46" s="1259"/>
      <c r="H46" s="1035"/>
      <c r="I46" s="1036" t="s">
        <v>909</v>
      </c>
      <c r="J46" s="1257" t="s">
        <v>953</v>
      </c>
      <c r="K46" s="1234"/>
      <c r="L46" s="1234"/>
      <c r="M46" s="1234">
        <f t="shared" si="89"/>
        <v>0</v>
      </c>
      <c r="N46" s="1038"/>
      <c r="O46" s="1038"/>
      <c r="P46" s="1049">
        <f t="shared" si="9"/>
        <v>0</v>
      </c>
      <c r="Q46" s="1254">
        <v>1</v>
      </c>
      <c r="R46" s="1254">
        <v>3</v>
      </c>
      <c r="S46" s="1254">
        <f t="shared" ref="S46" si="96">Q46+R46</f>
        <v>4</v>
      </c>
      <c r="T46" s="1049"/>
      <c r="U46" s="1049">
        <v>3</v>
      </c>
      <c r="V46" s="1052">
        <f t="shared" ref="V46" si="97">T46+U46</f>
        <v>3</v>
      </c>
      <c r="W46" s="1038">
        <v>280</v>
      </c>
      <c r="X46" s="1049">
        <f t="shared" ref="X46" si="98">W46/40</f>
        <v>7</v>
      </c>
      <c r="Y46" s="1049">
        <f>SUM(X46:X46)</f>
        <v>7</v>
      </c>
      <c r="Z46" s="1049"/>
      <c r="AA46" s="1049"/>
      <c r="AB46" s="1049">
        <f>SUM(AA46:AA46)</f>
        <v>0</v>
      </c>
      <c r="AC46" s="1052"/>
      <c r="AD46" s="1052"/>
      <c r="AE46" s="1052">
        <f>SUM(AD46:AD46)</f>
        <v>0</v>
      </c>
      <c r="AF46" s="1044">
        <f t="shared" ref="AF46" si="99">AD46+AA46+X46</f>
        <v>7</v>
      </c>
      <c r="AG46" s="1044">
        <f>SUM(AF46:AF46)</f>
        <v>7</v>
      </c>
      <c r="AH46" s="1044">
        <v>7</v>
      </c>
      <c r="AI46" s="1044"/>
      <c r="AJ46" s="1044"/>
      <c r="AK46" s="1044">
        <f t="shared" ref="AK46" si="100">AJ46+AI46+AH46</f>
        <v>7</v>
      </c>
      <c r="AL46" s="1059">
        <f>SUM(AK46:AK46)</f>
        <v>7</v>
      </c>
      <c r="AM46" s="1044">
        <v>7</v>
      </c>
      <c r="AN46" s="1044"/>
      <c r="AO46" s="1044"/>
      <c r="AP46" s="1044">
        <f t="shared" ref="AP46" si="101">AO46+AN46+AM46</f>
        <v>7</v>
      </c>
      <c r="AQ46" s="1059">
        <f>SUM(AP46:AP46)</f>
        <v>7</v>
      </c>
      <c r="AR46" s="1059">
        <v>5</v>
      </c>
      <c r="AS46" s="1059">
        <v>14</v>
      </c>
      <c r="AT46" s="1059">
        <f t="shared" ref="AT46" si="102">AR46+AS46</f>
        <v>19</v>
      </c>
      <c r="AU46" s="1059">
        <f>SUM(AT46:AT46)</f>
        <v>19</v>
      </c>
      <c r="AV46" s="1059"/>
      <c r="AW46" s="1059">
        <v>7</v>
      </c>
      <c r="AX46" s="1059">
        <f t="shared" ref="AX46" si="103">AW46+AV46</f>
        <v>7</v>
      </c>
      <c r="AY46" s="1060">
        <f>SUM(AX46:AX46)</f>
        <v>7</v>
      </c>
      <c r="AZ46" s="1060">
        <f t="shared" ref="AZ46" si="104">AK46-AP46</f>
        <v>0</v>
      </c>
      <c r="BA46" s="1060">
        <f t="shared" ref="BA46" si="105">AL46-AQ46</f>
        <v>0</v>
      </c>
      <c r="BB46" s="1061"/>
      <c r="BC46" s="1031"/>
      <c r="BD46" s="1031"/>
    </row>
    <row r="47" spans="1:57" ht="16.5" customHeight="1" x14ac:dyDescent="0.25">
      <c r="A47" s="1058"/>
      <c r="B47" s="1058"/>
      <c r="C47" s="1058"/>
      <c r="D47" s="1258" t="s">
        <v>57</v>
      </c>
      <c r="E47" s="1016" t="s">
        <v>63</v>
      </c>
      <c r="F47" s="1259"/>
      <c r="G47" s="1259"/>
      <c r="H47" s="1035"/>
      <c r="I47" s="1036" t="s">
        <v>909</v>
      </c>
      <c r="J47" s="1257" t="s">
        <v>953</v>
      </c>
      <c r="K47" s="1234"/>
      <c r="L47" s="1234"/>
      <c r="M47" s="1234">
        <f t="shared" si="89"/>
        <v>0</v>
      </c>
      <c r="N47" s="1038"/>
      <c r="O47" s="1038"/>
      <c r="P47" s="1049">
        <f t="shared" si="9"/>
        <v>0</v>
      </c>
      <c r="Q47" s="1254">
        <v>6</v>
      </c>
      <c r="R47" s="1254">
        <v>4</v>
      </c>
      <c r="S47" s="1254">
        <f t="shared" ref="S47" si="106">Q47+R47</f>
        <v>10</v>
      </c>
      <c r="T47" s="1049"/>
      <c r="U47" s="1049">
        <v>6</v>
      </c>
      <c r="V47" s="1052">
        <f t="shared" ref="V47" si="107">T47+U47</f>
        <v>6</v>
      </c>
      <c r="W47" s="1038">
        <v>280</v>
      </c>
      <c r="X47" s="1049">
        <f t="shared" ref="X47" si="108">W47/40</f>
        <v>7</v>
      </c>
      <c r="Y47" s="1049">
        <f>SUM(X47:X47)</f>
        <v>7</v>
      </c>
      <c r="Z47" s="1049"/>
      <c r="AA47" s="1049"/>
      <c r="AB47" s="1049">
        <f>SUM(AA47:AA47)</f>
        <v>0</v>
      </c>
      <c r="AC47" s="1052"/>
      <c r="AD47" s="1052"/>
      <c r="AE47" s="1052">
        <f>SUM(AD47:AD47)</f>
        <v>0</v>
      </c>
      <c r="AF47" s="1044">
        <f t="shared" ref="AF47" si="109">AD47+AA47+X47</f>
        <v>7</v>
      </c>
      <c r="AG47" s="1044">
        <f>SUM(AF47:AF47)</f>
        <v>7</v>
      </c>
      <c r="AH47" s="1044">
        <v>7</v>
      </c>
      <c r="AI47" s="1044"/>
      <c r="AJ47" s="1044"/>
      <c r="AK47" s="1044">
        <f t="shared" ref="AK47" si="110">AJ47+AI47+AH47</f>
        <v>7</v>
      </c>
      <c r="AL47" s="1059">
        <f>SUM(AK47:AK47)</f>
        <v>7</v>
      </c>
      <c r="AM47" s="1044">
        <v>7</v>
      </c>
      <c r="AN47" s="1044"/>
      <c r="AO47" s="1044"/>
      <c r="AP47" s="1044">
        <f t="shared" ref="AP47" si="111">AO47+AN47+AM47</f>
        <v>7</v>
      </c>
      <c r="AQ47" s="1059">
        <f>SUM(AP47:AP47)</f>
        <v>7</v>
      </c>
      <c r="AR47" s="1059">
        <v>5</v>
      </c>
      <c r="AS47" s="1059">
        <v>14</v>
      </c>
      <c r="AT47" s="1059">
        <f t="shared" ref="AT47" si="112">AR47+AS47</f>
        <v>19</v>
      </c>
      <c r="AU47" s="1059">
        <f>SUM(AT47:AT47)</f>
        <v>19</v>
      </c>
      <c r="AV47" s="1059"/>
      <c r="AW47" s="1059">
        <v>7</v>
      </c>
      <c r="AX47" s="1059">
        <f t="shared" ref="AX47" si="113">AW47+AV47</f>
        <v>7</v>
      </c>
      <c r="AY47" s="1060">
        <f>SUM(AX47:AX47)</f>
        <v>7</v>
      </c>
      <c r="AZ47" s="1060">
        <f t="shared" ref="AZ47" si="114">AK47-AP47</f>
        <v>0</v>
      </c>
      <c r="BA47" s="1060">
        <f t="shared" ref="BA47" si="115">AL47-AQ47</f>
        <v>0</v>
      </c>
      <c r="BB47" s="1061"/>
      <c r="BC47" s="1031"/>
      <c r="BD47" s="1031"/>
    </row>
    <row r="48" spans="1:57" ht="16.5" customHeight="1" x14ac:dyDescent="0.25">
      <c r="A48" s="1058"/>
      <c r="B48" s="1058"/>
      <c r="C48" s="1058"/>
      <c r="D48" s="1258" t="s">
        <v>57</v>
      </c>
      <c r="E48" s="1016" t="s">
        <v>951</v>
      </c>
      <c r="F48" s="1259"/>
      <c r="G48" s="1259"/>
      <c r="H48" s="1035"/>
      <c r="I48" s="1036" t="s">
        <v>909</v>
      </c>
      <c r="J48" s="1257" t="s">
        <v>953</v>
      </c>
      <c r="K48" s="1234"/>
      <c r="L48" s="1234"/>
      <c r="M48" s="1234">
        <f t="shared" si="89"/>
        <v>0</v>
      </c>
      <c r="N48" s="1038"/>
      <c r="O48" s="1038"/>
      <c r="P48" s="1049">
        <f t="shared" si="9"/>
        <v>0</v>
      </c>
      <c r="Q48" s="1254">
        <v>4</v>
      </c>
      <c r="R48" s="1254">
        <v>7</v>
      </c>
      <c r="S48" s="1254">
        <f t="shared" ref="S48" si="116">Q48+R48</f>
        <v>11</v>
      </c>
      <c r="T48" s="1049"/>
      <c r="U48" s="1049">
        <v>7.25</v>
      </c>
      <c r="V48" s="1052">
        <f t="shared" ref="V48" si="117">T48+U48</f>
        <v>7.25</v>
      </c>
      <c r="W48" s="1038">
        <v>280</v>
      </c>
      <c r="X48" s="1049">
        <f t="shared" ref="X48" si="118">W48/40</f>
        <v>7</v>
      </c>
      <c r="Y48" s="1049">
        <f>SUM(X48:X48)</f>
        <v>7</v>
      </c>
      <c r="Z48" s="1049"/>
      <c r="AA48" s="1049"/>
      <c r="AB48" s="1049">
        <f>SUM(AA48:AA48)</f>
        <v>0</v>
      </c>
      <c r="AC48" s="1052"/>
      <c r="AD48" s="1052"/>
      <c r="AE48" s="1052">
        <f>SUM(AD48:AD48)</f>
        <v>0</v>
      </c>
      <c r="AF48" s="1044">
        <f t="shared" ref="AF48" si="119">AD48+AA48+X48</f>
        <v>7</v>
      </c>
      <c r="AG48" s="1044">
        <f>SUM(AF48:AF48)</f>
        <v>7</v>
      </c>
      <c r="AH48" s="1044">
        <v>7</v>
      </c>
      <c r="AI48" s="1044"/>
      <c r="AJ48" s="1044"/>
      <c r="AK48" s="1044">
        <f t="shared" ref="AK48" si="120">AJ48+AI48+AH48</f>
        <v>7</v>
      </c>
      <c r="AL48" s="1059">
        <f>SUM(AK48:AK48)</f>
        <v>7</v>
      </c>
      <c r="AM48" s="1044">
        <v>7</v>
      </c>
      <c r="AN48" s="1044"/>
      <c r="AO48" s="1044"/>
      <c r="AP48" s="1044">
        <f t="shared" ref="AP48" si="121">AO48+AN48+AM48</f>
        <v>7</v>
      </c>
      <c r="AQ48" s="1059">
        <f>SUM(AP48:AP48)</f>
        <v>7</v>
      </c>
      <c r="AR48" s="1059">
        <v>5</v>
      </c>
      <c r="AS48" s="1059">
        <v>14</v>
      </c>
      <c r="AT48" s="1059">
        <f t="shared" ref="AT48" si="122">AR48+AS48</f>
        <v>19</v>
      </c>
      <c r="AU48" s="1059">
        <f>SUM(AT48:AT48)</f>
        <v>19</v>
      </c>
      <c r="AV48" s="1059"/>
      <c r="AW48" s="1059">
        <v>7</v>
      </c>
      <c r="AX48" s="1059">
        <f t="shared" ref="AX48" si="123">AW48+AV48</f>
        <v>7</v>
      </c>
      <c r="AY48" s="1060">
        <f>SUM(AX48:AX48)</f>
        <v>7</v>
      </c>
      <c r="AZ48" s="1060">
        <f t="shared" ref="AZ48" si="124">AK48-AP48</f>
        <v>0</v>
      </c>
      <c r="BA48" s="1060">
        <f t="shared" ref="BA48" si="125">AL48-AQ48</f>
        <v>0</v>
      </c>
      <c r="BB48" s="1061"/>
      <c r="BC48" s="1031"/>
      <c r="BD48" s="1031"/>
    </row>
    <row r="49" spans="1:74" ht="16.5" customHeight="1" x14ac:dyDescent="0.25">
      <c r="A49" s="1058"/>
      <c r="B49" s="1058"/>
      <c r="C49" s="1058"/>
      <c r="D49" s="1258" t="s">
        <v>57</v>
      </c>
      <c r="E49" s="1016" t="s">
        <v>952</v>
      </c>
      <c r="F49" s="1259"/>
      <c r="G49" s="1259"/>
      <c r="H49" s="1035"/>
      <c r="I49" s="1036" t="s">
        <v>909</v>
      </c>
      <c r="J49" s="1257" t="s">
        <v>953</v>
      </c>
      <c r="K49" s="1234"/>
      <c r="L49" s="1234"/>
      <c r="M49" s="1234">
        <f t="shared" si="89"/>
        <v>0</v>
      </c>
      <c r="N49" s="1038"/>
      <c r="O49" s="1038"/>
      <c r="P49" s="1049">
        <f t="shared" si="9"/>
        <v>0</v>
      </c>
      <c r="Q49" s="1254">
        <v>3</v>
      </c>
      <c r="R49" s="1254">
        <v>3</v>
      </c>
      <c r="S49" s="1254">
        <f t="shared" ref="S49" si="126">Q49+R49</f>
        <v>6</v>
      </c>
      <c r="T49" s="1049"/>
      <c r="U49" s="1049">
        <v>5</v>
      </c>
      <c r="V49" s="1052">
        <f t="shared" ref="V49" si="127">T49+U49</f>
        <v>5</v>
      </c>
      <c r="W49" s="1038">
        <v>280</v>
      </c>
      <c r="X49" s="1049">
        <f t="shared" ref="X49" si="128">W49/40</f>
        <v>7</v>
      </c>
      <c r="Y49" s="1049">
        <f>SUM(X49:X49)</f>
        <v>7</v>
      </c>
      <c r="Z49" s="1049"/>
      <c r="AA49" s="1049"/>
      <c r="AB49" s="1049">
        <f>SUM(AA49:AA49)</f>
        <v>0</v>
      </c>
      <c r="AC49" s="1052"/>
      <c r="AD49" s="1052"/>
      <c r="AE49" s="1052">
        <f>SUM(AD49:AD49)</f>
        <v>0</v>
      </c>
      <c r="AF49" s="1044">
        <f t="shared" ref="AF49" si="129">AD49+AA49+X49</f>
        <v>7</v>
      </c>
      <c r="AG49" s="1044">
        <f>SUM(AF49:AF49)</f>
        <v>7</v>
      </c>
      <c r="AH49" s="1044">
        <v>7</v>
      </c>
      <c r="AI49" s="1044"/>
      <c r="AJ49" s="1044"/>
      <c r="AK49" s="1044">
        <f t="shared" ref="AK49" si="130">AJ49+AI49+AH49</f>
        <v>7</v>
      </c>
      <c r="AL49" s="1059">
        <f>SUM(AK49:AK49)</f>
        <v>7</v>
      </c>
      <c r="AM49" s="1044">
        <v>7</v>
      </c>
      <c r="AN49" s="1044"/>
      <c r="AO49" s="1044"/>
      <c r="AP49" s="1044">
        <f t="shared" ref="AP49" si="131">AO49+AN49+AM49</f>
        <v>7</v>
      </c>
      <c r="AQ49" s="1059">
        <f>SUM(AP49:AP49)</f>
        <v>7</v>
      </c>
      <c r="AR49" s="1059">
        <v>5</v>
      </c>
      <c r="AS49" s="1059">
        <v>14</v>
      </c>
      <c r="AT49" s="1059">
        <f t="shared" ref="AT49" si="132">AR49+AS49</f>
        <v>19</v>
      </c>
      <c r="AU49" s="1059">
        <f>SUM(AT49:AT49)</f>
        <v>19</v>
      </c>
      <c r="AV49" s="1059"/>
      <c r="AW49" s="1059">
        <v>7</v>
      </c>
      <c r="AX49" s="1059">
        <f t="shared" ref="AX49" si="133">AW49+AV49</f>
        <v>7</v>
      </c>
      <c r="AY49" s="1060">
        <f>SUM(AX49:AX49)</f>
        <v>7</v>
      </c>
      <c r="AZ49" s="1060">
        <f t="shared" ref="AZ49" si="134">AK49-AP49</f>
        <v>0</v>
      </c>
      <c r="BA49" s="1060">
        <f t="shared" ref="BA49" si="135">AL49-AQ49</f>
        <v>0</v>
      </c>
      <c r="BB49" s="1061"/>
      <c r="BC49" s="1031"/>
      <c r="BD49" s="1031"/>
    </row>
    <row r="50" spans="1:74" s="1282" customFormat="1" ht="15" customHeight="1" x14ac:dyDescent="0.25">
      <c r="A50" s="1264"/>
      <c r="B50" s="1264"/>
      <c r="C50" s="1264"/>
      <c r="D50" s="1265"/>
      <c r="E50" s="1266"/>
      <c r="F50" s="1267"/>
      <c r="G50" s="1267"/>
      <c r="H50" s="1268"/>
      <c r="I50" s="1269"/>
      <c r="J50" s="1270"/>
      <c r="K50" s="1271"/>
      <c r="L50" s="1271"/>
      <c r="M50" s="1271"/>
      <c r="N50" s="1272"/>
      <c r="O50" s="1272"/>
      <c r="P50" s="1273"/>
      <c r="Q50" s="1274"/>
      <c r="R50" s="1274"/>
      <c r="S50" s="1274"/>
      <c r="T50" s="1273"/>
      <c r="U50" s="1273"/>
      <c r="V50" s="1275"/>
      <c r="W50" s="1272"/>
      <c r="X50" s="1273"/>
      <c r="Y50" s="1273"/>
      <c r="Z50" s="1273"/>
      <c r="AA50" s="1273"/>
      <c r="AB50" s="1273"/>
      <c r="AC50" s="1275"/>
      <c r="AD50" s="1275"/>
      <c r="AE50" s="1275"/>
      <c r="AF50" s="1276">
        <f t="shared" ref="AF50:AF61" si="136">AD50+AA50+X50</f>
        <v>0</v>
      </c>
      <c r="AG50" s="1276"/>
      <c r="AH50" s="1276"/>
      <c r="AI50" s="1276"/>
      <c r="AJ50" s="1276"/>
      <c r="AK50" s="1276">
        <f t="shared" ref="AK50:AK61" si="137">AJ50+AI50+AH50</f>
        <v>0</v>
      </c>
      <c r="AL50" s="1277"/>
      <c r="AM50" s="1276"/>
      <c r="AN50" s="1276"/>
      <c r="AO50" s="1276"/>
      <c r="AP50" s="1276">
        <f t="shared" ref="AP50:AP61" si="138">AO50+AN50+AM50</f>
        <v>0</v>
      </c>
      <c r="AQ50" s="1277"/>
      <c r="AR50" s="1277"/>
      <c r="AS50" s="1277"/>
      <c r="AT50" s="1277"/>
      <c r="AU50" s="1277"/>
      <c r="AV50" s="1277"/>
      <c r="AW50" s="1277"/>
      <c r="AX50" s="1277">
        <f t="shared" si="88"/>
        <v>0</v>
      </c>
      <c r="AY50" s="1278"/>
      <c r="AZ50" s="1278">
        <f t="shared" ref="AZ50:BA61" si="139">AK50-AP50</f>
        <v>0</v>
      </c>
      <c r="BA50" s="1278">
        <f t="shared" si="139"/>
        <v>0</v>
      </c>
      <c r="BB50" s="1279"/>
      <c r="BC50" s="1280"/>
      <c r="BD50" s="1280"/>
      <c r="BE50" s="1281"/>
    </row>
    <row r="51" spans="1:74" ht="28.5" customHeight="1" x14ac:dyDescent="0.25">
      <c r="A51" s="1058">
        <v>59</v>
      </c>
      <c r="B51" s="1058" t="s">
        <v>28</v>
      </c>
      <c r="C51" s="1058">
        <v>3</v>
      </c>
      <c r="D51" s="1098" t="s">
        <v>66</v>
      </c>
      <c r="E51" s="1016" t="s">
        <v>924</v>
      </c>
      <c r="F51" s="1095"/>
      <c r="G51" s="1036" t="s">
        <v>909</v>
      </c>
      <c r="H51" s="1035"/>
      <c r="I51" s="1036" t="s">
        <v>909</v>
      </c>
      <c r="J51" s="1257" t="s">
        <v>920</v>
      </c>
      <c r="K51" s="1234"/>
      <c r="L51" s="1234"/>
      <c r="M51" s="1234">
        <f t="shared" si="89"/>
        <v>0</v>
      </c>
      <c r="N51" s="1038"/>
      <c r="O51" s="1038"/>
      <c r="P51" s="1049">
        <f t="shared" si="9"/>
        <v>0</v>
      </c>
      <c r="Q51" s="1254">
        <v>4</v>
      </c>
      <c r="R51" s="1254">
        <v>6</v>
      </c>
      <c r="S51" s="1254">
        <f t="shared" si="90"/>
        <v>10</v>
      </c>
      <c r="T51" s="1049"/>
      <c r="U51" s="1049">
        <v>10</v>
      </c>
      <c r="V51" s="1052">
        <f t="shared" si="91"/>
        <v>10</v>
      </c>
      <c r="X51" s="1049">
        <f t="shared" si="12"/>
        <v>0</v>
      </c>
      <c r="Y51" s="1049"/>
      <c r="Z51" s="1049"/>
      <c r="AA51" s="1049">
        <f t="shared" si="4"/>
        <v>0</v>
      </c>
      <c r="AB51" s="1049"/>
      <c r="AC51" s="1052"/>
      <c r="AD51" s="1052">
        <f t="shared" si="92"/>
        <v>0</v>
      </c>
      <c r="AE51" s="1052"/>
      <c r="AF51" s="1044">
        <f t="shared" si="136"/>
        <v>0</v>
      </c>
      <c r="AG51" s="1044"/>
      <c r="AH51" s="1044"/>
      <c r="AI51" s="1044"/>
      <c r="AJ51" s="1044"/>
      <c r="AK51" s="1044">
        <f t="shared" si="137"/>
        <v>0</v>
      </c>
      <c r="AL51" s="1059"/>
      <c r="AM51" s="1044"/>
      <c r="AN51" s="1044"/>
      <c r="AO51" s="1044"/>
      <c r="AP51" s="1044">
        <f t="shared" si="138"/>
        <v>0</v>
      </c>
      <c r="AQ51" s="1059"/>
      <c r="AR51" s="1059"/>
      <c r="AS51" s="1059"/>
      <c r="AT51" s="1059">
        <f t="shared" ref="AT51:AT52" si="140">AR51+AS51</f>
        <v>0</v>
      </c>
      <c r="AU51" s="1059"/>
      <c r="AV51" s="1059"/>
      <c r="AW51" s="1059"/>
      <c r="AX51" s="1059">
        <f t="shared" si="88"/>
        <v>0</v>
      </c>
      <c r="AY51" s="1060"/>
      <c r="AZ51" s="1060">
        <f t="shared" si="139"/>
        <v>0</v>
      </c>
      <c r="BA51" s="1060">
        <f t="shared" si="139"/>
        <v>0</v>
      </c>
      <c r="BB51" s="1061"/>
      <c r="BC51" s="1031"/>
      <c r="BD51" s="1031"/>
    </row>
    <row r="52" spans="1:74" ht="15" customHeight="1" x14ac:dyDescent="0.25">
      <c r="A52" s="1058">
        <v>60</v>
      </c>
      <c r="B52" s="1058" t="s">
        <v>28</v>
      </c>
      <c r="C52" s="1058">
        <v>4</v>
      </c>
      <c r="D52" s="1098" t="s">
        <v>66</v>
      </c>
      <c r="E52" s="1016" t="s">
        <v>925</v>
      </c>
      <c r="F52" s="1095"/>
      <c r="G52" s="1036" t="s">
        <v>909</v>
      </c>
      <c r="H52" s="1035"/>
      <c r="I52" s="1036" t="s">
        <v>909</v>
      </c>
      <c r="J52" s="1257" t="s">
        <v>920</v>
      </c>
      <c r="K52" s="1234"/>
      <c r="L52" s="1234"/>
      <c r="M52" s="1234">
        <f t="shared" si="89"/>
        <v>0</v>
      </c>
      <c r="N52" s="1038"/>
      <c r="O52" s="1038"/>
      <c r="P52" s="1049">
        <f t="shared" si="9"/>
        <v>0</v>
      </c>
      <c r="Q52" s="1254">
        <v>1</v>
      </c>
      <c r="R52" s="1254">
        <v>14</v>
      </c>
      <c r="S52" s="1254">
        <f t="shared" si="90"/>
        <v>15</v>
      </c>
      <c r="T52" s="1049"/>
      <c r="U52" s="1049">
        <v>15</v>
      </c>
      <c r="V52" s="1052">
        <f t="shared" si="91"/>
        <v>15</v>
      </c>
      <c r="X52" s="1049">
        <f t="shared" si="12"/>
        <v>0</v>
      </c>
      <c r="Y52" s="1049"/>
      <c r="Z52" s="1049"/>
      <c r="AA52" s="1049">
        <f t="shared" si="4"/>
        <v>0</v>
      </c>
      <c r="AB52" s="1049"/>
      <c r="AC52" s="1052"/>
      <c r="AD52" s="1052">
        <f t="shared" si="92"/>
        <v>0</v>
      </c>
      <c r="AE52" s="1052"/>
      <c r="AF52" s="1044">
        <f t="shared" si="136"/>
        <v>0</v>
      </c>
      <c r="AG52" s="1044"/>
      <c r="AH52" s="1044"/>
      <c r="AI52" s="1044"/>
      <c r="AJ52" s="1044"/>
      <c r="AK52" s="1044">
        <f t="shared" si="137"/>
        <v>0</v>
      </c>
      <c r="AL52" s="1059"/>
      <c r="AM52" s="1044"/>
      <c r="AN52" s="1044"/>
      <c r="AO52" s="1044"/>
      <c r="AP52" s="1044">
        <f t="shared" si="138"/>
        <v>0</v>
      </c>
      <c r="AQ52" s="1059"/>
      <c r="AR52" s="1059"/>
      <c r="AS52" s="1059"/>
      <c r="AT52" s="1059">
        <f t="shared" si="140"/>
        <v>0</v>
      </c>
      <c r="AU52" s="1059"/>
      <c r="AV52" s="1059"/>
      <c r="AW52" s="1059"/>
      <c r="AX52" s="1059">
        <f t="shared" si="88"/>
        <v>0</v>
      </c>
      <c r="AY52" s="1060"/>
      <c r="AZ52" s="1060">
        <f t="shared" si="139"/>
        <v>0</v>
      </c>
      <c r="BA52" s="1060">
        <f t="shared" si="139"/>
        <v>0</v>
      </c>
      <c r="BB52" s="1061"/>
      <c r="BC52" s="1031"/>
      <c r="BD52" s="1031"/>
    </row>
    <row r="53" spans="1:74" s="1282" customFormat="1" ht="15" customHeight="1" x14ac:dyDescent="0.25">
      <c r="A53" s="1264"/>
      <c r="B53" s="1264"/>
      <c r="C53" s="1264"/>
      <c r="D53" s="1265"/>
      <c r="E53" s="1266"/>
      <c r="F53" s="1267"/>
      <c r="G53" s="1267"/>
      <c r="H53" s="1268"/>
      <c r="I53" s="1269"/>
      <c r="J53" s="1270"/>
      <c r="K53" s="1271"/>
      <c r="L53" s="1271"/>
      <c r="M53" s="1271"/>
      <c r="N53" s="1272"/>
      <c r="O53" s="1272"/>
      <c r="P53" s="1273"/>
      <c r="Q53" s="1274"/>
      <c r="R53" s="1274"/>
      <c r="S53" s="1274"/>
      <c r="T53" s="1273"/>
      <c r="U53" s="1273"/>
      <c r="V53" s="1275"/>
      <c r="W53" s="1272"/>
      <c r="X53" s="1273"/>
      <c r="Y53" s="1273"/>
      <c r="Z53" s="1273"/>
      <c r="AA53" s="1273"/>
      <c r="AB53" s="1273"/>
      <c r="AC53" s="1275"/>
      <c r="AD53" s="1275"/>
      <c r="AE53" s="1275"/>
      <c r="AF53" s="1276">
        <f t="shared" si="136"/>
        <v>0</v>
      </c>
      <c r="AG53" s="1276"/>
      <c r="AH53" s="1276"/>
      <c r="AI53" s="1276"/>
      <c r="AJ53" s="1276"/>
      <c r="AK53" s="1276">
        <f t="shared" si="137"/>
        <v>0</v>
      </c>
      <c r="AL53" s="1277"/>
      <c r="AM53" s="1276"/>
      <c r="AN53" s="1276"/>
      <c r="AO53" s="1276"/>
      <c r="AP53" s="1276">
        <f t="shared" si="138"/>
        <v>0</v>
      </c>
      <c r="AQ53" s="1277"/>
      <c r="AR53" s="1277"/>
      <c r="AS53" s="1277"/>
      <c r="AT53" s="1277"/>
      <c r="AU53" s="1277"/>
      <c r="AV53" s="1277"/>
      <c r="AW53" s="1277"/>
      <c r="AX53" s="1277">
        <f t="shared" si="88"/>
        <v>0</v>
      </c>
      <c r="AY53" s="1278"/>
      <c r="AZ53" s="1278">
        <f t="shared" si="139"/>
        <v>0</v>
      </c>
      <c r="BA53" s="1278">
        <f t="shared" si="139"/>
        <v>0</v>
      </c>
      <c r="BB53" s="1279"/>
      <c r="BC53" s="1280"/>
      <c r="BD53" s="1280"/>
      <c r="BE53" s="1281"/>
    </row>
    <row r="54" spans="1:74" ht="15" customHeight="1" x14ac:dyDescent="0.25">
      <c r="A54" s="1058">
        <v>68</v>
      </c>
      <c r="B54" s="1058" t="s">
        <v>28</v>
      </c>
      <c r="C54" s="1058">
        <v>1</v>
      </c>
      <c r="D54" s="1072" t="s">
        <v>76</v>
      </c>
      <c r="E54" s="1016" t="s">
        <v>926</v>
      </c>
      <c r="F54" s="1095"/>
      <c r="G54" s="1095"/>
      <c r="H54" s="1035"/>
      <c r="I54" s="1036" t="s">
        <v>909</v>
      </c>
      <c r="J54" s="1257" t="s">
        <v>920</v>
      </c>
      <c r="K54" s="1234"/>
      <c r="L54" s="1234"/>
      <c r="M54" s="1234">
        <f t="shared" si="89"/>
        <v>0</v>
      </c>
      <c r="N54" s="1038"/>
      <c r="O54" s="1038"/>
      <c r="P54" s="1049">
        <f t="shared" si="9"/>
        <v>0</v>
      </c>
      <c r="Q54" s="1254">
        <v>2</v>
      </c>
      <c r="R54" s="1254">
        <v>18</v>
      </c>
      <c r="S54" s="1254">
        <f t="shared" si="90"/>
        <v>20</v>
      </c>
      <c r="T54" s="1049"/>
      <c r="U54" s="1049">
        <v>17</v>
      </c>
      <c r="V54" s="1052">
        <f t="shared" si="91"/>
        <v>17</v>
      </c>
      <c r="W54" s="1038">
        <v>1000</v>
      </c>
      <c r="X54" s="1049">
        <f t="shared" si="12"/>
        <v>25</v>
      </c>
      <c r="Y54" s="1049">
        <f>SUM(X54:X55)</f>
        <v>55</v>
      </c>
      <c r="Z54" s="1049"/>
      <c r="AA54" s="1049">
        <f t="shared" si="4"/>
        <v>0</v>
      </c>
      <c r="AB54" s="1049">
        <f>SUM(AA54:AA55)</f>
        <v>0</v>
      </c>
      <c r="AC54" s="1052"/>
      <c r="AD54" s="1052">
        <f t="shared" si="92"/>
        <v>0</v>
      </c>
      <c r="AE54" s="1052">
        <f>SUM(AD54:AD55)</f>
        <v>0</v>
      </c>
      <c r="AF54" s="1044">
        <f t="shared" si="136"/>
        <v>25</v>
      </c>
      <c r="AG54" s="1044">
        <f>SUM(AF54:AF55)</f>
        <v>55</v>
      </c>
      <c r="AH54" s="1044"/>
      <c r="AI54" s="1044"/>
      <c r="AJ54" s="1044"/>
      <c r="AK54" s="1044">
        <f t="shared" si="137"/>
        <v>0</v>
      </c>
      <c r="AL54" s="1059">
        <f>SUM(AK54:AK55)</f>
        <v>0</v>
      </c>
      <c r="AM54" s="1044"/>
      <c r="AN54" s="1044"/>
      <c r="AO54" s="1044"/>
      <c r="AP54" s="1044">
        <f t="shared" si="138"/>
        <v>0</v>
      </c>
      <c r="AQ54" s="1059">
        <f>SUM(AP54:AP55)</f>
        <v>0</v>
      </c>
      <c r="AR54" s="1059"/>
      <c r="AS54" s="1059"/>
      <c r="AT54" s="1059">
        <f>AR54+AS54</f>
        <v>0</v>
      </c>
      <c r="AU54" s="1059">
        <f>SUM(AT54:AT55)</f>
        <v>0</v>
      </c>
      <c r="AV54" s="1059"/>
      <c r="AW54" s="1059"/>
      <c r="AX54" s="1059">
        <f t="shared" si="88"/>
        <v>0</v>
      </c>
      <c r="AY54" s="1060">
        <f>SUM(AX54:AX55)</f>
        <v>0</v>
      </c>
      <c r="AZ54" s="1060">
        <f t="shared" si="139"/>
        <v>0</v>
      </c>
      <c r="BA54" s="1060">
        <f t="shared" si="139"/>
        <v>0</v>
      </c>
      <c r="BB54" s="1061"/>
      <c r="BC54" s="1031"/>
      <c r="BD54" s="1031"/>
    </row>
    <row r="55" spans="1:74" ht="16.5" customHeight="1" x14ac:dyDescent="0.25">
      <c r="A55" s="1058">
        <v>69</v>
      </c>
      <c r="B55" s="1058" t="s">
        <v>28</v>
      </c>
      <c r="C55" s="1058">
        <v>2</v>
      </c>
      <c r="D55" s="1072" t="s">
        <v>76</v>
      </c>
      <c r="E55" s="1016" t="s">
        <v>927</v>
      </c>
      <c r="F55" s="1095"/>
      <c r="G55" s="1095"/>
      <c r="H55" s="1035"/>
      <c r="I55" s="1036" t="s">
        <v>909</v>
      </c>
      <c r="J55" s="1257" t="s">
        <v>920</v>
      </c>
      <c r="K55" s="1234"/>
      <c r="L55" s="1234"/>
      <c r="M55" s="1234">
        <f t="shared" si="89"/>
        <v>0</v>
      </c>
      <c r="N55" s="1038"/>
      <c r="O55" s="1038"/>
      <c r="P55" s="1049">
        <f t="shared" si="9"/>
        <v>0</v>
      </c>
      <c r="Q55" s="1254">
        <v>6</v>
      </c>
      <c r="R55" s="1254">
        <v>14</v>
      </c>
      <c r="S55" s="1254">
        <f t="shared" si="90"/>
        <v>20</v>
      </c>
      <c r="T55" s="1049"/>
      <c r="U55" s="1049">
        <v>24.7</v>
      </c>
      <c r="V55" s="1052">
        <f t="shared" si="91"/>
        <v>24.7</v>
      </c>
      <c r="W55" s="1038">
        <v>1200</v>
      </c>
      <c r="X55" s="1049">
        <f t="shared" si="12"/>
        <v>30</v>
      </c>
      <c r="Y55" s="1049"/>
      <c r="Z55" s="1049"/>
      <c r="AA55" s="1049">
        <f t="shared" si="4"/>
        <v>0</v>
      </c>
      <c r="AB55" s="1049"/>
      <c r="AC55" s="1052"/>
      <c r="AD55" s="1052">
        <f t="shared" si="92"/>
        <v>0</v>
      </c>
      <c r="AE55" s="1052"/>
      <c r="AF55" s="1044">
        <f t="shared" si="136"/>
        <v>30</v>
      </c>
      <c r="AG55" s="1044"/>
      <c r="AH55" s="1044"/>
      <c r="AI55" s="1044"/>
      <c r="AJ55" s="1044"/>
      <c r="AK55" s="1044">
        <f t="shared" si="137"/>
        <v>0</v>
      </c>
      <c r="AL55" s="1059"/>
      <c r="AM55" s="1044"/>
      <c r="AN55" s="1044"/>
      <c r="AO55" s="1044"/>
      <c r="AP55" s="1044">
        <f t="shared" si="138"/>
        <v>0</v>
      </c>
      <c r="AQ55" s="1059"/>
      <c r="AR55" s="1059"/>
      <c r="AS55" s="1059"/>
      <c r="AT55" s="1059">
        <f>AR55+AS55</f>
        <v>0</v>
      </c>
      <c r="AU55" s="1059"/>
      <c r="AV55" s="1059"/>
      <c r="AW55" s="1059"/>
      <c r="AX55" s="1059">
        <f t="shared" si="88"/>
        <v>0</v>
      </c>
      <c r="AY55" s="1060"/>
      <c r="AZ55" s="1060">
        <f t="shared" si="139"/>
        <v>0</v>
      </c>
      <c r="BA55" s="1060">
        <f t="shared" si="139"/>
        <v>0</v>
      </c>
      <c r="BB55" s="1061"/>
      <c r="BC55" s="1031"/>
      <c r="BD55" s="1031"/>
    </row>
    <row r="56" spans="1:74" s="1282" customFormat="1" ht="13.5" customHeight="1" x14ac:dyDescent="0.25">
      <c r="A56" s="1264"/>
      <c r="B56" s="1264"/>
      <c r="C56" s="1264"/>
      <c r="D56" s="1265"/>
      <c r="E56" s="1266"/>
      <c r="F56" s="1267"/>
      <c r="G56" s="1267"/>
      <c r="H56" s="1268"/>
      <c r="I56" s="1269"/>
      <c r="J56" s="1270"/>
      <c r="K56" s="1271"/>
      <c r="L56" s="1271"/>
      <c r="M56" s="1271"/>
      <c r="N56" s="1272"/>
      <c r="O56" s="1272"/>
      <c r="P56" s="1273"/>
      <c r="Q56" s="1274"/>
      <c r="R56" s="1274"/>
      <c r="S56" s="1274"/>
      <c r="T56" s="1273"/>
      <c r="U56" s="1273"/>
      <c r="V56" s="1275"/>
      <c r="W56" s="1272"/>
      <c r="X56" s="1273"/>
      <c r="Y56" s="1273"/>
      <c r="Z56" s="1273"/>
      <c r="AA56" s="1273"/>
      <c r="AB56" s="1273"/>
      <c r="AC56" s="1275"/>
      <c r="AD56" s="1275"/>
      <c r="AE56" s="1275"/>
      <c r="AF56" s="1276">
        <f t="shared" si="136"/>
        <v>0</v>
      </c>
      <c r="AG56" s="1276"/>
      <c r="AH56" s="1276"/>
      <c r="AI56" s="1276"/>
      <c r="AJ56" s="1276"/>
      <c r="AK56" s="1276">
        <f t="shared" si="137"/>
        <v>0</v>
      </c>
      <c r="AL56" s="1277"/>
      <c r="AM56" s="1276"/>
      <c r="AN56" s="1276"/>
      <c r="AO56" s="1276"/>
      <c r="AP56" s="1276">
        <f t="shared" si="138"/>
        <v>0</v>
      </c>
      <c r="AQ56" s="1277"/>
      <c r="AR56" s="1277"/>
      <c r="AS56" s="1277"/>
      <c r="AT56" s="1277"/>
      <c r="AU56" s="1277"/>
      <c r="AV56" s="1277"/>
      <c r="AW56" s="1277"/>
      <c r="AX56" s="1277">
        <f t="shared" ref="AX56:AX66" si="141">AW56+AV56</f>
        <v>0</v>
      </c>
      <c r="AY56" s="1278"/>
      <c r="AZ56" s="1278">
        <f t="shared" si="139"/>
        <v>0</v>
      </c>
      <c r="BA56" s="1278">
        <f t="shared" si="139"/>
        <v>0</v>
      </c>
      <c r="BB56" s="1279"/>
      <c r="BC56" s="1280"/>
      <c r="BD56" s="1280"/>
      <c r="BE56" s="1281"/>
    </row>
    <row r="57" spans="1:74" ht="46.5" customHeight="1" x14ac:dyDescent="0.25">
      <c r="A57" s="1058"/>
      <c r="B57" s="1058"/>
      <c r="C57" s="1058"/>
      <c r="D57" s="1072" t="s">
        <v>79</v>
      </c>
      <c r="E57" s="1016" t="s">
        <v>73</v>
      </c>
      <c r="F57" s="1095"/>
      <c r="G57" s="1095"/>
      <c r="H57" s="1035"/>
      <c r="I57" s="1036"/>
      <c r="J57" s="1257" t="s">
        <v>920</v>
      </c>
      <c r="K57" s="1234">
        <v>0</v>
      </c>
      <c r="L57" s="1234">
        <v>25</v>
      </c>
      <c r="M57" s="1234">
        <f t="shared" si="89"/>
        <v>25</v>
      </c>
      <c r="N57" s="1038"/>
      <c r="O57" s="1038">
        <v>20</v>
      </c>
      <c r="P57" s="1049">
        <f t="shared" si="9"/>
        <v>20</v>
      </c>
      <c r="Q57" s="1254">
        <v>0</v>
      </c>
      <c r="R57" s="1254">
        <v>25</v>
      </c>
      <c r="S57" s="1254">
        <f t="shared" si="90"/>
        <v>25</v>
      </c>
      <c r="T57" s="1049"/>
      <c r="U57" s="1049">
        <v>20</v>
      </c>
      <c r="V57" s="1052">
        <f t="shared" si="91"/>
        <v>20</v>
      </c>
      <c r="W57" s="1038">
        <v>310</v>
      </c>
      <c r="X57" s="1049">
        <f t="shared" si="12"/>
        <v>7.75</v>
      </c>
      <c r="Y57" s="1049">
        <f>SUM(X57:X57)</f>
        <v>7.75</v>
      </c>
      <c r="Z57" s="1049"/>
      <c r="AA57" s="1049">
        <f t="shared" ref="AA57:AA76" si="142">Z57/40</f>
        <v>0</v>
      </c>
      <c r="AB57" s="1049">
        <f>SUM(AA57:AA57)</f>
        <v>0</v>
      </c>
      <c r="AC57" s="1052">
        <v>310</v>
      </c>
      <c r="AD57" s="1052">
        <f t="shared" si="92"/>
        <v>7.75</v>
      </c>
      <c r="AE57" s="1052">
        <f>SUM(AD57:AD57)</f>
        <v>7.75</v>
      </c>
      <c r="AF57" s="1044">
        <f t="shared" si="136"/>
        <v>15.5</v>
      </c>
      <c r="AG57" s="1044">
        <f>SUM(AF57:AF57)</f>
        <v>15.5</v>
      </c>
      <c r="AH57" s="1044"/>
      <c r="AI57" s="1044"/>
      <c r="AJ57" s="1044">
        <v>8</v>
      </c>
      <c r="AK57" s="1044">
        <f t="shared" si="137"/>
        <v>8</v>
      </c>
      <c r="AL57" s="1059">
        <f>SUM(AK57:AK57)</f>
        <v>8</v>
      </c>
      <c r="AM57" s="1044"/>
      <c r="AN57" s="1044"/>
      <c r="AO57" s="1044">
        <v>7.75</v>
      </c>
      <c r="AP57" s="1044">
        <f t="shared" si="138"/>
        <v>7.75</v>
      </c>
      <c r="AQ57" s="1059">
        <f>SUM(AP57:AP57)</f>
        <v>7.75</v>
      </c>
      <c r="AR57" s="1059">
        <v>7</v>
      </c>
      <c r="AS57" s="1059">
        <v>10</v>
      </c>
      <c r="AT57" s="1059">
        <f t="shared" ref="AT57" si="143">AR57+AS57</f>
        <v>17</v>
      </c>
      <c r="AU57" s="1059">
        <f>SUM(AT57:AT57)</f>
        <v>17</v>
      </c>
      <c r="AV57" s="1059"/>
      <c r="AW57" s="1059">
        <v>7.75</v>
      </c>
      <c r="AX57" s="1059">
        <f t="shared" si="141"/>
        <v>7.75</v>
      </c>
      <c r="AY57" s="1060">
        <f>SUM(AX57:AX57)</f>
        <v>7.75</v>
      </c>
      <c r="AZ57" s="1060">
        <f t="shared" si="139"/>
        <v>0.25</v>
      </c>
      <c r="BA57" s="1060">
        <f t="shared" si="139"/>
        <v>0.25</v>
      </c>
      <c r="BB57" s="1061" t="s">
        <v>744</v>
      </c>
      <c r="BC57" s="1031"/>
      <c r="BD57" s="1031"/>
    </row>
    <row r="58" spans="1:74" s="1281" customFormat="1" ht="12" customHeight="1" x14ac:dyDescent="0.25">
      <c r="A58" s="1264"/>
      <c r="B58" s="1264"/>
      <c r="C58" s="1264"/>
      <c r="D58" s="1265"/>
      <c r="E58" s="1266"/>
      <c r="F58" s="1267"/>
      <c r="G58" s="1267"/>
      <c r="H58" s="1268"/>
      <c r="I58" s="1269"/>
      <c r="J58" s="1270"/>
      <c r="K58" s="1271"/>
      <c r="L58" s="1271"/>
      <c r="M58" s="1271"/>
      <c r="N58" s="1272"/>
      <c r="O58" s="1272"/>
      <c r="P58" s="1273"/>
      <c r="Q58" s="1274"/>
      <c r="R58" s="1274"/>
      <c r="S58" s="1274"/>
      <c r="T58" s="1273"/>
      <c r="U58" s="1273"/>
      <c r="V58" s="1275"/>
      <c r="W58" s="1272"/>
      <c r="X58" s="1273"/>
      <c r="Y58" s="1273"/>
      <c r="Z58" s="1273"/>
      <c r="AA58" s="1273"/>
      <c r="AB58" s="1273"/>
      <c r="AC58" s="1275"/>
      <c r="AD58" s="1275"/>
      <c r="AE58" s="1275"/>
      <c r="AF58" s="1276">
        <f t="shared" si="136"/>
        <v>0</v>
      </c>
      <c r="AG58" s="1276"/>
      <c r="AH58" s="1276"/>
      <c r="AI58" s="1276"/>
      <c r="AJ58" s="1276"/>
      <c r="AK58" s="1276">
        <f t="shared" si="137"/>
        <v>0</v>
      </c>
      <c r="AL58" s="1277"/>
      <c r="AM58" s="1276"/>
      <c r="AN58" s="1276"/>
      <c r="AO58" s="1276"/>
      <c r="AP58" s="1276">
        <f t="shared" si="138"/>
        <v>0</v>
      </c>
      <c r="AQ58" s="1277"/>
      <c r="AR58" s="1277"/>
      <c r="AS58" s="1277"/>
      <c r="AT58" s="1277"/>
      <c r="AU58" s="1277"/>
      <c r="AV58" s="1277"/>
      <c r="AW58" s="1277"/>
      <c r="AX58" s="1277">
        <f t="shared" si="141"/>
        <v>0</v>
      </c>
      <c r="AY58" s="1278"/>
      <c r="AZ58" s="1278">
        <f t="shared" si="139"/>
        <v>0</v>
      </c>
      <c r="BA58" s="1278">
        <f t="shared" si="139"/>
        <v>0</v>
      </c>
      <c r="BB58" s="1279"/>
      <c r="BC58" s="1280"/>
      <c r="BD58" s="1280"/>
      <c r="BF58" s="1282"/>
      <c r="BG58" s="1282"/>
      <c r="BH58" s="1282"/>
      <c r="BI58" s="1282"/>
      <c r="BJ58" s="1282"/>
      <c r="BK58" s="1282"/>
      <c r="BL58" s="1282"/>
      <c r="BM58" s="1282"/>
      <c r="BN58" s="1282"/>
      <c r="BO58" s="1282"/>
      <c r="BP58" s="1282"/>
      <c r="BQ58" s="1282"/>
      <c r="BR58" s="1282"/>
      <c r="BS58" s="1282"/>
      <c r="BT58" s="1282"/>
      <c r="BU58" s="1282"/>
      <c r="BV58" s="1282"/>
    </row>
    <row r="59" spans="1:74" s="1024" customFormat="1" ht="15" customHeight="1" x14ac:dyDescent="0.25">
      <c r="A59" s="1058">
        <v>84</v>
      </c>
      <c r="B59" s="1058" t="s">
        <v>28</v>
      </c>
      <c r="C59" s="1058">
        <v>6</v>
      </c>
      <c r="D59" s="1098" t="s">
        <v>85</v>
      </c>
      <c r="E59" s="1016" t="s">
        <v>90</v>
      </c>
      <c r="F59" s="1095"/>
      <c r="G59" s="1095"/>
      <c r="H59" s="1035"/>
      <c r="I59" s="1036"/>
      <c r="J59" s="1257"/>
      <c r="K59" s="1234"/>
      <c r="L59" s="1234"/>
      <c r="M59" s="1234">
        <f>K59+L59</f>
        <v>0</v>
      </c>
      <c r="N59" s="1038"/>
      <c r="O59" s="1038"/>
      <c r="P59" s="1049">
        <f>N59+O59</f>
        <v>0</v>
      </c>
      <c r="Q59" s="1254"/>
      <c r="R59" s="1254"/>
      <c r="S59" s="1254">
        <f t="shared" ref="S59:S70" si="144">Q59+R59</f>
        <v>0</v>
      </c>
      <c r="T59" s="1049"/>
      <c r="U59" s="1049"/>
      <c r="V59" s="1052">
        <f t="shared" ref="V59:V70" si="145">T59+U59</f>
        <v>0</v>
      </c>
      <c r="W59" s="1038"/>
      <c r="X59" s="1049">
        <f>W59/40</f>
        <v>0</v>
      </c>
      <c r="Y59" s="1049">
        <f>SUM(X59:X59)</f>
        <v>0</v>
      </c>
      <c r="Z59" s="1049"/>
      <c r="AA59" s="1049">
        <f t="shared" si="142"/>
        <v>0</v>
      </c>
      <c r="AB59" s="1049">
        <f>SUM(AA59:AA59)</f>
        <v>0</v>
      </c>
      <c r="AC59" s="1052"/>
      <c r="AD59" s="1052">
        <f t="shared" ref="AD59:AD70" si="146">AC59/40</f>
        <v>0</v>
      </c>
      <c r="AE59" s="1052">
        <f>SUM(AD59:AD59)</f>
        <v>0</v>
      </c>
      <c r="AF59" s="1044">
        <f t="shared" si="136"/>
        <v>0</v>
      </c>
      <c r="AG59" s="1044">
        <f>SUM(AF59:AF59)</f>
        <v>0</v>
      </c>
      <c r="AH59" s="1044"/>
      <c r="AI59" s="1044"/>
      <c r="AJ59" s="1044"/>
      <c r="AK59" s="1044">
        <f t="shared" si="137"/>
        <v>0</v>
      </c>
      <c r="AL59" s="1059">
        <f>SUM(AK59:AK59)</f>
        <v>0</v>
      </c>
      <c r="AM59" s="1044"/>
      <c r="AN59" s="1044"/>
      <c r="AO59" s="1044"/>
      <c r="AP59" s="1044">
        <f t="shared" si="138"/>
        <v>0</v>
      </c>
      <c r="AQ59" s="1059">
        <f>SUM(AP59:AP59)</f>
        <v>0</v>
      </c>
      <c r="AR59" s="1059"/>
      <c r="AS59" s="1059"/>
      <c r="AT59" s="1059">
        <f t="shared" ref="AT59" si="147">AR59+AS59</f>
        <v>0</v>
      </c>
      <c r="AU59" s="1059">
        <f>SUM(AT59:AT59)</f>
        <v>0</v>
      </c>
      <c r="AV59" s="1059"/>
      <c r="AW59" s="1059"/>
      <c r="AX59" s="1059">
        <f t="shared" si="141"/>
        <v>0</v>
      </c>
      <c r="AY59" s="1060">
        <f>SUM(AX59:AX59)</f>
        <v>0</v>
      </c>
      <c r="AZ59" s="1060">
        <f t="shared" si="139"/>
        <v>0</v>
      </c>
      <c r="BA59" s="1060">
        <f t="shared" si="139"/>
        <v>0</v>
      </c>
      <c r="BB59" s="1061"/>
      <c r="BC59" s="1031"/>
      <c r="BD59" s="1031"/>
      <c r="BF59" s="1017"/>
      <c r="BG59" s="1017"/>
      <c r="BH59" s="1017"/>
      <c r="BI59" s="1017"/>
      <c r="BJ59" s="1017"/>
      <c r="BK59" s="1017"/>
      <c r="BL59" s="1017"/>
      <c r="BM59" s="1017"/>
      <c r="BN59" s="1017"/>
      <c r="BO59" s="1017"/>
      <c r="BP59" s="1017"/>
      <c r="BQ59" s="1017"/>
      <c r="BR59" s="1017"/>
      <c r="BS59" s="1017"/>
      <c r="BT59" s="1017"/>
      <c r="BU59" s="1017"/>
      <c r="BV59" s="1017"/>
    </row>
    <row r="60" spans="1:74" s="1281" customFormat="1" ht="15" customHeight="1" x14ac:dyDescent="0.25">
      <c r="A60" s="1264"/>
      <c r="B60" s="1264"/>
      <c r="C60" s="1264"/>
      <c r="D60" s="1265"/>
      <c r="E60" s="1266"/>
      <c r="F60" s="1267"/>
      <c r="G60" s="1267"/>
      <c r="H60" s="1268"/>
      <c r="I60" s="1269"/>
      <c r="J60" s="1270"/>
      <c r="K60" s="1271"/>
      <c r="L60" s="1271"/>
      <c r="M60" s="1271"/>
      <c r="N60" s="1272"/>
      <c r="O60" s="1272"/>
      <c r="P60" s="1273"/>
      <c r="Q60" s="1274"/>
      <c r="R60" s="1274"/>
      <c r="S60" s="1274"/>
      <c r="T60" s="1273"/>
      <c r="U60" s="1273"/>
      <c r="V60" s="1275"/>
      <c r="W60" s="1272"/>
      <c r="X60" s="1273"/>
      <c r="Y60" s="1273"/>
      <c r="Z60" s="1273"/>
      <c r="AA60" s="1273"/>
      <c r="AB60" s="1273"/>
      <c r="AC60" s="1275"/>
      <c r="AD60" s="1275"/>
      <c r="AE60" s="1275"/>
      <c r="AF60" s="1276">
        <f t="shared" si="136"/>
        <v>0</v>
      </c>
      <c r="AG60" s="1276"/>
      <c r="AH60" s="1339"/>
      <c r="AI60" s="1339"/>
      <c r="AJ60" s="1339"/>
      <c r="AK60" s="1276">
        <f t="shared" si="137"/>
        <v>0</v>
      </c>
      <c r="AL60" s="1277"/>
      <c r="AM60" s="1339"/>
      <c r="AN60" s="1339"/>
      <c r="AO60" s="1339"/>
      <c r="AP60" s="1276">
        <f t="shared" si="138"/>
        <v>0</v>
      </c>
      <c r="AQ60" s="1277"/>
      <c r="AR60" s="1277"/>
      <c r="AS60" s="1277"/>
      <c r="AT60" s="1277"/>
      <c r="AU60" s="1277"/>
      <c r="AV60" s="1277"/>
      <c r="AW60" s="1277"/>
      <c r="AX60" s="1277">
        <f t="shared" si="141"/>
        <v>0</v>
      </c>
      <c r="AY60" s="1278"/>
      <c r="AZ60" s="1278">
        <f t="shared" si="139"/>
        <v>0</v>
      </c>
      <c r="BA60" s="1278">
        <f t="shared" si="139"/>
        <v>0</v>
      </c>
      <c r="BB60" s="1279"/>
      <c r="BC60" s="1280"/>
      <c r="BD60" s="1280"/>
      <c r="BF60" s="1282"/>
      <c r="BG60" s="1282"/>
      <c r="BH60" s="1282"/>
      <c r="BI60" s="1282"/>
      <c r="BJ60" s="1282"/>
      <c r="BK60" s="1282"/>
      <c r="BL60" s="1282"/>
      <c r="BM60" s="1282"/>
      <c r="BN60" s="1282"/>
      <c r="BO60" s="1282"/>
      <c r="BP60" s="1282"/>
      <c r="BQ60" s="1282"/>
      <c r="BR60" s="1282"/>
      <c r="BS60" s="1282"/>
      <c r="BT60" s="1282"/>
      <c r="BU60" s="1282"/>
      <c r="BV60" s="1282"/>
    </row>
    <row r="61" spans="1:74" s="1024" customFormat="1" ht="15" customHeight="1" x14ac:dyDescent="0.25">
      <c r="A61" s="1058">
        <v>86</v>
      </c>
      <c r="B61" s="1058" t="s">
        <v>28</v>
      </c>
      <c r="C61" s="1058">
        <v>1</v>
      </c>
      <c r="D61" s="1073" t="s">
        <v>92</v>
      </c>
      <c r="E61" s="1070" t="s">
        <v>93</v>
      </c>
      <c r="F61" s="1095"/>
      <c r="G61" s="1095"/>
      <c r="H61" s="1035"/>
      <c r="I61" s="1036"/>
      <c r="J61" s="1257"/>
      <c r="K61" s="1234"/>
      <c r="L61" s="1234"/>
      <c r="M61" s="1234">
        <f t="shared" si="89"/>
        <v>0</v>
      </c>
      <c r="N61" s="1038"/>
      <c r="O61" s="1038"/>
      <c r="P61" s="1049">
        <f t="shared" ref="P61:P76" si="148">N61+O61</f>
        <v>0</v>
      </c>
      <c r="Q61" s="1254"/>
      <c r="R61" s="1254"/>
      <c r="S61" s="1254">
        <f t="shared" si="144"/>
        <v>0</v>
      </c>
      <c r="T61" s="1049"/>
      <c r="U61" s="1049"/>
      <c r="V61" s="1052">
        <f t="shared" si="145"/>
        <v>0</v>
      </c>
      <c r="W61" s="1038"/>
      <c r="X61" s="1049">
        <f t="shared" ref="X61:X68" si="149">W61/40</f>
        <v>0</v>
      </c>
      <c r="Y61" s="1049">
        <f>SUM(X61:X61)</f>
        <v>0</v>
      </c>
      <c r="Z61" s="1049"/>
      <c r="AA61" s="1049">
        <f t="shared" si="142"/>
        <v>0</v>
      </c>
      <c r="AB61" s="1049">
        <f>SUM(AA61:AA61)</f>
        <v>0</v>
      </c>
      <c r="AC61" s="1052"/>
      <c r="AD61" s="1052">
        <f t="shared" si="146"/>
        <v>0</v>
      </c>
      <c r="AE61" s="1052">
        <f>SUM(AD61:AD61)</f>
        <v>0</v>
      </c>
      <c r="AF61" s="1044">
        <f t="shared" si="136"/>
        <v>0</v>
      </c>
      <c r="AG61" s="1044">
        <f>SUM(AF61:AF61)</f>
        <v>0</v>
      </c>
      <c r="AH61" s="1044"/>
      <c r="AI61" s="1044"/>
      <c r="AJ61" s="1044"/>
      <c r="AK61" s="1044">
        <f t="shared" si="137"/>
        <v>0</v>
      </c>
      <c r="AL61" s="1059">
        <f>SUM(AK61:AK61)</f>
        <v>0</v>
      </c>
      <c r="AM61" s="1044"/>
      <c r="AN61" s="1044"/>
      <c r="AO61" s="1044"/>
      <c r="AP61" s="1044">
        <f t="shared" si="138"/>
        <v>0</v>
      </c>
      <c r="AQ61" s="1059">
        <f>SUM(AP61:AP61)</f>
        <v>0</v>
      </c>
      <c r="AR61" s="1059"/>
      <c r="AS61" s="1059"/>
      <c r="AT61" s="1059">
        <f t="shared" ref="AT61" si="150">AR61+AS61</f>
        <v>0</v>
      </c>
      <c r="AU61" s="1059">
        <f>SUM(AT61:AT61)</f>
        <v>0</v>
      </c>
      <c r="AV61" s="1059"/>
      <c r="AW61" s="1059"/>
      <c r="AX61" s="1059">
        <f t="shared" si="141"/>
        <v>0</v>
      </c>
      <c r="AY61" s="1060">
        <f>SUM(AX61:AX61)</f>
        <v>0</v>
      </c>
      <c r="AZ61" s="1060">
        <f t="shared" si="139"/>
        <v>0</v>
      </c>
      <c r="BA61" s="1060">
        <f t="shared" si="139"/>
        <v>0</v>
      </c>
      <c r="BB61" s="1061"/>
      <c r="BC61" s="1031"/>
      <c r="BD61" s="1031"/>
      <c r="BF61" s="1017"/>
      <c r="BG61" s="1017"/>
      <c r="BH61" s="1017"/>
      <c r="BI61" s="1017"/>
      <c r="BJ61" s="1017"/>
      <c r="BK61" s="1017"/>
      <c r="BL61" s="1017"/>
      <c r="BM61" s="1017"/>
      <c r="BN61" s="1017"/>
      <c r="BO61" s="1017"/>
      <c r="BP61" s="1017"/>
      <c r="BQ61" s="1017"/>
      <c r="BR61" s="1017"/>
      <c r="BS61" s="1017"/>
      <c r="BT61" s="1017"/>
      <c r="BU61" s="1017"/>
      <c r="BV61" s="1017"/>
    </row>
    <row r="62" spans="1:74" s="1281" customFormat="1" ht="15" customHeight="1" x14ac:dyDescent="0.25">
      <c r="A62" s="1264"/>
      <c r="B62" s="1264"/>
      <c r="C62" s="1264"/>
      <c r="D62" s="1340"/>
      <c r="E62" s="1341"/>
      <c r="F62" s="1267"/>
      <c r="G62" s="1267"/>
      <c r="H62" s="1268"/>
      <c r="I62" s="1269"/>
      <c r="J62" s="1270"/>
      <c r="K62" s="1271"/>
      <c r="L62" s="1271"/>
      <c r="M62" s="1271"/>
      <c r="N62" s="1272"/>
      <c r="O62" s="1272"/>
      <c r="P62" s="1273"/>
      <c r="Q62" s="1274"/>
      <c r="R62" s="1274"/>
      <c r="S62" s="1274"/>
      <c r="T62" s="1273"/>
      <c r="U62" s="1273"/>
      <c r="V62" s="1275"/>
      <c r="W62" s="1272"/>
      <c r="X62" s="1273"/>
      <c r="Y62" s="1273"/>
      <c r="Z62" s="1273"/>
      <c r="AA62" s="1273"/>
      <c r="AB62" s="1273"/>
      <c r="AC62" s="1275"/>
      <c r="AD62" s="1275"/>
      <c r="AE62" s="1275"/>
      <c r="AF62" s="1276">
        <f t="shared" ref="AF62:AF78" si="151">AD62+AA62+X62</f>
        <v>0</v>
      </c>
      <c r="AG62" s="1276"/>
      <c r="AH62" s="1276"/>
      <c r="AI62" s="1276"/>
      <c r="AJ62" s="1276"/>
      <c r="AK62" s="1276">
        <f t="shared" ref="AK62:AK78" si="152">AJ62+AI62+AH62</f>
        <v>0</v>
      </c>
      <c r="AL62" s="1277"/>
      <c r="AM62" s="1276"/>
      <c r="AN62" s="1276"/>
      <c r="AO62" s="1276"/>
      <c r="AP62" s="1276">
        <f t="shared" ref="AP62:AP78" si="153">AO62+AN62+AM62</f>
        <v>0</v>
      </c>
      <c r="AQ62" s="1277"/>
      <c r="AR62" s="1277"/>
      <c r="AS62" s="1277"/>
      <c r="AT62" s="1277"/>
      <c r="AU62" s="1277"/>
      <c r="AV62" s="1277"/>
      <c r="AW62" s="1277"/>
      <c r="AX62" s="1277">
        <f t="shared" si="141"/>
        <v>0</v>
      </c>
      <c r="AY62" s="1278"/>
      <c r="AZ62" s="1278">
        <f t="shared" ref="AZ62:BA70" si="154">AK62-AP62</f>
        <v>0</v>
      </c>
      <c r="BA62" s="1278">
        <f t="shared" si="154"/>
        <v>0</v>
      </c>
      <c r="BB62" s="1279"/>
      <c r="BC62" s="1280"/>
      <c r="BD62" s="1280"/>
      <c r="BF62" s="1282"/>
      <c r="BG62" s="1282"/>
      <c r="BH62" s="1282"/>
      <c r="BI62" s="1282"/>
      <c r="BJ62" s="1282"/>
      <c r="BK62" s="1282"/>
      <c r="BL62" s="1282"/>
      <c r="BM62" s="1282"/>
      <c r="BN62" s="1282"/>
      <c r="BO62" s="1282"/>
      <c r="BP62" s="1282"/>
      <c r="BQ62" s="1282"/>
      <c r="BR62" s="1282"/>
      <c r="BS62" s="1282"/>
      <c r="BT62" s="1282"/>
      <c r="BU62" s="1282"/>
      <c r="BV62" s="1282"/>
    </row>
    <row r="63" spans="1:74" s="1024" customFormat="1" ht="15" customHeight="1" x14ac:dyDescent="0.25">
      <c r="A63" s="1058"/>
      <c r="B63" s="1058"/>
      <c r="C63" s="1058"/>
      <c r="D63" s="1063"/>
      <c r="E63" s="1016"/>
      <c r="F63" s="1095"/>
      <c r="G63" s="1095"/>
      <c r="H63" s="1035"/>
      <c r="I63" s="1036"/>
      <c r="J63" s="1257"/>
      <c r="K63" s="1234"/>
      <c r="L63" s="1234"/>
      <c r="M63" s="1234"/>
      <c r="N63" s="1038"/>
      <c r="O63" s="1038"/>
      <c r="P63" s="1049"/>
      <c r="Q63" s="1254"/>
      <c r="R63" s="1254"/>
      <c r="S63" s="1254"/>
      <c r="T63" s="1049"/>
      <c r="U63" s="1049"/>
      <c r="V63" s="1052"/>
      <c r="W63" s="1038"/>
      <c r="X63" s="1049"/>
      <c r="Y63" s="1049"/>
      <c r="Z63" s="1049"/>
      <c r="AA63" s="1049"/>
      <c r="AB63" s="1049"/>
      <c r="AC63" s="1052"/>
      <c r="AD63" s="1052"/>
      <c r="AE63" s="1052"/>
      <c r="AF63" s="1044">
        <f t="shared" si="151"/>
        <v>0</v>
      </c>
      <c r="AG63" s="1044"/>
      <c r="AH63" s="1044"/>
      <c r="AI63" s="1044"/>
      <c r="AJ63" s="1044"/>
      <c r="AK63" s="1044">
        <f t="shared" si="152"/>
        <v>0</v>
      </c>
      <c r="AL63" s="1059"/>
      <c r="AM63" s="1044"/>
      <c r="AN63" s="1044"/>
      <c r="AO63" s="1044"/>
      <c r="AP63" s="1044">
        <f t="shared" si="153"/>
        <v>0</v>
      </c>
      <c r="AQ63" s="1059"/>
      <c r="AR63" s="1059"/>
      <c r="AS63" s="1059"/>
      <c r="AT63" s="1059"/>
      <c r="AU63" s="1059"/>
      <c r="AV63" s="1059"/>
      <c r="AW63" s="1059"/>
      <c r="AX63" s="1059">
        <f t="shared" si="141"/>
        <v>0</v>
      </c>
      <c r="AY63" s="1060"/>
      <c r="AZ63" s="1060">
        <f t="shared" si="154"/>
        <v>0</v>
      </c>
      <c r="BA63" s="1060">
        <f t="shared" si="154"/>
        <v>0</v>
      </c>
      <c r="BB63" s="1061"/>
      <c r="BC63" s="1031"/>
      <c r="BD63" s="1031"/>
      <c r="BF63" s="1017"/>
      <c r="BG63" s="1017"/>
      <c r="BH63" s="1017"/>
      <c r="BI63" s="1017"/>
      <c r="BJ63" s="1017"/>
      <c r="BK63" s="1017"/>
      <c r="BL63" s="1017"/>
      <c r="BM63" s="1017"/>
      <c r="BN63" s="1017"/>
      <c r="BO63" s="1017"/>
      <c r="BP63" s="1017"/>
      <c r="BQ63" s="1017"/>
      <c r="BR63" s="1017"/>
      <c r="BS63" s="1017"/>
      <c r="BT63" s="1017"/>
      <c r="BU63" s="1017"/>
      <c r="BV63" s="1017"/>
    </row>
    <row r="64" spans="1:74" s="1024" customFormat="1" ht="29.25" customHeight="1" x14ac:dyDescent="0.25">
      <c r="A64" s="1058">
        <v>100</v>
      </c>
      <c r="B64" s="1058" t="s">
        <v>28</v>
      </c>
      <c r="C64" s="1058">
        <v>1</v>
      </c>
      <c r="D64" s="1063" t="s">
        <v>105</v>
      </c>
      <c r="E64" s="1016" t="s">
        <v>929</v>
      </c>
      <c r="F64" s="1095"/>
      <c r="G64" s="1095"/>
      <c r="H64" s="1035"/>
      <c r="I64" s="1036" t="s">
        <v>909</v>
      </c>
      <c r="J64" s="1257" t="s">
        <v>920</v>
      </c>
      <c r="K64" s="1234"/>
      <c r="L64" s="1234"/>
      <c r="M64" s="1234">
        <f t="shared" ref="M64:M70" si="155">K64+L64</f>
        <v>0</v>
      </c>
      <c r="N64" s="1038"/>
      <c r="O64" s="1038"/>
      <c r="P64" s="1049">
        <f t="shared" si="148"/>
        <v>0</v>
      </c>
      <c r="Q64" s="1254">
        <v>4</v>
      </c>
      <c r="R64" s="1254">
        <v>6</v>
      </c>
      <c r="S64" s="1254">
        <f t="shared" si="144"/>
        <v>10</v>
      </c>
      <c r="T64" s="1049"/>
      <c r="U64" s="1049">
        <v>10</v>
      </c>
      <c r="V64" s="1052">
        <f t="shared" si="145"/>
        <v>10</v>
      </c>
      <c r="W64" s="1038"/>
      <c r="X64" s="1049">
        <f t="shared" si="149"/>
        <v>0</v>
      </c>
      <c r="Y64" s="1049">
        <f>SUM(X64:X70)</f>
        <v>385</v>
      </c>
      <c r="Z64" s="1049"/>
      <c r="AA64" s="1049">
        <f t="shared" si="142"/>
        <v>0</v>
      </c>
      <c r="AB64" s="1049">
        <f>SUM(AA64:AA70)</f>
        <v>0</v>
      </c>
      <c r="AC64" s="1052"/>
      <c r="AD64" s="1052">
        <f t="shared" si="146"/>
        <v>0</v>
      </c>
      <c r="AE64" s="1052">
        <f>SUM(AD64:AD70)</f>
        <v>0</v>
      </c>
      <c r="AF64" s="1044">
        <f t="shared" si="151"/>
        <v>0</v>
      </c>
      <c r="AG64" s="1044">
        <f>SUM(AF64:AF70)</f>
        <v>385</v>
      </c>
      <c r="AH64" s="1044"/>
      <c r="AI64" s="1044"/>
      <c r="AJ64" s="1044"/>
      <c r="AK64" s="1044">
        <f t="shared" si="152"/>
        <v>0</v>
      </c>
      <c r="AL64" s="1059">
        <f>SUM(AK64:AK70)</f>
        <v>0</v>
      </c>
      <c r="AM64" s="1044"/>
      <c r="AN64" s="1044"/>
      <c r="AO64" s="1044"/>
      <c r="AP64" s="1044">
        <f t="shared" si="153"/>
        <v>0</v>
      </c>
      <c r="AQ64" s="1059">
        <f>SUM(AP64:AP70)</f>
        <v>0</v>
      </c>
      <c r="AR64" s="1059"/>
      <c r="AS64" s="1059"/>
      <c r="AT64" s="1059">
        <f t="shared" ref="AT64:AT70" si="156">AR64+AS64</f>
        <v>0</v>
      </c>
      <c r="AU64" s="1059">
        <f>SUM(AT64:AT70)</f>
        <v>0</v>
      </c>
      <c r="AV64" s="1059"/>
      <c r="AW64" s="1059"/>
      <c r="AX64" s="1059">
        <f t="shared" si="141"/>
        <v>0</v>
      </c>
      <c r="AY64" s="1060">
        <f>SUM(AX64:AX70)</f>
        <v>0</v>
      </c>
      <c r="AZ64" s="1060">
        <f t="shared" si="154"/>
        <v>0</v>
      </c>
      <c r="BA64" s="1060">
        <f t="shared" si="154"/>
        <v>0</v>
      </c>
      <c r="BB64" s="1061"/>
      <c r="BC64" s="1031"/>
      <c r="BD64" s="1031"/>
      <c r="BF64" s="1017"/>
      <c r="BG64" s="1017"/>
      <c r="BH64" s="1017"/>
      <c r="BI64" s="1017"/>
      <c r="BJ64" s="1017"/>
      <c r="BK64" s="1017"/>
      <c r="BL64" s="1017"/>
      <c r="BM64" s="1017"/>
      <c r="BN64" s="1017"/>
      <c r="BO64" s="1017"/>
      <c r="BP64" s="1017"/>
      <c r="BQ64" s="1017"/>
      <c r="BR64" s="1017"/>
      <c r="BS64" s="1017"/>
      <c r="BT64" s="1017"/>
      <c r="BU64" s="1017"/>
      <c r="BV64" s="1017"/>
    </row>
    <row r="65" spans="1:74" s="1024" customFormat="1" ht="15" customHeight="1" x14ac:dyDescent="0.25">
      <c r="A65" s="1058"/>
      <c r="B65" s="1058"/>
      <c r="C65" s="1058"/>
      <c r="D65" s="1073" t="s">
        <v>105</v>
      </c>
      <c r="E65" s="1048" t="s">
        <v>928</v>
      </c>
      <c r="F65" s="1230"/>
      <c r="G65" s="1230"/>
      <c r="H65" s="1035"/>
      <c r="I65" s="1036" t="s">
        <v>909</v>
      </c>
      <c r="J65" s="1257" t="s">
        <v>920</v>
      </c>
      <c r="K65" s="1234"/>
      <c r="L65" s="1234"/>
      <c r="M65" s="1234"/>
      <c r="N65" s="1038"/>
      <c r="O65" s="1038"/>
      <c r="P65" s="1049">
        <f t="shared" si="148"/>
        <v>0</v>
      </c>
      <c r="Q65" s="1254">
        <v>16</v>
      </c>
      <c r="R65" s="1254">
        <v>34</v>
      </c>
      <c r="S65" s="1254">
        <f t="shared" si="144"/>
        <v>50</v>
      </c>
      <c r="T65" s="1049"/>
      <c r="U65" s="1049">
        <v>50</v>
      </c>
      <c r="V65" s="1052">
        <f t="shared" si="145"/>
        <v>50</v>
      </c>
      <c r="W65" s="1038">
        <v>6000</v>
      </c>
      <c r="X65" s="1049">
        <f>W65/40</f>
        <v>150</v>
      </c>
      <c r="Y65" s="1049"/>
      <c r="Z65" s="1049"/>
      <c r="AA65" s="1049">
        <f t="shared" si="142"/>
        <v>0</v>
      </c>
      <c r="AB65" s="1049"/>
      <c r="AC65" s="1052"/>
      <c r="AD65" s="1052">
        <f t="shared" si="146"/>
        <v>0</v>
      </c>
      <c r="AE65" s="1052"/>
      <c r="AF65" s="1044">
        <f t="shared" si="151"/>
        <v>150</v>
      </c>
      <c r="AG65" s="1044"/>
      <c r="AH65" s="1044"/>
      <c r="AI65" s="1044"/>
      <c r="AJ65" s="1044"/>
      <c r="AK65" s="1044">
        <f t="shared" si="152"/>
        <v>0</v>
      </c>
      <c r="AL65" s="1059"/>
      <c r="AM65" s="1044"/>
      <c r="AN65" s="1044"/>
      <c r="AO65" s="1044"/>
      <c r="AP65" s="1044">
        <f t="shared" si="153"/>
        <v>0</v>
      </c>
      <c r="AQ65" s="1059"/>
      <c r="AR65" s="1059"/>
      <c r="AS65" s="1059"/>
      <c r="AT65" s="1059">
        <f t="shared" si="156"/>
        <v>0</v>
      </c>
      <c r="AU65" s="1059"/>
      <c r="AV65" s="1059"/>
      <c r="AW65" s="1059"/>
      <c r="AX65" s="1059">
        <f t="shared" si="141"/>
        <v>0</v>
      </c>
      <c r="AY65" s="1060"/>
      <c r="AZ65" s="1060">
        <f t="shared" si="154"/>
        <v>0</v>
      </c>
      <c r="BA65" s="1060">
        <f t="shared" si="154"/>
        <v>0</v>
      </c>
      <c r="BB65" s="1061" t="s">
        <v>374</v>
      </c>
      <c r="BC65" s="1031"/>
      <c r="BD65" s="1031"/>
      <c r="BF65" s="1017"/>
      <c r="BG65" s="1017"/>
      <c r="BH65" s="1017"/>
      <c r="BI65" s="1017"/>
      <c r="BJ65" s="1017"/>
      <c r="BK65" s="1017"/>
      <c r="BL65" s="1017"/>
      <c r="BM65" s="1017"/>
      <c r="BN65" s="1017"/>
      <c r="BO65" s="1017"/>
      <c r="BP65" s="1017"/>
      <c r="BQ65" s="1017"/>
      <c r="BR65" s="1017"/>
      <c r="BS65" s="1017"/>
      <c r="BT65" s="1017"/>
      <c r="BU65" s="1017"/>
      <c r="BV65" s="1017"/>
    </row>
    <row r="66" spans="1:74" s="1024" customFormat="1" ht="15" customHeight="1" x14ac:dyDescent="0.25">
      <c r="A66" s="1058">
        <v>111</v>
      </c>
      <c r="B66" s="1058" t="s">
        <v>28</v>
      </c>
      <c r="C66" s="1058">
        <v>12</v>
      </c>
      <c r="D66" s="1073" t="s">
        <v>105</v>
      </c>
      <c r="E66" s="1048" t="s">
        <v>115</v>
      </c>
      <c r="F66" s="1230"/>
      <c r="G66" s="1230"/>
      <c r="H66" s="1035"/>
      <c r="I66" s="1036" t="s">
        <v>909</v>
      </c>
      <c r="J66" s="1257" t="s">
        <v>920</v>
      </c>
      <c r="K66" s="1234"/>
      <c r="L66" s="1234"/>
      <c r="M66" s="1234">
        <f t="shared" si="155"/>
        <v>0</v>
      </c>
      <c r="N66" s="1038"/>
      <c r="O66" s="1038"/>
      <c r="P66" s="1049">
        <f t="shared" si="148"/>
        <v>0</v>
      </c>
      <c r="Q66" s="1254">
        <v>35</v>
      </c>
      <c r="R66" s="1254">
        <v>15</v>
      </c>
      <c r="S66" s="1254">
        <f t="shared" si="144"/>
        <v>50</v>
      </c>
      <c r="T66" s="1049"/>
      <c r="U66" s="1049">
        <v>50</v>
      </c>
      <c r="V66" s="1052">
        <f t="shared" si="145"/>
        <v>50</v>
      </c>
      <c r="W66" s="1038">
        <v>4000</v>
      </c>
      <c r="X66" s="1049">
        <f t="shared" si="149"/>
        <v>100</v>
      </c>
      <c r="Y66" s="1049"/>
      <c r="Z66" s="1049"/>
      <c r="AA66" s="1049">
        <f t="shared" si="142"/>
        <v>0</v>
      </c>
      <c r="AB66" s="1049"/>
      <c r="AC66" s="1052"/>
      <c r="AD66" s="1052">
        <f t="shared" si="146"/>
        <v>0</v>
      </c>
      <c r="AE66" s="1052"/>
      <c r="AF66" s="1044">
        <f t="shared" si="151"/>
        <v>100</v>
      </c>
      <c r="AG66" s="1044"/>
      <c r="AH66" s="1044"/>
      <c r="AI66" s="1044"/>
      <c r="AJ66" s="1044"/>
      <c r="AK66" s="1044">
        <f t="shared" si="152"/>
        <v>0</v>
      </c>
      <c r="AL66" s="1059"/>
      <c r="AM66" s="1044"/>
      <c r="AN66" s="1044"/>
      <c r="AO66" s="1044"/>
      <c r="AP66" s="1044">
        <f t="shared" si="153"/>
        <v>0</v>
      </c>
      <c r="AQ66" s="1059"/>
      <c r="AR66" s="1059"/>
      <c r="AS66" s="1059"/>
      <c r="AT66" s="1059">
        <f t="shared" si="156"/>
        <v>0</v>
      </c>
      <c r="AU66" s="1059"/>
      <c r="AV66" s="1059"/>
      <c r="AW66" s="1059"/>
      <c r="AX66" s="1059">
        <f t="shared" si="141"/>
        <v>0</v>
      </c>
      <c r="AY66" s="1060"/>
      <c r="AZ66" s="1060">
        <f t="shared" si="154"/>
        <v>0</v>
      </c>
      <c r="BA66" s="1060">
        <f t="shared" si="154"/>
        <v>0</v>
      </c>
      <c r="BB66" s="1061" t="s">
        <v>336</v>
      </c>
      <c r="BC66" s="1031"/>
      <c r="BD66" s="1031"/>
      <c r="BF66" s="1017"/>
      <c r="BG66" s="1017"/>
      <c r="BH66" s="1017"/>
      <c r="BI66" s="1017"/>
      <c r="BJ66" s="1017"/>
      <c r="BK66" s="1017"/>
      <c r="BL66" s="1017"/>
      <c r="BM66" s="1017"/>
      <c r="BN66" s="1017"/>
      <c r="BO66" s="1017"/>
      <c r="BP66" s="1017"/>
      <c r="BQ66" s="1017"/>
      <c r="BR66" s="1017"/>
      <c r="BS66" s="1017"/>
      <c r="BT66" s="1017"/>
      <c r="BU66" s="1017"/>
      <c r="BV66" s="1017"/>
    </row>
    <row r="67" spans="1:74" s="1024" customFormat="1" ht="15" customHeight="1" x14ac:dyDescent="0.25">
      <c r="A67" s="1058">
        <v>117</v>
      </c>
      <c r="B67" s="1058" t="s">
        <v>28</v>
      </c>
      <c r="C67" s="1058">
        <v>18</v>
      </c>
      <c r="D67" s="1073" t="s">
        <v>105</v>
      </c>
      <c r="E67" s="1048" t="s">
        <v>121</v>
      </c>
      <c r="F67" s="1230"/>
      <c r="G67" s="1230"/>
      <c r="H67" s="1035"/>
      <c r="I67" s="1036" t="s">
        <v>909</v>
      </c>
      <c r="J67" s="1257" t="s">
        <v>920</v>
      </c>
      <c r="K67" s="1234"/>
      <c r="L67" s="1234"/>
      <c r="M67" s="1234">
        <f t="shared" si="155"/>
        <v>0</v>
      </c>
      <c r="N67" s="1038"/>
      <c r="O67" s="1038"/>
      <c r="P67" s="1049">
        <f t="shared" si="148"/>
        <v>0</v>
      </c>
      <c r="Q67" s="1254">
        <v>25</v>
      </c>
      <c r="R67" s="1254">
        <v>25</v>
      </c>
      <c r="S67" s="1254">
        <f t="shared" si="144"/>
        <v>50</v>
      </c>
      <c r="T67" s="1049"/>
      <c r="U67" s="1049"/>
      <c r="V67" s="1052">
        <f t="shared" si="145"/>
        <v>0</v>
      </c>
      <c r="W67" s="1038">
        <v>4000</v>
      </c>
      <c r="X67" s="1049">
        <f t="shared" si="149"/>
        <v>100</v>
      </c>
      <c r="Y67" s="1049"/>
      <c r="Z67" s="1049"/>
      <c r="AA67" s="1049">
        <f t="shared" si="142"/>
        <v>0</v>
      </c>
      <c r="AB67" s="1049"/>
      <c r="AC67" s="1052"/>
      <c r="AD67" s="1052">
        <f t="shared" si="146"/>
        <v>0</v>
      </c>
      <c r="AE67" s="1052"/>
      <c r="AF67" s="1044">
        <f t="shared" si="151"/>
        <v>100</v>
      </c>
      <c r="AG67" s="1044"/>
      <c r="AH67" s="1044"/>
      <c r="AI67" s="1044"/>
      <c r="AJ67" s="1044"/>
      <c r="AK67" s="1044">
        <f t="shared" si="152"/>
        <v>0</v>
      </c>
      <c r="AL67" s="1059"/>
      <c r="AM67" s="1044"/>
      <c r="AN67" s="1044"/>
      <c r="AO67" s="1044"/>
      <c r="AP67" s="1044">
        <f t="shared" si="153"/>
        <v>0</v>
      </c>
      <c r="AQ67" s="1059"/>
      <c r="AR67" s="1059"/>
      <c r="AS67" s="1059"/>
      <c r="AT67" s="1059">
        <f t="shared" si="156"/>
        <v>0</v>
      </c>
      <c r="AU67" s="1059"/>
      <c r="AV67" s="1059"/>
      <c r="AW67" s="1059"/>
      <c r="AX67" s="1059">
        <f t="shared" ref="AX67:AX70" si="157">AW67+AV67</f>
        <v>0</v>
      </c>
      <c r="AY67" s="1060"/>
      <c r="AZ67" s="1060">
        <f t="shared" si="154"/>
        <v>0</v>
      </c>
      <c r="BA67" s="1060">
        <f t="shared" si="154"/>
        <v>0</v>
      </c>
      <c r="BB67" s="1061"/>
      <c r="BC67" s="1031"/>
      <c r="BD67" s="1031"/>
      <c r="BF67" s="1017"/>
      <c r="BG67" s="1017"/>
      <c r="BH67" s="1017"/>
      <c r="BI67" s="1017"/>
      <c r="BJ67" s="1017"/>
      <c r="BK67" s="1017"/>
      <c r="BL67" s="1017"/>
      <c r="BM67" s="1017"/>
      <c r="BN67" s="1017"/>
      <c r="BO67" s="1017"/>
      <c r="BP67" s="1017"/>
      <c r="BQ67" s="1017"/>
      <c r="BR67" s="1017"/>
      <c r="BS67" s="1017"/>
      <c r="BT67" s="1017"/>
      <c r="BU67" s="1017"/>
      <c r="BV67" s="1017"/>
    </row>
    <row r="68" spans="1:74" s="1024" customFormat="1" ht="15" customHeight="1" x14ac:dyDescent="0.25">
      <c r="A68" s="1058"/>
      <c r="B68" s="1058"/>
      <c r="C68" s="1058"/>
      <c r="D68" s="1073" t="s">
        <v>105</v>
      </c>
      <c r="E68" s="1016" t="s">
        <v>421</v>
      </c>
      <c r="F68" s="1230"/>
      <c r="G68" s="1065"/>
      <c r="H68" s="1071"/>
      <c r="I68" s="1036" t="s">
        <v>909</v>
      </c>
      <c r="J68" s="1257" t="s">
        <v>920</v>
      </c>
      <c r="K68" s="1234"/>
      <c r="L68" s="1234"/>
      <c r="M68" s="1234">
        <f t="shared" si="155"/>
        <v>0</v>
      </c>
      <c r="N68" s="1038"/>
      <c r="O68" s="1038"/>
      <c r="P68" s="1049">
        <f t="shared" si="148"/>
        <v>0</v>
      </c>
      <c r="Q68" s="1254">
        <v>3</v>
      </c>
      <c r="R68" s="1254">
        <v>7</v>
      </c>
      <c r="S68" s="1254">
        <f t="shared" si="144"/>
        <v>10</v>
      </c>
      <c r="T68" s="1049"/>
      <c r="U68" s="1049">
        <v>12</v>
      </c>
      <c r="V68" s="1052">
        <f t="shared" si="145"/>
        <v>12</v>
      </c>
      <c r="W68" s="1038">
        <v>1400</v>
      </c>
      <c r="X68" s="1049">
        <f t="shared" si="149"/>
        <v>35</v>
      </c>
      <c r="Y68" s="1049"/>
      <c r="Z68" s="1049"/>
      <c r="AA68" s="1049">
        <f t="shared" si="142"/>
        <v>0</v>
      </c>
      <c r="AB68" s="1049"/>
      <c r="AC68" s="1052"/>
      <c r="AD68" s="1052">
        <f t="shared" si="146"/>
        <v>0</v>
      </c>
      <c r="AE68" s="1052"/>
      <c r="AF68" s="1044">
        <f t="shared" si="151"/>
        <v>35</v>
      </c>
      <c r="AG68" s="1044"/>
      <c r="AH68" s="1044"/>
      <c r="AI68" s="1044"/>
      <c r="AJ68" s="1044"/>
      <c r="AK68" s="1044">
        <f t="shared" si="152"/>
        <v>0</v>
      </c>
      <c r="AL68" s="1059"/>
      <c r="AM68" s="1044"/>
      <c r="AN68" s="1044"/>
      <c r="AO68" s="1044"/>
      <c r="AP68" s="1044">
        <f t="shared" si="153"/>
        <v>0</v>
      </c>
      <c r="AQ68" s="1059"/>
      <c r="AR68" s="1059"/>
      <c r="AS68" s="1059"/>
      <c r="AT68" s="1059">
        <f t="shared" si="156"/>
        <v>0</v>
      </c>
      <c r="AU68" s="1059"/>
      <c r="AV68" s="1059"/>
      <c r="AW68" s="1059"/>
      <c r="AX68" s="1059">
        <f t="shared" si="157"/>
        <v>0</v>
      </c>
      <c r="AY68" s="1060"/>
      <c r="AZ68" s="1060">
        <f t="shared" si="154"/>
        <v>0</v>
      </c>
      <c r="BA68" s="1060">
        <f t="shared" si="154"/>
        <v>0</v>
      </c>
      <c r="BB68" s="1061" t="s">
        <v>374</v>
      </c>
      <c r="BC68" s="1031"/>
      <c r="BD68" s="1031"/>
      <c r="BF68" s="1017"/>
      <c r="BG68" s="1017"/>
      <c r="BH68" s="1017"/>
      <c r="BI68" s="1017"/>
      <c r="BJ68" s="1017"/>
      <c r="BK68" s="1017"/>
      <c r="BL68" s="1017"/>
      <c r="BM68" s="1017"/>
      <c r="BN68" s="1017"/>
      <c r="BO68" s="1017"/>
      <c r="BP68" s="1017"/>
      <c r="BQ68" s="1017"/>
      <c r="BR68" s="1017"/>
      <c r="BS68" s="1017"/>
      <c r="BT68" s="1017"/>
      <c r="BU68" s="1017"/>
      <c r="BV68" s="1017"/>
    </row>
    <row r="69" spans="1:74" s="1024" customFormat="1" ht="28.5" customHeight="1" x14ac:dyDescent="0.25">
      <c r="A69" s="1058">
        <v>124</v>
      </c>
      <c r="B69" s="1058" t="s">
        <v>28</v>
      </c>
      <c r="C69" s="1058">
        <v>25</v>
      </c>
      <c r="D69" s="1063" t="s">
        <v>105</v>
      </c>
      <c r="E69" s="1048" t="s">
        <v>930</v>
      </c>
      <c r="F69" s="1095"/>
      <c r="G69" s="1095"/>
      <c r="H69" s="1035"/>
      <c r="I69" s="1036" t="s">
        <v>909</v>
      </c>
      <c r="J69" s="1257" t="s">
        <v>920</v>
      </c>
      <c r="K69" s="1234"/>
      <c r="L69" s="1234"/>
      <c r="M69" s="1234">
        <f t="shared" si="155"/>
        <v>0</v>
      </c>
      <c r="N69" s="1038"/>
      <c r="O69" s="1038"/>
      <c r="P69" s="1049">
        <f t="shared" si="148"/>
        <v>0</v>
      </c>
      <c r="Q69" s="1254">
        <v>4</v>
      </c>
      <c r="R69" s="1254">
        <v>5</v>
      </c>
      <c r="S69" s="1254">
        <f t="shared" si="144"/>
        <v>9</v>
      </c>
      <c r="T69" s="1049"/>
      <c r="U69" s="1049">
        <v>10</v>
      </c>
      <c r="V69" s="1052">
        <f t="shared" si="145"/>
        <v>10</v>
      </c>
      <c r="W69" s="1038"/>
      <c r="X69" s="1049">
        <f t="shared" ref="X69:X74" si="158">W69/40</f>
        <v>0</v>
      </c>
      <c r="Y69" s="1049"/>
      <c r="Z69" s="1049"/>
      <c r="AA69" s="1049">
        <f t="shared" si="142"/>
        <v>0</v>
      </c>
      <c r="AB69" s="1049"/>
      <c r="AC69" s="1052"/>
      <c r="AD69" s="1052">
        <f t="shared" si="146"/>
        <v>0</v>
      </c>
      <c r="AE69" s="1052"/>
      <c r="AF69" s="1044">
        <f t="shared" si="151"/>
        <v>0</v>
      </c>
      <c r="AG69" s="1044"/>
      <c r="AH69" s="1044"/>
      <c r="AI69" s="1044"/>
      <c r="AJ69" s="1044"/>
      <c r="AK69" s="1044">
        <f t="shared" si="152"/>
        <v>0</v>
      </c>
      <c r="AL69" s="1059"/>
      <c r="AM69" s="1044"/>
      <c r="AN69" s="1044"/>
      <c r="AO69" s="1044"/>
      <c r="AP69" s="1044">
        <f t="shared" si="153"/>
        <v>0</v>
      </c>
      <c r="AQ69" s="1059"/>
      <c r="AR69" s="1059"/>
      <c r="AS69" s="1059"/>
      <c r="AT69" s="1059">
        <f t="shared" si="156"/>
        <v>0</v>
      </c>
      <c r="AU69" s="1059"/>
      <c r="AV69" s="1059"/>
      <c r="AW69" s="1059"/>
      <c r="AX69" s="1059">
        <f t="shared" si="157"/>
        <v>0</v>
      </c>
      <c r="AY69" s="1060"/>
      <c r="AZ69" s="1060">
        <f t="shared" si="154"/>
        <v>0</v>
      </c>
      <c r="BA69" s="1060">
        <f t="shared" si="154"/>
        <v>0</v>
      </c>
      <c r="BB69" s="1061"/>
      <c r="BC69" s="1031"/>
      <c r="BD69" s="1031"/>
      <c r="BF69" s="1017"/>
      <c r="BG69" s="1017"/>
      <c r="BH69" s="1017"/>
      <c r="BI69" s="1017"/>
      <c r="BJ69" s="1017"/>
      <c r="BK69" s="1017"/>
      <c r="BL69" s="1017"/>
      <c r="BM69" s="1017"/>
      <c r="BN69" s="1017"/>
      <c r="BO69" s="1017"/>
      <c r="BP69" s="1017"/>
      <c r="BQ69" s="1017"/>
      <c r="BR69" s="1017"/>
      <c r="BS69" s="1017"/>
      <c r="BT69" s="1017"/>
      <c r="BU69" s="1017"/>
      <c r="BV69" s="1017"/>
    </row>
    <row r="70" spans="1:74" s="1024" customFormat="1" ht="15" customHeight="1" x14ac:dyDescent="0.25">
      <c r="A70" s="1058">
        <v>125</v>
      </c>
      <c r="B70" s="1058" t="s">
        <v>28</v>
      </c>
      <c r="C70" s="1058">
        <v>26</v>
      </c>
      <c r="D70" s="1063" t="s">
        <v>105</v>
      </c>
      <c r="E70" s="1016" t="s">
        <v>931</v>
      </c>
      <c r="F70" s="1095"/>
      <c r="G70" s="1095"/>
      <c r="H70" s="1035"/>
      <c r="I70" s="1036" t="s">
        <v>909</v>
      </c>
      <c r="J70" s="1257" t="s">
        <v>920</v>
      </c>
      <c r="K70" s="1234"/>
      <c r="L70" s="1234"/>
      <c r="M70" s="1234">
        <f t="shared" si="155"/>
        <v>0</v>
      </c>
      <c r="N70" s="1038"/>
      <c r="O70" s="1038"/>
      <c r="P70" s="1049">
        <f t="shared" si="148"/>
        <v>0</v>
      </c>
      <c r="Q70" s="1254">
        <v>2</v>
      </c>
      <c r="R70" s="1254">
        <v>5</v>
      </c>
      <c r="S70" s="1254">
        <f t="shared" si="144"/>
        <v>7</v>
      </c>
      <c r="T70" s="1049"/>
      <c r="U70" s="1049">
        <v>15</v>
      </c>
      <c r="V70" s="1052">
        <f t="shared" si="145"/>
        <v>15</v>
      </c>
      <c r="W70" s="1038"/>
      <c r="X70" s="1049">
        <f t="shared" si="158"/>
        <v>0</v>
      </c>
      <c r="Y70" s="1049"/>
      <c r="Z70" s="1049"/>
      <c r="AA70" s="1049">
        <f t="shared" si="142"/>
        <v>0</v>
      </c>
      <c r="AB70" s="1049"/>
      <c r="AC70" s="1052"/>
      <c r="AD70" s="1052">
        <f t="shared" si="146"/>
        <v>0</v>
      </c>
      <c r="AE70" s="1052"/>
      <c r="AF70" s="1044">
        <f t="shared" si="151"/>
        <v>0</v>
      </c>
      <c r="AG70" s="1044"/>
      <c r="AH70" s="1044"/>
      <c r="AI70" s="1044"/>
      <c r="AJ70" s="1044"/>
      <c r="AK70" s="1044">
        <f t="shared" si="152"/>
        <v>0</v>
      </c>
      <c r="AL70" s="1059"/>
      <c r="AM70" s="1044"/>
      <c r="AN70" s="1044"/>
      <c r="AO70" s="1044"/>
      <c r="AP70" s="1044">
        <f t="shared" si="153"/>
        <v>0</v>
      </c>
      <c r="AQ70" s="1059"/>
      <c r="AR70" s="1059"/>
      <c r="AS70" s="1059"/>
      <c r="AT70" s="1059">
        <f t="shared" si="156"/>
        <v>0</v>
      </c>
      <c r="AU70" s="1059"/>
      <c r="AV70" s="1059"/>
      <c r="AW70" s="1059"/>
      <c r="AX70" s="1059">
        <f t="shared" si="157"/>
        <v>0</v>
      </c>
      <c r="AY70" s="1060"/>
      <c r="AZ70" s="1060">
        <f t="shared" si="154"/>
        <v>0</v>
      </c>
      <c r="BA70" s="1060">
        <f t="shared" si="154"/>
        <v>0</v>
      </c>
      <c r="BB70" s="1061"/>
      <c r="BC70" s="1031"/>
      <c r="BD70" s="1031"/>
      <c r="BF70" s="1017"/>
      <c r="BG70" s="1017"/>
      <c r="BH70" s="1017"/>
      <c r="BI70" s="1017"/>
      <c r="BJ70" s="1017"/>
      <c r="BK70" s="1017"/>
      <c r="BL70" s="1017"/>
      <c r="BM70" s="1017"/>
      <c r="BN70" s="1017"/>
      <c r="BO70" s="1017"/>
      <c r="BP70" s="1017"/>
      <c r="BQ70" s="1017"/>
      <c r="BR70" s="1017"/>
      <c r="BS70" s="1017"/>
      <c r="BT70" s="1017"/>
      <c r="BU70" s="1017"/>
      <c r="BV70" s="1017"/>
    </row>
    <row r="71" spans="1:74" s="1397" customFormat="1" ht="17.25" customHeight="1" x14ac:dyDescent="0.25">
      <c r="A71" s="1384" t="e">
        <f>#REF!</f>
        <v>#REF!</v>
      </c>
      <c r="B71" s="1384" t="s">
        <v>130</v>
      </c>
      <c r="C71" s="1384"/>
      <c r="D71" s="1385" t="s">
        <v>130</v>
      </c>
      <c r="E71" s="1386"/>
      <c r="F71" s="1385"/>
      <c r="G71" s="1385"/>
      <c r="H71" s="1385"/>
      <c r="I71" s="1387"/>
      <c r="J71" s="1396"/>
      <c r="K71" s="1389">
        <f t="shared" ref="K71:BA71" si="159">SUM(K72:K115)</f>
        <v>4</v>
      </c>
      <c r="L71" s="1389">
        <f t="shared" si="159"/>
        <v>52</v>
      </c>
      <c r="M71" s="1389">
        <f t="shared" si="159"/>
        <v>56</v>
      </c>
      <c r="N71" s="1385">
        <f t="shared" si="159"/>
        <v>35</v>
      </c>
      <c r="O71" s="1385">
        <f t="shared" si="159"/>
        <v>10</v>
      </c>
      <c r="P71" s="1385">
        <f t="shared" si="159"/>
        <v>45</v>
      </c>
      <c r="Q71" s="1390">
        <f t="shared" si="159"/>
        <v>136</v>
      </c>
      <c r="R71" s="1390">
        <f t="shared" si="159"/>
        <v>321</v>
      </c>
      <c r="S71" s="1390">
        <f t="shared" si="159"/>
        <v>457</v>
      </c>
      <c r="T71" s="1385">
        <f t="shared" si="159"/>
        <v>347.07</v>
      </c>
      <c r="U71" s="1385">
        <f t="shared" si="159"/>
        <v>105.08</v>
      </c>
      <c r="V71" s="1385">
        <f t="shared" si="159"/>
        <v>452.15</v>
      </c>
      <c r="W71" s="1385">
        <f t="shared" si="159"/>
        <v>3520</v>
      </c>
      <c r="X71" s="1385">
        <f t="shared" si="159"/>
        <v>88</v>
      </c>
      <c r="Y71" s="1385">
        <f t="shared" si="159"/>
        <v>66</v>
      </c>
      <c r="Z71" s="1385">
        <f t="shared" si="159"/>
        <v>1280</v>
      </c>
      <c r="AA71" s="1385">
        <f t="shared" si="159"/>
        <v>32</v>
      </c>
      <c r="AB71" s="1385">
        <f t="shared" si="159"/>
        <v>32</v>
      </c>
      <c r="AC71" s="1385">
        <f t="shared" si="159"/>
        <v>4680</v>
      </c>
      <c r="AD71" s="1385">
        <f t="shared" si="159"/>
        <v>117</v>
      </c>
      <c r="AE71" s="1385">
        <f t="shared" si="159"/>
        <v>77</v>
      </c>
      <c r="AF71" s="1385">
        <f t="shared" si="159"/>
        <v>237</v>
      </c>
      <c r="AG71" s="1385">
        <f t="shared" si="159"/>
        <v>175</v>
      </c>
      <c r="AH71" s="1385">
        <f t="shared" si="159"/>
        <v>75</v>
      </c>
      <c r="AI71" s="1385">
        <f t="shared" si="159"/>
        <v>0</v>
      </c>
      <c r="AJ71" s="1385">
        <f t="shared" si="159"/>
        <v>52</v>
      </c>
      <c r="AK71" s="1385">
        <f t="shared" si="159"/>
        <v>127</v>
      </c>
      <c r="AL71" s="1385">
        <f t="shared" si="159"/>
        <v>87</v>
      </c>
      <c r="AM71" s="1385">
        <f t="shared" si="159"/>
        <v>39</v>
      </c>
      <c r="AN71" s="1385">
        <f t="shared" si="159"/>
        <v>0</v>
      </c>
      <c r="AO71" s="1385">
        <f t="shared" si="159"/>
        <v>107</v>
      </c>
      <c r="AP71" s="1385">
        <f t="shared" si="159"/>
        <v>146</v>
      </c>
      <c r="AQ71" s="1391">
        <f t="shared" si="159"/>
        <v>106</v>
      </c>
      <c r="AR71" s="1391">
        <f t="shared" si="159"/>
        <v>51</v>
      </c>
      <c r="AS71" s="1391">
        <f t="shared" si="159"/>
        <v>124</v>
      </c>
      <c r="AT71" s="1391">
        <f t="shared" si="159"/>
        <v>175</v>
      </c>
      <c r="AU71" s="1391">
        <f t="shared" si="159"/>
        <v>118</v>
      </c>
      <c r="AV71" s="1391">
        <f t="shared" si="159"/>
        <v>49</v>
      </c>
      <c r="AW71" s="1391">
        <f t="shared" si="159"/>
        <v>97</v>
      </c>
      <c r="AX71" s="1391">
        <f t="shared" si="159"/>
        <v>146</v>
      </c>
      <c r="AY71" s="1392">
        <f t="shared" si="159"/>
        <v>106</v>
      </c>
      <c r="AZ71" s="1392">
        <f t="shared" si="159"/>
        <v>10</v>
      </c>
      <c r="BA71" s="1392">
        <f t="shared" si="159"/>
        <v>-19</v>
      </c>
      <c r="BB71" s="1393"/>
      <c r="BC71" s="1385"/>
      <c r="BD71" s="1385"/>
    </row>
    <row r="72" spans="1:74" s="1024" customFormat="1" ht="15" customHeight="1" x14ac:dyDescent="0.25">
      <c r="A72" s="1058">
        <v>1</v>
      </c>
      <c r="B72" s="1058" t="s">
        <v>130</v>
      </c>
      <c r="C72" s="1058">
        <v>1</v>
      </c>
      <c r="D72" s="1098" t="s">
        <v>131</v>
      </c>
      <c r="E72" s="1016" t="s">
        <v>132</v>
      </c>
      <c r="F72" s="1095"/>
      <c r="G72" s="1095"/>
      <c r="H72" s="1035"/>
      <c r="I72" s="1036" t="s">
        <v>909</v>
      </c>
      <c r="J72" s="1257" t="s">
        <v>920</v>
      </c>
      <c r="K72" s="1234"/>
      <c r="L72" s="1234"/>
      <c r="M72" s="1234">
        <f>K72+L72</f>
        <v>0</v>
      </c>
      <c r="N72" s="1038"/>
      <c r="O72" s="1038"/>
      <c r="P72" s="1049">
        <f t="shared" si="148"/>
        <v>0</v>
      </c>
      <c r="Q72" s="1254">
        <v>11</v>
      </c>
      <c r="R72" s="1254">
        <v>11</v>
      </c>
      <c r="S72" s="1254">
        <f>Q72+R72</f>
        <v>22</v>
      </c>
      <c r="T72" s="1263"/>
      <c r="U72" s="1263"/>
      <c r="V72" s="1052">
        <f>T72+U72</f>
        <v>0</v>
      </c>
      <c r="W72" s="1038"/>
      <c r="X72" s="1049">
        <f t="shared" si="158"/>
        <v>0</v>
      </c>
      <c r="Y72" s="1049">
        <f>SUM(X72:X76)</f>
        <v>46</v>
      </c>
      <c r="Z72" s="1049"/>
      <c r="AA72" s="1049">
        <f t="shared" si="142"/>
        <v>0</v>
      </c>
      <c r="AB72" s="1049">
        <f>SUM(AA72:AA76)</f>
        <v>22</v>
      </c>
      <c r="AC72" s="1052"/>
      <c r="AD72" s="1052">
        <f>AC72/40</f>
        <v>0</v>
      </c>
      <c r="AE72" s="1052">
        <f>SUM(AD72:AD76)</f>
        <v>57</v>
      </c>
      <c r="AF72" s="1044">
        <f t="shared" si="151"/>
        <v>0</v>
      </c>
      <c r="AG72" s="1044">
        <f>SUM(AF72:AF76)</f>
        <v>125</v>
      </c>
      <c r="AH72" s="1044"/>
      <c r="AI72" s="1044"/>
      <c r="AJ72" s="1044"/>
      <c r="AK72" s="1044">
        <f t="shared" si="152"/>
        <v>0</v>
      </c>
      <c r="AL72" s="1059">
        <f>SUM(AK72:AK76)</f>
        <v>57</v>
      </c>
      <c r="AM72" s="1044"/>
      <c r="AN72" s="1044"/>
      <c r="AO72" s="1044"/>
      <c r="AP72" s="1044">
        <f t="shared" si="153"/>
        <v>0</v>
      </c>
      <c r="AQ72" s="1059">
        <f>SUM(AP72:AP76)</f>
        <v>86</v>
      </c>
      <c r="AR72" s="1059"/>
      <c r="AS72" s="1059"/>
      <c r="AT72" s="1059">
        <f t="shared" ref="AT72:AT74" si="160">AR72+AS72</f>
        <v>0</v>
      </c>
      <c r="AU72" s="1059">
        <f>SUM(AT72:AT76)</f>
        <v>98</v>
      </c>
      <c r="AV72" s="1059"/>
      <c r="AW72" s="1059"/>
      <c r="AX72" s="1059">
        <f>AV72+AW72</f>
        <v>0</v>
      </c>
      <c r="AY72" s="1060">
        <f>SUM(AX72:AX76)</f>
        <v>86</v>
      </c>
      <c r="AZ72" s="1060">
        <f>AK72-AP72</f>
        <v>0</v>
      </c>
      <c r="BA72" s="1060">
        <f t="shared" ref="BA72:BA78" si="161">AL72-AQ72</f>
        <v>-29</v>
      </c>
      <c r="BB72" s="1061"/>
      <c r="BC72" s="1031"/>
      <c r="BD72" s="1031"/>
      <c r="BF72" s="1017"/>
      <c r="BG72" s="1017"/>
      <c r="BH72" s="1017"/>
      <c r="BI72" s="1017"/>
      <c r="BJ72" s="1017"/>
      <c r="BK72" s="1017"/>
      <c r="BL72" s="1017"/>
      <c r="BM72" s="1017"/>
      <c r="BN72" s="1017"/>
      <c r="BO72" s="1017"/>
      <c r="BP72" s="1017"/>
      <c r="BQ72" s="1017"/>
      <c r="BR72" s="1017"/>
      <c r="BS72" s="1017"/>
      <c r="BT72" s="1017"/>
      <c r="BU72" s="1017"/>
      <c r="BV72" s="1017"/>
    </row>
    <row r="73" spans="1:74" s="1024" customFormat="1" ht="15" customHeight="1" x14ac:dyDescent="0.25">
      <c r="A73" s="1058"/>
      <c r="B73" s="1058"/>
      <c r="C73" s="1058"/>
      <c r="D73" s="1098" t="s">
        <v>131</v>
      </c>
      <c r="E73" s="1016" t="s">
        <v>937</v>
      </c>
      <c r="F73" s="1095"/>
      <c r="G73" s="1095"/>
      <c r="H73" s="1035"/>
      <c r="I73" s="1036" t="s">
        <v>909</v>
      </c>
      <c r="J73" s="1257" t="s">
        <v>920</v>
      </c>
      <c r="K73" s="1234"/>
      <c r="L73" s="1234"/>
      <c r="M73" s="1234">
        <f t="shared" ref="M73:M76" si="162">K73+L73</f>
        <v>0</v>
      </c>
      <c r="N73" s="1038"/>
      <c r="O73" s="1038"/>
      <c r="P73" s="1049">
        <f t="shared" si="148"/>
        <v>0</v>
      </c>
      <c r="Q73" s="1254">
        <v>4</v>
      </c>
      <c r="R73" s="1254">
        <v>16</v>
      </c>
      <c r="S73" s="1254">
        <f t="shared" ref="S73:S79" si="163">Q73+R73</f>
        <v>20</v>
      </c>
      <c r="T73" s="1049">
        <v>45</v>
      </c>
      <c r="U73" s="1049"/>
      <c r="V73" s="1052">
        <f>T73+U73</f>
        <v>45</v>
      </c>
      <c r="W73" s="1038">
        <v>1560</v>
      </c>
      <c r="X73" s="1049">
        <f t="shared" si="158"/>
        <v>39</v>
      </c>
      <c r="Y73" s="1049"/>
      <c r="Z73" s="1049"/>
      <c r="AA73" s="1049">
        <f t="shared" si="142"/>
        <v>0</v>
      </c>
      <c r="AB73" s="1049"/>
      <c r="AC73" s="1052"/>
      <c r="AD73" s="1052">
        <f t="shared" ref="AD73:AD79" si="164">AC73/40</f>
        <v>0</v>
      </c>
      <c r="AE73" s="1052"/>
      <c r="AF73" s="1044">
        <f t="shared" si="151"/>
        <v>39</v>
      </c>
      <c r="AG73" s="1044"/>
      <c r="AH73" s="1044"/>
      <c r="AI73" s="1044"/>
      <c r="AJ73" s="1044"/>
      <c r="AK73" s="1044">
        <f t="shared" si="152"/>
        <v>0</v>
      </c>
      <c r="AL73" s="1059"/>
      <c r="AM73" s="1044"/>
      <c r="AN73" s="1044"/>
      <c r="AO73" s="1044"/>
      <c r="AP73" s="1044">
        <f t="shared" si="153"/>
        <v>0</v>
      </c>
      <c r="AQ73" s="1059"/>
      <c r="AR73" s="1059"/>
      <c r="AS73" s="1059"/>
      <c r="AT73" s="1059">
        <f t="shared" si="160"/>
        <v>0</v>
      </c>
      <c r="AU73" s="1059"/>
      <c r="AV73" s="1059"/>
      <c r="AW73" s="1059"/>
      <c r="AX73" s="1059">
        <f t="shared" ref="AX73:AX78" si="165">AV73+AW73</f>
        <v>0</v>
      </c>
      <c r="AY73" s="1060"/>
      <c r="AZ73" s="1060">
        <f>AK73-AP73</f>
        <v>0</v>
      </c>
      <c r="BA73" s="1060">
        <f t="shared" si="161"/>
        <v>0</v>
      </c>
      <c r="BB73" s="1061"/>
      <c r="BC73" s="1031"/>
      <c r="BD73" s="1031"/>
      <c r="BF73" s="1017"/>
      <c r="BG73" s="1017"/>
      <c r="BH73" s="1017"/>
      <c r="BI73" s="1017"/>
      <c r="BJ73" s="1017"/>
      <c r="BK73" s="1017"/>
      <c r="BL73" s="1017"/>
      <c r="BM73" s="1017"/>
      <c r="BN73" s="1017"/>
      <c r="BO73" s="1017"/>
      <c r="BP73" s="1017"/>
      <c r="BQ73" s="1017"/>
      <c r="BR73" s="1017"/>
      <c r="BS73" s="1017"/>
      <c r="BT73" s="1017"/>
      <c r="BU73" s="1017"/>
      <c r="BV73" s="1017"/>
    </row>
    <row r="74" spans="1:74" s="1024" customFormat="1" ht="15" customHeight="1" x14ac:dyDescent="0.25">
      <c r="A74" s="1058"/>
      <c r="B74" s="1058"/>
      <c r="C74" s="1058"/>
      <c r="D74" s="1098" t="s">
        <v>131</v>
      </c>
      <c r="E74" s="1016" t="s">
        <v>938</v>
      </c>
      <c r="F74" s="1095"/>
      <c r="G74" s="1095"/>
      <c r="H74" s="1035"/>
      <c r="I74" s="1036" t="s">
        <v>909</v>
      </c>
      <c r="J74" s="1257" t="s">
        <v>920</v>
      </c>
      <c r="K74" s="1234"/>
      <c r="L74" s="1234"/>
      <c r="M74" s="1234">
        <f t="shared" si="162"/>
        <v>0</v>
      </c>
      <c r="N74" s="1038"/>
      <c r="O74" s="1038"/>
      <c r="P74" s="1049">
        <f t="shared" si="148"/>
        <v>0</v>
      </c>
      <c r="Q74" s="1254">
        <v>2</v>
      </c>
      <c r="R74" s="1254">
        <v>8</v>
      </c>
      <c r="S74" s="1254">
        <f t="shared" si="163"/>
        <v>10</v>
      </c>
      <c r="T74" s="1049">
        <v>10</v>
      </c>
      <c r="U74" s="1049"/>
      <c r="V74" s="1052">
        <f>T74+U74</f>
        <v>10</v>
      </c>
      <c r="W74" s="1038">
        <f>280</f>
        <v>280</v>
      </c>
      <c r="X74" s="1049">
        <f t="shared" si="158"/>
        <v>7</v>
      </c>
      <c r="Y74" s="1049"/>
      <c r="Z74" s="1049">
        <f>800+80</f>
        <v>880</v>
      </c>
      <c r="AA74" s="1049">
        <f>Z74/40</f>
        <v>22</v>
      </c>
      <c r="AB74" s="1049"/>
      <c r="AC74" s="1052"/>
      <c r="AD74" s="1052"/>
      <c r="AE74" s="1052"/>
      <c r="AF74" s="1044">
        <f t="shared" si="151"/>
        <v>29</v>
      </c>
      <c r="AG74" s="1044"/>
      <c r="AH74" s="1044"/>
      <c r="AI74" s="1044"/>
      <c r="AJ74" s="1044"/>
      <c r="AK74" s="1044">
        <f t="shared" si="152"/>
        <v>0</v>
      </c>
      <c r="AL74" s="1059"/>
      <c r="AM74" s="1044">
        <f>7+20+2</f>
        <v>29</v>
      </c>
      <c r="AN74" s="1044"/>
      <c r="AO74" s="1044"/>
      <c r="AP74" s="1044">
        <f t="shared" si="153"/>
        <v>29</v>
      </c>
      <c r="AQ74" s="1059"/>
      <c r="AR74" s="1059">
        <f>4+17</f>
        <v>21</v>
      </c>
      <c r="AS74" s="1059">
        <f>2+3+3</f>
        <v>8</v>
      </c>
      <c r="AT74" s="1059">
        <f t="shared" si="160"/>
        <v>29</v>
      </c>
      <c r="AU74" s="1059"/>
      <c r="AV74" s="1059">
        <f>7+20+2</f>
        <v>29</v>
      </c>
      <c r="AW74" s="1059"/>
      <c r="AX74" s="1059">
        <f t="shared" si="165"/>
        <v>29</v>
      </c>
      <c r="AY74" s="1060"/>
      <c r="AZ74" s="1060"/>
      <c r="BA74" s="1060"/>
      <c r="BB74" s="1061"/>
      <c r="BC74" s="1031"/>
      <c r="BD74" s="1031"/>
      <c r="BF74" s="1017"/>
      <c r="BG74" s="1017"/>
      <c r="BH74" s="1017"/>
      <c r="BI74" s="1017"/>
      <c r="BJ74" s="1017"/>
      <c r="BK74" s="1017"/>
      <c r="BL74" s="1017"/>
      <c r="BM74" s="1017"/>
      <c r="BN74" s="1017"/>
      <c r="BO74" s="1017"/>
      <c r="BP74" s="1017"/>
      <c r="BQ74" s="1017"/>
      <c r="BR74" s="1017"/>
      <c r="BS74" s="1017"/>
      <c r="BT74" s="1017"/>
      <c r="BU74" s="1017"/>
      <c r="BV74" s="1017"/>
    </row>
    <row r="75" spans="1:74" s="1024" customFormat="1" ht="15" customHeight="1" x14ac:dyDescent="0.25">
      <c r="A75" s="1058"/>
      <c r="B75" s="1058"/>
      <c r="C75" s="1058"/>
      <c r="D75" s="1098" t="s">
        <v>131</v>
      </c>
      <c r="E75" s="1016" t="s">
        <v>936</v>
      </c>
      <c r="F75" s="1095"/>
      <c r="G75" s="1095"/>
      <c r="H75" s="1035"/>
      <c r="I75" s="1036" t="s">
        <v>909</v>
      </c>
      <c r="J75" s="1257" t="s">
        <v>920</v>
      </c>
      <c r="K75" s="1234"/>
      <c r="L75" s="1234"/>
      <c r="M75" s="1234">
        <f t="shared" si="162"/>
        <v>0</v>
      </c>
      <c r="N75" s="1038"/>
      <c r="O75" s="1038"/>
      <c r="P75" s="1049">
        <f t="shared" si="148"/>
        <v>0</v>
      </c>
      <c r="Q75" s="1302">
        <v>2</v>
      </c>
      <c r="R75" s="1302">
        <v>7</v>
      </c>
      <c r="S75" s="1254">
        <f t="shared" si="163"/>
        <v>9</v>
      </c>
      <c r="T75" s="1049">
        <v>17</v>
      </c>
      <c r="U75" s="1049"/>
      <c r="V75" s="1052">
        <f t="shared" ref="V75:V79" si="166">T75+U75</f>
        <v>17</v>
      </c>
      <c r="W75" s="1038"/>
      <c r="X75" s="1049"/>
      <c r="Y75" s="1049"/>
      <c r="Z75" s="1049"/>
      <c r="AA75" s="1049">
        <f t="shared" ref="AA75" si="167">Z75/40</f>
        <v>0</v>
      </c>
      <c r="AB75" s="1049"/>
      <c r="AC75" s="1052">
        <f>800+760</f>
        <v>1560</v>
      </c>
      <c r="AD75" s="1052">
        <f t="shared" si="164"/>
        <v>39</v>
      </c>
      <c r="AE75" s="1052"/>
      <c r="AF75" s="1044">
        <f t="shared" si="151"/>
        <v>39</v>
      </c>
      <c r="AG75" s="1044"/>
      <c r="AH75" s="1044">
        <v>39</v>
      </c>
      <c r="AI75" s="1044"/>
      <c r="AJ75" s="1044"/>
      <c r="AK75" s="1044">
        <f t="shared" si="152"/>
        <v>39</v>
      </c>
      <c r="AL75" s="1059"/>
      <c r="AM75" s="1044"/>
      <c r="AN75" s="1044"/>
      <c r="AO75" s="1044">
        <f>20+19</f>
        <v>39</v>
      </c>
      <c r="AP75" s="1044">
        <f t="shared" si="153"/>
        <v>39</v>
      </c>
      <c r="AQ75" s="1059"/>
      <c r="AR75" s="1059">
        <f>7+5</f>
        <v>12</v>
      </c>
      <c r="AS75" s="1059">
        <f>9+13</f>
        <v>22</v>
      </c>
      <c r="AT75" s="1059">
        <f>AR75+AS75</f>
        <v>34</v>
      </c>
      <c r="AU75" s="1059"/>
      <c r="AV75" s="1059"/>
      <c r="AW75" s="1059">
        <f>20+19</f>
        <v>39</v>
      </c>
      <c r="AX75" s="1059">
        <f t="shared" si="165"/>
        <v>39</v>
      </c>
      <c r="AY75" s="1060"/>
      <c r="AZ75" s="1060">
        <f t="shared" ref="AZ75:AZ78" si="168">AK75-AP75</f>
        <v>0</v>
      </c>
      <c r="BA75" s="1060">
        <f t="shared" si="161"/>
        <v>0</v>
      </c>
      <c r="BB75" s="1061"/>
      <c r="BC75" s="1031"/>
      <c r="BD75" s="1031"/>
      <c r="BF75" s="1017"/>
      <c r="BG75" s="1017"/>
      <c r="BH75" s="1017"/>
      <c r="BI75" s="1017"/>
      <c r="BJ75" s="1017"/>
      <c r="BK75" s="1017"/>
      <c r="BL75" s="1017"/>
      <c r="BM75" s="1017"/>
      <c r="BN75" s="1017"/>
      <c r="BO75" s="1017"/>
      <c r="BP75" s="1017"/>
      <c r="BQ75" s="1017"/>
      <c r="BR75" s="1017"/>
      <c r="BS75" s="1017"/>
      <c r="BT75" s="1017"/>
      <c r="BU75" s="1017"/>
      <c r="BV75" s="1017"/>
    </row>
    <row r="76" spans="1:74" s="1024" customFormat="1" ht="15" customHeight="1" x14ac:dyDescent="0.25">
      <c r="A76" s="1058"/>
      <c r="B76" s="1058"/>
      <c r="C76" s="1058"/>
      <c r="D76" s="1098" t="s">
        <v>131</v>
      </c>
      <c r="E76" s="1016" t="s">
        <v>935</v>
      </c>
      <c r="F76" s="1095"/>
      <c r="G76" s="1095"/>
      <c r="H76" s="1035"/>
      <c r="I76" s="1036" t="s">
        <v>909</v>
      </c>
      <c r="J76" s="1257" t="s">
        <v>920</v>
      </c>
      <c r="K76" s="1234"/>
      <c r="L76" s="1234"/>
      <c r="M76" s="1234">
        <f t="shared" si="162"/>
        <v>0</v>
      </c>
      <c r="N76" s="1038"/>
      <c r="O76" s="1038"/>
      <c r="P76" s="1049">
        <f t="shared" si="148"/>
        <v>0</v>
      </c>
      <c r="Q76" s="1254">
        <v>7</v>
      </c>
      <c r="R76" s="1254">
        <v>13</v>
      </c>
      <c r="S76" s="1254">
        <f t="shared" si="163"/>
        <v>20</v>
      </c>
      <c r="T76" s="1049">
        <v>13</v>
      </c>
      <c r="U76" s="1049">
        <v>10</v>
      </c>
      <c r="V76" s="1052">
        <f t="shared" si="166"/>
        <v>23</v>
      </c>
      <c r="W76" s="1038"/>
      <c r="X76" s="1049"/>
      <c r="Y76" s="1049"/>
      <c r="Z76" s="1049"/>
      <c r="AA76" s="1049">
        <f t="shared" si="142"/>
        <v>0</v>
      </c>
      <c r="AB76" s="1049"/>
      <c r="AC76" s="1052">
        <f>400+320</f>
        <v>720</v>
      </c>
      <c r="AD76" s="1052">
        <f t="shared" si="164"/>
        <v>18</v>
      </c>
      <c r="AE76" s="1052"/>
      <c r="AF76" s="1044">
        <f t="shared" si="151"/>
        <v>18</v>
      </c>
      <c r="AG76" s="1044"/>
      <c r="AH76" s="1044">
        <v>18</v>
      </c>
      <c r="AI76" s="1044"/>
      <c r="AJ76" s="1044"/>
      <c r="AK76" s="1044">
        <f t="shared" si="152"/>
        <v>18</v>
      </c>
      <c r="AL76" s="1059"/>
      <c r="AM76" s="1044"/>
      <c r="AN76" s="1044"/>
      <c r="AO76" s="1044">
        <f>10+8</f>
        <v>18</v>
      </c>
      <c r="AP76" s="1044">
        <f t="shared" si="153"/>
        <v>18</v>
      </c>
      <c r="AQ76" s="1059"/>
      <c r="AR76" s="1059">
        <f>7+2</f>
        <v>9</v>
      </c>
      <c r="AS76" s="1059">
        <f>13+13</f>
        <v>26</v>
      </c>
      <c r="AT76" s="1059">
        <f>AR76+AS76</f>
        <v>35</v>
      </c>
      <c r="AU76" s="1059"/>
      <c r="AV76" s="1059"/>
      <c r="AW76" s="1059">
        <f>10+8</f>
        <v>18</v>
      </c>
      <c r="AX76" s="1059">
        <f t="shared" si="165"/>
        <v>18</v>
      </c>
      <c r="AY76" s="1060"/>
      <c r="AZ76" s="1060">
        <f t="shared" si="168"/>
        <v>0</v>
      </c>
      <c r="BA76" s="1060">
        <f t="shared" si="161"/>
        <v>0</v>
      </c>
      <c r="BB76" s="1061" t="s">
        <v>745</v>
      </c>
      <c r="BC76" s="1031"/>
      <c r="BD76" s="1031"/>
      <c r="BF76" s="1017"/>
      <c r="BG76" s="1017"/>
      <c r="BH76" s="1017"/>
      <c r="BI76" s="1017"/>
      <c r="BJ76" s="1017"/>
      <c r="BK76" s="1017"/>
      <c r="BL76" s="1017"/>
      <c r="BM76" s="1017"/>
      <c r="BN76" s="1017"/>
      <c r="BO76" s="1017"/>
      <c r="BP76" s="1017"/>
      <c r="BQ76" s="1017"/>
      <c r="BR76" s="1017"/>
      <c r="BS76" s="1017"/>
      <c r="BT76" s="1017"/>
      <c r="BU76" s="1017"/>
      <c r="BV76" s="1017"/>
    </row>
    <row r="77" spans="1:74" s="1024" customFormat="1" ht="15" customHeight="1" x14ac:dyDescent="0.25">
      <c r="A77" s="1058"/>
      <c r="B77" s="1058"/>
      <c r="C77" s="1058"/>
      <c r="D77" s="1231" t="s">
        <v>131</v>
      </c>
      <c r="E77" s="1016"/>
      <c r="F77" s="1230"/>
      <c r="G77" s="1230"/>
      <c r="H77" s="1035"/>
      <c r="I77" s="1036" t="s">
        <v>909</v>
      </c>
      <c r="J77" s="1257" t="s">
        <v>920</v>
      </c>
      <c r="K77" s="1234"/>
      <c r="L77" s="1234"/>
      <c r="M77" s="1234">
        <f t="shared" ref="M77" si="169">K77+L77</f>
        <v>0</v>
      </c>
      <c r="N77" s="1038"/>
      <c r="O77" s="1038"/>
      <c r="P77" s="1049">
        <f t="shared" ref="P77" si="170">N77+O77</f>
        <v>0</v>
      </c>
      <c r="Q77" s="1254">
        <v>9</v>
      </c>
      <c r="R77" s="1254">
        <v>8</v>
      </c>
      <c r="S77" s="1254">
        <f t="shared" ref="S77" si="171">Q77+R77</f>
        <v>17</v>
      </c>
      <c r="T77" s="1049">
        <v>6</v>
      </c>
      <c r="U77" s="1049">
        <v>11</v>
      </c>
      <c r="V77" s="1052">
        <f t="shared" ref="V77" si="172">T77+U77</f>
        <v>17</v>
      </c>
      <c r="W77" s="1038"/>
      <c r="X77" s="1049"/>
      <c r="Y77" s="1049"/>
      <c r="Z77" s="1049"/>
      <c r="AA77" s="1049">
        <f t="shared" ref="AA77" si="173">Z77/40</f>
        <v>0</v>
      </c>
      <c r="AB77" s="1049"/>
      <c r="AC77" s="1052">
        <f>400+320</f>
        <v>720</v>
      </c>
      <c r="AD77" s="1052">
        <f t="shared" ref="AD77" si="174">AC77/40</f>
        <v>18</v>
      </c>
      <c r="AE77" s="1052"/>
      <c r="AF77" s="1044">
        <f t="shared" ref="AF77" si="175">AD77+AA77+X77</f>
        <v>18</v>
      </c>
      <c r="AG77" s="1044"/>
      <c r="AH77" s="1044">
        <v>18</v>
      </c>
      <c r="AI77" s="1044"/>
      <c r="AJ77" s="1044"/>
      <c r="AK77" s="1044">
        <f t="shared" ref="AK77" si="176">AJ77+AI77+AH77</f>
        <v>18</v>
      </c>
      <c r="AL77" s="1059"/>
      <c r="AM77" s="1044"/>
      <c r="AN77" s="1044"/>
      <c r="AO77" s="1044">
        <f>10+8</f>
        <v>18</v>
      </c>
      <c r="AP77" s="1044">
        <f t="shared" ref="AP77" si="177">AO77+AN77+AM77</f>
        <v>18</v>
      </c>
      <c r="AQ77" s="1059"/>
      <c r="AR77" s="1059">
        <f>7+2</f>
        <v>9</v>
      </c>
      <c r="AS77" s="1059">
        <f>13+13</f>
        <v>26</v>
      </c>
      <c r="AT77" s="1059">
        <f>AR77+AS77</f>
        <v>35</v>
      </c>
      <c r="AU77" s="1059"/>
      <c r="AV77" s="1059"/>
      <c r="AW77" s="1059">
        <f>10+8</f>
        <v>18</v>
      </c>
      <c r="AX77" s="1059">
        <f t="shared" ref="AX77" si="178">AV77+AW77</f>
        <v>18</v>
      </c>
      <c r="AY77" s="1060"/>
      <c r="AZ77" s="1060">
        <f t="shared" ref="AZ77" si="179">AK77-AP77</f>
        <v>0</v>
      </c>
      <c r="BA77" s="1060">
        <f t="shared" ref="BA77" si="180">AL77-AQ77</f>
        <v>0</v>
      </c>
      <c r="BB77" s="1061" t="s">
        <v>745</v>
      </c>
      <c r="BC77" s="1031"/>
      <c r="BD77" s="1031"/>
      <c r="BF77" s="1017"/>
      <c r="BG77" s="1017"/>
      <c r="BH77" s="1017"/>
      <c r="BI77" s="1017"/>
      <c r="BJ77" s="1017"/>
      <c r="BK77" s="1017"/>
      <c r="BL77" s="1017"/>
      <c r="BM77" s="1017"/>
      <c r="BN77" s="1017"/>
      <c r="BO77" s="1017"/>
      <c r="BP77" s="1017"/>
      <c r="BQ77" s="1017"/>
      <c r="BR77" s="1017"/>
      <c r="BS77" s="1017"/>
      <c r="BT77" s="1017"/>
      <c r="BU77" s="1017"/>
      <c r="BV77" s="1017"/>
    </row>
    <row r="78" spans="1:74" s="1281" customFormat="1" ht="15" customHeight="1" x14ac:dyDescent="0.25">
      <c r="A78" s="1264"/>
      <c r="B78" s="1264"/>
      <c r="C78" s="1264"/>
      <c r="D78" s="1265"/>
      <c r="E78" s="1266"/>
      <c r="F78" s="1267"/>
      <c r="G78" s="1267"/>
      <c r="H78" s="1268"/>
      <c r="I78" s="1269"/>
      <c r="J78" s="1270"/>
      <c r="K78" s="1271"/>
      <c r="L78" s="1271"/>
      <c r="M78" s="1271"/>
      <c r="N78" s="1272"/>
      <c r="O78" s="1272"/>
      <c r="P78" s="1273"/>
      <c r="Q78" s="1274"/>
      <c r="R78" s="1274"/>
      <c r="S78" s="1274"/>
      <c r="T78" s="1273"/>
      <c r="U78" s="1273"/>
      <c r="V78" s="1275"/>
      <c r="W78" s="1272"/>
      <c r="X78" s="1273"/>
      <c r="Y78" s="1273"/>
      <c r="Z78" s="1273"/>
      <c r="AA78" s="1273"/>
      <c r="AB78" s="1273"/>
      <c r="AC78" s="1275"/>
      <c r="AD78" s="1275"/>
      <c r="AE78" s="1275"/>
      <c r="AF78" s="1276">
        <f t="shared" si="151"/>
        <v>0</v>
      </c>
      <c r="AG78" s="1276"/>
      <c r="AH78" s="1276"/>
      <c r="AI78" s="1276"/>
      <c r="AJ78" s="1276"/>
      <c r="AK78" s="1276">
        <f t="shared" si="152"/>
        <v>0</v>
      </c>
      <c r="AL78" s="1277"/>
      <c r="AM78" s="1276"/>
      <c r="AN78" s="1276"/>
      <c r="AO78" s="1276"/>
      <c r="AP78" s="1276">
        <f t="shared" si="153"/>
        <v>0</v>
      </c>
      <c r="AQ78" s="1277"/>
      <c r="AR78" s="1277"/>
      <c r="AS78" s="1277"/>
      <c r="AT78" s="1277"/>
      <c r="AU78" s="1277"/>
      <c r="AV78" s="1277"/>
      <c r="AW78" s="1277"/>
      <c r="AX78" s="1277">
        <f t="shared" si="165"/>
        <v>0</v>
      </c>
      <c r="AY78" s="1278"/>
      <c r="AZ78" s="1278">
        <f t="shared" si="168"/>
        <v>0</v>
      </c>
      <c r="BA78" s="1278">
        <f t="shared" si="161"/>
        <v>0</v>
      </c>
      <c r="BB78" s="1279"/>
      <c r="BC78" s="1280"/>
      <c r="BD78" s="1280"/>
      <c r="BF78" s="1282"/>
      <c r="BG78" s="1282"/>
      <c r="BH78" s="1282"/>
      <c r="BI78" s="1282"/>
      <c r="BJ78" s="1282"/>
      <c r="BK78" s="1282"/>
      <c r="BL78" s="1282"/>
      <c r="BM78" s="1282"/>
      <c r="BN78" s="1282"/>
      <c r="BO78" s="1282"/>
      <c r="BP78" s="1282"/>
      <c r="BQ78" s="1282"/>
      <c r="BR78" s="1282"/>
      <c r="BS78" s="1282"/>
      <c r="BT78" s="1282"/>
      <c r="BU78" s="1282"/>
      <c r="BV78" s="1282"/>
    </row>
    <row r="79" spans="1:74" s="1024" customFormat="1" ht="13.5" customHeight="1" x14ac:dyDescent="0.25">
      <c r="A79" s="1058"/>
      <c r="B79" s="1058"/>
      <c r="C79" s="1058"/>
      <c r="D79" s="1098" t="s">
        <v>189</v>
      </c>
      <c r="E79" s="1016" t="s">
        <v>416</v>
      </c>
      <c r="F79" s="1095"/>
      <c r="G79" s="1095" t="s">
        <v>909</v>
      </c>
      <c r="H79" s="1035"/>
      <c r="I79" s="1036" t="s">
        <v>909</v>
      </c>
      <c r="J79" s="1257" t="s">
        <v>920</v>
      </c>
      <c r="K79" s="1234"/>
      <c r="L79" s="1234"/>
      <c r="M79" s="1234">
        <f t="shared" ref="M79:M110" si="181">K79+L79</f>
        <v>0</v>
      </c>
      <c r="N79" s="1038"/>
      <c r="O79" s="1038"/>
      <c r="P79" s="1049">
        <f t="shared" ref="P79:P97" si="182">N79+O79</f>
        <v>0</v>
      </c>
      <c r="Q79" s="1254">
        <v>0</v>
      </c>
      <c r="R79" s="1254">
        <v>20</v>
      </c>
      <c r="S79" s="1254">
        <f t="shared" si="163"/>
        <v>20</v>
      </c>
      <c r="T79" s="1049"/>
      <c r="U79" s="1049">
        <v>20</v>
      </c>
      <c r="V79" s="1052">
        <f t="shared" si="166"/>
        <v>20</v>
      </c>
      <c r="W79" s="1038">
        <v>880</v>
      </c>
      <c r="X79" s="1049">
        <f t="shared" ref="X79:X82" si="183">W79/40</f>
        <v>22</v>
      </c>
      <c r="Y79" s="1049"/>
      <c r="Z79" s="1049"/>
      <c r="AA79" s="1049">
        <f t="shared" ref="AA79:AA81" si="184">Z79/40</f>
        <v>0</v>
      </c>
      <c r="AB79" s="1049"/>
      <c r="AC79" s="1052">
        <v>880</v>
      </c>
      <c r="AD79" s="1052">
        <f t="shared" si="164"/>
        <v>22</v>
      </c>
      <c r="AE79" s="1052"/>
      <c r="AF79" s="1044">
        <f t="shared" ref="AF79:AF86" si="185">AD79+AA79+X79</f>
        <v>44</v>
      </c>
      <c r="AG79" s="1044"/>
      <c r="AH79" s="1044"/>
      <c r="AI79" s="1044"/>
      <c r="AJ79" s="1044">
        <v>22</v>
      </c>
      <c r="AK79" s="1044">
        <f t="shared" ref="AK79:AK85" si="186">AJ79+AI79+AH79</f>
        <v>22</v>
      </c>
      <c r="AL79" s="1059"/>
      <c r="AM79" s="1044"/>
      <c r="AN79" s="1044"/>
      <c r="AO79" s="1044">
        <v>22</v>
      </c>
      <c r="AP79" s="1044">
        <f t="shared" ref="AP79:AP85" si="187">AO79+AN79+AM79</f>
        <v>22</v>
      </c>
      <c r="AQ79" s="1059"/>
      <c r="AR79" s="1059"/>
      <c r="AS79" s="1059">
        <v>22</v>
      </c>
      <c r="AT79" s="1059">
        <f t="shared" ref="AT79" si="188">AR79+AS79</f>
        <v>22</v>
      </c>
      <c r="AU79" s="1059"/>
      <c r="AV79" s="1059"/>
      <c r="AW79" s="1059">
        <v>22</v>
      </c>
      <c r="AX79" s="1059">
        <f t="shared" ref="AX79:AX106" si="189">AV79+AW79</f>
        <v>22</v>
      </c>
      <c r="AY79" s="1060"/>
      <c r="AZ79" s="1060">
        <f t="shared" ref="AZ79:BA106" si="190">AK79-AP79</f>
        <v>0</v>
      </c>
      <c r="BA79" s="1060">
        <f t="shared" si="190"/>
        <v>0</v>
      </c>
      <c r="BB79" s="1061" t="s">
        <v>375</v>
      </c>
      <c r="BC79" s="1031"/>
      <c r="BD79" s="1031"/>
      <c r="BF79" s="1017"/>
      <c r="BG79" s="1017"/>
      <c r="BH79" s="1017"/>
      <c r="BI79" s="1017"/>
      <c r="BJ79" s="1017"/>
      <c r="BK79" s="1017"/>
      <c r="BL79" s="1017"/>
      <c r="BM79" s="1017"/>
      <c r="BN79" s="1017"/>
      <c r="BO79" s="1017"/>
      <c r="BP79" s="1017"/>
      <c r="BQ79" s="1017"/>
      <c r="BR79" s="1017"/>
      <c r="BS79" s="1017"/>
      <c r="BT79" s="1017"/>
      <c r="BU79" s="1017"/>
      <c r="BV79" s="1017"/>
    </row>
    <row r="80" spans="1:74" s="1281" customFormat="1" x14ac:dyDescent="0.25">
      <c r="A80" s="1282"/>
      <c r="B80" s="1282"/>
      <c r="C80" s="1282"/>
      <c r="D80" s="1280"/>
      <c r="E80" s="1266"/>
      <c r="F80" s="1267"/>
      <c r="G80" s="1267"/>
      <c r="H80" s="1342"/>
      <c r="I80" s="1343"/>
      <c r="J80" s="1270"/>
      <c r="K80" s="1271"/>
      <c r="L80" s="1271"/>
      <c r="M80" s="1271"/>
      <c r="N80" s="1272"/>
      <c r="O80" s="1272"/>
      <c r="P80" s="1272"/>
      <c r="Q80" s="1344"/>
      <c r="R80" s="1344"/>
      <c r="S80" s="1344"/>
      <c r="T80" s="1272"/>
      <c r="U80" s="1272"/>
      <c r="V80" s="1345"/>
      <c r="W80" s="1272"/>
      <c r="X80" s="1272"/>
      <c r="Y80" s="1272"/>
      <c r="Z80" s="1272"/>
      <c r="AA80" s="1272"/>
      <c r="AB80" s="1272"/>
      <c r="AC80" s="1345"/>
      <c r="AD80" s="1345"/>
      <c r="AE80" s="1345"/>
      <c r="AF80" s="1272">
        <f t="shared" si="185"/>
        <v>0</v>
      </c>
      <c r="AG80" s="1272"/>
      <c r="AH80" s="1272"/>
      <c r="AI80" s="1272"/>
      <c r="AJ80" s="1272"/>
      <c r="AK80" s="1272">
        <f t="shared" si="186"/>
        <v>0</v>
      </c>
      <c r="AL80" s="1346"/>
      <c r="AM80" s="1272"/>
      <c r="AN80" s="1272"/>
      <c r="AO80" s="1272"/>
      <c r="AP80" s="1272">
        <f t="shared" si="187"/>
        <v>0</v>
      </c>
      <c r="AQ80" s="1346"/>
      <c r="AR80" s="1346"/>
      <c r="AS80" s="1346"/>
      <c r="AT80" s="1346"/>
      <c r="AU80" s="1346"/>
      <c r="AV80" s="1346"/>
      <c r="AW80" s="1346"/>
      <c r="AX80" s="1346">
        <f t="shared" si="189"/>
        <v>0</v>
      </c>
      <c r="AY80" s="1347"/>
      <c r="AZ80" s="1347">
        <f t="shared" si="190"/>
        <v>0</v>
      </c>
      <c r="BA80" s="1347">
        <f t="shared" si="190"/>
        <v>0</v>
      </c>
      <c r="BB80" s="1348"/>
      <c r="BC80" s="1280"/>
      <c r="BD80" s="1280"/>
      <c r="BF80" s="1282"/>
      <c r="BG80" s="1282"/>
      <c r="BH80" s="1282"/>
      <c r="BI80" s="1282"/>
      <c r="BJ80" s="1282"/>
      <c r="BK80" s="1282"/>
      <c r="BL80" s="1282"/>
      <c r="BM80" s="1282"/>
      <c r="BN80" s="1282"/>
      <c r="BO80" s="1282"/>
      <c r="BP80" s="1282"/>
      <c r="BQ80" s="1282"/>
      <c r="BR80" s="1282"/>
      <c r="BS80" s="1282"/>
      <c r="BT80" s="1282"/>
      <c r="BU80" s="1282"/>
      <c r="BV80" s="1282"/>
    </row>
    <row r="81" spans="1:74" s="1300" customFormat="1" ht="15" customHeight="1" x14ac:dyDescent="0.25">
      <c r="A81" s="1283">
        <v>92</v>
      </c>
      <c r="B81" s="1283" t="s">
        <v>130</v>
      </c>
      <c r="C81" s="1283">
        <v>2</v>
      </c>
      <c r="D81" s="1284" t="s">
        <v>196</v>
      </c>
      <c r="E81" s="1285" t="s">
        <v>932</v>
      </c>
      <c r="F81" s="1286"/>
      <c r="G81" s="1286"/>
      <c r="H81" s="1287"/>
      <c r="I81" s="1288"/>
      <c r="J81" s="1289"/>
      <c r="K81" s="1290"/>
      <c r="L81" s="1290"/>
      <c r="M81" s="1290">
        <f t="shared" si="181"/>
        <v>0</v>
      </c>
      <c r="N81" s="1291"/>
      <c r="O81" s="1291"/>
      <c r="P81" s="1292">
        <f t="shared" si="182"/>
        <v>0</v>
      </c>
      <c r="Q81" s="1293"/>
      <c r="R81" s="1293"/>
      <c r="S81" s="1293">
        <f t="shared" ref="S81:S110" si="191">Q81+R81</f>
        <v>0</v>
      </c>
      <c r="T81" s="1292"/>
      <c r="U81" s="1292"/>
      <c r="V81" s="1294">
        <f t="shared" ref="V81:V110" si="192">T81+U81</f>
        <v>0</v>
      </c>
      <c r="W81" s="1291">
        <v>400</v>
      </c>
      <c r="X81" s="1292">
        <f t="shared" si="183"/>
        <v>10</v>
      </c>
      <c r="Y81" s="1292">
        <f>SUM(X81:X89)</f>
        <v>20</v>
      </c>
      <c r="Z81" s="1292"/>
      <c r="AA81" s="1292">
        <f t="shared" si="184"/>
        <v>0</v>
      </c>
      <c r="AB81" s="1292">
        <f>SUM(AA81:AA89)</f>
        <v>10</v>
      </c>
      <c r="AC81" s="1294">
        <v>400</v>
      </c>
      <c r="AD81" s="1294">
        <f t="shared" ref="AD81:AD110" si="193">AC81/40</f>
        <v>10</v>
      </c>
      <c r="AE81" s="1294">
        <f>SUM(AD81:AD89)</f>
        <v>10</v>
      </c>
      <c r="AF81" s="1295">
        <f t="shared" si="185"/>
        <v>20</v>
      </c>
      <c r="AG81" s="1295">
        <f>SUM(AF81:AF89)</f>
        <v>40</v>
      </c>
      <c r="AH81" s="1295"/>
      <c r="AI81" s="1295"/>
      <c r="AJ81" s="1295">
        <v>10</v>
      </c>
      <c r="AK81" s="1295">
        <f t="shared" si="186"/>
        <v>10</v>
      </c>
      <c r="AL81" s="1296">
        <f>SUM(AK81:AK89)</f>
        <v>20</v>
      </c>
      <c r="AM81" s="1295"/>
      <c r="AN81" s="1295"/>
      <c r="AO81" s="1295">
        <v>10</v>
      </c>
      <c r="AP81" s="1295">
        <f t="shared" si="187"/>
        <v>10</v>
      </c>
      <c r="AQ81" s="1296">
        <f>SUM(AP81:AP89)</f>
        <v>20</v>
      </c>
      <c r="AR81" s="1296"/>
      <c r="AS81" s="1296">
        <v>10</v>
      </c>
      <c r="AT81" s="1296">
        <f t="shared" ref="AT81:AT89" si="194">AR81+AS81</f>
        <v>10</v>
      </c>
      <c r="AU81" s="1296">
        <f>SUM(AT81:AT89)</f>
        <v>20</v>
      </c>
      <c r="AV81" s="1296">
        <v>10</v>
      </c>
      <c r="AW81" s="1296"/>
      <c r="AX81" s="1296">
        <f t="shared" si="189"/>
        <v>10</v>
      </c>
      <c r="AY81" s="1297">
        <f>SUM(AX81:AX89)</f>
        <v>20</v>
      </c>
      <c r="AZ81" s="1297">
        <f t="shared" si="190"/>
        <v>0</v>
      </c>
      <c r="BA81" s="1297">
        <f t="shared" si="190"/>
        <v>0</v>
      </c>
      <c r="BB81" s="1298"/>
      <c r="BC81" s="1299"/>
      <c r="BD81" s="1299"/>
      <c r="BF81" s="1301"/>
      <c r="BG81" s="1301"/>
      <c r="BH81" s="1301"/>
      <c r="BI81" s="1301"/>
      <c r="BJ81" s="1301"/>
      <c r="BK81" s="1301"/>
      <c r="BL81" s="1301"/>
      <c r="BM81" s="1301"/>
      <c r="BN81" s="1301"/>
      <c r="BO81" s="1301"/>
      <c r="BP81" s="1301"/>
      <c r="BQ81" s="1301"/>
      <c r="BR81" s="1301"/>
      <c r="BS81" s="1301"/>
      <c r="BT81" s="1301"/>
      <c r="BU81" s="1301"/>
      <c r="BV81" s="1301"/>
    </row>
    <row r="82" spans="1:74" s="1300" customFormat="1" ht="15" customHeight="1" x14ac:dyDescent="0.25">
      <c r="A82" s="1283">
        <v>94</v>
      </c>
      <c r="B82" s="1283" t="s">
        <v>130</v>
      </c>
      <c r="C82" s="1283">
        <v>4</v>
      </c>
      <c r="D82" s="1284" t="s">
        <v>196</v>
      </c>
      <c r="E82" s="1285" t="s">
        <v>197</v>
      </c>
      <c r="F82" s="1286"/>
      <c r="G82" s="1286"/>
      <c r="H82" s="1287"/>
      <c r="I82" s="1288"/>
      <c r="J82" s="1289"/>
      <c r="K82" s="1290"/>
      <c r="L82" s="1290"/>
      <c r="M82" s="1290">
        <f t="shared" si="181"/>
        <v>0</v>
      </c>
      <c r="N82" s="1291"/>
      <c r="O82" s="1291"/>
      <c r="P82" s="1292">
        <f t="shared" si="182"/>
        <v>0</v>
      </c>
      <c r="Q82" s="1293"/>
      <c r="R82" s="1293"/>
      <c r="S82" s="1293">
        <f t="shared" si="191"/>
        <v>0</v>
      </c>
      <c r="T82" s="1292"/>
      <c r="U82" s="1292"/>
      <c r="V82" s="1294">
        <f t="shared" si="192"/>
        <v>0</v>
      </c>
      <c r="W82" s="1291">
        <v>400</v>
      </c>
      <c r="X82" s="1292">
        <f t="shared" si="183"/>
        <v>10</v>
      </c>
      <c r="Y82" s="1292"/>
      <c r="Z82" s="1292">
        <v>400</v>
      </c>
      <c r="AA82" s="1292">
        <f t="shared" ref="AA82:AA110" si="195">Z82/40</f>
        <v>10</v>
      </c>
      <c r="AB82" s="1292"/>
      <c r="AC82" s="1294"/>
      <c r="AD82" s="1294">
        <f t="shared" si="193"/>
        <v>0</v>
      </c>
      <c r="AE82" s="1294"/>
      <c r="AF82" s="1295">
        <f t="shared" si="185"/>
        <v>20</v>
      </c>
      <c r="AG82" s="1295"/>
      <c r="AH82" s="1295"/>
      <c r="AI82" s="1295"/>
      <c r="AJ82" s="1295">
        <v>10</v>
      </c>
      <c r="AK82" s="1295">
        <f t="shared" si="186"/>
        <v>10</v>
      </c>
      <c r="AL82" s="1296"/>
      <c r="AM82" s="1295">
        <v>10</v>
      </c>
      <c r="AN82" s="1295"/>
      <c r="AO82" s="1295"/>
      <c r="AP82" s="1295">
        <f t="shared" si="187"/>
        <v>10</v>
      </c>
      <c r="AQ82" s="1296"/>
      <c r="AR82" s="1296">
        <v>0</v>
      </c>
      <c r="AS82" s="1296">
        <v>10</v>
      </c>
      <c r="AT82" s="1296">
        <f t="shared" si="194"/>
        <v>10</v>
      </c>
      <c r="AU82" s="1296"/>
      <c r="AV82" s="1296">
        <v>10</v>
      </c>
      <c r="AW82" s="1296"/>
      <c r="AX82" s="1296">
        <f t="shared" si="189"/>
        <v>10</v>
      </c>
      <c r="AY82" s="1297"/>
      <c r="AZ82" s="1297">
        <f t="shared" si="190"/>
        <v>0</v>
      </c>
      <c r="BA82" s="1297">
        <f t="shared" si="190"/>
        <v>0</v>
      </c>
      <c r="BB82" s="1298"/>
      <c r="BC82" s="1299"/>
      <c r="BD82" s="1299"/>
      <c r="BF82" s="1301"/>
      <c r="BG82" s="1301"/>
      <c r="BH82" s="1301"/>
      <c r="BI82" s="1301"/>
      <c r="BJ82" s="1301"/>
      <c r="BK82" s="1301"/>
      <c r="BL82" s="1301"/>
      <c r="BM82" s="1301"/>
      <c r="BN82" s="1301"/>
      <c r="BO82" s="1301"/>
      <c r="BP82" s="1301"/>
      <c r="BQ82" s="1301"/>
      <c r="BR82" s="1301"/>
      <c r="BS82" s="1301"/>
      <c r="BT82" s="1301"/>
      <c r="BU82" s="1301"/>
      <c r="BV82" s="1301"/>
    </row>
    <row r="83" spans="1:74" s="1300" customFormat="1" ht="13.5" customHeight="1" x14ac:dyDescent="0.25">
      <c r="A83" s="1283">
        <v>98</v>
      </c>
      <c r="B83" s="1283" t="s">
        <v>130</v>
      </c>
      <c r="C83" s="1283">
        <v>8</v>
      </c>
      <c r="D83" s="1284" t="s">
        <v>196</v>
      </c>
      <c r="E83" s="1285" t="s">
        <v>201</v>
      </c>
      <c r="F83" s="1286"/>
      <c r="G83" s="1286"/>
      <c r="H83" s="1287"/>
      <c r="I83" s="1288"/>
      <c r="J83" s="1289"/>
      <c r="K83" s="1290"/>
      <c r="L83" s="1290"/>
      <c r="M83" s="1290">
        <f t="shared" si="181"/>
        <v>0</v>
      </c>
      <c r="N83" s="1291"/>
      <c r="O83" s="1291"/>
      <c r="P83" s="1292">
        <f t="shared" si="182"/>
        <v>0</v>
      </c>
      <c r="Q83" s="1293"/>
      <c r="R83" s="1293"/>
      <c r="S83" s="1293">
        <f t="shared" si="191"/>
        <v>0</v>
      </c>
      <c r="T83" s="1292"/>
      <c r="U83" s="1292"/>
      <c r="V83" s="1294">
        <f t="shared" si="192"/>
        <v>0</v>
      </c>
      <c r="W83" s="1291"/>
      <c r="X83" s="1292">
        <f t="shared" ref="X83:X110" si="196">W83/40</f>
        <v>0</v>
      </c>
      <c r="Y83" s="1292"/>
      <c r="Z83" s="1292"/>
      <c r="AA83" s="1292">
        <f t="shared" si="195"/>
        <v>0</v>
      </c>
      <c r="AB83" s="1292"/>
      <c r="AC83" s="1294"/>
      <c r="AD83" s="1294">
        <f t="shared" si="193"/>
        <v>0</v>
      </c>
      <c r="AE83" s="1294"/>
      <c r="AF83" s="1295">
        <f t="shared" si="185"/>
        <v>0</v>
      </c>
      <c r="AG83" s="1295"/>
      <c r="AH83" s="1295"/>
      <c r="AI83" s="1295"/>
      <c r="AJ83" s="1295"/>
      <c r="AK83" s="1295">
        <f t="shared" si="186"/>
        <v>0</v>
      </c>
      <c r="AL83" s="1296"/>
      <c r="AM83" s="1295"/>
      <c r="AN83" s="1295"/>
      <c r="AO83" s="1295"/>
      <c r="AP83" s="1295">
        <f t="shared" si="187"/>
        <v>0</v>
      </c>
      <c r="AQ83" s="1296"/>
      <c r="AR83" s="1296"/>
      <c r="AS83" s="1296"/>
      <c r="AT83" s="1296">
        <f t="shared" si="194"/>
        <v>0</v>
      </c>
      <c r="AU83" s="1296"/>
      <c r="AV83" s="1296"/>
      <c r="AW83" s="1296"/>
      <c r="AX83" s="1296">
        <f t="shared" si="189"/>
        <v>0</v>
      </c>
      <c r="AY83" s="1297"/>
      <c r="AZ83" s="1297">
        <f t="shared" si="190"/>
        <v>0</v>
      </c>
      <c r="BA83" s="1297">
        <f t="shared" si="190"/>
        <v>0</v>
      </c>
      <c r="BB83" s="1298"/>
      <c r="BC83" s="1299"/>
      <c r="BD83" s="1299"/>
      <c r="BF83" s="1301"/>
      <c r="BG83" s="1301"/>
      <c r="BH83" s="1301"/>
      <c r="BI83" s="1301"/>
      <c r="BJ83" s="1301"/>
      <c r="BK83" s="1301"/>
      <c r="BL83" s="1301"/>
      <c r="BM83" s="1301"/>
      <c r="BN83" s="1301"/>
      <c r="BO83" s="1301"/>
      <c r="BP83" s="1301"/>
      <c r="BQ83" s="1301"/>
      <c r="BR83" s="1301"/>
      <c r="BS83" s="1301"/>
      <c r="BT83" s="1301"/>
      <c r="BU83" s="1301"/>
      <c r="BV83" s="1301"/>
    </row>
    <row r="84" spans="1:74" s="1300" customFormat="1" ht="15" customHeight="1" x14ac:dyDescent="0.25">
      <c r="A84" s="1283">
        <v>99</v>
      </c>
      <c r="B84" s="1283" t="s">
        <v>130</v>
      </c>
      <c r="C84" s="1283">
        <v>9</v>
      </c>
      <c r="D84" s="1284" t="s">
        <v>196</v>
      </c>
      <c r="E84" s="1285" t="s">
        <v>202</v>
      </c>
      <c r="F84" s="1286"/>
      <c r="G84" s="1286"/>
      <c r="H84" s="1287"/>
      <c r="I84" s="1288"/>
      <c r="J84" s="1289"/>
      <c r="K84" s="1290"/>
      <c r="L84" s="1290"/>
      <c r="M84" s="1290">
        <f t="shared" si="181"/>
        <v>0</v>
      </c>
      <c r="N84" s="1291"/>
      <c r="O84" s="1291"/>
      <c r="P84" s="1292">
        <f t="shared" si="182"/>
        <v>0</v>
      </c>
      <c r="Q84" s="1293"/>
      <c r="R84" s="1293"/>
      <c r="S84" s="1293">
        <f t="shared" si="191"/>
        <v>0</v>
      </c>
      <c r="T84" s="1292"/>
      <c r="U84" s="1292"/>
      <c r="V84" s="1294">
        <f t="shared" si="192"/>
        <v>0</v>
      </c>
      <c r="W84" s="1291"/>
      <c r="X84" s="1292">
        <f t="shared" si="196"/>
        <v>0</v>
      </c>
      <c r="Y84" s="1292"/>
      <c r="Z84" s="1292"/>
      <c r="AA84" s="1292">
        <f t="shared" si="195"/>
        <v>0</v>
      </c>
      <c r="AB84" s="1292"/>
      <c r="AC84" s="1294"/>
      <c r="AD84" s="1294">
        <f t="shared" si="193"/>
        <v>0</v>
      </c>
      <c r="AE84" s="1294"/>
      <c r="AF84" s="1295">
        <f t="shared" si="185"/>
        <v>0</v>
      </c>
      <c r="AG84" s="1295"/>
      <c r="AH84" s="1295"/>
      <c r="AI84" s="1295"/>
      <c r="AJ84" s="1295"/>
      <c r="AK84" s="1295">
        <f t="shared" si="186"/>
        <v>0</v>
      </c>
      <c r="AL84" s="1296"/>
      <c r="AM84" s="1295"/>
      <c r="AN84" s="1295"/>
      <c r="AO84" s="1295"/>
      <c r="AP84" s="1295">
        <f t="shared" si="187"/>
        <v>0</v>
      </c>
      <c r="AQ84" s="1296"/>
      <c r="AR84" s="1296"/>
      <c r="AS84" s="1296"/>
      <c r="AT84" s="1296">
        <f t="shared" si="194"/>
        <v>0</v>
      </c>
      <c r="AU84" s="1296"/>
      <c r="AV84" s="1296"/>
      <c r="AW84" s="1296"/>
      <c r="AX84" s="1296">
        <f t="shared" si="189"/>
        <v>0</v>
      </c>
      <c r="AY84" s="1297"/>
      <c r="AZ84" s="1297">
        <f t="shared" si="190"/>
        <v>0</v>
      </c>
      <c r="BA84" s="1297">
        <f t="shared" si="190"/>
        <v>0</v>
      </c>
      <c r="BB84" s="1298"/>
      <c r="BC84" s="1299"/>
      <c r="BD84" s="1299"/>
      <c r="BF84" s="1301"/>
      <c r="BG84" s="1301"/>
      <c r="BH84" s="1301"/>
      <c r="BI84" s="1301"/>
      <c r="BJ84" s="1301"/>
      <c r="BK84" s="1301"/>
      <c r="BL84" s="1301"/>
      <c r="BM84" s="1301"/>
      <c r="BN84" s="1301"/>
      <c r="BO84" s="1301"/>
      <c r="BP84" s="1301"/>
      <c r="BQ84" s="1301"/>
      <c r="BR84" s="1301"/>
      <c r="BS84" s="1301"/>
      <c r="BT84" s="1301"/>
      <c r="BU84" s="1301"/>
      <c r="BV84" s="1301"/>
    </row>
    <row r="85" spans="1:74" s="1300" customFormat="1" ht="15" customHeight="1" x14ac:dyDescent="0.25">
      <c r="A85" s="1283">
        <v>102</v>
      </c>
      <c r="B85" s="1283" t="s">
        <v>130</v>
      </c>
      <c r="C85" s="1283">
        <v>12</v>
      </c>
      <c r="D85" s="1284" t="s">
        <v>196</v>
      </c>
      <c r="E85" s="1285" t="s">
        <v>205</v>
      </c>
      <c r="F85" s="1286"/>
      <c r="G85" s="1286"/>
      <c r="H85" s="1287"/>
      <c r="I85" s="1288"/>
      <c r="J85" s="1289"/>
      <c r="K85" s="1290"/>
      <c r="L85" s="1290"/>
      <c r="M85" s="1290">
        <f t="shared" si="181"/>
        <v>0</v>
      </c>
      <c r="N85" s="1291"/>
      <c r="O85" s="1291"/>
      <c r="P85" s="1292">
        <f t="shared" si="182"/>
        <v>0</v>
      </c>
      <c r="Q85" s="1293"/>
      <c r="R85" s="1293"/>
      <c r="S85" s="1293">
        <f t="shared" si="191"/>
        <v>0</v>
      </c>
      <c r="T85" s="1292"/>
      <c r="U85" s="1292"/>
      <c r="V85" s="1294">
        <f t="shared" si="192"/>
        <v>0</v>
      </c>
      <c r="W85" s="1291"/>
      <c r="X85" s="1292">
        <f t="shared" si="196"/>
        <v>0</v>
      </c>
      <c r="Y85" s="1292"/>
      <c r="Z85" s="1292"/>
      <c r="AA85" s="1292">
        <f t="shared" si="195"/>
        <v>0</v>
      </c>
      <c r="AB85" s="1292"/>
      <c r="AC85" s="1294"/>
      <c r="AD85" s="1294">
        <f t="shared" si="193"/>
        <v>0</v>
      </c>
      <c r="AE85" s="1294"/>
      <c r="AF85" s="1295">
        <f t="shared" si="185"/>
        <v>0</v>
      </c>
      <c r="AG85" s="1295"/>
      <c r="AH85" s="1295"/>
      <c r="AI85" s="1295"/>
      <c r="AJ85" s="1295"/>
      <c r="AK85" s="1295">
        <f t="shared" si="186"/>
        <v>0</v>
      </c>
      <c r="AL85" s="1296"/>
      <c r="AM85" s="1295"/>
      <c r="AN85" s="1295"/>
      <c r="AO85" s="1295"/>
      <c r="AP85" s="1295">
        <f t="shared" si="187"/>
        <v>0</v>
      </c>
      <c r="AQ85" s="1296"/>
      <c r="AR85" s="1296"/>
      <c r="AS85" s="1296"/>
      <c r="AT85" s="1296">
        <f t="shared" si="194"/>
        <v>0</v>
      </c>
      <c r="AU85" s="1296"/>
      <c r="AV85" s="1296"/>
      <c r="AW85" s="1296"/>
      <c r="AX85" s="1296">
        <f t="shared" si="189"/>
        <v>0</v>
      </c>
      <c r="AY85" s="1297"/>
      <c r="AZ85" s="1297">
        <f t="shared" si="190"/>
        <v>0</v>
      </c>
      <c r="BA85" s="1297">
        <f t="shared" si="190"/>
        <v>0</v>
      </c>
      <c r="BB85" s="1298"/>
      <c r="BC85" s="1299"/>
      <c r="BD85" s="1299"/>
      <c r="BF85" s="1301"/>
      <c r="BG85" s="1301"/>
      <c r="BH85" s="1301"/>
      <c r="BI85" s="1301"/>
      <c r="BJ85" s="1301"/>
      <c r="BK85" s="1301"/>
      <c r="BL85" s="1301"/>
      <c r="BM85" s="1301"/>
      <c r="BN85" s="1301"/>
      <c r="BO85" s="1301"/>
      <c r="BP85" s="1301"/>
      <c r="BQ85" s="1301"/>
      <c r="BR85" s="1301"/>
      <c r="BS85" s="1301"/>
      <c r="BT85" s="1301"/>
      <c r="BU85" s="1301"/>
      <c r="BV85" s="1301"/>
    </row>
    <row r="86" spans="1:74" s="1300" customFormat="1" ht="15" customHeight="1" x14ac:dyDescent="0.25">
      <c r="A86" s="1283">
        <v>103</v>
      </c>
      <c r="B86" s="1283" t="s">
        <v>130</v>
      </c>
      <c r="C86" s="1283">
        <v>13</v>
      </c>
      <c r="D86" s="1284" t="s">
        <v>196</v>
      </c>
      <c r="E86" s="1285" t="s">
        <v>207</v>
      </c>
      <c r="F86" s="1286"/>
      <c r="G86" s="1286"/>
      <c r="H86" s="1287"/>
      <c r="I86" s="1288"/>
      <c r="J86" s="1289"/>
      <c r="K86" s="1290"/>
      <c r="L86" s="1290"/>
      <c r="M86" s="1290">
        <f t="shared" si="181"/>
        <v>0</v>
      </c>
      <c r="N86" s="1291"/>
      <c r="O86" s="1291"/>
      <c r="P86" s="1292">
        <f t="shared" si="182"/>
        <v>0</v>
      </c>
      <c r="Q86" s="1293"/>
      <c r="R86" s="1293"/>
      <c r="S86" s="1293">
        <f t="shared" si="191"/>
        <v>0</v>
      </c>
      <c r="T86" s="1292"/>
      <c r="U86" s="1292"/>
      <c r="V86" s="1294">
        <f t="shared" si="192"/>
        <v>0</v>
      </c>
      <c r="W86" s="1291"/>
      <c r="X86" s="1292">
        <f t="shared" si="196"/>
        <v>0</v>
      </c>
      <c r="Y86" s="1292"/>
      <c r="Z86" s="1292"/>
      <c r="AA86" s="1292">
        <f t="shared" si="195"/>
        <v>0</v>
      </c>
      <c r="AB86" s="1292"/>
      <c r="AC86" s="1294"/>
      <c r="AD86" s="1294">
        <f t="shared" si="193"/>
        <v>0</v>
      </c>
      <c r="AE86" s="1294"/>
      <c r="AF86" s="1295">
        <f t="shared" si="185"/>
        <v>0</v>
      </c>
      <c r="AG86" s="1295"/>
      <c r="AH86" s="1295"/>
      <c r="AI86" s="1295"/>
      <c r="AJ86" s="1295"/>
      <c r="AK86" s="1295">
        <f t="shared" ref="AK86:AK110" si="197">AJ86+AI86+AH86</f>
        <v>0</v>
      </c>
      <c r="AL86" s="1296"/>
      <c r="AM86" s="1295"/>
      <c r="AN86" s="1295"/>
      <c r="AO86" s="1295"/>
      <c r="AP86" s="1295">
        <f t="shared" ref="AP86:AP110" si="198">AO86+AN86+AM86</f>
        <v>0</v>
      </c>
      <c r="AQ86" s="1296"/>
      <c r="AR86" s="1296"/>
      <c r="AS86" s="1296"/>
      <c r="AT86" s="1296">
        <f t="shared" si="194"/>
        <v>0</v>
      </c>
      <c r="AU86" s="1296"/>
      <c r="AV86" s="1296"/>
      <c r="AW86" s="1296"/>
      <c r="AX86" s="1296">
        <f t="shared" si="189"/>
        <v>0</v>
      </c>
      <c r="AY86" s="1297"/>
      <c r="AZ86" s="1297">
        <f t="shared" si="190"/>
        <v>0</v>
      </c>
      <c r="BA86" s="1297">
        <f t="shared" si="190"/>
        <v>0</v>
      </c>
      <c r="BB86" s="1298"/>
      <c r="BC86" s="1299"/>
      <c r="BD86" s="1299"/>
      <c r="BF86" s="1301"/>
      <c r="BG86" s="1301"/>
      <c r="BH86" s="1301"/>
      <c r="BI86" s="1301"/>
      <c r="BJ86" s="1301"/>
      <c r="BK86" s="1301"/>
      <c r="BL86" s="1301"/>
      <c r="BM86" s="1301"/>
      <c r="BN86" s="1301"/>
      <c r="BO86" s="1301"/>
      <c r="BP86" s="1301"/>
      <c r="BQ86" s="1301"/>
      <c r="BR86" s="1301"/>
      <c r="BS86" s="1301"/>
      <c r="BT86" s="1301"/>
      <c r="BU86" s="1301"/>
      <c r="BV86" s="1301"/>
    </row>
    <row r="87" spans="1:74" s="1300" customFormat="1" ht="15" customHeight="1" x14ac:dyDescent="0.25">
      <c r="A87" s="1283"/>
      <c r="B87" s="1283"/>
      <c r="C87" s="1283"/>
      <c r="D87" s="1284" t="s">
        <v>196</v>
      </c>
      <c r="E87" s="1285" t="s">
        <v>934</v>
      </c>
      <c r="F87" s="1286"/>
      <c r="G87" s="1286"/>
      <c r="H87" s="1287"/>
      <c r="I87" s="1288"/>
      <c r="J87" s="1289"/>
      <c r="K87" s="1290"/>
      <c r="L87" s="1290"/>
      <c r="M87" s="1290">
        <f t="shared" si="181"/>
        <v>0</v>
      </c>
      <c r="N87" s="1291"/>
      <c r="O87" s="1291"/>
      <c r="P87" s="1292">
        <f t="shared" si="182"/>
        <v>0</v>
      </c>
      <c r="Q87" s="1293"/>
      <c r="R87" s="1293"/>
      <c r="S87" s="1293">
        <f t="shared" si="191"/>
        <v>0</v>
      </c>
      <c r="T87" s="1292"/>
      <c r="U87" s="1292"/>
      <c r="V87" s="1294">
        <f t="shared" si="192"/>
        <v>0</v>
      </c>
      <c r="W87" s="1291"/>
      <c r="X87" s="1292"/>
      <c r="Y87" s="1292"/>
      <c r="Z87" s="1292"/>
      <c r="AA87" s="1292"/>
      <c r="AB87" s="1292"/>
      <c r="AC87" s="1294"/>
      <c r="AD87" s="1294"/>
      <c r="AE87" s="1294"/>
      <c r="AF87" s="1295"/>
      <c r="AG87" s="1295"/>
      <c r="AH87" s="1295"/>
      <c r="AI87" s="1295"/>
      <c r="AJ87" s="1295"/>
      <c r="AK87" s="1295"/>
      <c r="AL87" s="1296"/>
      <c r="AM87" s="1295"/>
      <c r="AN87" s="1295"/>
      <c r="AO87" s="1295"/>
      <c r="AP87" s="1295"/>
      <c r="AQ87" s="1296"/>
      <c r="AR87" s="1296"/>
      <c r="AS87" s="1296"/>
      <c r="AT87" s="1296"/>
      <c r="AU87" s="1296"/>
      <c r="AV87" s="1296"/>
      <c r="AW87" s="1296"/>
      <c r="AX87" s="1296"/>
      <c r="AY87" s="1297"/>
      <c r="AZ87" s="1297"/>
      <c r="BA87" s="1297"/>
      <c r="BB87" s="1298"/>
      <c r="BC87" s="1299"/>
      <c r="BD87" s="1299"/>
      <c r="BF87" s="1301"/>
      <c r="BG87" s="1301"/>
      <c r="BH87" s="1301"/>
      <c r="BI87" s="1301"/>
      <c r="BJ87" s="1301"/>
      <c r="BK87" s="1301"/>
      <c r="BL87" s="1301"/>
      <c r="BM87" s="1301"/>
      <c r="BN87" s="1301"/>
      <c r="BO87" s="1301"/>
      <c r="BP87" s="1301"/>
      <c r="BQ87" s="1301"/>
      <c r="BR87" s="1301"/>
      <c r="BS87" s="1301"/>
      <c r="BT87" s="1301"/>
      <c r="BU87" s="1301"/>
      <c r="BV87" s="1301"/>
    </row>
    <row r="88" spans="1:74" s="1300" customFormat="1" ht="15" customHeight="1" x14ac:dyDescent="0.25">
      <c r="A88" s="1283">
        <v>104</v>
      </c>
      <c r="B88" s="1283" t="s">
        <v>130</v>
      </c>
      <c r="C88" s="1283">
        <v>14</v>
      </c>
      <c r="D88" s="1284" t="s">
        <v>196</v>
      </c>
      <c r="E88" s="1285" t="s">
        <v>933</v>
      </c>
      <c r="F88" s="1286"/>
      <c r="G88" s="1286"/>
      <c r="H88" s="1287"/>
      <c r="I88" s="1288"/>
      <c r="J88" s="1289"/>
      <c r="K88" s="1290"/>
      <c r="L88" s="1290"/>
      <c r="M88" s="1290">
        <f t="shared" si="181"/>
        <v>0</v>
      </c>
      <c r="N88" s="1291"/>
      <c r="O88" s="1291"/>
      <c r="P88" s="1292">
        <f t="shared" si="182"/>
        <v>0</v>
      </c>
      <c r="Q88" s="1293"/>
      <c r="R88" s="1293"/>
      <c r="S88" s="1293">
        <f t="shared" si="191"/>
        <v>0</v>
      </c>
      <c r="T88" s="1292"/>
      <c r="U88" s="1292"/>
      <c r="V88" s="1294">
        <f t="shared" si="192"/>
        <v>0</v>
      </c>
      <c r="W88" s="1291"/>
      <c r="X88" s="1292">
        <f t="shared" si="196"/>
        <v>0</v>
      </c>
      <c r="Y88" s="1292"/>
      <c r="Z88" s="1292"/>
      <c r="AA88" s="1292">
        <f t="shared" si="195"/>
        <v>0</v>
      </c>
      <c r="AB88" s="1292"/>
      <c r="AC88" s="1294"/>
      <c r="AD88" s="1294">
        <f t="shared" si="193"/>
        <v>0</v>
      </c>
      <c r="AE88" s="1294"/>
      <c r="AF88" s="1295">
        <f t="shared" ref="AF88:AF110" si="199">AD88+AA88+X88</f>
        <v>0</v>
      </c>
      <c r="AG88" s="1295"/>
      <c r="AH88" s="1295"/>
      <c r="AI88" s="1295"/>
      <c r="AJ88" s="1295"/>
      <c r="AK88" s="1295">
        <f t="shared" si="197"/>
        <v>0</v>
      </c>
      <c r="AL88" s="1296"/>
      <c r="AM88" s="1295"/>
      <c r="AN88" s="1295"/>
      <c r="AO88" s="1295"/>
      <c r="AP88" s="1295">
        <f t="shared" si="198"/>
        <v>0</v>
      </c>
      <c r="AQ88" s="1296"/>
      <c r="AR88" s="1296"/>
      <c r="AS88" s="1296"/>
      <c r="AT88" s="1296">
        <f t="shared" si="194"/>
        <v>0</v>
      </c>
      <c r="AU88" s="1296"/>
      <c r="AV88" s="1296"/>
      <c r="AW88" s="1296"/>
      <c r="AX88" s="1296">
        <f t="shared" si="189"/>
        <v>0</v>
      </c>
      <c r="AY88" s="1297"/>
      <c r="AZ88" s="1297">
        <f t="shared" si="190"/>
        <v>0</v>
      </c>
      <c r="BA88" s="1297">
        <f t="shared" si="190"/>
        <v>0</v>
      </c>
      <c r="BB88" s="1298"/>
      <c r="BC88" s="1299"/>
      <c r="BD88" s="1299"/>
      <c r="BF88" s="1301"/>
      <c r="BG88" s="1301"/>
      <c r="BH88" s="1301"/>
      <c r="BI88" s="1301"/>
      <c r="BJ88" s="1301"/>
      <c r="BK88" s="1301"/>
      <c r="BL88" s="1301"/>
      <c r="BM88" s="1301"/>
      <c r="BN88" s="1301"/>
      <c r="BO88" s="1301"/>
      <c r="BP88" s="1301"/>
      <c r="BQ88" s="1301"/>
      <c r="BR88" s="1301"/>
      <c r="BS88" s="1301"/>
      <c r="BT88" s="1301"/>
      <c r="BU88" s="1301"/>
      <c r="BV88" s="1301"/>
    </row>
    <row r="89" spans="1:74" s="1300" customFormat="1" ht="15" customHeight="1" x14ac:dyDescent="0.25">
      <c r="A89" s="1283">
        <v>107</v>
      </c>
      <c r="B89" s="1283" t="s">
        <v>130</v>
      </c>
      <c r="C89" s="1283">
        <v>17</v>
      </c>
      <c r="D89" s="1284" t="s">
        <v>196</v>
      </c>
      <c r="E89" s="1285" t="s">
        <v>209</v>
      </c>
      <c r="F89" s="1286"/>
      <c r="G89" s="1286"/>
      <c r="H89" s="1287"/>
      <c r="I89" s="1288"/>
      <c r="J89" s="1289"/>
      <c r="K89" s="1290"/>
      <c r="L89" s="1290"/>
      <c r="M89" s="1290">
        <f t="shared" si="181"/>
        <v>0</v>
      </c>
      <c r="N89" s="1291"/>
      <c r="O89" s="1291"/>
      <c r="P89" s="1292">
        <f t="shared" si="182"/>
        <v>0</v>
      </c>
      <c r="Q89" s="1293"/>
      <c r="R89" s="1293"/>
      <c r="S89" s="1293">
        <f t="shared" si="191"/>
        <v>0</v>
      </c>
      <c r="T89" s="1292"/>
      <c r="U89" s="1292"/>
      <c r="V89" s="1294">
        <f t="shared" si="192"/>
        <v>0</v>
      </c>
      <c r="W89" s="1291"/>
      <c r="X89" s="1292">
        <f t="shared" si="196"/>
        <v>0</v>
      </c>
      <c r="Y89" s="1292"/>
      <c r="Z89" s="1292"/>
      <c r="AA89" s="1292">
        <f t="shared" si="195"/>
        <v>0</v>
      </c>
      <c r="AB89" s="1292"/>
      <c r="AC89" s="1294"/>
      <c r="AD89" s="1294">
        <f t="shared" si="193"/>
        <v>0</v>
      </c>
      <c r="AE89" s="1294"/>
      <c r="AF89" s="1295">
        <f t="shared" si="199"/>
        <v>0</v>
      </c>
      <c r="AG89" s="1295"/>
      <c r="AH89" s="1295"/>
      <c r="AI89" s="1295"/>
      <c r="AJ89" s="1295"/>
      <c r="AK89" s="1295">
        <f t="shared" si="197"/>
        <v>0</v>
      </c>
      <c r="AL89" s="1296"/>
      <c r="AM89" s="1295"/>
      <c r="AN89" s="1295"/>
      <c r="AO89" s="1295"/>
      <c r="AP89" s="1295">
        <f t="shared" si="198"/>
        <v>0</v>
      </c>
      <c r="AQ89" s="1296"/>
      <c r="AR89" s="1296"/>
      <c r="AS89" s="1296"/>
      <c r="AT89" s="1296">
        <f t="shared" si="194"/>
        <v>0</v>
      </c>
      <c r="AU89" s="1296"/>
      <c r="AV89" s="1296"/>
      <c r="AW89" s="1296"/>
      <c r="AX89" s="1296">
        <f t="shared" si="189"/>
        <v>0</v>
      </c>
      <c r="AY89" s="1297"/>
      <c r="AZ89" s="1297">
        <f t="shared" si="190"/>
        <v>0</v>
      </c>
      <c r="BA89" s="1297">
        <f t="shared" si="190"/>
        <v>0</v>
      </c>
      <c r="BB89" s="1298"/>
      <c r="BC89" s="1299"/>
      <c r="BD89" s="1299"/>
      <c r="BF89" s="1301"/>
      <c r="BG89" s="1301"/>
      <c r="BH89" s="1301"/>
      <c r="BI89" s="1301"/>
      <c r="BJ89" s="1301"/>
      <c r="BK89" s="1301"/>
      <c r="BL89" s="1301"/>
      <c r="BM89" s="1301"/>
      <c r="BN89" s="1301"/>
      <c r="BO89" s="1301"/>
      <c r="BP89" s="1301"/>
      <c r="BQ89" s="1301"/>
      <c r="BR89" s="1301"/>
      <c r="BS89" s="1301"/>
      <c r="BT89" s="1301"/>
      <c r="BU89" s="1301"/>
      <c r="BV89" s="1301"/>
    </row>
    <row r="90" spans="1:74" s="1281" customFormat="1" ht="15" customHeight="1" x14ac:dyDescent="0.25">
      <c r="A90" s="1264"/>
      <c r="B90" s="1264"/>
      <c r="C90" s="1264"/>
      <c r="D90" s="1265"/>
      <c r="E90" s="1266"/>
      <c r="F90" s="1267"/>
      <c r="G90" s="1267"/>
      <c r="H90" s="1268"/>
      <c r="I90" s="1269"/>
      <c r="J90" s="1270"/>
      <c r="K90" s="1271"/>
      <c r="L90" s="1271"/>
      <c r="M90" s="1271"/>
      <c r="N90" s="1272"/>
      <c r="O90" s="1272"/>
      <c r="P90" s="1273"/>
      <c r="Q90" s="1274"/>
      <c r="R90" s="1274"/>
      <c r="S90" s="1274"/>
      <c r="T90" s="1273"/>
      <c r="U90" s="1273"/>
      <c r="V90" s="1275"/>
      <c r="W90" s="1272"/>
      <c r="X90" s="1273"/>
      <c r="Y90" s="1273"/>
      <c r="Z90" s="1273"/>
      <c r="AA90" s="1273"/>
      <c r="AB90" s="1273"/>
      <c r="AC90" s="1275"/>
      <c r="AD90" s="1275"/>
      <c r="AE90" s="1275"/>
      <c r="AF90" s="1276">
        <f t="shared" si="199"/>
        <v>0</v>
      </c>
      <c r="AG90" s="1276"/>
      <c r="AH90" s="1276"/>
      <c r="AI90" s="1276"/>
      <c r="AJ90" s="1276"/>
      <c r="AK90" s="1276">
        <f t="shared" si="197"/>
        <v>0</v>
      </c>
      <c r="AL90" s="1277"/>
      <c r="AM90" s="1276"/>
      <c r="AN90" s="1276"/>
      <c r="AO90" s="1276"/>
      <c r="AP90" s="1276">
        <f t="shared" si="198"/>
        <v>0</v>
      </c>
      <c r="AQ90" s="1277"/>
      <c r="AR90" s="1277"/>
      <c r="AS90" s="1277"/>
      <c r="AT90" s="1277"/>
      <c r="AU90" s="1277"/>
      <c r="AV90" s="1277"/>
      <c r="AW90" s="1277"/>
      <c r="AX90" s="1277">
        <f t="shared" si="189"/>
        <v>0</v>
      </c>
      <c r="AY90" s="1278"/>
      <c r="AZ90" s="1278">
        <f t="shared" si="190"/>
        <v>0</v>
      </c>
      <c r="BA90" s="1278">
        <f t="shared" si="190"/>
        <v>0</v>
      </c>
      <c r="BB90" s="1279"/>
      <c r="BC90" s="1280"/>
      <c r="BD90" s="1280"/>
      <c r="BF90" s="1282"/>
      <c r="BG90" s="1282"/>
      <c r="BH90" s="1282"/>
      <c r="BI90" s="1282"/>
      <c r="BJ90" s="1282"/>
      <c r="BK90" s="1282"/>
      <c r="BL90" s="1282"/>
      <c r="BM90" s="1282"/>
      <c r="BN90" s="1282"/>
      <c r="BO90" s="1282"/>
      <c r="BP90" s="1282"/>
      <c r="BQ90" s="1282"/>
      <c r="BR90" s="1282"/>
      <c r="BS90" s="1282"/>
      <c r="BT90" s="1282"/>
      <c r="BU90" s="1282"/>
      <c r="BV90" s="1282"/>
    </row>
    <row r="91" spans="1:74" s="1024" customFormat="1" ht="29.25" customHeight="1" x14ac:dyDescent="0.25">
      <c r="A91" s="1058">
        <v>114</v>
      </c>
      <c r="B91" s="1058" t="s">
        <v>130</v>
      </c>
      <c r="C91" s="1058">
        <v>7</v>
      </c>
      <c r="D91" s="1098" t="s">
        <v>210</v>
      </c>
      <c r="E91" s="1016" t="s">
        <v>531</v>
      </c>
      <c r="F91" s="1095"/>
      <c r="G91" s="1095"/>
      <c r="H91" s="1035"/>
      <c r="I91" s="1036" t="s">
        <v>909</v>
      </c>
      <c r="J91" s="1257" t="s">
        <v>920</v>
      </c>
      <c r="K91" s="1234"/>
      <c r="L91" s="1234"/>
      <c r="M91" s="1234">
        <f t="shared" si="181"/>
        <v>0</v>
      </c>
      <c r="N91" s="1038"/>
      <c r="O91" s="1038"/>
      <c r="P91" s="1049">
        <f t="shared" si="182"/>
        <v>0</v>
      </c>
      <c r="Q91" s="1254">
        <v>0</v>
      </c>
      <c r="R91" s="1254">
        <v>12</v>
      </c>
      <c r="S91" s="1254">
        <f t="shared" si="191"/>
        <v>12</v>
      </c>
      <c r="T91" s="1049">
        <v>12</v>
      </c>
      <c r="U91" s="1049"/>
      <c r="V91" s="1052">
        <f t="shared" si="192"/>
        <v>12</v>
      </c>
      <c r="W91" s="1038"/>
      <c r="X91" s="1049">
        <f t="shared" si="196"/>
        <v>0</v>
      </c>
      <c r="Y91" s="1049">
        <f>SUM(X91:X92)</f>
        <v>0</v>
      </c>
      <c r="Z91" s="1049"/>
      <c r="AA91" s="1049">
        <f t="shared" si="195"/>
        <v>0</v>
      </c>
      <c r="AB91" s="1049">
        <f>SUM(AA91:AA92)</f>
        <v>0</v>
      </c>
      <c r="AC91" s="1052"/>
      <c r="AD91" s="1052">
        <f t="shared" si="193"/>
        <v>0</v>
      </c>
      <c r="AE91" s="1052">
        <f>SUM(AD91:AD92)</f>
        <v>0</v>
      </c>
      <c r="AF91" s="1044">
        <f t="shared" si="199"/>
        <v>0</v>
      </c>
      <c r="AG91" s="1044">
        <f>SUM(AF91:AF92)</f>
        <v>0</v>
      </c>
      <c r="AH91" s="1044"/>
      <c r="AI91" s="1044"/>
      <c r="AJ91" s="1044"/>
      <c r="AK91" s="1044">
        <f t="shared" si="197"/>
        <v>0</v>
      </c>
      <c r="AL91" s="1059">
        <f>SUM(AK91:AK92)</f>
        <v>0</v>
      </c>
      <c r="AM91" s="1044"/>
      <c r="AN91" s="1044"/>
      <c r="AO91" s="1044"/>
      <c r="AP91" s="1044">
        <f t="shared" si="198"/>
        <v>0</v>
      </c>
      <c r="AQ91" s="1059">
        <f>SUM(AP91:AP92)</f>
        <v>0</v>
      </c>
      <c r="AR91" s="1059"/>
      <c r="AS91" s="1059"/>
      <c r="AT91" s="1059">
        <f>AR91+AS91</f>
        <v>0</v>
      </c>
      <c r="AU91" s="1059">
        <f>SUM(AT91:AT92)</f>
        <v>0</v>
      </c>
      <c r="AV91" s="1059"/>
      <c r="AW91" s="1059"/>
      <c r="AX91" s="1059">
        <f t="shared" si="189"/>
        <v>0</v>
      </c>
      <c r="AY91" s="1060">
        <f>SUM(AX91:AX92)</f>
        <v>0</v>
      </c>
      <c r="AZ91" s="1060">
        <f t="shared" si="190"/>
        <v>0</v>
      </c>
      <c r="BA91" s="1060">
        <f t="shared" si="190"/>
        <v>0</v>
      </c>
      <c r="BB91" s="1061"/>
      <c r="BC91" s="1031"/>
      <c r="BD91" s="1031"/>
      <c r="BF91" s="1017"/>
      <c r="BG91" s="1017"/>
      <c r="BH91" s="1017"/>
      <c r="BI91" s="1017"/>
      <c r="BJ91" s="1017"/>
      <c r="BK91" s="1017"/>
      <c r="BL91" s="1017"/>
      <c r="BM91" s="1017"/>
      <c r="BN91" s="1017"/>
      <c r="BO91" s="1017"/>
      <c r="BP91" s="1017"/>
      <c r="BQ91" s="1017"/>
      <c r="BR91" s="1017"/>
      <c r="BS91" s="1017"/>
      <c r="BT91" s="1017"/>
      <c r="BU91" s="1017"/>
      <c r="BV91" s="1017"/>
    </row>
    <row r="92" spans="1:74" s="1024" customFormat="1" ht="30" customHeight="1" x14ac:dyDescent="0.25">
      <c r="A92" s="1058">
        <v>116</v>
      </c>
      <c r="B92" s="1058" t="s">
        <v>130</v>
      </c>
      <c r="C92" s="1058">
        <v>9</v>
      </c>
      <c r="D92" s="1098" t="s">
        <v>210</v>
      </c>
      <c r="E92" s="1016" t="s">
        <v>939</v>
      </c>
      <c r="F92" s="1095"/>
      <c r="G92" s="1095"/>
      <c r="H92" s="1035"/>
      <c r="I92" s="1036" t="s">
        <v>909</v>
      </c>
      <c r="J92" s="1257" t="s">
        <v>920</v>
      </c>
      <c r="K92" s="1234"/>
      <c r="L92" s="1234"/>
      <c r="M92" s="1234">
        <f t="shared" si="181"/>
        <v>0</v>
      </c>
      <c r="N92" s="1038"/>
      <c r="O92" s="1038"/>
      <c r="P92" s="1049">
        <f t="shared" si="182"/>
        <v>0</v>
      </c>
      <c r="Q92" s="1254">
        <v>5</v>
      </c>
      <c r="R92" s="1254">
        <v>2</v>
      </c>
      <c r="S92" s="1254">
        <f t="shared" si="191"/>
        <v>7</v>
      </c>
      <c r="T92" s="1049">
        <v>7</v>
      </c>
      <c r="U92" s="1049"/>
      <c r="V92" s="1052">
        <f t="shared" si="192"/>
        <v>7</v>
      </c>
      <c r="W92" s="1038"/>
      <c r="X92" s="1049">
        <f t="shared" si="196"/>
        <v>0</v>
      </c>
      <c r="Y92" s="1049"/>
      <c r="Z92" s="1049"/>
      <c r="AA92" s="1049">
        <f t="shared" si="195"/>
        <v>0</v>
      </c>
      <c r="AB92" s="1049"/>
      <c r="AC92" s="1052"/>
      <c r="AD92" s="1052">
        <f t="shared" si="193"/>
        <v>0</v>
      </c>
      <c r="AE92" s="1052"/>
      <c r="AF92" s="1044">
        <f t="shared" si="199"/>
        <v>0</v>
      </c>
      <c r="AG92" s="1044"/>
      <c r="AH92" s="1044"/>
      <c r="AI92" s="1044"/>
      <c r="AJ92" s="1044"/>
      <c r="AK92" s="1044">
        <f t="shared" si="197"/>
        <v>0</v>
      </c>
      <c r="AL92" s="1059"/>
      <c r="AM92" s="1044"/>
      <c r="AN92" s="1044"/>
      <c r="AO92" s="1044"/>
      <c r="AP92" s="1044">
        <f t="shared" si="198"/>
        <v>0</v>
      </c>
      <c r="AQ92" s="1059"/>
      <c r="AR92" s="1059"/>
      <c r="AS92" s="1059"/>
      <c r="AT92" s="1059">
        <f>AR92+AS92</f>
        <v>0</v>
      </c>
      <c r="AU92" s="1059"/>
      <c r="AV92" s="1059"/>
      <c r="AW92" s="1059"/>
      <c r="AX92" s="1059">
        <f t="shared" si="189"/>
        <v>0</v>
      </c>
      <c r="AY92" s="1060"/>
      <c r="AZ92" s="1060">
        <f t="shared" si="190"/>
        <v>0</v>
      </c>
      <c r="BA92" s="1060">
        <f t="shared" si="190"/>
        <v>0</v>
      </c>
      <c r="BB92" s="1061"/>
      <c r="BC92" s="1031"/>
      <c r="BD92" s="1031"/>
      <c r="BF92" s="1017"/>
      <c r="BG92" s="1017"/>
      <c r="BH92" s="1017"/>
      <c r="BI92" s="1017"/>
      <c r="BJ92" s="1017"/>
      <c r="BK92" s="1017"/>
      <c r="BL92" s="1017"/>
      <c r="BM92" s="1017"/>
      <c r="BN92" s="1017"/>
      <c r="BO92" s="1017"/>
      <c r="BP92" s="1017"/>
      <c r="BQ92" s="1017"/>
      <c r="BR92" s="1017"/>
      <c r="BS92" s="1017"/>
      <c r="BT92" s="1017"/>
      <c r="BU92" s="1017"/>
      <c r="BV92" s="1017"/>
    </row>
    <row r="93" spans="1:74" s="1024" customFormat="1" ht="30" customHeight="1" x14ac:dyDescent="0.25">
      <c r="A93" s="1058">
        <v>116</v>
      </c>
      <c r="B93" s="1058" t="s">
        <v>130</v>
      </c>
      <c r="C93" s="1058">
        <v>9</v>
      </c>
      <c r="D93" s="1231" t="s">
        <v>210</v>
      </c>
      <c r="E93" s="1016" t="s">
        <v>940</v>
      </c>
      <c r="F93" s="1230"/>
      <c r="G93" s="1230"/>
      <c r="H93" s="1035"/>
      <c r="I93" s="1036" t="s">
        <v>909</v>
      </c>
      <c r="J93" s="1257" t="s">
        <v>920</v>
      </c>
      <c r="K93" s="1234"/>
      <c r="L93" s="1234"/>
      <c r="M93" s="1234">
        <f t="shared" ref="M93" si="200">K93+L93</f>
        <v>0</v>
      </c>
      <c r="N93" s="1038"/>
      <c r="O93" s="1038"/>
      <c r="P93" s="1049">
        <f t="shared" ref="P93" si="201">N93+O93</f>
        <v>0</v>
      </c>
      <c r="Q93" s="1254">
        <v>1</v>
      </c>
      <c r="R93" s="1254">
        <v>6</v>
      </c>
      <c r="S93" s="1254">
        <f t="shared" ref="S93" si="202">Q93+R93</f>
        <v>7</v>
      </c>
      <c r="T93" s="1049">
        <v>7</v>
      </c>
      <c r="U93" s="1049"/>
      <c r="V93" s="1052">
        <f t="shared" ref="V93" si="203">T93+U93</f>
        <v>7</v>
      </c>
      <c r="W93" s="1038"/>
      <c r="X93" s="1049">
        <f t="shared" ref="X93" si="204">W93/40</f>
        <v>0</v>
      </c>
      <c r="Y93" s="1049"/>
      <c r="Z93" s="1049"/>
      <c r="AA93" s="1049">
        <f t="shared" ref="AA93" si="205">Z93/40</f>
        <v>0</v>
      </c>
      <c r="AB93" s="1049"/>
      <c r="AC93" s="1052"/>
      <c r="AD93" s="1052">
        <f t="shared" ref="AD93" si="206">AC93/40</f>
        <v>0</v>
      </c>
      <c r="AE93" s="1052"/>
      <c r="AF93" s="1044">
        <f t="shared" ref="AF93" si="207">AD93+AA93+X93</f>
        <v>0</v>
      </c>
      <c r="AG93" s="1044"/>
      <c r="AH93" s="1044"/>
      <c r="AI93" s="1044"/>
      <c r="AJ93" s="1044"/>
      <c r="AK93" s="1044">
        <f t="shared" ref="AK93" si="208">AJ93+AI93+AH93</f>
        <v>0</v>
      </c>
      <c r="AL93" s="1059"/>
      <c r="AM93" s="1044"/>
      <c r="AN93" s="1044"/>
      <c r="AO93" s="1044"/>
      <c r="AP93" s="1044">
        <f t="shared" ref="AP93" si="209">AO93+AN93+AM93</f>
        <v>0</v>
      </c>
      <c r="AQ93" s="1059"/>
      <c r="AR93" s="1059"/>
      <c r="AS93" s="1059"/>
      <c r="AT93" s="1059">
        <f>AR93+AS93</f>
        <v>0</v>
      </c>
      <c r="AU93" s="1059"/>
      <c r="AV93" s="1059"/>
      <c r="AW93" s="1059"/>
      <c r="AX93" s="1059">
        <f t="shared" ref="AX93" si="210">AV93+AW93</f>
        <v>0</v>
      </c>
      <c r="AY93" s="1060"/>
      <c r="AZ93" s="1060">
        <f t="shared" ref="AZ93" si="211">AK93-AP93</f>
        <v>0</v>
      </c>
      <c r="BA93" s="1060">
        <f t="shared" ref="BA93" si="212">AL93-AQ93</f>
        <v>0</v>
      </c>
      <c r="BB93" s="1061"/>
      <c r="BC93" s="1031"/>
      <c r="BD93" s="1031"/>
      <c r="BF93" s="1017"/>
      <c r="BG93" s="1017"/>
      <c r="BH93" s="1017"/>
      <c r="BI93" s="1017"/>
      <c r="BJ93" s="1017"/>
      <c r="BK93" s="1017"/>
      <c r="BL93" s="1017"/>
      <c r="BM93" s="1017"/>
      <c r="BN93" s="1017"/>
      <c r="BO93" s="1017"/>
      <c r="BP93" s="1017"/>
      <c r="BQ93" s="1017"/>
      <c r="BR93" s="1017"/>
      <c r="BS93" s="1017"/>
      <c r="BT93" s="1017"/>
      <c r="BU93" s="1017"/>
      <c r="BV93" s="1017"/>
    </row>
    <row r="94" spans="1:74" s="1024" customFormat="1" ht="30" customHeight="1" x14ac:dyDescent="0.25">
      <c r="A94" s="1058">
        <v>116</v>
      </c>
      <c r="B94" s="1058" t="s">
        <v>130</v>
      </c>
      <c r="C94" s="1058">
        <v>9</v>
      </c>
      <c r="D94" s="1231" t="s">
        <v>210</v>
      </c>
      <c r="E94" s="1016" t="s">
        <v>941</v>
      </c>
      <c r="F94" s="1230"/>
      <c r="G94" s="1230"/>
      <c r="H94" s="1035"/>
      <c r="I94" s="1036" t="s">
        <v>909</v>
      </c>
      <c r="J94" s="1257" t="s">
        <v>920</v>
      </c>
      <c r="K94" s="1234"/>
      <c r="L94" s="1234"/>
      <c r="M94" s="1234">
        <f t="shared" ref="M94" si="213">K94+L94</f>
        <v>0</v>
      </c>
      <c r="N94" s="1038"/>
      <c r="O94" s="1038"/>
      <c r="P94" s="1049">
        <f t="shared" ref="P94" si="214">N94+O94</f>
        <v>0</v>
      </c>
      <c r="Q94" s="1254">
        <v>0</v>
      </c>
      <c r="R94" s="1254">
        <v>7</v>
      </c>
      <c r="S94" s="1254">
        <f t="shared" ref="S94" si="215">Q94+R94</f>
        <v>7</v>
      </c>
      <c r="T94" s="1049">
        <v>6</v>
      </c>
      <c r="U94" s="1049">
        <v>1</v>
      </c>
      <c r="V94" s="1052">
        <f t="shared" ref="V94" si="216">T94+U94</f>
        <v>7</v>
      </c>
      <c r="W94" s="1038"/>
      <c r="X94" s="1049">
        <f t="shared" ref="X94" si="217">W94/40</f>
        <v>0</v>
      </c>
      <c r="Y94" s="1049"/>
      <c r="Z94" s="1049"/>
      <c r="AA94" s="1049">
        <f t="shared" ref="AA94" si="218">Z94/40</f>
        <v>0</v>
      </c>
      <c r="AB94" s="1049"/>
      <c r="AC94" s="1052"/>
      <c r="AD94" s="1052">
        <f t="shared" ref="AD94" si="219">AC94/40</f>
        <v>0</v>
      </c>
      <c r="AE94" s="1052"/>
      <c r="AF94" s="1044">
        <f t="shared" ref="AF94" si="220">AD94+AA94+X94</f>
        <v>0</v>
      </c>
      <c r="AG94" s="1044"/>
      <c r="AH94" s="1044"/>
      <c r="AI94" s="1044"/>
      <c r="AJ94" s="1044"/>
      <c r="AK94" s="1044">
        <f t="shared" ref="AK94" si="221">AJ94+AI94+AH94</f>
        <v>0</v>
      </c>
      <c r="AL94" s="1059"/>
      <c r="AM94" s="1044"/>
      <c r="AN94" s="1044"/>
      <c r="AO94" s="1044"/>
      <c r="AP94" s="1044">
        <f t="shared" ref="AP94" si="222">AO94+AN94+AM94</f>
        <v>0</v>
      </c>
      <c r="AQ94" s="1059"/>
      <c r="AR94" s="1059"/>
      <c r="AS94" s="1059"/>
      <c r="AT94" s="1059">
        <f>AR94+AS94</f>
        <v>0</v>
      </c>
      <c r="AU94" s="1059"/>
      <c r="AV94" s="1059"/>
      <c r="AW94" s="1059"/>
      <c r="AX94" s="1059">
        <f t="shared" ref="AX94" si="223">AV94+AW94</f>
        <v>0</v>
      </c>
      <c r="AY94" s="1060"/>
      <c r="AZ94" s="1060">
        <f t="shared" ref="AZ94" si="224">AK94-AP94</f>
        <v>0</v>
      </c>
      <c r="BA94" s="1060">
        <f t="shared" ref="BA94" si="225">AL94-AQ94</f>
        <v>0</v>
      </c>
      <c r="BB94" s="1061"/>
      <c r="BC94" s="1031"/>
      <c r="BD94" s="1031"/>
      <c r="BF94" s="1017"/>
      <c r="BG94" s="1017"/>
      <c r="BH94" s="1017"/>
      <c r="BI94" s="1017"/>
      <c r="BJ94" s="1017"/>
      <c r="BK94" s="1017"/>
      <c r="BL94" s="1017"/>
      <c r="BM94" s="1017"/>
      <c r="BN94" s="1017"/>
      <c r="BO94" s="1017"/>
      <c r="BP94" s="1017"/>
      <c r="BQ94" s="1017"/>
      <c r="BR94" s="1017"/>
      <c r="BS94" s="1017"/>
      <c r="BT94" s="1017"/>
      <c r="BU94" s="1017"/>
      <c r="BV94" s="1017"/>
    </row>
    <row r="95" spans="1:74" s="1024" customFormat="1" ht="15" customHeight="1" x14ac:dyDescent="0.25">
      <c r="A95" s="1058"/>
      <c r="B95" s="1058"/>
      <c r="C95" s="1058"/>
      <c r="D95" s="1098"/>
      <c r="E95" s="1016"/>
      <c r="F95" s="1095"/>
      <c r="G95" s="1095"/>
      <c r="H95" s="1035"/>
      <c r="I95" s="1036"/>
      <c r="J95" s="1257"/>
      <c r="K95" s="1234"/>
      <c r="L95" s="1234"/>
      <c r="M95" s="1234"/>
      <c r="N95" s="1038"/>
      <c r="O95" s="1038"/>
      <c r="P95" s="1049"/>
      <c r="Q95" s="1254"/>
      <c r="R95" s="1254"/>
      <c r="S95" s="1254"/>
      <c r="T95" s="1049"/>
      <c r="U95" s="1049"/>
      <c r="V95" s="1052"/>
      <c r="W95" s="1038"/>
      <c r="X95" s="1049"/>
      <c r="Y95" s="1049"/>
      <c r="Z95" s="1049"/>
      <c r="AA95" s="1049"/>
      <c r="AB95" s="1049"/>
      <c r="AC95" s="1052"/>
      <c r="AD95" s="1052"/>
      <c r="AE95" s="1052"/>
      <c r="AF95" s="1044">
        <f t="shared" si="199"/>
        <v>0</v>
      </c>
      <c r="AG95" s="1044"/>
      <c r="AH95" s="1044"/>
      <c r="AI95" s="1044"/>
      <c r="AJ95" s="1044"/>
      <c r="AK95" s="1044">
        <f t="shared" si="197"/>
        <v>0</v>
      </c>
      <c r="AL95" s="1059"/>
      <c r="AM95" s="1044"/>
      <c r="AN95" s="1044"/>
      <c r="AO95" s="1044"/>
      <c r="AP95" s="1044">
        <f t="shared" si="198"/>
        <v>0</v>
      </c>
      <c r="AQ95" s="1059"/>
      <c r="AR95" s="1059"/>
      <c r="AS95" s="1059"/>
      <c r="AT95" s="1059"/>
      <c r="AU95" s="1059"/>
      <c r="AV95" s="1059"/>
      <c r="AW95" s="1059"/>
      <c r="AX95" s="1059">
        <f t="shared" si="189"/>
        <v>0</v>
      </c>
      <c r="AY95" s="1060"/>
      <c r="AZ95" s="1060">
        <f t="shared" si="190"/>
        <v>0</v>
      </c>
      <c r="BA95" s="1060">
        <f t="shared" si="190"/>
        <v>0</v>
      </c>
      <c r="BB95" s="1061"/>
      <c r="BC95" s="1031"/>
      <c r="BD95" s="1031"/>
      <c r="BF95" s="1017"/>
      <c r="BG95" s="1017"/>
      <c r="BH95" s="1017"/>
      <c r="BI95" s="1017"/>
      <c r="BJ95" s="1017"/>
      <c r="BK95" s="1017"/>
      <c r="BL95" s="1017"/>
      <c r="BM95" s="1017"/>
      <c r="BN95" s="1017"/>
      <c r="BO95" s="1017"/>
      <c r="BP95" s="1017"/>
      <c r="BQ95" s="1017"/>
      <c r="BR95" s="1017"/>
      <c r="BS95" s="1017"/>
      <c r="BT95" s="1017"/>
      <c r="BU95" s="1017"/>
      <c r="BV95" s="1017"/>
    </row>
    <row r="96" spans="1:74" s="1024" customFormat="1" ht="15" customHeight="1" x14ac:dyDescent="0.25">
      <c r="A96" s="1058">
        <v>122</v>
      </c>
      <c r="B96" s="1058" t="s">
        <v>130</v>
      </c>
      <c r="C96" s="1058">
        <v>6</v>
      </c>
      <c r="D96" s="1098" t="s">
        <v>212</v>
      </c>
      <c r="E96" s="1016" t="s">
        <v>215</v>
      </c>
      <c r="F96" s="1095"/>
      <c r="G96" s="1095"/>
      <c r="H96" s="1035"/>
      <c r="I96" s="1036" t="s">
        <v>909</v>
      </c>
      <c r="J96" s="1257" t="s">
        <v>920</v>
      </c>
      <c r="K96" s="1234"/>
      <c r="L96" s="1234"/>
      <c r="M96" s="1234">
        <f t="shared" si="181"/>
        <v>0</v>
      </c>
      <c r="N96" s="1038"/>
      <c r="O96" s="1038"/>
      <c r="P96" s="1049">
        <f t="shared" si="182"/>
        <v>0</v>
      </c>
      <c r="Q96" s="1254">
        <v>2</v>
      </c>
      <c r="R96" s="1254">
        <v>14</v>
      </c>
      <c r="S96" s="1254">
        <f t="shared" si="191"/>
        <v>16</v>
      </c>
      <c r="T96" s="1049">
        <v>5</v>
      </c>
      <c r="U96" s="1049">
        <v>5</v>
      </c>
      <c r="V96" s="1052">
        <f t="shared" si="192"/>
        <v>10</v>
      </c>
      <c r="W96" s="1038"/>
      <c r="X96" s="1049">
        <f t="shared" si="196"/>
        <v>0</v>
      </c>
      <c r="Y96" s="1049"/>
      <c r="Z96" s="1049"/>
      <c r="AA96" s="1049">
        <f t="shared" si="195"/>
        <v>0</v>
      </c>
      <c r="AB96" s="1049"/>
      <c r="AC96" s="1052"/>
      <c r="AD96" s="1052">
        <f t="shared" si="193"/>
        <v>0</v>
      </c>
      <c r="AE96" s="1052"/>
      <c r="AF96" s="1044">
        <f t="shared" si="199"/>
        <v>0</v>
      </c>
      <c r="AG96" s="1044"/>
      <c r="AH96" s="1044"/>
      <c r="AI96" s="1044"/>
      <c r="AJ96" s="1044"/>
      <c r="AK96" s="1044">
        <f t="shared" si="197"/>
        <v>0</v>
      </c>
      <c r="AL96" s="1059"/>
      <c r="AM96" s="1044"/>
      <c r="AN96" s="1044"/>
      <c r="AO96" s="1044"/>
      <c r="AP96" s="1044">
        <f t="shared" si="198"/>
        <v>0</v>
      </c>
      <c r="AQ96" s="1059"/>
      <c r="AR96" s="1059"/>
      <c r="AS96" s="1059"/>
      <c r="AT96" s="1059">
        <f t="shared" ref="AT96:AT98" si="226">AR96+AS96</f>
        <v>0</v>
      </c>
      <c r="AU96" s="1059"/>
      <c r="AV96" s="1059"/>
      <c r="AW96" s="1059"/>
      <c r="AX96" s="1059">
        <f t="shared" si="189"/>
        <v>0</v>
      </c>
      <c r="AY96" s="1060"/>
      <c r="AZ96" s="1060">
        <f t="shared" si="190"/>
        <v>0</v>
      </c>
      <c r="BA96" s="1060">
        <f t="shared" si="190"/>
        <v>0</v>
      </c>
      <c r="BB96" s="1061"/>
      <c r="BC96" s="1031"/>
      <c r="BD96" s="1031"/>
      <c r="BF96" s="1017"/>
      <c r="BG96" s="1017"/>
      <c r="BH96" s="1017"/>
      <c r="BI96" s="1017"/>
      <c r="BJ96" s="1017"/>
      <c r="BK96" s="1017"/>
      <c r="BL96" s="1017"/>
      <c r="BM96" s="1017"/>
      <c r="BN96" s="1017"/>
      <c r="BO96" s="1017"/>
      <c r="BP96" s="1017"/>
      <c r="BQ96" s="1017"/>
      <c r="BR96" s="1017"/>
      <c r="BS96" s="1017"/>
      <c r="BT96" s="1017"/>
      <c r="BU96" s="1017"/>
      <c r="BV96" s="1017"/>
    </row>
    <row r="97" spans="1:74" s="1024" customFormat="1" ht="18" customHeight="1" x14ac:dyDescent="0.25">
      <c r="A97" s="1058">
        <v>123</v>
      </c>
      <c r="B97" s="1058" t="s">
        <v>130</v>
      </c>
      <c r="C97" s="1058">
        <v>7</v>
      </c>
      <c r="D97" s="1098" t="s">
        <v>212</v>
      </c>
      <c r="E97" s="1016" t="s">
        <v>607</v>
      </c>
      <c r="F97" s="1095"/>
      <c r="G97" s="1095"/>
      <c r="H97" s="1035"/>
      <c r="I97" s="1036" t="s">
        <v>909</v>
      </c>
      <c r="J97" s="1257" t="s">
        <v>920</v>
      </c>
      <c r="K97" s="1234"/>
      <c r="L97" s="1234"/>
      <c r="M97" s="1234">
        <f t="shared" si="181"/>
        <v>0</v>
      </c>
      <c r="N97" s="1038"/>
      <c r="O97" s="1038"/>
      <c r="P97" s="1049">
        <f t="shared" si="182"/>
        <v>0</v>
      </c>
      <c r="Q97" s="1254">
        <v>2</v>
      </c>
      <c r="R97" s="1254">
        <v>1</v>
      </c>
      <c r="S97" s="1254">
        <f t="shared" si="191"/>
        <v>3</v>
      </c>
      <c r="T97" s="1049">
        <v>1.5</v>
      </c>
      <c r="U97" s="1049"/>
      <c r="V97" s="1052">
        <f t="shared" si="192"/>
        <v>1.5</v>
      </c>
      <c r="W97" s="1038"/>
      <c r="X97" s="1049">
        <f t="shared" si="196"/>
        <v>0</v>
      </c>
      <c r="Y97" s="1049"/>
      <c r="Z97" s="1049"/>
      <c r="AA97" s="1049">
        <f t="shared" si="195"/>
        <v>0</v>
      </c>
      <c r="AB97" s="1049"/>
      <c r="AC97" s="1052"/>
      <c r="AD97" s="1052">
        <f t="shared" si="193"/>
        <v>0</v>
      </c>
      <c r="AE97" s="1052"/>
      <c r="AF97" s="1044">
        <f t="shared" si="199"/>
        <v>0</v>
      </c>
      <c r="AG97" s="1044"/>
      <c r="AH97" s="1044"/>
      <c r="AI97" s="1044"/>
      <c r="AJ97" s="1044"/>
      <c r="AK97" s="1044">
        <f t="shared" si="197"/>
        <v>0</v>
      </c>
      <c r="AL97" s="1059"/>
      <c r="AM97" s="1044"/>
      <c r="AN97" s="1044"/>
      <c r="AO97" s="1044"/>
      <c r="AP97" s="1044">
        <f t="shared" si="198"/>
        <v>0</v>
      </c>
      <c r="AQ97" s="1059"/>
      <c r="AR97" s="1059"/>
      <c r="AS97" s="1059"/>
      <c r="AT97" s="1059">
        <f t="shared" si="226"/>
        <v>0</v>
      </c>
      <c r="AU97" s="1059"/>
      <c r="AV97" s="1059"/>
      <c r="AW97" s="1059"/>
      <c r="AX97" s="1059">
        <f t="shared" si="189"/>
        <v>0</v>
      </c>
      <c r="AY97" s="1060"/>
      <c r="AZ97" s="1060">
        <f t="shared" si="190"/>
        <v>0</v>
      </c>
      <c r="BA97" s="1060">
        <f t="shared" si="190"/>
        <v>0</v>
      </c>
      <c r="BB97" s="1061"/>
      <c r="BC97" s="1031"/>
      <c r="BD97" s="1031"/>
      <c r="BF97" s="1017"/>
      <c r="BG97" s="1017"/>
      <c r="BH97" s="1017"/>
      <c r="BI97" s="1017"/>
      <c r="BJ97" s="1017"/>
      <c r="BK97" s="1017"/>
      <c r="BL97" s="1017"/>
      <c r="BM97" s="1017"/>
      <c r="BN97" s="1017"/>
      <c r="BO97" s="1017"/>
      <c r="BP97" s="1017"/>
      <c r="BQ97" s="1017"/>
      <c r="BR97" s="1017"/>
      <c r="BS97" s="1017"/>
      <c r="BT97" s="1017"/>
      <c r="BU97" s="1017"/>
      <c r="BV97" s="1017"/>
    </row>
    <row r="98" spans="1:74" s="1024" customFormat="1" ht="15" customHeight="1" x14ac:dyDescent="0.25">
      <c r="A98" s="1058">
        <v>124</v>
      </c>
      <c r="B98" s="1058" t="s">
        <v>130</v>
      </c>
      <c r="C98" s="1058">
        <v>8</v>
      </c>
      <c r="D98" s="1098" t="s">
        <v>212</v>
      </c>
      <c r="E98" s="1016" t="s">
        <v>942</v>
      </c>
      <c r="F98" s="1095"/>
      <c r="G98" s="1095"/>
      <c r="H98" s="1035"/>
      <c r="I98" s="1036" t="s">
        <v>909</v>
      </c>
      <c r="J98" s="1257" t="s">
        <v>920</v>
      </c>
      <c r="K98" s="1234"/>
      <c r="L98" s="1234"/>
      <c r="M98" s="1234">
        <f t="shared" si="181"/>
        <v>0</v>
      </c>
      <c r="N98" s="1038"/>
      <c r="O98" s="1038"/>
      <c r="P98" s="1049">
        <f t="shared" ref="P98:P110" si="227">N98+O98</f>
        <v>0</v>
      </c>
      <c r="Q98" s="1254">
        <f>4+0</f>
        <v>4</v>
      </c>
      <c r="R98" s="1254">
        <f>10+1</f>
        <v>11</v>
      </c>
      <c r="S98" s="1254">
        <f t="shared" si="191"/>
        <v>15</v>
      </c>
      <c r="T98" s="1049">
        <f>6.57+1</f>
        <v>7.57</v>
      </c>
      <c r="U98" s="1049"/>
      <c r="V98" s="1052">
        <f t="shared" si="192"/>
        <v>7.57</v>
      </c>
      <c r="W98" s="1038"/>
      <c r="X98" s="1049">
        <f t="shared" si="196"/>
        <v>0</v>
      </c>
      <c r="Y98" s="1049"/>
      <c r="Z98" s="1049"/>
      <c r="AA98" s="1049">
        <f t="shared" si="195"/>
        <v>0</v>
      </c>
      <c r="AB98" s="1049"/>
      <c r="AC98" s="1052"/>
      <c r="AD98" s="1052">
        <f t="shared" si="193"/>
        <v>0</v>
      </c>
      <c r="AE98" s="1052"/>
      <c r="AF98" s="1044">
        <f t="shared" si="199"/>
        <v>0</v>
      </c>
      <c r="AG98" s="1044"/>
      <c r="AH98" s="1044"/>
      <c r="AI98" s="1044"/>
      <c r="AJ98" s="1044"/>
      <c r="AK98" s="1044">
        <f t="shared" si="197"/>
        <v>0</v>
      </c>
      <c r="AL98" s="1059"/>
      <c r="AM98" s="1044"/>
      <c r="AN98" s="1044"/>
      <c r="AO98" s="1044"/>
      <c r="AP98" s="1044">
        <f t="shared" si="198"/>
        <v>0</v>
      </c>
      <c r="AQ98" s="1059"/>
      <c r="AR98" s="1059"/>
      <c r="AS98" s="1059"/>
      <c r="AT98" s="1059">
        <f t="shared" si="226"/>
        <v>0</v>
      </c>
      <c r="AU98" s="1059"/>
      <c r="AV98" s="1059"/>
      <c r="AW98" s="1059"/>
      <c r="AX98" s="1059">
        <f t="shared" si="189"/>
        <v>0</v>
      </c>
      <c r="AY98" s="1060"/>
      <c r="AZ98" s="1060">
        <f t="shared" si="190"/>
        <v>0</v>
      </c>
      <c r="BA98" s="1060">
        <f t="shared" si="190"/>
        <v>0</v>
      </c>
      <c r="BB98" s="1061"/>
      <c r="BC98" s="1031"/>
      <c r="BD98" s="1031"/>
      <c r="BF98" s="1017"/>
      <c r="BG98" s="1017"/>
      <c r="BH98" s="1017"/>
      <c r="BI98" s="1017"/>
      <c r="BJ98" s="1017"/>
      <c r="BK98" s="1017"/>
      <c r="BL98" s="1017"/>
      <c r="BM98" s="1017"/>
      <c r="BN98" s="1017"/>
      <c r="BO98" s="1017"/>
      <c r="BP98" s="1017"/>
      <c r="BQ98" s="1017"/>
      <c r="BR98" s="1017"/>
      <c r="BS98" s="1017"/>
      <c r="BT98" s="1017"/>
      <c r="BU98" s="1017"/>
      <c r="BV98" s="1017"/>
    </row>
    <row r="99" spans="1:74" s="1281" customFormat="1" ht="17.25" customHeight="1" x14ac:dyDescent="0.25">
      <c r="A99" s="1264"/>
      <c r="B99" s="1264"/>
      <c r="C99" s="1264"/>
      <c r="D99" s="1265"/>
      <c r="E99" s="1266"/>
      <c r="F99" s="1267"/>
      <c r="G99" s="1267"/>
      <c r="H99" s="1268"/>
      <c r="I99" s="1269"/>
      <c r="J99" s="1270"/>
      <c r="K99" s="1271"/>
      <c r="L99" s="1271"/>
      <c r="M99" s="1271"/>
      <c r="N99" s="1272"/>
      <c r="O99" s="1272"/>
      <c r="P99" s="1273"/>
      <c r="Q99" s="1274"/>
      <c r="R99" s="1274"/>
      <c r="S99" s="1274"/>
      <c r="T99" s="1273"/>
      <c r="U99" s="1273"/>
      <c r="V99" s="1275"/>
      <c r="W99" s="1272"/>
      <c r="X99" s="1273"/>
      <c r="Y99" s="1273"/>
      <c r="Z99" s="1273"/>
      <c r="AA99" s="1273"/>
      <c r="AB99" s="1273"/>
      <c r="AC99" s="1275"/>
      <c r="AD99" s="1275"/>
      <c r="AE99" s="1275"/>
      <c r="AF99" s="1276">
        <f t="shared" si="199"/>
        <v>0</v>
      </c>
      <c r="AG99" s="1276"/>
      <c r="AH99" s="1276"/>
      <c r="AI99" s="1276"/>
      <c r="AJ99" s="1276"/>
      <c r="AK99" s="1276">
        <f t="shared" si="197"/>
        <v>0</v>
      </c>
      <c r="AL99" s="1277"/>
      <c r="AM99" s="1276"/>
      <c r="AN99" s="1276"/>
      <c r="AO99" s="1276"/>
      <c r="AP99" s="1276">
        <f t="shared" si="198"/>
        <v>0</v>
      </c>
      <c r="AQ99" s="1277"/>
      <c r="AR99" s="1277"/>
      <c r="AS99" s="1277"/>
      <c r="AT99" s="1277"/>
      <c r="AU99" s="1277"/>
      <c r="AV99" s="1277"/>
      <c r="AW99" s="1277"/>
      <c r="AX99" s="1277">
        <f t="shared" si="189"/>
        <v>0</v>
      </c>
      <c r="AY99" s="1278"/>
      <c r="AZ99" s="1278">
        <f t="shared" si="190"/>
        <v>0</v>
      </c>
      <c r="BA99" s="1278">
        <f t="shared" si="190"/>
        <v>0</v>
      </c>
      <c r="BB99" s="1279"/>
      <c r="BC99" s="1280"/>
      <c r="BD99" s="1280"/>
      <c r="BF99" s="1282"/>
      <c r="BG99" s="1282"/>
      <c r="BH99" s="1282"/>
      <c r="BI99" s="1282"/>
      <c r="BJ99" s="1282"/>
      <c r="BK99" s="1282"/>
      <c r="BL99" s="1282"/>
      <c r="BM99" s="1282"/>
      <c r="BN99" s="1282"/>
      <c r="BO99" s="1282"/>
      <c r="BP99" s="1282"/>
      <c r="BQ99" s="1282"/>
      <c r="BR99" s="1282"/>
      <c r="BS99" s="1282"/>
      <c r="BT99" s="1282"/>
      <c r="BU99" s="1282"/>
      <c r="BV99" s="1282"/>
    </row>
    <row r="100" spans="1:74" s="1024" customFormat="1" ht="15.75" customHeight="1" x14ac:dyDescent="0.25">
      <c r="A100" s="1058">
        <v>126</v>
      </c>
      <c r="B100" s="1058" t="s">
        <v>130</v>
      </c>
      <c r="C100" s="1058">
        <v>1</v>
      </c>
      <c r="D100" s="1098" t="s">
        <v>218</v>
      </c>
      <c r="E100" s="1016" t="s">
        <v>219</v>
      </c>
      <c r="F100" s="1095"/>
      <c r="G100" s="1095"/>
      <c r="H100" s="1035"/>
      <c r="I100" s="1036" t="s">
        <v>909</v>
      </c>
      <c r="J100" s="1257" t="s">
        <v>920</v>
      </c>
      <c r="K100" s="1234">
        <v>0</v>
      </c>
      <c r="L100" s="1234">
        <v>7</v>
      </c>
      <c r="M100" s="1234">
        <f t="shared" si="181"/>
        <v>7</v>
      </c>
      <c r="N100" s="1038">
        <v>7</v>
      </c>
      <c r="O100" s="1038"/>
      <c r="P100" s="1049">
        <f t="shared" si="227"/>
        <v>7</v>
      </c>
      <c r="Q100" s="1254">
        <v>0</v>
      </c>
      <c r="R100" s="1254">
        <v>7</v>
      </c>
      <c r="S100" s="1254">
        <f t="shared" si="191"/>
        <v>7</v>
      </c>
      <c r="T100" s="1049">
        <v>7</v>
      </c>
      <c r="U100" s="1049"/>
      <c r="V100" s="1052">
        <f t="shared" si="192"/>
        <v>7</v>
      </c>
      <c r="W100" s="1038"/>
      <c r="X100" s="1049">
        <f t="shared" si="196"/>
        <v>0</v>
      </c>
      <c r="Y100" s="1049">
        <f>SUM(X100:X106)</f>
        <v>0</v>
      </c>
      <c r="Z100" s="1049"/>
      <c r="AA100" s="1049">
        <f t="shared" si="195"/>
        <v>0</v>
      </c>
      <c r="AB100" s="1049">
        <f>SUM(AA100:AA106)</f>
        <v>0</v>
      </c>
      <c r="AC100" s="1052"/>
      <c r="AD100" s="1052">
        <f t="shared" si="193"/>
        <v>0</v>
      </c>
      <c r="AE100" s="1052">
        <f>SUM(AD100:AD106)</f>
        <v>0</v>
      </c>
      <c r="AF100" s="1044">
        <f t="shared" si="199"/>
        <v>0</v>
      </c>
      <c r="AG100" s="1044">
        <f>SUM(AF100:AF106)</f>
        <v>0</v>
      </c>
      <c r="AH100" s="1044"/>
      <c r="AI100" s="1044"/>
      <c r="AJ100" s="1044"/>
      <c r="AK100" s="1044">
        <f t="shared" si="197"/>
        <v>0</v>
      </c>
      <c r="AL100" s="1059">
        <f>SUM(AK100:AK106)</f>
        <v>0</v>
      </c>
      <c r="AM100" s="1044"/>
      <c r="AN100" s="1044"/>
      <c r="AO100" s="1044"/>
      <c r="AP100" s="1044">
        <f t="shared" si="198"/>
        <v>0</v>
      </c>
      <c r="AQ100" s="1059">
        <f>SUM(AP100:AP106)</f>
        <v>0</v>
      </c>
      <c r="AR100" s="1059"/>
      <c r="AS100" s="1059"/>
      <c r="AT100" s="1059">
        <f t="shared" ref="AT100:AT106" si="228">AR100+AS100</f>
        <v>0</v>
      </c>
      <c r="AU100" s="1059">
        <f>SUM(AT100:AT106)</f>
        <v>0</v>
      </c>
      <c r="AV100" s="1059"/>
      <c r="AW100" s="1059"/>
      <c r="AX100" s="1059">
        <f t="shared" si="189"/>
        <v>0</v>
      </c>
      <c r="AY100" s="1060">
        <f>SUM(AX100:AX106)</f>
        <v>0</v>
      </c>
      <c r="AZ100" s="1060">
        <f t="shared" si="190"/>
        <v>0</v>
      </c>
      <c r="BA100" s="1060">
        <f t="shared" si="190"/>
        <v>0</v>
      </c>
      <c r="BB100" s="1061"/>
      <c r="BC100" s="1031"/>
      <c r="BD100" s="1031"/>
      <c r="BF100" s="1017"/>
      <c r="BG100" s="1017"/>
      <c r="BH100" s="1017"/>
      <c r="BI100" s="1017"/>
      <c r="BJ100" s="1017"/>
      <c r="BK100" s="1017"/>
      <c r="BL100" s="1017"/>
      <c r="BM100" s="1017"/>
      <c r="BN100" s="1017"/>
      <c r="BO100" s="1017"/>
      <c r="BP100" s="1017"/>
      <c r="BQ100" s="1017"/>
      <c r="BR100" s="1017"/>
      <c r="BS100" s="1017"/>
      <c r="BT100" s="1017"/>
      <c r="BU100" s="1017"/>
      <c r="BV100" s="1017"/>
    </row>
    <row r="101" spans="1:74" s="1024" customFormat="1" ht="17.25" customHeight="1" x14ac:dyDescent="0.25">
      <c r="A101" s="1058">
        <v>127</v>
      </c>
      <c r="B101" s="1058" t="s">
        <v>130</v>
      </c>
      <c r="C101" s="1058">
        <v>2</v>
      </c>
      <c r="D101" s="1098" t="s">
        <v>218</v>
      </c>
      <c r="E101" s="1016" t="s">
        <v>527</v>
      </c>
      <c r="F101" s="1095"/>
      <c r="G101" s="1095"/>
      <c r="H101" s="1035"/>
      <c r="I101" s="1036" t="s">
        <v>909</v>
      </c>
      <c r="J101" s="1257" t="s">
        <v>920</v>
      </c>
      <c r="K101" s="1234">
        <v>1</v>
      </c>
      <c r="L101" s="1234">
        <v>7</v>
      </c>
      <c r="M101" s="1234">
        <f t="shared" si="181"/>
        <v>8</v>
      </c>
      <c r="N101" s="1038"/>
      <c r="O101" s="1038">
        <v>5</v>
      </c>
      <c r="P101" s="1049">
        <f t="shared" si="227"/>
        <v>5</v>
      </c>
      <c r="Q101" s="1254">
        <v>1</v>
      </c>
      <c r="R101" s="1254">
        <v>7</v>
      </c>
      <c r="S101" s="1254">
        <f t="shared" si="191"/>
        <v>8</v>
      </c>
      <c r="T101" s="1049"/>
      <c r="U101" s="1049">
        <v>5.08</v>
      </c>
      <c r="V101" s="1052">
        <f t="shared" si="192"/>
        <v>5.08</v>
      </c>
      <c r="W101" s="1038"/>
      <c r="X101" s="1049">
        <f t="shared" si="196"/>
        <v>0</v>
      </c>
      <c r="Y101" s="1049"/>
      <c r="Z101" s="1049"/>
      <c r="AA101" s="1049">
        <f t="shared" si="195"/>
        <v>0</v>
      </c>
      <c r="AB101" s="1049"/>
      <c r="AC101" s="1052"/>
      <c r="AD101" s="1052">
        <f t="shared" si="193"/>
        <v>0</v>
      </c>
      <c r="AE101" s="1052"/>
      <c r="AF101" s="1044">
        <f t="shared" si="199"/>
        <v>0</v>
      </c>
      <c r="AG101" s="1044"/>
      <c r="AH101" s="1044"/>
      <c r="AI101" s="1044"/>
      <c r="AJ101" s="1044"/>
      <c r="AK101" s="1044">
        <f t="shared" si="197"/>
        <v>0</v>
      </c>
      <c r="AL101" s="1059"/>
      <c r="AM101" s="1044"/>
      <c r="AN101" s="1044"/>
      <c r="AO101" s="1044"/>
      <c r="AP101" s="1044">
        <f t="shared" si="198"/>
        <v>0</v>
      </c>
      <c r="AQ101" s="1059"/>
      <c r="AR101" s="1059"/>
      <c r="AS101" s="1059"/>
      <c r="AT101" s="1059">
        <f t="shared" si="228"/>
        <v>0</v>
      </c>
      <c r="AU101" s="1059"/>
      <c r="AV101" s="1059"/>
      <c r="AW101" s="1059"/>
      <c r="AX101" s="1059">
        <f t="shared" si="189"/>
        <v>0</v>
      </c>
      <c r="AY101" s="1060"/>
      <c r="AZ101" s="1060">
        <f t="shared" si="190"/>
        <v>0</v>
      </c>
      <c r="BA101" s="1060">
        <f t="shared" si="190"/>
        <v>0</v>
      </c>
      <c r="BB101" s="1061"/>
      <c r="BC101" s="1031"/>
      <c r="BD101" s="1031"/>
      <c r="BF101" s="1017"/>
      <c r="BG101" s="1017"/>
      <c r="BH101" s="1017"/>
      <c r="BI101" s="1017"/>
      <c r="BJ101" s="1017"/>
      <c r="BK101" s="1017"/>
      <c r="BL101" s="1017"/>
      <c r="BM101" s="1017"/>
      <c r="BN101" s="1017"/>
      <c r="BO101" s="1017"/>
      <c r="BP101" s="1017"/>
      <c r="BQ101" s="1017"/>
      <c r="BR101" s="1017"/>
      <c r="BS101" s="1017"/>
      <c r="BT101" s="1017"/>
      <c r="BU101" s="1017"/>
      <c r="BV101" s="1017"/>
    </row>
    <row r="102" spans="1:74" s="1024" customFormat="1" ht="15" customHeight="1" x14ac:dyDescent="0.25">
      <c r="A102" s="1058">
        <v>130</v>
      </c>
      <c r="B102" s="1058" t="s">
        <v>130</v>
      </c>
      <c r="C102" s="1058">
        <v>5</v>
      </c>
      <c r="D102" s="1098" t="s">
        <v>218</v>
      </c>
      <c r="E102" s="1016" t="s">
        <v>67</v>
      </c>
      <c r="F102" s="1095"/>
      <c r="G102" s="1095"/>
      <c r="H102" s="1035"/>
      <c r="I102" s="1036" t="s">
        <v>909</v>
      </c>
      <c r="J102" s="1257" t="s">
        <v>920</v>
      </c>
      <c r="K102" s="1234">
        <v>0</v>
      </c>
      <c r="L102" s="1234">
        <v>5</v>
      </c>
      <c r="M102" s="1234">
        <f t="shared" si="181"/>
        <v>5</v>
      </c>
      <c r="N102" s="1038"/>
      <c r="O102" s="1038">
        <v>5</v>
      </c>
      <c r="P102" s="1049">
        <f t="shared" si="227"/>
        <v>5</v>
      </c>
      <c r="Q102" s="1254">
        <v>0</v>
      </c>
      <c r="R102" s="1254">
        <v>5</v>
      </c>
      <c r="S102" s="1254">
        <f t="shared" si="191"/>
        <v>5</v>
      </c>
      <c r="T102" s="1049"/>
      <c r="U102" s="1049">
        <v>5</v>
      </c>
      <c r="V102" s="1052">
        <f t="shared" si="192"/>
        <v>5</v>
      </c>
      <c r="W102" s="1038"/>
      <c r="X102" s="1049">
        <f t="shared" si="196"/>
        <v>0</v>
      </c>
      <c r="Y102" s="1049"/>
      <c r="Z102" s="1049"/>
      <c r="AA102" s="1049">
        <f t="shared" si="195"/>
        <v>0</v>
      </c>
      <c r="AB102" s="1049"/>
      <c r="AC102" s="1052"/>
      <c r="AD102" s="1052">
        <f t="shared" si="193"/>
        <v>0</v>
      </c>
      <c r="AE102" s="1052"/>
      <c r="AF102" s="1044">
        <f t="shared" si="199"/>
        <v>0</v>
      </c>
      <c r="AG102" s="1044"/>
      <c r="AH102" s="1044"/>
      <c r="AI102" s="1044"/>
      <c r="AJ102" s="1044"/>
      <c r="AK102" s="1044">
        <f t="shared" si="197"/>
        <v>0</v>
      </c>
      <c r="AL102" s="1059"/>
      <c r="AM102" s="1044"/>
      <c r="AN102" s="1044"/>
      <c r="AO102" s="1044"/>
      <c r="AP102" s="1044">
        <f t="shared" si="198"/>
        <v>0</v>
      </c>
      <c r="AQ102" s="1059"/>
      <c r="AR102" s="1059"/>
      <c r="AS102" s="1059"/>
      <c r="AT102" s="1059">
        <f t="shared" si="228"/>
        <v>0</v>
      </c>
      <c r="AU102" s="1059"/>
      <c r="AV102" s="1059"/>
      <c r="AW102" s="1059"/>
      <c r="AX102" s="1059">
        <f t="shared" si="189"/>
        <v>0</v>
      </c>
      <c r="AY102" s="1060"/>
      <c r="AZ102" s="1060">
        <f t="shared" si="190"/>
        <v>0</v>
      </c>
      <c r="BA102" s="1060">
        <f t="shared" si="190"/>
        <v>0</v>
      </c>
      <c r="BB102" s="1061"/>
      <c r="BC102" s="1031"/>
      <c r="BD102" s="1031"/>
      <c r="BF102" s="1017"/>
      <c r="BG102" s="1017"/>
      <c r="BH102" s="1017"/>
      <c r="BI102" s="1017"/>
      <c r="BJ102" s="1017"/>
      <c r="BK102" s="1017"/>
      <c r="BL102" s="1017"/>
      <c r="BM102" s="1017"/>
      <c r="BN102" s="1017"/>
      <c r="BO102" s="1017"/>
      <c r="BP102" s="1017"/>
      <c r="BQ102" s="1017"/>
      <c r="BR102" s="1017"/>
      <c r="BS102" s="1017"/>
      <c r="BT102" s="1017"/>
      <c r="BU102" s="1017"/>
      <c r="BV102" s="1017"/>
    </row>
    <row r="103" spans="1:74" s="1024" customFormat="1" ht="15" customHeight="1" x14ac:dyDescent="0.25">
      <c r="A103" s="1058">
        <v>131</v>
      </c>
      <c r="B103" s="1058" t="s">
        <v>130</v>
      </c>
      <c r="C103" s="1058">
        <v>6</v>
      </c>
      <c r="D103" s="1098" t="s">
        <v>218</v>
      </c>
      <c r="E103" s="1016" t="s">
        <v>943</v>
      </c>
      <c r="F103" s="1095"/>
      <c r="G103" s="1095"/>
      <c r="H103" s="1035"/>
      <c r="I103" s="1036" t="s">
        <v>909</v>
      </c>
      <c r="J103" s="1257" t="s">
        <v>920</v>
      </c>
      <c r="K103" s="1234">
        <v>0</v>
      </c>
      <c r="L103" s="1234">
        <v>5</v>
      </c>
      <c r="M103" s="1234">
        <f t="shared" si="181"/>
        <v>5</v>
      </c>
      <c r="N103" s="1038">
        <v>5</v>
      </c>
      <c r="O103" s="1038"/>
      <c r="P103" s="1049">
        <f t="shared" si="227"/>
        <v>5</v>
      </c>
      <c r="Q103" s="1254">
        <v>0</v>
      </c>
      <c r="R103" s="1254">
        <v>5</v>
      </c>
      <c r="S103" s="1254">
        <f t="shared" si="191"/>
        <v>5</v>
      </c>
      <c r="T103" s="1049">
        <v>5</v>
      </c>
      <c r="U103" s="1049"/>
      <c r="V103" s="1052">
        <f t="shared" si="192"/>
        <v>5</v>
      </c>
      <c r="W103" s="1038"/>
      <c r="X103" s="1049">
        <f t="shared" si="196"/>
        <v>0</v>
      </c>
      <c r="Y103" s="1049"/>
      <c r="Z103" s="1049"/>
      <c r="AA103" s="1049">
        <f t="shared" si="195"/>
        <v>0</v>
      </c>
      <c r="AB103" s="1049"/>
      <c r="AC103" s="1052"/>
      <c r="AD103" s="1052">
        <f t="shared" si="193"/>
        <v>0</v>
      </c>
      <c r="AE103" s="1052"/>
      <c r="AF103" s="1044">
        <f t="shared" si="199"/>
        <v>0</v>
      </c>
      <c r="AG103" s="1044"/>
      <c r="AH103" s="1044"/>
      <c r="AI103" s="1044"/>
      <c r="AJ103" s="1044"/>
      <c r="AK103" s="1044">
        <f t="shared" si="197"/>
        <v>0</v>
      </c>
      <c r="AL103" s="1059"/>
      <c r="AM103" s="1044"/>
      <c r="AN103" s="1044"/>
      <c r="AO103" s="1044"/>
      <c r="AP103" s="1044">
        <f t="shared" si="198"/>
        <v>0</v>
      </c>
      <c r="AQ103" s="1059"/>
      <c r="AR103" s="1059"/>
      <c r="AS103" s="1059"/>
      <c r="AT103" s="1059">
        <f t="shared" si="228"/>
        <v>0</v>
      </c>
      <c r="AU103" s="1059"/>
      <c r="AV103" s="1059"/>
      <c r="AW103" s="1059"/>
      <c r="AX103" s="1059">
        <f t="shared" si="189"/>
        <v>0</v>
      </c>
      <c r="AY103" s="1060"/>
      <c r="AZ103" s="1060">
        <f t="shared" si="190"/>
        <v>0</v>
      </c>
      <c r="BA103" s="1060">
        <f t="shared" si="190"/>
        <v>0</v>
      </c>
      <c r="BB103" s="1061"/>
      <c r="BC103" s="1031"/>
      <c r="BD103" s="1031"/>
      <c r="BF103" s="1017"/>
      <c r="BG103" s="1017"/>
      <c r="BH103" s="1017"/>
      <c r="BI103" s="1017"/>
      <c r="BJ103" s="1017"/>
      <c r="BK103" s="1017"/>
      <c r="BL103" s="1017"/>
      <c r="BM103" s="1017"/>
      <c r="BN103" s="1017"/>
      <c r="BO103" s="1017"/>
      <c r="BP103" s="1017"/>
      <c r="BQ103" s="1017"/>
      <c r="BR103" s="1017"/>
      <c r="BS103" s="1017"/>
      <c r="BT103" s="1017"/>
      <c r="BU103" s="1017"/>
      <c r="BV103" s="1017"/>
    </row>
    <row r="104" spans="1:74" s="1024" customFormat="1" ht="15" customHeight="1" x14ac:dyDescent="0.25">
      <c r="A104" s="1058">
        <v>132</v>
      </c>
      <c r="B104" s="1058" t="s">
        <v>130</v>
      </c>
      <c r="C104" s="1058">
        <v>7</v>
      </c>
      <c r="D104" s="1098" t="s">
        <v>218</v>
      </c>
      <c r="E104" s="1016" t="s">
        <v>944</v>
      </c>
      <c r="F104" s="1095"/>
      <c r="G104" s="1095"/>
      <c r="H104" s="1035"/>
      <c r="I104" s="1036" t="s">
        <v>909</v>
      </c>
      <c r="J104" s="1257" t="s">
        <v>920</v>
      </c>
      <c r="K104" s="1234">
        <v>0</v>
      </c>
      <c r="L104" s="1234">
        <v>7</v>
      </c>
      <c r="M104" s="1234">
        <f t="shared" si="181"/>
        <v>7</v>
      </c>
      <c r="N104" s="1038">
        <v>7</v>
      </c>
      <c r="O104" s="1038"/>
      <c r="P104" s="1049">
        <f t="shared" si="227"/>
        <v>7</v>
      </c>
      <c r="Q104" s="1254">
        <v>0</v>
      </c>
      <c r="R104" s="1254">
        <v>7</v>
      </c>
      <c r="S104" s="1254">
        <f t="shared" si="191"/>
        <v>7</v>
      </c>
      <c r="T104" s="1049">
        <v>7</v>
      </c>
      <c r="U104" s="1049"/>
      <c r="V104" s="1052">
        <f t="shared" si="192"/>
        <v>7</v>
      </c>
      <c r="W104" s="1038"/>
      <c r="X104" s="1049">
        <f t="shared" si="196"/>
        <v>0</v>
      </c>
      <c r="Y104" s="1049"/>
      <c r="Z104" s="1049"/>
      <c r="AA104" s="1049">
        <f t="shared" si="195"/>
        <v>0</v>
      </c>
      <c r="AB104" s="1049"/>
      <c r="AC104" s="1052"/>
      <c r="AD104" s="1052">
        <f t="shared" si="193"/>
        <v>0</v>
      </c>
      <c r="AE104" s="1052"/>
      <c r="AF104" s="1044">
        <f t="shared" si="199"/>
        <v>0</v>
      </c>
      <c r="AG104" s="1044"/>
      <c r="AH104" s="1044"/>
      <c r="AI104" s="1044"/>
      <c r="AJ104" s="1044"/>
      <c r="AK104" s="1044">
        <f t="shared" si="197"/>
        <v>0</v>
      </c>
      <c r="AL104" s="1059"/>
      <c r="AM104" s="1044"/>
      <c r="AN104" s="1044"/>
      <c r="AO104" s="1044"/>
      <c r="AP104" s="1044">
        <f t="shared" si="198"/>
        <v>0</v>
      </c>
      <c r="AQ104" s="1059"/>
      <c r="AR104" s="1059"/>
      <c r="AS104" s="1059"/>
      <c r="AT104" s="1059">
        <f t="shared" si="228"/>
        <v>0</v>
      </c>
      <c r="AU104" s="1059"/>
      <c r="AV104" s="1059"/>
      <c r="AW104" s="1059"/>
      <c r="AX104" s="1059">
        <f t="shared" si="189"/>
        <v>0</v>
      </c>
      <c r="AY104" s="1060"/>
      <c r="AZ104" s="1060">
        <f t="shared" si="190"/>
        <v>0</v>
      </c>
      <c r="BA104" s="1060">
        <f t="shared" si="190"/>
        <v>0</v>
      </c>
      <c r="BB104" s="1061"/>
      <c r="BC104" s="1031"/>
      <c r="BD104" s="1031"/>
      <c r="BF104" s="1017"/>
      <c r="BG104" s="1017"/>
      <c r="BH104" s="1017"/>
      <c r="BI104" s="1017"/>
      <c r="BJ104" s="1017"/>
      <c r="BK104" s="1017"/>
      <c r="BL104" s="1017"/>
      <c r="BM104" s="1017"/>
      <c r="BN104" s="1017"/>
      <c r="BO104" s="1017"/>
      <c r="BP104" s="1017"/>
      <c r="BQ104" s="1017"/>
      <c r="BR104" s="1017"/>
      <c r="BS104" s="1017"/>
      <c r="BT104" s="1017"/>
      <c r="BU104" s="1017"/>
      <c r="BV104" s="1017"/>
    </row>
    <row r="105" spans="1:74" s="1024" customFormat="1" ht="15" customHeight="1" x14ac:dyDescent="0.25">
      <c r="A105" s="1058">
        <v>133</v>
      </c>
      <c r="B105" s="1058" t="s">
        <v>130</v>
      </c>
      <c r="C105" s="1058">
        <v>8</v>
      </c>
      <c r="D105" s="1098" t="s">
        <v>218</v>
      </c>
      <c r="E105" s="1016" t="s">
        <v>945</v>
      </c>
      <c r="F105" s="1095"/>
      <c r="G105" s="1095"/>
      <c r="H105" s="1035"/>
      <c r="I105" s="1036" t="s">
        <v>909</v>
      </c>
      <c r="J105" s="1257" t="s">
        <v>920</v>
      </c>
      <c r="K105" s="1234">
        <v>1</v>
      </c>
      <c r="L105" s="1234">
        <v>9</v>
      </c>
      <c r="M105" s="1234">
        <f t="shared" si="181"/>
        <v>10</v>
      </c>
      <c r="N105" s="1038">
        <v>10</v>
      </c>
      <c r="O105" s="1038"/>
      <c r="P105" s="1049">
        <f t="shared" si="227"/>
        <v>10</v>
      </c>
      <c r="Q105" s="1254">
        <v>1</v>
      </c>
      <c r="R105" s="1254">
        <v>9</v>
      </c>
      <c r="S105" s="1254">
        <f t="shared" si="191"/>
        <v>10</v>
      </c>
      <c r="T105" s="1049">
        <v>10</v>
      </c>
      <c r="U105" s="1049"/>
      <c r="V105" s="1052">
        <f t="shared" si="192"/>
        <v>10</v>
      </c>
      <c r="W105" s="1038"/>
      <c r="X105" s="1049">
        <f t="shared" si="196"/>
        <v>0</v>
      </c>
      <c r="Y105" s="1049"/>
      <c r="Z105" s="1049"/>
      <c r="AA105" s="1049">
        <f t="shared" si="195"/>
        <v>0</v>
      </c>
      <c r="AB105" s="1049"/>
      <c r="AC105" s="1052"/>
      <c r="AD105" s="1052">
        <f t="shared" si="193"/>
        <v>0</v>
      </c>
      <c r="AE105" s="1052"/>
      <c r="AF105" s="1044">
        <f t="shared" si="199"/>
        <v>0</v>
      </c>
      <c r="AG105" s="1044"/>
      <c r="AH105" s="1044"/>
      <c r="AI105" s="1044"/>
      <c r="AJ105" s="1044"/>
      <c r="AK105" s="1044">
        <f t="shared" si="197"/>
        <v>0</v>
      </c>
      <c r="AL105" s="1059"/>
      <c r="AM105" s="1044"/>
      <c r="AN105" s="1044"/>
      <c r="AO105" s="1044"/>
      <c r="AP105" s="1044">
        <f t="shared" si="198"/>
        <v>0</v>
      </c>
      <c r="AQ105" s="1059"/>
      <c r="AR105" s="1059"/>
      <c r="AS105" s="1059"/>
      <c r="AT105" s="1059">
        <f t="shared" si="228"/>
        <v>0</v>
      </c>
      <c r="AU105" s="1059"/>
      <c r="AV105" s="1059"/>
      <c r="AW105" s="1059"/>
      <c r="AX105" s="1059">
        <f t="shared" si="189"/>
        <v>0</v>
      </c>
      <c r="AY105" s="1060"/>
      <c r="AZ105" s="1060">
        <f t="shared" si="190"/>
        <v>0</v>
      </c>
      <c r="BA105" s="1060">
        <f t="shared" si="190"/>
        <v>0</v>
      </c>
      <c r="BB105" s="1061"/>
      <c r="BC105" s="1031"/>
      <c r="BD105" s="1031"/>
      <c r="BF105" s="1017"/>
      <c r="BG105" s="1017"/>
      <c r="BH105" s="1017"/>
      <c r="BI105" s="1017"/>
      <c r="BJ105" s="1017"/>
      <c r="BK105" s="1017"/>
      <c r="BL105" s="1017"/>
      <c r="BM105" s="1017"/>
      <c r="BN105" s="1017"/>
      <c r="BO105" s="1017"/>
      <c r="BP105" s="1017"/>
      <c r="BQ105" s="1017"/>
      <c r="BR105" s="1017"/>
      <c r="BS105" s="1017"/>
      <c r="BT105" s="1017"/>
      <c r="BU105" s="1017"/>
      <c r="BV105" s="1017"/>
    </row>
    <row r="106" spans="1:74" s="1024" customFormat="1" ht="15" customHeight="1" x14ac:dyDescent="0.25">
      <c r="A106" s="1058">
        <v>139</v>
      </c>
      <c r="B106" s="1058" t="s">
        <v>130</v>
      </c>
      <c r="C106" s="1058">
        <v>14</v>
      </c>
      <c r="D106" s="1098" t="s">
        <v>218</v>
      </c>
      <c r="E106" s="1016" t="s">
        <v>225</v>
      </c>
      <c r="F106" s="1095"/>
      <c r="G106" s="1095"/>
      <c r="H106" s="1035"/>
      <c r="I106" s="1036" t="s">
        <v>909</v>
      </c>
      <c r="J106" s="1257" t="s">
        <v>920</v>
      </c>
      <c r="K106" s="1234">
        <v>1</v>
      </c>
      <c r="L106" s="1234">
        <v>6</v>
      </c>
      <c r="M106" s="1234">
        <f t="shared" si="181"/>
        <v>7</v>
      </c>
      <c r="N106" s="1038">
        <v>3</v>
      </c>
      <c r="O106" s="1038"/>
      <c r="P106" s="1049">
        <f t="shared" si="227"/>
        <v>3</v>
      </c>
      <c r="Q106" s="1254">
        <v>1</v>
      </c>
      <c r="R106" s="1254">
        <v>5</v>
      </c>
      <c r="S106" s="1254">
        <f t="shared" si="191"/>
        <v>6</v>
      </c>
      <c r="T106" s="1049">
        <v>3</v>
      </c>
      <c r="U106" s="1049"/>
      <c r="V106" s="1052">
        <f t="shared" si="192"/>
        <v>3</v>
      </c>
      <c r="W106" s="1038"/>
      <c r="X106" s="1049">
        <f t="shared" si="196"/>
        <v>0</v>
      </c>
      <c r="Y106" s="1049"/>
      <c r="Z106" s="1049"/>
      <c r="AA106" s="1049">
        <f t="shared" si="195"/>
        <v>0</v>
      </c>
      <c r="AB106" s="1049"/>
      <c r="AC106" s="1052"/>
      <c r="AD106" s="1052">
        <f t="shared" si="193"/>
        <v>0</v>
      </c>
      <c r="AE106" s="1052"/>
      <c r="AF106" s="1044">
        <f t="shared" si="199"/>
        <v>0</v>
      </c>
      <c r="AG106" s="1044"/>
      <c r="AH106" s="1044"/>
      <c r="AI106" s="1044"/>
      <c r="AJ106" s="1044"/>
      <c r="AK106" s="1044">
        <f t="shared" si="197"/>
        <v>0</v>
      </c>
      <c r="AL106" s="1059"/>
      <c r="AM106" s="1044"/>
      <c r="AN106" s="1044"/>
      <c r="AO106" s="1044"/>
      <c r="AP106" s="1044">
        <f t="shared" si="198"/>
        <v>0</v>
      </c>
      <c r="AQ106" s="1059"/>
      <c r="AR106" s="1059"/>
      <c r="AS106" s="1059"/>
      <c r="AT106" s="1059">
        <f t="shared" si="228"/>
        <v>0</v>
      </c>
      <c r="AU106" s="1059"/>
      <c r="AV106" s="1059"/>
      <c r="AW106" s="1059"/>
      <c r="AX106" s="1059">
        <f t="shared" si="189"/>
        <v>0</v>
      </c>
      <c r="AY106" s="1060"/>
      <c r="AZ106" s="1060">
        <f t="shared" si="190"/>
        <v>0</v>
      </c>
      <c r="BA106" s="1060">
        <f t="shared" si="190"/>
        <v>0</v>
      </c>
      <c r="BB106" s="1061"/>
      <c r="BC106" s="1031"/>
      <c r="BD106" s="1031"/>
      <c r="BF106" s="1017"/>
      <c r="BG106" s="1017"/>
      <c r="BH106" s="1017"/>
      <c r="BI106" s="1017"/>
      <c r="BJ106" s="1017"/>
      <c r="BK106" s="1017"/>
      <c r="BL106" s="1017"/>
      <c r="BM106" s="1017"/>
      <c r="BN106" s="1017"/>
      <c r="BO106" s="1017"/>
      <c r="BP106" s="1017"/>
      <c r="BQ106" s="1017"/>
      <c r="BR106" s="1017"/>
      <c r="BS106" s="1017"/>
      <c r="BT106" s="1017"/>
      <c r="BU106" s="1017"/>
      <c r="BV106" s="1017"/>
    </row>
    <row r="107" spans="1:74" s="1281" customFormat="1" x14ac:dyDescent="0.25">
      <c r="A107" s="1264"/>
      <c r="B107" s="1264"/>
      <c r="C107" s="1264"/>
      <c r="D107" s="1265"/>
      <c r="E107" s="1266"/>
      <c r="F107" s="1267"/>
      <c r="G107" s="1267"/>
      <c r="H107" s="1268"/>
      <c r="I107" s="1269"/>
      <c r="J107" s="1270"/>
      <c r="K107" s="1271"/>
      <c r="L107" s="1271"/>
      <c r="M107" s="1271"/>
      <c r="N107" s="1272"/>
      <c r="O107" s="1272"/>
      <c r="P107" s="1273"/>
      <c r="Q107" s="1274"/>
      <c r="R107" s="1274"/>
      <c r="S107" s="1274"/>
      <c r="T107" s="1273"/>
      <c r="U107" s="1273"/>
      <c r="V107" s="1275"/>
      <c r="W107" s="1272"/>
      <c r="X107" s="1273"/>
      <c r="Y107" s="1273"/>
      <c r="Z107" s="1273"/>
      <c r="AA107" s="1273"/>
      <c r="AB107" s="1273"/>
      <c r="AC107" s="1275"/>
      <c r="AD107" s="1275"/>
      <c r="AE107" s="1275"/>
      <c r="AF107" s="1276">
        <f t="shared" si="199"/>
        <v>0</v>
      </c>
      <c r="AG107" s="1276"/>
      <c r="AH107" s="1276"/>
      <c r="AI107" s="1276"/>
      <c r="AJ107" s="1276"/>
      <c r="AK107" s="1276">
        <f t="shared" si="197"/>
        <v>0</v>
      </c>
      <c r="AL107" s="1277"/>
      <c r="AM107" s="1276"/>
      <c r="AN107" s="1276"/>
      <c r="AO107" s="1276"/>
      <c r="AP107" s="1276">
        <f t="shared" si="198"/>
        <v>0</v>
      </c>
      <c r="AQ107" s="1277"/>
      <c r="AR107" s="1277"/>
      <c r="AS107" s="1277"/>
      <c r="AT107" s="1277"/>
      <c r="AU107" s="1277"/>
      <c r="AV107" s="1277"/>
      <c r="AW107" s="1277"/>
      <c r="AX107" s="1277">
        <f t="shared" ref="AX107:AX112" si="229">AV107+AW107</f>
        <v>0</v>
      </c>
      <c r="AY107" s="1278"/>
      <c r="AZ107" s="1278">
        <f t="shared" ref="AZ107:BA112" si="230">AK107-AP107</f>
        <v>0</v>
      </c>
      <c r="BA107" s="1278">
        <f t="shared" si="230"/>
        <v>0</v>
      </c>
      <c r="BB107" s="1279"/>
      <c r="BC107" s="1280"/>
      <c r="BD107" s="1280"/>
      <c r="BF107" s="1282"/>
      <c r="BG107" s="1282"/>
      <c r="BH107" s="1282"/>
      <c r="BI107" s="1282"/>
      <c r="BJ107" s="1282"/>
      <c r="BK107" s="1282"/>
      <c r="BL107" s="1282"/>
      <c r="BM107" s="1282"/>
      <c r="BN107" s="1282"/>
      <c r="BO107" s="1282"/>
      <c r="BP107" s="1282"/>
      <c r="BQ107" s="1282"/>
      <c r="BR107" s="1282"/>
      <c r="BS107" s="1282"/>
      <c r="BT107" s="1282"/>
      <c r="BU107" s="1282"/>
      <c r="BV107" s="1282"/>
    </row>
    <row r="108" spans="1:74" s="1024" customFormat="1" ht="15" customHeight="1" x14ac:dyDescent="0.25">
      <c r="A108" s="1058">
        <v>139</v>
      </c>
      <c r="B108" s="1058" t="s">
        <v>130</v>
      </c>
      <c r="C108" s="1058">
        <v>14</v>
      </c>
      <c r="D108" s="1231" t="s">
        <v>233</v>
      </c>
      <c r="E108" s="1016"/>
      <c r="F108" s="1230"/>
      <c r="G108" s="1230"/>
      <c r="H108" s="1035"/>
      <c r="I108" s="1036" t="s">
        <v>909</v>
      </c>
      <c r="J108" s="1257" t="s">
        <v>920</v>
      </c>
      <c r="K108" s="1234">
        <v>1</v>
      </c>
      <c r="L108" s="1234">
        <v>6</v>
      </c>
      <c r="M108" s="1234">
        <f t="shared" ref="M108" si="231">K108+L108</f>
        <v>7</v>
      </c>
      <c r="N108" s="1038">
        <v>3</v>
      </c>
      <c r="O108" s="1038"/>
      <c r="P108" s="1049">
        <f t="shared" ref="P108" si="232">N108+O108</f>
        <v>3</v>
      </c>
      <c r="Q108" s="1254">
        <v>1</v>
      </c>
      <c r="R108" s="1254">
        <v>5</v>
      </c>
      <c r="S108" s="1254">
        <f t="shared" ref="S108" si="233">Q108+R108</f>
        <v>6</v>
      </c>
      <c r="T108" s="1049">
        <v>3</v>
      </c>
      <c r="U108" s="1049"/>
      <c r="V108" s="1052">
        <f t="shared" ref="V108" si="234">T108+U108</f>
        <v>3</v>
      </c>
      <c r="W108" s="1038"/>
      <c r="X108" s="1049">
        <f t="shared" ref="X108" si="235">W108/40</f>
        <v>0</v>
      </c>
      <c r="Y108" s="1049"/>
      <c r="Z108" s="1049"/>
      <c r="AA108" s="1049">
        <f t="shared" ref="AA108" si="236">Z108/40</f>
        <v>0</v>
      </c>
      <c r="AB108" s="1049"/>
      <c r="AC108" s="1052"/>
      <c r="AD108" s="1052">
        <f t="shared" ref="AD108" si="237">AC108/40</f>
        <v>0</v>
      </c>
      <c r="AE108" s="1052"/>
      <c r="AF108" s="1044">
        <f t="shared" ref="AF108" si="238">AD108+AA108+X108</f>
        <v>0</v>
      </c>
      <c r="AG108" s="1044"/>
      <c r="AH108" s="1044"/>
      <c r="AI108" s="1044"/>
      <c r="AJ108" s="1044"/>
      <c r="AK108" s="1044">
        <f t="shared" ref="AK108" si="239">AJ108+AI108+AH108</f>
        <v>0</v>
      </c>
      <c r="AL108" s="1059"/>
      <c r="AM108" s="1044"/>
      <c r="AN108" s="1044"/>
      <c r="AO108" s="1044"/>
      <c r="AP108" s="1044">
        <f t="shared" ref="AP108" si="240">AO108+AN108+AM108</f>
        <v>0</v>
      </c>
      <c r="AQ108" s="1059"/>
      <c r="AR108" s="1059"/>
      <c r="AS108" s="1059"/>
      <c r="AT108" s="1059">
        <f t="shared" ref="AT108" si="241">AR108+AS108</f>
        <v>0</v>
      </c>
      <c r="AU108" s="1059"/>
      <c r="AV108" s="1059"/>
      <c r="AW108" s="1059"/>
      <c r="AX108" s="1059">
        <f t="shared" si="229"/>
        <v>0</v>
      </c>
      <c r="AY108" s="1060"/>
      <c r="AZ108" s="1060">
        <f t="shared" si="230"/>
        <v>0</v>
      </c>
      <c r="BA108" s="1060">
        <f t="shared" si="230"/>
        <v>0</v>
      </c>
      <c r="BB108" s="1061"/>
      <c r="BC108" s="1031"/>
      <c r="BD108" s="1031"/>
      <c r="BF108" s="1017"/>
      <c r="BG108" s="1017"/>
      <c r="BH108" s="1017"/>
      <c r="BI108" s="1017"/>
      <c r="BJ108" s="1017"/>
      <c r="BK108" s="1017"/>
      <c r="BL108" s="1017"/>
      <c r="BM108" s="1017"/>
      <c r="BN108" s="1017"/>
      <c r="BO108" s="1017"/>
      <c r="BP108" s="1017"/>
      <c r="BQ108" s="1017"/>
      <c r="BR108" s="1017"/>
      <c r="BS108" s="1017"/>
      <c r="BT108" s="1017"/>
      <c r="BU108" s="1017"/>
      <c r="BV108" s="1017"/>
    </row>
    <row r="109" spans="1:74" s="1281" customFormat="1" ht="15" customHeight="1" x14ac:dyDescent="0.25">
      <c r="A109" s="1264"/>
      <c r="B109" s="1264"/>
      <c r="C109" s="1264"/>
      <c r="D109" s="1265"/>
      <c r="E109" s="1266"/>
      <c r="F109" s="1267"/>
      <c r="G109" s="1267"/>
      <c r="H109" s="1268"/>
      <c r="I109" s="1269"/>
      <c r="J109" s="1270"/>
      <c r="K109" s="1271"/>
      <c r="L109" s="1271"/>
      <c r="M109" s="1271"/>
      <c r="N109" s="1272"/>
      <c r="O109" s="1272"/>
      <c r="P109" s="1273"/>
      <c r="Q109" s="1274"/>
      <c r="R109" s="1274"/>
      <c r="S109" s="1274"/>
      <c r="T109" s="1273"/>
      <c r="U109" s="1273"/>
      <c r="V109" s="1275"/>
      <c r="W109" s="1272"/>
      <c r="X109" s="1273"/>
      <c r="Y109" s="1273"/>
      <c r="Z109" s="1273"/>
      <c r="AA109" s="1273"/>
      <c r="AB109" s="1273"/>
      <c r="AC109" s="1275"/>
      <c r="AD109" s="1275"/>
      <c r="AE109" s="1275"/>
      <c r="AF109" s="1276"/>
      <c r="AG109" s="1276"/>
      <c r="AH109" s="1276"/>
      <c r="AI109" s="1276"/>
      <c r="AJ109" s="1276"/>
      <c r="AK109" s="1276"/>
      <c r="AL109" s="1277"/>
      <c r="AM109" s="1276"/>
      <c r="AN109" s="1276"/>
      <c r="AO109" s="1276"/>
      <c r="AP109" s="1276"/>
      <c r="AQ109" s="1277"/>
      <c r="AR109" s="1277"/>
      <c r="AS109" s="1277"/>
      <c r="AT109" s="1277"/>
      <c r="AU109" s="1277"/>
      <c r="AV109" s="1277"/>
      <c r="AW109" s="1277"/>
      <c r="AX109" s="1277"/>
      <c r="AY109" s="1278"/>
      <c r="AZ109" s="1278"/>
      <c r="BA109" s="1278"/>
      <c r="BB109" s="1279"/>
      <c r="BC109" s="1280"/>
      <c r="BD109" s="1280"/>
      <c r="BF109" s="1282"/>
      <c r="BG109" s="1282"/>
      <c r="BH109" s="1282"/>
      <c r="BI109" s="1282"/>
      <c r="BJ109" s="1282"/>
      <c r="BK109" s="1282"/>
      <c r="BL109" s="1282"/>
      <c r="BM109" s="1282"/>
      <c r="BN109" s="1282"/>
      <c r="BO109" s="1282"/>
      <c r="BP109" s="1282"/>
      <c r="BQ109" s="1282"/>
      <c r="BR109" s="1282"/>
      <c r="BS109" s="1282"/>
      <c r="BT109" s="1282"/>
      <c r="BU109" s="1282"/>
      <c r="BV109" s="1282"/>
    </row>
    <row r="110" spans="1:74" s="1024" customFormat="1" ht="15.75" customHeight="1" x14ac:dyDescent="0.25">
      <c r="A110" s="1058">
        <v>160</v>
      </c>
      <c r="B110" s="1058" t="s">
        <v>130</v>
      </c>
      <c r="C110" s="1058">
        <v>9</v>
      </c>
      <c r="D110" s="1098" t="s">
        <v>238</v>
      </c>
      <c r="E110" s="1016" t="s">
        <v>946</v>
      </c>
      <c r="F110" s="1095"/>
      <c r="G110" s="1095" t="s">
        <v>909</v>
      </c>
      <c r="H110" s="1035" t="s">
        <v>909</v>
      </c>
      <c r="I110" s="1036" t="s">
        <v>909</v>
      </c>
      <c r="J110" s="1257" t="s">
        <v>920</v>
      </c>
      <c r="K110" s="1234"/>
      <c r="L110" s="1234"/>
      <c r="M110" s="1234">
        <f t="shared" si="181"/>
        <v>0</v>
      </c>
      <c r="N110" s="1038"/>
      <c r="O110" s="1038"/>
      <c r="P110" s="1049">
        <f t="shared" si="227"/>
        <v>0</v>
      </c>
      <c r="Q110" s="1254">
        <f>41+18</f>
        <v>59</v>
      </c>
      <c r="R110" s="1254">
        <f>47+64</f>
        <v>111</v>
      </c>
      <c r="S110" s="1254">
        <f t="shared" si="191"/>
        <v>170</v>
      </c>
      <c r="T110" s="1049">
        <f>72+54</f>
        <v>126</v>
      </c>
      <c r="U110" s="1049">
        <f>20+28</f>
        <v>48</v>
      </c>
      <c r="V110" s="1052">
        <f t="shared" si="192"/>
        <v>174</v>
      </c>
      <c r="W110" s="1038"/>
      <c r="X110" s="1049">
        <f t="shared" si="196"/>
        <v>0</v>
      </c>
      <c r="Y110" s="1049">
        <f>SUM(X110:X110)</f>
        <v>0</v>
      </c>
      <c r="Z110" s="1049"/>
      <c r="AA110" s="1049">
        <f t="shared" si="195"/>
        <v>0</v>
      </c>
      <c r="AB110" s="1049">
        <f>SUM(AA110:AA110)</f>
        <v>0</v>
      </c>
      <c r="AC110" s="1052"/>
      <c r="AD110" s="1052">
        <f t="shared" si="193"/>
        <v>0</v>
      </c>
      <c r="AE110" s="1052">
        <f>SUM(AD110:AD110)</f>
        <v>0</v>
      </c>
      <c r="AF110" s="1044">
        <f t="shared" si="199"/>
        <v>0</v>
      </c>
      <c r="AG110" s="1044">
        <f>SUM(AF110:AF110)</f>
        <v>0</v>
      </c>
      <c r="AH110" s="1044"/>
      <c r="AI110" s="1044"/>
      <c r="AJ110" s="1044"/>
      <c r="AK110" s="1044">
        <f t="shared" si="197"/>
        <v>0</v>
      </c>
      <c r="AL110" s="1059">
        <f>SUM(AK110:AK110)</f>
        <v>0</v>
      </c>
      <c r="AM110" s="1044"/>
      <c r="AN110" s="1044"/>
      <c r="AO110" s="1044"/>
      <c r="AP110" s="1044">
        <f t="shared" si="198"/>
        <v>0</v>
      </c>
      <c r="AQ110" s="1059">
        <f>SUM(AP110:AP110)</f>
        <v>0</v>
      </c>
      <c r="AR110" s="1059"/>
      <c r="AS110" s="1059"/>
      <c r="AT110" s="1059">
        <f t="shared" ref="AT110" si="242">AR110+AS110</f>
        <v>0</v>
      </c>
      <c r="AU110" s="1059">
        <f>SUM(AT110:AT110)</f>
        <v>0</v>
      </c>
      <c r="AV110" s="1059"/>
      <c r="AW110" s="1059"/>
      <c r="AX110" s="1059">
        <f t="shared" si="229"/>
        <v>0</v>
      </c>
      <c r="AY110" s="1060">
        <f>SUM(AX110:AX110)</f>
        <v>0</v>
      </c>
      <c r="AZ110" s="1060">
        <f t="shared" si="230"/>
        <v>0</v>
      </c>
      <c r="BA110" s="1060">
        <f t="shared" si="230"/>
        <v>0</v>
      </c>
      <c r="BB110" s="1061"/>
      <c r="BC110" s="1031"/>
      <c r="BD110" s="1031"/>
      <c r="BF110" s="1017"/>
      <c r="BG110" s="1017"/>
      <c r="BH110" s="1017"/>
      <c r="BI110" s="1017"/>
      <c r="BJ110" s="1017"/>
      <c r="BK110" s="1017"/>
      <c r="BL110" s="1017"/>
      <c r="BM110" s="1017"/>
      <c r="BN110" s="1017"/>
      <c r="BO110" s="1017"/>
      <c r="BP110" s="1017"/>
      <c r="BQ110" s="1017"/>
      <c r="BR110" s="1017"/>
      <c r="BS110" s="1017"/>
      <c r="BT110" s="1017"/>
      <c r="BU110" s="1017"/>
      <c r="BV110" s="1017"/>
    </row>
    <row r="111" spans="1:74" s="1281" customFormat="1" x14ac:dyDescent="0.25">
      <c r="A111" s="1264"/>
      <c r="B111" s="1264"/>
      <c r="C111" s="1264"/>
      <c r="D111" s="1265"/>
      <c r="E111" s="1266"/>
      <c r="F111" s="1267"/>
      <c r="G111" s="1267"/>
      <c r="H111" s="1268"/>
      <c r="I111" s="1269"/>
      <c r="J111" s="1270"/>
      <c r="K111" s="1271"/>
      <c r="L111" s="1271"/>
      <c r="M111" s="1271"/>
      <c r="N111" s="1272"/>
      <c r="O111" s="1272"/>
      <c r="P111" s="1273"/>
      <c r="Q111" s="1274"/>
      <c r="R111" s="1274"/>
      <c r="S111" s="1274"/>
      <c r="T111" s="1273"/>
      <c r="U111" s="1273"/>
      <c r="V111" s="1275"/>
      <c r="W111" s="1272"/>
      <c r="X111" s="1273"/>
      <c r="Y111" s="1273"/>
      <c r="Z111" s="1273"/>
      <c r="AA111" s="1273"/>
      <c r="AB111" s="1273"/>
      <c r="AC111" s="1275"/>
      <c r="AD111" s="1275"/>
      <c r="AE111" s="1275"/>
      <c r="AF111" s="1276">
        <f t="shared" ref="AF111:AF112" si="243">AD111+AA111+X111</f>
        <v>0</v>
      </c>
      <c r="AG111" s="1276"/>
      <c r="AH111" s="1276"/>
      <c r="AI111" s="1276"/>
      <c r="AJ111" s="1276"/>
      <c r="AK111" s="1276">
        <f t="shared" ref="AK111:AK112" si="244">AJ111+AI111+AH111</f>
        <v>0</v>
      </c>
      <c r="AL111" s="1277"/>
      <c r="AM111" s="1276"/>
      <c r="AN111" s="1276"/>
      <c r="AO111" s="1276"/>
      <c r="AP111" s="1276">
        <f t="shared" ref="AP111:AP112" si="245">AO111+AN111+AM111</f>
        <v>0</v>
      </c>
      <c r="AQ111" s="1277"/>
      <c r="AR111" s="1277"/>
      <c r="AS111" s="1277"/>
      <c r="AT111" s="1277"/>
      <c r="AU111" s="1277"/>
      <c r="AV111" s="1277"/>
      <c r="AW111" s="1277"/>
      <c r="AX111" s="1277">
        <f t="shared" si="229"/>
        <v>0</v>
      </c>
      <c r="AY111" s="1278"/>
      <c r="AZ111" s="1278">
        <f t="shared" si="230"/>
        <v>0</v>
      </c>
      <c r="BA111" s="1278">
        <f t="shared" si="230"/>
        <v>0</v>
      </c>
      <c r="BB111" s="1279"/>
      <c r="BC111" s="1280"/>
      <c r="BD111" s="1280"/>
      <c r="BF111" s="1282"/>
      <c r="BG111" s="1282"/>
      <c r="BH111" s="1282"/>
      <c r="BI111" s="1282"/>
      <c r="BJ111" s="1282"/>
      <c r="BK111" s="1282"/>
      <c r="BL111" s="1282"/>
      <c r="BM111" s="1282"/>
      <c r="BN111" s="1282"/>
      <c r="BO111" s="1282"/>
      <c r="BP111" s="1282"/>
      <c r="BQ111" s="1282"/>
      <c r="BR111" s="1282"/>
      <c r="BS111" s="1282"/>
      <c r="BT111" s="1282"/>
      <c r="BU111" s="1282"/>
      <c r="BV111" s="1282"/>
    </row>
    <row r="112" spans="1:74" s="1024" customFormat="1" x14ac:dyDescent="0.25">
      <c r="A112" s="1058"/>
      <c r="B112" s="1058"/>
      <c r="C112" s="1058"/>
      <c r="D112" s="1098" t="s">
        <v>342</v>
      </c>
      <c r="E112" s="1016"/>
      <c r="F112" s="1095"/>
      <c r="G112" s="1095"/>
      <c r="H112" s="1035"/>
      <c r="I112" s="1036"/>
      <c r="J112" s="1257"/>
      <c r="K112" s="1234"/>
      <c r="L112" s="1234"/>
      <c r="M112" s="1234">
        <f>K112+L112</f>
        <v>0</v>
      </c>
      <c r="N112" s="1038"/>
      <c r="O112" s="1038"/>
      <c r="P112" s="1049">
        <f>N112+O112</f>
        <v>0</v>
      </c>
      <c r="Q112" s="1254"/>
      <c r="R112" s="1254"/>
      <c r="S112" s="1254">
        <f t="shared" ref="S112:S117" si="246">Q112+R112</f>
        <v>0</v>
      </c>
      <c r="T112" s="1049"/>
      <c r="U112" s="1049"/>
      <c r="V112" s="1052">
        <f t="shared" ref="V112:V117" si="247">T112+U112</f>
        <v>0</v>
      </c>
      <c r="W112" s="1038"/>
      <c r="X112" s="1049">
        <f>W112/40</f>
        <v>0</v>
      </c>
      <c r="Y112" s="1049">
        <f>SUM(X112:X115)</f>
        <v>0</v>
      </c>
      <c r="Z112" s="1049"/>
      <c r="AA112" s="1049">
        <f>Z112/40</f>
        <v>0</v>
      </c>
      <c r="AB112" s="1049">
        <f>SUM(AA112:AA115)</f>
        <v>0</v>
      </c>
      <c r="AC112" s="1052">
        <v>400</v>
      </c>
      <c r="AD112" s="1052">
        <f t="shared" ref="AD112:AD116" si="248">AC112/40</f>
        <v>10</v>
      </c>
      <c r="AE112" s="1052">
        <f>SUM(AD112:AD115)</f>
        <v>10</v>
      </c>
      <c r="AF112" s="1044">
        <f t="shared" si="243"/>
        <v>10</v>
      </c>
      <c r="AG112" s="1044">
        <f>SUM(AF112:AF115)</f>
        <v>10</v>
      </c>
      <c r="AH112" s="1044"/>
      <c r="AI112" s="1044"/>
      <c r="AJ112" s="1044">
        <v>10</v>
      </c>
      <c r="AK112" s="1044">
        <f t="shared" si="244"/>
        <v>10</v>
      </c>
      <c r="AL112" s="1059">
        <f>SUM(AK112:AK115)</f>
        <v>10</v>
      </c>
      <c r="AM112" s="1044"/>
      <c r="AN112" s="1044"/>
      <c r="AO112" s="1044"/>
      <c r="AP112" s="1044">
        <f t="shared" si="245"/>
        <v>0</v>
      </c>
      <c r="AQ112" s="1059">
        <f>SUM(AP112:AP115)</f>
        <v>0</v>
      </c>
      <c r="AR112" s="1066"/>
      <c r="AS112" s="1066"/>
      <c r="AT112" s="1059">
        <f>AR112+AS112</f>
        <v>0</v>
      </c>
      <c r="AU112" s="1059">
        <f>SUM(AT112:AT115)</f>
        <v>0</v>
      </c>
      <c r="AV112" s="1059"/>
      <c r="AW112" s="1066"/>
      <c r="AX112" s="1059">
        <f t="shared" si="229"/>
        <v>0</v>
      </c>
      <c r="AY112" s="1060">
        <f>SUM(AX112:AX115)</f>
        <v>0</v>
      </c>
      <c r="AZ112" s="1060">
        <f t="shared" si="230"/>
        <v>10</v>
      </c>
      <c r="BA112" s="1060">
        <f>AL112-AQ112</f>
        <v>10</v>
      </c>
      <c r="BB112" s="1061"/>
      <c r="BC112" s="1031"/>
      <c r="BD112" s="1031"/>
      <c r="BF112" s="1017"/>
      <c r="BG112" s="1017"/>
      <c r="BH112" s="1017"/>
      <c r="BI112" s="1017"/>
      <c r="BJ112" s="1017"/>
      <c r="BK112" s="1017"/>
      <c r="BL112" s="1017"/>
      <c r="BM112" s="1017"/>
      <c r="BN112" s="1017"/>
      <c r="BO112" s="1017"/>
      <c r="BP112" s="1017"/>
      <c r="BQ112" s="1017"/>
      <c r="BR112" s="1017"/>
      <c r="BS112" s="1017"/>
      <c r="BT112" s="1017"/>
      <c r="BU112" s="1017"/>
      <c r="BV112" s="1017"/>
    </row>
    <row r="113" spans="1:74" s="1281" customFormat="1" x14ac:dyDescent="0.25">
      <c r="A113" s="1264"/>
      <c r="B113" s="1264"/>
      <c r="C113" s="1264"/>
      <c r="D113" s="1265"/>
      <c r="E113" s="1266"/>
      <c r="F113" s="1267"/>
      <c r="G113" s="1267"/>
      <c r="H113" s="1268"/>
      <c r="I113" s="1269"/>
      <c r="J113" s="1270"/>
      <c r="K113" s="1271"/>
      <c r="L113" s="1271"/>
      <c r="M113" s="1271"/>
      <c r="N113" s="1272"/>
      <c r="O113" s="1272"/>
      <c r="P113" s="1273"/>
      <c r="Q113" s="1274"/>
      <c r="R113" s="1274"/>
      <c r="S113" s="1274"/>
      <c r="T113" s="1273"/>
      <c r="U113" s="1273"/>
      <c r="V113" s="1275"/>
      <c r="W113" s="1272"/>
      <c r="X113" s="1273"/>
      <c r="Y113" s="1273"/>
      <c r="Z113" s="1273"/>
      <c r="AA113" s="1273"/>
      <c r="AB113" s="1273"/>
      <c r="AC113" s="1275"/>
      <c r="AD113" s="1275"/>
      <c r="AE113" s="1275"/>
      <c r="AF113" s="1276"/>
      <c r="AG113" s="1276"/>
      <c r="AH113" s="1276"/>
      <c r="AI113" s="1276"/>
      <c r="AJ113" s="1276"/>
      <c r="AK113" s="1276"/>
      <c r="AL113" s="1277"/>
      <c r="AM113" s="1276"/>
      <c r="AN113" s="1276"/>
      <c r="AO113" s="1276"/>
      <c r="AP113" s="1276"/>
      <c r="AQ113" s="1277"/>
      <c r="AR113" s="1349"/>
      <c r="AS113" s="1349"/>
      <c r="AT113" s="1277"/>
      <c r="AU113" s="1277"/>
      <c r="AV113" s="1277"/>
      <c r="AW113" s="1349"/>
      <c r="AX113" s="1277"/>
      <c r="AY113" s="1278"/>
      <c r="AZ113" s="1278"/>
      <c r="BA113" s="1278"/>
      <c r="BB113" s="1279"/>
      <c r="BC113" s="1280"/>
      <c r="BD113" s="1280"/>
      <c r="BF113" s="1282"/>
      <c r="BG113" s="1282"/>
      <c r="BH113" s="1282"/>
      <c r="BI113" s="1282"/>
      <c r="BJ113" s="1282"/>
      <c r="BK113" s="1282"/>
      <c r="BL113" s="1282"/>
      <c r="BM113" s="1282"/>
      <c r="BN113" s="1282"/>
      <c r="BO113" s="1282"/>
      <c r="BP113" s="1282"/>
      <c r="BQ113" s="1282"/>
      <c r="BR113" s="1282"/>
      <c r="BS113" s="1282"/>
      <c r="BT113" s="1282"/>
      <c r="BU113" s="1282"/>
      <c r="BV113" s="1282"/>
    </row>
    <row r="114" spans="1:74" s="1024" customFormat="1" x14ac:dyDescent="0.25">
      <c r="A114" s="1058"/>
      <c r="B114" s="1058"/>
      <c r="C114" s="1058"/>
      <c r="D114" s="1098" t="s">
        <v>754</v>
      </c>
      <c r="E114" s="1016" t="s">
        <v>947</v>
      </c>
      <c r="F114" s="1095"/>
      <c r="G114" s="1095"/>
      <c r="H114" s="1035"/>
      <c r="I114" s="1036" t="s">
        <v>909</v>
      </c>
      <c r="J114" s="1257" t="s">
        <v>920</v>
      </c>
      <c r="K114" s="1234"/>
      <c r="L114" s="1234"/>
      <c r="M114" s="1234">
        <f>K114+L114</f>
        <v>0</v>
      </c>
      <c r="N114" s="1038"/>
      <c r="O114" s="1038"/>
      <c r="P114" s="1049">
        <f t="shared" ref="P114:P117" si="249">N114+O114</f>
        <v>0</v>
      </c>
      <c r="Q114" s="1254">
        <v>6</v>
      </c>
      <c r="R114" s="1254">
        <v>8</v>
      </c>
      <c r="S114" s="1254">
        <f t="shared" si="246"/>
        <v>14</v>
      </c>
      <c r="T114" s="1049">
        <v>24</v>
      </c>
      <c r="U114" s="1049"/>
      <c r="V114" s="1052">
        <f t="shared" si="247"/>
        <v>24</v>
      </c>
      <c r="W114" s="1038"/>
      <c r="X114" s="1049"/>
      <c r="Y114" s="1049"/>
      <c r="Z114" s="1049"/>
      <c r="AA114" s="1049"/>
      <c r="AB114" s="1049"/>
      <c r="AC114" s="1052"/>
      <c r="AD114" s="1052"/>
      <c r="AE114" s="1052"/>
      <c r="AF114" s="1044"/>
      <c r="AG114" s="1044"/>
      <c r="AH114" s="1044"/>
      <c r="AI114" s="1044"/>
      <c r="AJ114" s="1044"/>
      <c r="AK114" s="1044"/>
      <c r="AL114" s="1059"/>
      <c r="AM114" s="1044"/>
      <c r="AN114" s="1044"/>
      <c r="AO114" s="1044"/>
      <c r="AP114" s="1044"/>
      <c r="AQ114" s="1059"/>
      <c r="AR114" s="1059"/>
      <c r="AS114" s="1059"/>
      <c r="AT114" s="1059"/>
      <c r="AU114" s="1059"/>
      <c r="AV114" s="1059"/>
      <c r="AW114" s="1059"/>
      <c r="AX114" s="1059"/>
      <c r="AY114" s="1060"/>
      <c r="AZ114" s="1060"/>
      <c r="BA114" s="1060"/>
      <c r="BB114" s="1061"/>
      <c r="BC114" s="1031"/>
      <c r="BD114" s="1031"/>
      <c r="BF114" s="1017"/>
      <c r="BG114" s="1017"/>
      <c r="BH114" s="1017"/>
      <c r="BI114" s="1017"/>
      <c r="BJ114" s="1017"/>
      <c r="BK114" s="1017"/>
      <c r="BL114" s="1017"/>
      <c r="BM114" s="1017"/>
      <c r="BN114" s="1017"/>
      <c r="BO114" s="1017"/>
      <c r="BP114" s="1017"/>
      <c r="BQ114" s="1017"/>
      <c r="BR114" s="1017"/>
      <c r="BS114" s="1017"/>
      <c r="BT114" s="1017"/>
      <c r="BU114" s="1017"/>
      <c r="BV114" s="1017"/>
    </row>
    <row r="115" spans="1:74" s="1024" customFormat="1" x14ac:dyDescent="0.25">
      <c r="A115" s="1303"/>
      <c r="B115" s="1303"/>
      <c r="C115" s="1303"/>
      <c r="D115" s="1231" t="s">
        <v>754</v>
      </c>
      <c r="E115" s="1304" t="s">
        <v>948</v>
      </c>
      <c r="F115" s="1305"/>
      <c r="G115" s="1305"/>
      <c r="H115" s="1306"/>
      <c r="I115" s="1036" t="s">
        <v>909</v>
      </c>
      <c r="J115" s="1257" t="s">
        <v>920</v>
      </c>
      <c r="K115" s="1307"/>
      <c r="L115" s="1307"/>
      <c r="M115" s="1234">
        <f t="shared" ref="M115:M117" si="250">K115+L115</f>
        <v>0</v>
      </c>
      <c r="N115" s="1308"/>
      <c r="O115" s="1308"/>
      <c r="P115" s="1049">
        <f t="shared" si="249"/>
        <v>0</v>
      </c>
      <c r="Q115" s="1310">
        <v>18</v>
      </c>
      <c r="R115" s="1310">
        <v>16</v>
      </c>
      <c r="S115" s="1254">
        <f t="shared" si="246"/>
        <v>34</v>
      </c>
      <c r="T115" s="1309">
        <v>25</v>
      </c>
      <c r="U115" s="1309"/>
      <c r="V115" s="1052">
        <f t="shared" si="247"/>
        <v>25</v>
      </c>
      <c r="W115" s="1308"/>
      <c r="X115" s="1309"/>
      <c r="Y115" s="1309"/>
      <c r="Z115" s="1309"/>
      <c r="AA115" s="1309"/>
      <c r="AB115" s="1309"/>
      <c r="AC115" s="1311"/>
      <c r="AD115" s="1311"/>
      <c r="AE115" s="1311"/>
      <c r="AF115" s="1312"/>
      <c r="AG115" s="1312"/>
      <c r="AH115" s="1312"/>
      <c r="AI115" s="1312"/>
      <c r="AJ115" s="1312"/>
      <c r="AK115" s="1312"/>
      <c r="AL115" s="1313"/>
      <c r="AM115" s="1312"/>
      <c r="AN115" s="1312"/>
      <c r="AO115" s="1312"/>
      <c r="AP115" s="1312"/>
      <c r="AQ115" s="1313"/>
      <c r="AR115" s="1313"/>
      <c r="AS115" s="1313"/>
      <c r="AT115" s="1313"/>
      <c r="AU115" s="1313"/>
      <c r="AV115" s="1313"/>
      <c r="AW115" s="1313"/>
      <c r="AX115" s="1313"/>
      <c r="AY115" s="1314"/>
      <c r="AZ115" s="1314"/>
      <c r="BA115" s="1314"/>
      <c r="BB115" s="1315"/>
      <c r="BC115" s="1316"/>
      <c r="BD115" s="1316"/>
      <c r="BF115" s="1017"/>
      <c r="BG115" s="1017"/>
      <c r="BH115" s="1017"/>
      <c r="BI115" s="1017"/>
      <c r="BJ115" s="1017"/>
      <c r="BK115" s="1017"/>
      <c r="BL115" s="1017"/>
      <c r="BM115" s="1017"/>
      <c r="BN115" s="1017"/>
      <c r="BO115" s="1017"/>
      <c r="BP115" s="1017"/>
      <c r="BQ115" s="1017"/>
      <c r="BR115" s="1017"/>
      <c r="BS115" s="1017"/>
      <c r="BT115" s="1017"/>
      <c r="BU115" s="1017"/>
      <c r="BV115" s="1017"/>
    </row>
    <row r="116" spans="1:74" s="1319" customFormat="1" x14ac:dyDescent="0.25">
      <c r="A116" s="1031"/>
      <c r="B116" s="1031"/>
      <c r="C116" s="1031"/>
      <c r="D116" s="1231" t="s">
        <v>754</v>
      </c>
      <c r="E116" s="1016" t="s">
        <v>556</v>
      </c>
      <c r="F116" s="1230"/>
      <c r="G116" s="1230"/>
      <c r="H116" s="1032"/>
      <c r="I116" s="1036" t="s">
        <v>909</v>
      </c>
      <c r="J116" s="1257" t="s">
        <v>920</v>
      </c>
      <c r="K116" s="1234"/>
      <c r="L116" s="1234"/>
      <c r="M116" s="1234">
        <f t="shared" si="250"/>
        <v>0</v>
      </c>
      <c r="N116" s="1031"/>
      <c r="O116" s="1031"/>
      <c r="P116" s="1049">
        <f t="shared" si="249"/>
        <v>0</v>
      </c>
      <c r="Q116" s="1254">
        <v>3</v>
      </c>
      <c r="R116" s="1254">
        <v>11</v>
      </c>
      <c r="S116" s="1254">
        <f t="shared" si="246"/>
        <v>14</v>
      </c>
      <c r="T116" s="1049">
        <v>14</v>
      </c>
      <c r="U116" s="1049"/>
      <c r="V116" s="1052">
        <f t="shared" si="247"/>
        <v>14</v>
      </c>
      <c r="W116" s="1038"/>
      <c r="X116" s="1038"/>
      <c r="Y116" s="1038"/>
      <c r="Z116" s="1038"/>
      <c r="AA116" s="1038"/>
      <c r="AB116" s="1038"/>
      <c r="AC116" s="1052"/>
      <c r="AD116" s="1052">
        <f t="shared" si="248"/>
        <v>0</v>
      </c>
      <c r="AE116" s="1052"/>
      <c r="AF116" s="1044"/>
      <c r="AG116" s="1044"/>
      <c r="AH116" s="1044"/>
      <c r="AI116" s="1044"/>
      <c r="AJ116" s="1044"/>
      <c r="AK116" s="1044"/>
      <c r="AL116" s="1317"/>
      <c r="AM116" s="1317"/>
      <c r="AN116" s="1317"/>
      <c r="AO116" s="1317"/>
      <c r="AP116" s="1317"/>
      <c r="AQ116" s="1317"/>
      <c r="AR116" s="1317"/>
      <c r="AS116" s="1317"/>
      <c r="AT116" s="1317"/>
      <c r="AU116" s="1317"/>
      <c r="AV116" s="1317"/>
      <c r="AW116" s="1317"/>
      <c r="AX116" s="1317"/>
      <c r="AY116" s="1317"/>
      <c r="AZ116" s="1317"/>
      <c r="BA116" s="1074"/>
      <c r="BB116" s="1318"/>
      <c r="BC116" s="1031"/>
      <c r="BD116" s="1031"/>
      <c r="BF116" s="1031"/>
      <c r="BG116" s="1031"/>
      <c r="BH116" s="1031"/>
      <c r="BI116" s="1031"/>
      <c r="BJ116" s="1031"/>
      <c r="BK116" s="1031"/>
      <c r="BL116" s="1031"/>
      <c r="BM116" s="1031"/>
      <c r="BN116" s="1031"/>
      <c r="BO116" s="1031"/>
      <c r="BP116" s="1031"/>
      <c r="BQ116" s="1031"/>
      <c r="BR116" s="1031"/>
      <c r="BS116" s="1031"/>
      <c r="BT116" s="1031"/>
      <c r="BU116" s="1031"/>
      <c r="BV116" s="1031"/>
    </row>
    <row r="117" spans="1:74" s="1031" customFormat="1" x14ac:dyDescent="0.25">
      <c r="D117" s="1231" t="s">
        <v>754</v>
      </c>
      <c r="E117" s="1016" t="s">
        <v>574</v>
      </c>
      <c r="F117" s="1230"/>
      <c r="G117" s="1230"/>
      <c r="H117" s="1032"/>
      <c r="I117" s="1036" t="s">
        <v>909</v>
      </c>
      <c r="J117" s="1257" t="s">
        <v>920</v>
      </c>
      <c r="K117" s="1234"/>
      <c r="L117" s="1234"/>
      <c r="M117" s="1234">
        <f t="shared" si="250"/>
        <v>0</v>
      </c>
      <c r="P117" s="1049">
        <f t="shared" si="249"/>
        <v>0</v>
      </c>
      <c r="Q117" s="1255">
        <v>2</v>
      </c>
      <c r="R117" s="1255">
        <v>8</v>
      </c>
      <c r="S117" s="1254">
        <f t="shared" si="246"/>
        <v>10</v>
      </c>
      <c r="T117" s="1031">
        <v>10</v>
      </c>
      <c r="V117" s="1052">
        <f t="shared" si="247"/>
        <v>10</v>
      </c>
      <c r="W117" s="1038"/>
      <c r="X117" s="1038"/>
      <c r="Y117" s="1038"/>
      <c r="Z117" s="1038"/>
      <c r="AA117" s="1038"/>
      <c r="AB117" s="1038"/>
      <c r="AC117" s="1039"/>
      <c r="AD117" s="1039"/>
      <c r="AE117" s="1039"/>
      <c r="AF117" s="1038"/>
      <c r="AG117" s="1038"/>
      <c r="AH117" s="1038"/>
      <c r="AI117" s="1038"/>
      <c r="AJ117" s="1038"/>
      <c r="AK117" s="1038"/>
      <c r="AL117" s="1317"/>
      <c r="AM117" s="1317"/>
      <c r="AN117" s="1317"/>
      <c r="AO117" s="1317"/>
      <c r="AP117" s="1317"/>
      <c r="AQ117" s="1317"/>
      <c r="AR117" s="1317"/>
      <c r="AS117" s="1317"/>
      <c r="AT117" s="1317"/>
      <c r="AU117" s="1317"/>
      <c r="AV117" s="1317"/>
      <c r="AW117" s="1317"/>
      <c r="AX117" s="1317"/>
      <c r="AY117" s="1317"/>
      <c r="AZ117" s="1317"/>
      <c r="BA117" s="1074"/>
      <c r="BB117" s="1318"/>
      <c r="BE117" s="1319"/>
    </row>
    <row r="118" spans="1:74" x14ac:dyDescent="0.25">
      <c r="W118" s="1079"/>
      <c r="X118" s="1079"/>
    </row>
  </sheetData>
  <mergeCells count="29">
    <mergeCell ref="BB2:BB4"/>
    <mergeCell ref="BC2:BD2"/>
    <mergeCell ref="W3:Y3"/>
    <mergeCell ref="Z3:AB3"/>
    <mergeCell ref="AC3:AE3"/>
    <mergeCell ref="AR4:AU4"/>
    <mergeCell ref="AV4:AX4"/>
    <mergeCell ref="AM2:AP2"/>
    <mergeCell ref="N4:P4"/>
    <mergeCell ref="Q4:S4"/>
    <mergeCell ref="T4:V4"/>
    <mergeCell ref="AQ2:AQ4"/>
    <mergeCell ref="AZ2:BA2"/>
    <mergeCell ref="D1:X1"/>
    <mergeCell ref="AC1:AD1"/>
    <mergeCell ref="AM1:AX1"/>
    <mergeCell ref="A2:A4"/>
    <mergeCell ref="E2:E4"/>
    <mergeCell ref="F2:F4"/>
    <mergeCell ref="G2:G4"/>
    <mergeCell ref="H2:H4"/>
    <mergeCell ref="I2:I4"/>
    <mergeCell ref="J2:J4"/>
    <mergeCell ref="K2:O3"/>
    <mergeCell ref="Q2:V3"/>
    <mergeCell ref="W2:AG2"/>
    <mergeCell ref="AH2:AK2"/>
    <mergeCell ref="AL2:AL4"/>
    <mergeCell ref="K4:M4"/>
  </mergeCells>
  <pageMargins left="0.5" right="0.25" top="0.5" bottom="0.25" header="0.3" footer="0.3"/>
  <pageSetup paperSize="14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per LGU</vt:lpstr>
      <vt:lpstr>Retrieved masterlist HYBRID</vt:lpstr>
      <vt:lpstr>Vald  per FA Pioneer</vt:lpstr>
      <vt:lpstr>Vald  per FA SL Bigante</vt:lpstr>
      <vt:lpstr>INBRED CONSOL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2016-11-11T00:46:34Z</cp:lastPrinted>
  <dcterms:created xsi:type="dcterms:W3CDTF">2016-03-31T07:46:18Z</dcterms:created>
  <dcterms:modified xsi:type="dcterms:W3CDTF">2016-11-24T09:08:56Z</dcterms:modified>
</cp:coreProperties>
</file>