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LENOVO\Desktop\AlFan\Youtube\Skills2Succeed\Income &amp; Expense Tracker\"/>
    </mc:Choice>
  </mc:AlternateContent>
  <xr:revisionPtr revIDLastSave="0" documentId="13_ncr:1_{746DDCC1-3F5B-4102-AA56-755E06294E20}" xr6:coauthVersionLast="47" xr6:coauthVersionMax="47" xr10:uidLastSave="{00000000-0000-0000-0000-000000000000}"/>
  <bookViews>
    <workbookView xWindow="-108" yWindow="-108" windowWidth="23256" windowHeight="12456" xr2:uid="{00000000-000D-0000-FFFF-FFFF00000000}"/>
  </bookViews>
  <sheets>
    <sheet name="SETTINGS" sheetId="6" r:id="rId1"/>
    <sheet name="TRANSACTIONS" sheetId="2" r:id="rId2"/>
    <sheet name="REPORTING SUMMARY" sheetId="3" r:id="rId3"/>
    <sheet name="Monthly_Summary_Table" sheetId="7" state="hidden" r:id="rId4"/>
    <sheet name="pivot_tables" sheetId="5" state="hidden" r:id="rId5"/>
  </sheets>
  <definedNames>
    <definedName name="Acct_MonthEndBalance">OFFSET(Monthly_Summary_Table!$O$4,0,0,IFERROR(MATCH("",Table3[Date],0),121)-1,1)</definedName>
    <definedName name="ALLACCTS">OFFSET(Monthly_Summary_Table!$W$4,0,0,Monthly_Summary_Table!$X$2,1)</definedName>
    <definedName name="BankAccounts">T_BANK_ACCTS[ACCOUNT NAME]</definedName>
    <definedName name="CategoriesBudget">T_EXP_CATS[]</definedName>
    <definedName name="CreditCardAccounts">T_CREDIT_ACCTS[ACCOUNT NAME]</definedName>
    <definedName name="Expense_Budgets">T_EXP_CATS[MONTHLY BUDGET]</definedName>
    <definedName name="ExpenseCategories">T_EXP_CATS[EXPENSE CATEGORY]</definedName>
    <definedName name="I_BankAccounts">T_BANK_ACCTS[]</definedName>
    <definedName name="I_CHOSEN_ACCT">'REPORTING SUMMARY'!$F$31</definedName>
    <definedName name="I_CHOSEN_ACCTTYPE">'REPORTING SUMMARY'!$H$32</definedName>
    <definedName name="I_CreditAccounts">T_CREDIT_ACCTS[]</definedName>
    <definedName name="IncomeCategories">T_INC_CATS[INCOME CATEGORY]</definedName>
    <definedName name="MonthlyBudget">SUM(T_EXP_CATS[MONTHLY BUDGET])</definedName>
    <definedName name="MonthlySummary_Budget">OFFSET(Monthly_Summary_Table!$H$4,0,0,IFERROR(MATCH("",Table3[Date],0),121)-1,1)</definedName>
    <definedName name="MonthlySummary_Date">OFFSET(Monthly_Summary_Table!$B$4,0,0,IFERROR(MATCH("",Table3[Date],0),121)-1,1)</definedName>
    <definedName name="MonthlySummary_Expense">OFFSET(Monthly_Summary_Table!$F$4,0,0,IFERROR(MATCH("",Table3[Date],0),121)-1,1)</definedName>
    <definedName name="MonthlySummary_NetBalance">OFFSET(Monthly_Summary_Table!$J$4,0,0,IFERROR(MATCH("",Table3[Date],0),121)-1,1)</definedName>
    <definedName name="MonthlySummary_Savings">OFFSET(Monthly_Summary_Table!$G$4,0,0,IFERROR(MATCH("",Table3[Date],0),121)-1,1)</definedName>
    <definedName name="_xlnm.Print_Area" localSheetId="2">'REPORTING SUMMARY'!$B$1:$M$53,'REPORTING SUMMARY'!$O$1:$AI$52,'REPORTING SUMMARY'!$AK$1:$BD$52,'REPORTING SUMMARY'!$BF$1:$BU$52</definedName>
    <definedName name="_xlnm.Print_Area" localSheetId="0">SETTINGS!$A$1:$R$51</definedName>
    <definedName name="Slicer_Account">#N/A</definedName>
    <definedName name="Slicer_Category">#N/A</definedName>
    <definedName name="Slicer_Category1">#N/A</definedName>
    <definedName name="Slicer_MONTH">#N/A</definedName>
    <definedName name="Slicer_MONTH1">#N/A</definedName>
    <definedName name="Slicer_Subcategory">#N/A</definedName>
    <definedName name="Slicer_Type">#N/A</definedName>
    <definedName name="Slicer_YEAR">#N/A</definedName>
    <definedName name="Slicer_YEAR1">#N/A</definedName>
    <definedName name="Starting_Worth">IFERROR(SUM(T_BANK_ACCTS[STARTING BALANCE])+SUM(T_CREDIT_ACCTS[STARTING BALANCE])+SUM(T_CASH_ACCTS[STARTING BALANCE]),0)</definedName>
    <definedName name="SubCategories">T_EXP_SCATS[EXPENSE SUBCATEGORY]</definedName>
    <definedName name="TransferCategories">T_TRA_CATS[TRANSFER CATEGORY]</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2" l="1"/>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19" i="2"/>
  <c r="J19" i="2"/>
  <c r="I20" i="2"/>
  <c r="J20" i="2"/>
  <c r="I17" i="2"/>
  <c r="J17" i="2"/>
  <c r="I18" i="2"/>
  <c r="J18" i="2"/>
  <c r="I21" i="2"/>
  <c r="J21" i="2"/>
  <c r="I3" i="2"/>
  <c r="I4" i="2"/>
  <c r="I5" i="2"/>
  <c r="I6" i="2"/>
  <c r="I7" i="2"/>
  <c r="I8" i="2"/>
  <c r="I9" i="2"/>
  <c r="I10" i="2"/>
  <c r="I11" i="2"/>
  <c r="I12" i="2"/>
  <c r="I13" i="2"/>
  <c r="I14" i="2"/>
  <c r="I15" i="2"/>
  <c r="I16" i="2"/>
  <c r="J3" i="2"/>
  <c r="J4" i="2"/>
  <c r="J5" i="2"/>
  <c r="J6" i="2"/>
  <c r="J7" i="2"/>
  <c r="J8" i="2"/>
  <c r="J9" i="2"/>
  <c r="J10" i="2"/>
  <c r="J11" i="2"/>
  <c r="J12" i="2"/>
  <c r="J13" i="2"/>
  <c r="J14" i="2"/>
  <c r="J15" i="2"/>
  <c r="J16" i="2"/>
  <c r="AB9" i="3" l="1"/>
  <c r="AG6" i="3" s="1"/>
  <c r="U6" i="3"/>
  <c r="Y6" i="3"/>
  <c r="B4" i="7" l="1"/>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6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3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4" i="7"/>
  <c r="AB42" i="3" l="1"/>
  <c r="AD42" i="3" s="1"/>
  <c r="AB43" i="3"/>
  <c r="AD43" i="3" s="1"/>
  <c r="AB44" i="3"/>
  <c r="AD44" i="3" s="1"/>
  <c r="AB45" i="3"/>
  <c r="AD45" i="3" s="1"/>
  <c r="AB46" i="3"/>
  <c r="AD46" i="3" s="1"/>
  <c r="AB47" i="3"/>
  <c r="AD47" i="3" s="1"/>
  <c r="AB48" i="3"/>
  <c r="AD48" i="3" s="1"/>
  <c r="AB49" i="3"/>
  <c r="AD49" i="3" s="1"/>
  <c r="AB26" i="3"/>
  <c r="AD26" i="3" s="1"/>
  <c r="AB27" i="3"/>
  <c r="AD27" i="3" s="1"/>
  <c r="AB28" i="3"/>
  <c r="AD28" i="3" s="1"/>
  <c r="AB29" i="3"/>
  <c r="AD29" i="3" s="1"/>
  <c r="AB30" i="3"/>
  <c r="AD30" i="3" s="1"/>
  <c r="AB31" i="3"/>
  <c r="AD31" i="3" s="1"/>
  <c r="AB32" i="3"/>
  <c r="AD32" i="3" s="1"/>
  <c r="AB33" i="3"/>
  <c r="AD33" i="3" s="1"/>
  <c r="AB34" i="3"/>
  <c r="AD34" i="3" s="1"/>
  <c r="AB35" i="3"/>
  <c r="AD35" i="3" s="1"/>
  <c r="AB36" i="3"/>
  <c r="AD36" i="3" s="1"/>
  <c r="AB37" i="3"/>
  <c r="AD37" i="3" s="1"/>
  <c r="AB38" i="3"/>
  <c r="AD38" i="3" s="1"/>
  <c r="AB39" i="3"/>
  <c r="AD39" i="3" s="1"/>
  <c r="AB40" i="3"/>
  <c r="AD40" i="3" s="1"/>
  <c r="AB41" i="3"/>
  <c r="AD41" i="3" s="1"/>
  <c r="AB22" i="3"/>
  <c r="AD22" i="3" s="1"/>
  <c r="AB23" i="3"/>
  <c r="AD23" i="3" s="1"/>
  <c r="AB24" i="3"/>
  <c r="AD24" i="3" s="1"/>
  <c r="AB25" i="3"/>
  <c r="AD25" i="3" s="1"/>
  <c r="AB20" i="3"/>
  <c r="AD20" i="3" s="1"/>
  <c r="AB21" i="3"/>
  <c r="AD21" i="3" s="1"/>
  <c r="AD51" i="3"/>
  <c r="AE48" i="3" l="1"/>
  <c r="AE44" i="3"/>
  <c r="AE40" i="3"/>
  <c r="AF40" i="3" s="1"/>
  <c r="AE36" i="3"/>
  <c r="AF36" i="3" s="1"/>
  <c r="AE32" i="3"/>
  <c r="AF32" i="3" s="1"/>
  <c r="AE24" i="3"/>
  <c r="AF24" i="3" s="1"/>
  <c r="AE47" i="3"/>
  <c r="AE43" i="3"/>
  <c r="AE39" i="3"/>
  <c r="AF39" i="3" s="1"/>
  <c r="AE35" i="3"/>
  <c r="AF35" i="3" s="1"/>
  <c r="AE31" i="3"/>
  <c r="AF31" i="3" s="1"/>
  <c r="AE27" i="3"/>
  <c r="AF27" i="3" s="1"/>
  <c r="AE23" i="3"/>
  <c r="AF23" i="3" s="1"/>
  <c r="AE46" i="3"/>
  <c r="AE42" i="3"/>
  <c r="AE38" i="3"/>
  <c r="AF38" i="3" s="1"/>
  <c r="AE34" i="3"/>
  <c r="AF34" i="3" s="1"/>
  <c r="AE30" i="3"/>
  <c r="AF30" i="3" s="1"/>
  <c r="AE26" i="3"/>
  <c r="AF26" i="3" s="1"/>
  <c r="AE22" i="3"/>
  <c r="AF22" i="3" s="1"/>
  <c r="AE28" i="3"/>
  <c r="AF28" i="3" s="1"/>
  <c r="AE49" i="3"/>
  <c r="AE45" i="3"/>
  <c r="AE41" i="3"/>
  <c r="AF41" i="3" s="1"/>
  <c r="AE37" i="3"/>
  <c r="AF37" i="3" s="1"/>
  <c r="AE33" i="3"/>
  <c r="AF33" i="3" s="1"/>
  <c r="AE29" i="3"/>
  <c r="AF29" i="3" s="1"/>
  <c r="AE25" i="3"/>
  <c r="AF25" i="3" s="1"/>
  <c r="AE21" i="3"/>
  <c r="AF21" i="3" s="1"/>
  <c r="AE20" i="3"/>
  <c r="AF20" i="3" l="1"/>
  <c r="AF42" i="3"/>
  <c r="AF43" i="3"/>
  <c r="AF47" i="3"/>
  <c r="AF46" i="3"/>
  <c r="AF44" i="3"/>
  <c r="AF48" i="3"/>
  <c r="AF45" i="3"/>
  <c r="AF49" i="3"/>
  <c r="AB13" i="3" l="1"/>
  <c r="AB14" i="3"/>
  <c r="AB15" i="3"/>
  <c r="AB16" i="3"/>
  <c r="AB17" i="3"/>
  <c r="AB18" i="3"/>
  <c r="AB19" i="3"/>
  <c r="AB12" i="3"/>
  <c r="D42" i="3"/>
  <c r="D44" i="3"/>
  <c r="D46" i="3"/>
  <c r="J11" i="3"/>
  <c r="K11" i="3" s="1"/>
  <c r="J12" i="3"/>
  <c r="K12" i="3" s="1"/>
  <c r="J13" i="3"/>
  <c r="K13" i="3" s="1"/>
  <c r="J14" i="3"/>
  <c r="K14" i="3" s="1"/>
  <c r="J15" i="3"/>
  <c r="K15" i="3" s="1"/>
  <c r="J16" i="3"/>
  <c r="K16" i="3" s="1"/>
  <c r="J17" i="3"/>
  <c r="K17" i="3" s="1"/>
  <c r="J18" i="3"/>
  <c r="K18" i="3" s="1"/>
  <c r="J19" i="3"/>
  <c r="K19" i="3" s="1"/>
  <c r="J20" i="3"/>
  <c r="K20" i="3" s="1"/>
  <c r="J21" i="3"/>
  <c r="K21" i="3" s="1"/>
  <c r="J22" i="3"/>
  <c r="K22" i="3" s="1"/>
  <c r="J23" i="3"/>
  <c r="K23" i="3" s="1"/>
  <c r="J24" i="3"/>
  <c r="K24" i="3" s="1"/>
  <c r="J25" i="3"/>
  <c r="K25" i="3" s="1"/>
  <c r="J26" i="3"/>
  <c r="K26" i="3" s="1"/>
  <c r="J27" i="3"/>
  <c r="K27" i="3" s="1"/>
  <c r="J28" i="3"/>
  <c r="K28" i="3" s="1"/>
  <c r="J29" i="3"/>
  <c r="K29" i="3" s="1"/>
  <c r="J10" i="3"/>
  <c r="K10" i="3" s="1"/>
  <c r="F20" i="3"/>
  <c r="G20" i="3" s="1"/>
  <c r="F21" i="3"/>
  <c r="G21" i="3" s="1"/>
  <c r="F22" i="3"/>
  <c r="G22" i="3" s="1"/>
  <c r="F23" i="3"/>
  <c r="G23" i="3" s="1"/>
  <c r="F24" i="3"/>
  <c r="G24" i="3" s="1"/>
  <c r="F25" i="3"/>
  <c r="G25" i="3" s="1"/>
  <c r="F26" i="3"/>
  <c r="G26" i="3" s="1"/>
  <c r="F27" i="3"/>
  <c r="G27" i="3" s="1"/>
  <c r="F28" i="3"/>
  <c r="G28" i="3" s="1"/>
  <c r="F29" i="3"/>
  <c r="G29" i="3" s="1"/>
  <c r="C20" i="3"/>
  <c r="D20" i="3" s="1"/>
  <c r="C21" i="3"/>
  <c r="D21" i="3" s="1"/>
  <c r="C22" i="3"/>
  <c r="D22" i="3" s="1"/>
  <c r="C23" i="3"/>
  <c r="D23" i="3" s="1"/>
  <c r="C24" i="3"/>
  <c r="D24" i="3" s="1"/>
  <c r="C25" i="3"/>
  <c r="D25" i="3" s="1"/>
  <c r="C26" i="3"/>
  <c r="D26" i="3" s="1"/>
  <c r="C27" i="3"/>
  <c r="D27" i="3" s="1"/>
  <c r="C28" i="3"/>
  <c r="D28" i="3" s="1"/>
  <c r="C29" i="3"/>
  <c r="D29" i="3" s="1"/>
  <c r="F11" i="3"/>
  <c r="G11" i="3" s="1"/>
  <c r="F12" i="3"/>
  <c r="G12" i="3" s="1"/>
  <c r="F13" i="3"/>
  <c r="G13" i="3" s="1"/>
  <c r="F14" i="3"/>
  <c r="G14" i="3" s="1"/>
  <c r="F15" i="3"/>
  <c r="G15" i="3" s="1"/>
  <c r="F16" i="3"/>
  <c r="G16" i="3" s="1"/>
  <c r="F17" i="3"/>
  <c r="G17" i="3" s="1"/>
  <c r="F18" i="3"/>
  <c r="G18" i="3" s="1"/>
  <c r="F19" i="3"/>
  <c r="G19" i="3" s="1"/>
  <c r="F10" i="3"/>
  <c r="G10" i="3" s="1"/>
  <c r="C11" i="3"/>
  <c r="D11" i="3" s="1"/>
  <c r="C12" i="3"/>
  <c r="D12" i="3" s="1"/>
  <c r="C13" i="3"/>
  <c r="D13" i="3" s="1"/>
  <c r="C14" i="3"/>
  <c r="D14" i="3" s="1"/>
  <c r="C15" i="3"/>
  <c r="D15" i="3" s="1"/>
  <c r="C16" i="3"/>
  <c r="D16" i="3" s="1"/>
  <c r="C17" i="3"/>
  <c r="D17" i="3" s="1"/>
  <c r="C18" i="3"/>
  <c r="D18" i="3" s="1"/>
  <c r="C19" i="3"/>
  <c r="D19" i="3" s="1"/>
  <c r="C10" i="3"/>
  <c r="D10" i="3" s="1"/>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6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34"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AE15" i="3"/>
  <c r="AE18" i="3"/>
  <c r="AE13" i="3"/>
  <c r="AE12" i="3"/>
  <c r="AE14" i="3"/>
  <c r="AE19" i="3"/>
  <c r="AE16" i="3"/>
  <c r="AE17" i="3"/>
  <c r="AD19" i="3" l="1"/>
  <c r="AD15" i="3"/>
  <c r="AD16" i="3"/>
  <c r="AD18" i="3"/>
  <c r="AD14" i="3"/>
  <c r="AD12" i="3"/>
  <c r="AD17" i="3"/>
  <c r="AD13" i="3"/>
  <c r="K6" i="3"/>
  <c r="V5" i="7"/>
  <c r="V52" i="7"/>
  <c r="V68" i="7"/>
  <c r="V84" i="7"/>
  <c r="V40" i="7"/>
  <c r="V56" i="7"/>
  <c r="V72" i="7"/>
  <c r="V88" i="7"/>
  <c r="V60" i="7"/>
  <c r="V76" i="7"/>
  <c r="V48" i="7"/>
  <c r="V64" i="7"/>
  <c r="V80" i="7"/>
  <c r="V44" i="7"/>
  <c r="V92" i="7"/>
  <c r="V7" i="7"/>
  <c r="G6" i="3"/>
  <c r="D6" i="3"/>
  <c r="V36" i="7"/>
  <c r="V28" i="7"/>
  <c r="V24" i="7"/>
  <c r="V12" i="7"/>
  <c r="V4" i="7"/>
  <c r="V91" i="7"/>
  <c r="V83" i="7"/>
  <c r="V75" i="7"/>
  <c r="V67" i="7"/>
  <c r="V59" i="7"/>
  <c r="V51" i="7"/>
  <c r="V43" i="7"/>
  <c r="V35" i="7"/>
  <c r="V27" i="7"/>
  <c r="V19" i="7"/>
  <c r="V11" i="7"/>
  <c r="V90" i="7"/>
  <c r="V86" i="7"/>
  <c r="V82" i="7"/>
  <c r="V78" i="7"/>
  <c r="V74" i="7"/>
  <c r="V70" i="7"/>
  <c r="V66" i="7"/>
  <c r="V62" i="7"/>
  <c r="V58" i="7"/>
  <c r="V54" i="7"/>
  <c r="V50" i="7"/>
  <c r="V46" i="7"/>
  <c r="V42" i="7"/>
  <c r="V38" i="7"/>
  <c r="V34" i="7"/>
  <c r="V30" i="7"/>
  <c r="V26" i="7"/>
  <c r="V22" i="7"/>
  <c r="V18" i="7"/>
  <c r="V14" i="7"/>
  <c r="V10" i="7"/>
  <c r="V6" i="7"/>
  <c r="V32" i="7"/>
  <c r="V20" i="7"/>
  <c r="V16" i="7"/>
  <c r="V8" i="7"/>
  <c r="V87" i="7"/>
  <c r="V79" i="7"/>
  <c r="V71" i="7"/>
  <c r="V63" i="7"/>
  <c r="V55" i="7"/>
  <c r="V47" i="7"/>
  <c r="V39" i="7"/>
  <c r="V31" i="7"/>
  <c r="V23" i="7"/>
  <c r="V15" i="7"/>
  <c r="V93" i="7"/>
  <c r="V89" i="7"/>
  <c r="V85" i="7"/>
  <c r="V81" i="7"/>
  <c r="V77" i="7"/>
  <c r="V73" i="7"/>
  <c r="V69" i="7"/>
  <c r="V65" i="7"/>
  <c r="V61" i="7"/>
  <c r="V57" i="7"/>
  <c r="V53" i="7"/>
  <c r="V49" i="7"/>
  <c r="V45" i="7"/>
  <c r="V41" i="7"/>
  <c r="V37" i="7"/>
  <c r="V33" i="7"/>
  <c r="V29" i="7"/>
  <c r="V25" i="7"/>
  <c r="V21" i="7"/>
  <c r="V17" i="7"/>
  <c r="V13" i="7"/>
  <c r="V9" i="7"/>
  <c r="K3" i="3"/>
  <c r="AD50" i="3" l="1"/>
  <c r="AB50" i="3" s="1"/>
  <c r="W13" i="7"/>
  <c r="X13" i="7"/>
  <c r="W45" i="7"/>
  <c r="X45" i="7"/>
  <c r="W77" i="7"/>
  <c r="X77" i="7"/>
  <c r="W39" i="7"/>
  <c r="X39" i="7"/>
  <c r="W16" i="7"/>
  <c r="X16" i="7"/>
  <c r="W26" i="7"/>
  <c r="X26" i="7"/>
  <c r="W58" i="7"/>
  <c r="X58" i="7"/>
  <c r="W90" i="7"/>
  <c r="X90" i="7"/>
  <c r="W67" i="7"/>
  <c r="X67" i="7"/>
  <c r="W36" i="7"/>
  <c r="X36" i="7"/>
  <c r="W48" i="7"/>
  <c r="X48" i="7"/>
  <c r="W68" i="7"/>
  <c r="X68" i="7"/>
  <c r="W33" i="7"/>
  <c r="X33" i="7"/>
  <c r="W65" i="7"/>
  <c r="X65" i="7"/>
  <c r="W15" i="7"/>
  <c r="X15" i="7"/>
  <c r="W79" i="7"/>
  <c r="X79" i="7"/>
  <c r="W14" i="7"/>
  <c r="X14" i="7"/>
  <c r="W46" i="7"/>
  <c r="X46" i="7"/>
  <c r="W78" i="7"/>
  <c r="X78" i="7"/>
  <c r="W43" i="7"/>
  <c r="X43" i="7"/>
  <c r="W12" i="7"/>
  <c r="X12" i="7"/>
  <c r="W76" i="7"/>
  <c r="X76" i="7"/>
  <c r="W52" i="7"/>
  <c r="X52" i="7"/>
  <c r="W21" i="7"/>
  <c r="X21" i="7"/>
  <c r="W37" i="7"/>
  <c r="X37" i="7"/>
  <c r="W53" i="7"/>
  <c r="X53" i="7"/>
  <c r="W69" i="7"/>
  <c r="X69" i="7"/>
  <c r="W85" i="7"/>
  <c r="X85" i="7"/>
  <c r="W23" i="7"/>
  <c r="X23" i="7"/>
  <c r="W55" i="7"/>
  <c r="X55" i="7"/>
  <c r="W87" i="7"/>
  <c r="X87" i="7"/>
  <c r="W32" i="7"/>
  <c r="X32" i="7"/>
  <c r="W18" i="7"/>
  <c r="X18" i="7"/>
  <c r="W34" i="7"/>
  <c r="X34" i="7"/>
  <c r="W50" i="7"/>
  <c r="X50" i="7"/>
  <c r="W66" i="7"/>
  <c r="X66" i="7"/>
  <c r="W82" i="7"/>
  <c r="X82" i="7"/>
  <c r="W19" i="7"/>
  <c r="X19" i="7"/>
  <c r="W51" i="7"/>
  <c r="X51" i="7"/>
  <c r="W83" i="7"/>
  <c r="X83" i="7"/>
  <c r="W24" i="7"/>
  <c r="X24" i="7"/>
  <c r="W80" i="7"/>
  <c r="X80" i="7"/>
  <c r="W60" i="7"/>
  <c r="X60" i="7"/>
  <c r="W40" i="7"/>
  <c r="X40" i="7"/>
  <c r="W5" i="7"/>
  <c r="X5" i="7"/>
  <c r="W29" i="7"/>
  <c r="X29" i="7"/>
  <c r="W61" i="7"/>
  <c r="X61" i="7"/>
  <c r="W93" i="7"/>
  <c r="X93" i="7"/>
  <c r="W71" i="7"/>
  <c r="X71" i="7"/>
  <c r="W10" i="7"/>
  <c r="X10" i="7"/>
  <c r="W42" i="7"/>
  <c r="X42" i="7"/>
  <c r="W74" i="7"/>
  <c r="X74" i="7"/>
  <c r="W35" i="7"/>
  <c r="X35" i="7"/>
  <c r="W4" i="7"/>
  <c r="X4" i="7"/>
  <c r="W92" i="7"/>
  <c r="X92" i="7"/>
  <c r="W72" i="7"/>
  <c r="X72" i="7"/>
  <c r="W17" i="7"/>
  <c r="X17" i="7"/>
  <c r="W49" i="7"/>
  <c r="X49" i="7"/>
  <c r="W81" i="7"/>
  <c r="X81" i="7"/>
  <c r="W47" i="7"/>
  <c r="X47" i="7"/>
  <c r="W20" i="7"/>
  <c r="X20" i="7"/>
  <c r="W30" i="7"/>
  <c r="X30" i="7"/>
  <c r="W62" i="7"/>
  <c r="X62" i="7"/>
  <c r="W11" i="7"/>
  <c r="X11" i="7"/>
  <c r="W75" i="7"/>
  <c r="X75" i="7"/>
  <c r="W44" i="7"/>
  <c r="X44" i="7"/>
  <c r="W56" i="7"/>
  <c r="X56" i="7"/>
  <c r="W9" i="7"/>
  <c r="X9" i="7"/>
  <c r="W25" i="7"/>
  <c r="X25" i="7"/>
  <c r="W41" i="7"/>
  <c r="X41" i="7"/>
  <c r="W57" i="7"/>
  <c r="X57" i="7"/>
  <c r="W73" i="7"/>
  <c r="X73" i="7"/>
  <c r="W89" i="7"/>
  <c r="X89" i="7"/>
  <c r="W31" i="7"/>
  <c r="X31" i="7"/>
  <c r="W63" i="7"/>
  <c r="X63" i="7"/>
  <c r="W8" i="7"/>
  <c r="X8" i="7"/>
  <c r="W6" i="7"/>
  <c r="X6" i="7"/>
  <c r="W22" i="7"/>
  <c r="X22" i="7"/>
  <c r="W38" i="7"/>
  <c r="X38" i="7"/>
  <c r="W54" i="7"/>
  <c r="X54" i="7"/>
  <c r="W70" i="7"/>
  <c r="X70" i="7"/>
  <c r="W86" i="7"/>
  <c r="X86" i="7"/>
  <c r="W27" i="7"/>
  <c r="X27" i="7"/>
  <c r="W59" i="7"/>
  <c r="X59" i="7"/>
  <c r="W91" i="7"/>
  <c r="X91" i="7"/>
  <c r="W28" i="7"/>
  <c r="X28" i="7"/>
  <c r="W7" i="7"/>
  <c r="X7" i="7"/>
  <c r="W64" i="7"/>
  <c r="X64" i="7"/>
  <c r="W88" i="7"/>
  <c r="X88" i="7"/>
  <c r="W84" i="7"/>
  <c r="X84" i="7"/>
  <c r="H2" i="3"/>
  <c r="C38" i="3"/>
  <c r="K13" i="7" l="1"/>
  <c r="M13" i="7"/>
  <c r="L13" i="7"/>
  <c r="K25" i="7"/>
  <c r="M25" i="7"/>
  <c r="L25" i="7"/>
  <c r="M37" i="7"/>
  <c r="L37" i="7"/>
  <c r="K49" i="7"/>
  <c r="M49" i="7"/>
  <c r="L49" i="7"/>
  <c r="K57" i="7"/>
  <c r="M57" i="7"/>
  <c r="L57" i="7"/>
  <c r="M69" i="7"/>
  <c r="L69" i="7"/>
  <c r="M81" i="7"/>
  <c r="L81" i="7"/>
  <c r="K93" i="7"/>
  <c r="M93" i="7"/>
  <c r="L93" i="7"/>
  <c r="M105" i="7"/>
  <c r="L105" i="7"/>
  <c r="M113" i="7"/>
  <c r="L113" i="7"/>
  <c r="M6" i="7"/>
  <c r="L6" i="7"/>
  <c r="K10" i="7"/>
  <c r="M10" i="7"/>
  <c r="L10" i="7"/>
  <c r="M14" i="7"/>
  <c r="L14" i="7"/>
  <c r="M18" i="7"/>
  <c r="L18" i="7"/>
  <c r="M22" i="7"/>
  <c r="L22" i="7"/>
  <c r="M26" i="7"/>
  <c r="L26" i="7"/>
  <c r="K30" i="7"/>
  <c r="M30" i="7"/>
  <c r="L30" i="7"/>
  <c r="M34" i="7"/>
  <c r="L34" i="7"/>
  <c r="K38" i="7"/>
  <c r="M38" i="7"/>
  <c r="L38" i="7"/>
  <c r="M42" i="7"/>
  <c r="L42" i="7"/>
  <c r="K46" i="7"/>
  <c r="M46" i="7"/>
  <c r="L46" i="7"/>
  <c r="M50" i="7"/>
  <c r="L50" i="7"/>
  <c r="K54" i="7"/>
  <c r="M54" i="7"/>
  <c r="L54" i="7"/>
  <c r="M58" i="7"/>
  <c r="L58" i="7"/>
  <c r="K62" i="7"/>
  <c r="M62" i="7"/>
  <c r="L62" i="7"/>
  <c r="M66" i="7"/>
  <c r="L66" i="7"/>
  <c r="K70" i="7"/>
  <c r="M70" i="7"/>
  <c r="L70" i="7"/>
  <c r="M74" i="7"/>
  <c r="L74" i="7"/>
  <c r="K78" i="7"/>
  <c r="M78" i="7"/>
  <c r="L78" i="7"/>
  <c r="M82" i="7"/>
  <c r="L82" i="7"/>
  <c r="M86" i="7"/>
  <c r="L86" i="7"/>
  <c r="M90" i="7"/>
  <c r="L90" i="7"/>
  <c r="M94" i="7"/>
  <c r="L94" i="7"/>
  <c r="M98" i="7"/>
  <c r="L98" i="7"/>
  <c r="M102" i="7"/>
  <c r="L102" i="7"/>
  <c r="K106" i="7"/>
  <c r="M106" i="7"/>
  <c r="L106" i="7"/>
  <c r="M110" i="7"/>
  <c r="L110" i="7"/>
  <c r="M114" i="7"/>
  <c r="L114" i="7"/>
  <c r="M118" i="7"/>
  <c r="L118" i="7"/>
  <c r="K122" i="7"/>
  <c r="M122" i="7"/>
  <c r="L122" i="7"/>
  <c r="K5" i="7"/>
  <c r="M5" i="7"/>
  <c r="L5" i="7"/>
  <c r="K17" i="7"/>
  <c r="M17" i="7"/>
  <c r="L17" i="7"/>
  <c r="M29" i="7"/>
  <c r="L29" i="7"/>
  <c r="M41" i="7"/>
  <c r="L41" i="7"/>
  <c r="M53" i="7"/>
  <c r="L53" i="7"/>
  <c r="K65" i="7"/>
  <c r="M65" i="7"/>
  <c r="L65" i="7"/>
  <c r="M77" i="7"/>
  <c r="L77" i="7"/>
  <c r="M89" i="7"/>
  <c r="L89" i="7"/>
  <c r="M101" i="7"/>
  <c r="L101" i="7"/>
  <c r="M117" i="7"/>
  <c r="L117" i="7"/>
  <c r="K7" i="7"/>
  <c r="M7" i="7"/>
  <c r="L7" i="7"/>
  <c r="M11" i="7"/>
  <c r="L11" i="7"/>
  <c r="L15" i="7"/>
  <c r="M15" i="7"/>
  <c r="M19" i="7"/>
  <c r="L19" i="7"/>
  <c r="K23" i="7"/>
  <c r="L23" i="7"/>
  <c r="M23" i="7"/>
  <c r="M27" i="7"/>
  <c r="L27" i="7"/>
  <c r="L31" i="7"/>
  <c r="M31" i="7"/>
  <c r="M35" i="7"/>
  <c r="L35" i="7"/>
  <c r="L39" i="7"/>
  <c r="M39" i="7"/>
  <c r="K43" i="7"/>
  <c r="M43" i="7"/>
  <c r="L43" i="7"/>
  <c r="L47" i="7"/>
  <c r="M47" i="7"/>
  <c r="M51" i="7"/>
  <c r="L51" i="7"/>
  <c r="K55" i="7"/>
  <c r="M55" i="7"/>
  <c r="L55" i="7"/>
  <c r="M59" i="7"/>
  <c r="L59" i="7"/>
  <c r="M63" i="7"/>
  <c r="L63" i="7"/>
  <c r="M67" i="7"/>
  <c r="L67" i="7"/>
  <c r="M71" i="7"/>
  <c r="L71" i="7"/>
  <c r="K75" i="7"/>
  <c r="M75" i="7"/>
  <c r="L75" i="7"/>
  <c r="M79" i="7"/>
  <c r="L79" i="7"/>
  <c r="L83" i="7"/>
  <c r="M83" i="7"/>
  <c r="K87" i="7"/>
  <c r="M87" i="7"/>
  <c r="L87" i="7"/>
  <c r="M91" i="7"/>
  <c r="L91" i="7"/>
  <c r="M95" i="7"/>
  <c r="L95" i="7"/>
  <c r="M99" i="7"/>
  <c r="L99" i="7"/>
  <c r="K103" i="7"/>
  <c r="M103" i="7"/>
  <c r="L103" i="7"/>
  <c r="K107" i="7"/>
  <c r="M107" i="7"/>
  <c r="L107" i="7"/>
  <c r="M111" i="7"/>
  <c r="L111" i="7"/>
  <c r="M115" i="7"/>
  <c r="L115" i="7"/>
  <c r="K119" i="7"/>
  <c r="M119" i="7"/>
  <c r="L119" i="7"/>
  <c r="K123" i="7"/>
  <c r="M123" i="7"/>
  <c r="L123" i="7"/>
  <c r="K9" i="7"/>
  <c r="M9" i="7"/>
  <c r="L9" i="7"/>
  <c r="K21" i="7"/>
  <c r="M21" i="7"/>
  <c r="L21" i="7"/>
  <c r="K33" i="7"/>
  <c r="M33" i="7"/>
  <c r="L33" i="7"/>
  <c r="M45" i="7"/>
  <c r="L45" i="7"/>
  <c r="M61" i="7"/>
  <c r="L61" i="7"/>
  <c r="K73" i="7"/>
  <c r="M73" i="7"/>
  <c r="L73" i="7"/>
  <c r="K85" i="7"/>
  <c r="M85" i="7"/>
  <c r="L85" i="7"/>
  <c r="M97" i="7"/>
  <c r="L97" i="7"/>
  <c r="M109" i="7"/>
  <c r="L109" i="7"/>
  <c r="M121" i="7"/>
  <c r="L121" i="7"/>
  <c r="M4" i="7"/>
  <c r="L4" i="7"/>
  <c r="K8" i="7"/>
  <c r="M8" i="7"/>
  <c r="L8" i="7"/>
  <c r="M12" i="7"/>
  <c r="L12" i="7"/>
  <c r="K16" i="7"/>
  <c r="M16" i="7"/>
  <c r="L16" i="7"/>
  <c r="K20" i="7"/>
  <c r="M20" i="7"/>
  <c r="L20" i="7"/>
  <c r="M24" i="7"/>
  <c r="L24" i="7"/>
  <c r="K28" i="7"/>
  <c r="M28" i="7"/>
  <c r="L28" i="7"/>
  <c r="K32" i="7"/>
  <c r="M32" i="7"/>
  <c r="L32" i="7"/>
  <c r="M36" i="7"/>
  <c r="L36" i="7"/>
  <c r="M40" i="7"/>
  <c r="L40" i="7"/>
  <c r="K44" i="7"/>
  <c r="M44" i="7"/>
  <c r="L44" i="7"/>
  <c r="M48" i="7"/>
  <c r="L48" i="7"/>
  <c r="M52" i="7"/>
  <c r="L52" i="7"/>
  <c r="M56" i="7"/>
  <c r="L56" i="7"/>
  <c r="M60" i="7"/>
  <c r="L60" i="7"/>
  <c r="K64" i="7"/>
  <c r="M64" i="7"/>
  <c r="L64" i="7"/>
  <c r="M68" i="7"/>
  <c r="L68" i="7"/>
  <c r="M72" i="7"/>
  <c r="L72" i="7"/>
  <c r="M76" i="7"/>
  <c r="L76" i="7"/>
  <c r="M80" i="7"/>
  <c r="L80" i="7"/>
  <c r="K84" i="7"/>
  <c r="M84" i="7"/>
  <c r="L84" i="7"/>
  <c r="M88" i="7"/>
  <c r="L88" i="7"/>
  <c r="K92" i="7"/>
  <c r="M92" i="7"/>
  <c r="L92" i="7"/>
  <c r="K96" i="7"/>
  <c r="M96" i="7"/>
  <c r="L96" i="7"/>
  <c r="M100" i="7"/>
  <c r="L100" i="7"/>
  <c r="M104" i="7"/>
  <c r="L104" i="7"/>
  <c r="M108" i="7"/>
  <c r="L108" i="7"/>
  <c r="M112" i="7"/>
  <c r="L112" i="7"/>
  <c r="K116" i="7"/>
  <c r="M116" i="7"/>
  <c r="L116" i="7"/>
  <c r="M120" i="7"/>
  <c r="L120" i="7"/>
  <c r="E29" i="7"/>
  <c r="K29" i="7"/>
  <c r="E45" i="7"/>
  <c r="K45" i="7"/>
  <c r="E69" i="7"/>
  <c r="K69" i="7"/>
  <c r="E81" i="7"/>
  <c r="K81" i="7"/>
  <c r="D105" i="7"/>
  <c r="K105" i="7"/>
  <c r="F117" i="7"/>
  <c r="K117" i="7"/>
  <c r="C6" i="7"/>
  <c r="K6" i="7"/>
  <c r="C14" i="7"/>
  <c r="K14" i="7"/>
  <c r="H18" i="7"/>
  <c r="K18" i="7"/>
  <c r="H22" i="7"/>
  <c r="K22" i="7"/>
  <c r="C26" i="7"/>
  <c r="K26" i="7"/>
  <c r="C34" i="7"/>
  <c r="K34" i="7"/>
  <c r="C42" i="7"/>
  <c r="K42" i="7"/>
  <c r="C50" i="7"/>
  <c r="K50" i="7"/>
  <c r="C58" i="7"/>
  <c r="K58" i="7"/>
  <c r="C66" i="7"/>
  <c r="K66" i="7"/>
  <c r="C74" i="7"/>
  <c r="K74" i="7"/>
  <c r="F82" i="7"/>
  <c r="K82" i="7"/>
  <c r="F86" i="7"/>
  <c r="K86" i="7"/>
  <c r="F90" i="7"/>
  <c r="K90" i="7"/>
  <c r="F94" i="7"/>
  <c r="K94" i="7"/>
  <c r="F98" i="7"/>
  <c r="K98" i="7"/>
  <c r="F102" i="7"/>
  <c r="K102" i="7"/>
  <c r="F110" i="7"/>
  <c r="K110" i="7"/>
  <c r="F114" i="7"/>
  <c r="K114" i="7"/>
  <c r="F118" i="7"/>
  <c r="K118" i="7"/>
  <c r="F41" i="7"/>
  <c r="K41" i="7"/>
  <c r="E53" i="7"/>
  <c r="K53" i="7"/>
  <c r="E77" i="7"/>
  <c r="K77" i="7"/>
  <c r="D89" i="7"/>
  <c r="K89" i="7"/>
  <c r="F101" i="7"/>
  <c r="K101" i="7"/>
  <c r="D113" i="7"/>
  <c r="K113" i="7"/>
  <c r="C11" i="7"/>
  <c r="K11" i="7"/>
  <c r="F15" i="7"/>
  <c r="K15" i="7"/>
  <c r="C19" i="7"/>
  <c r="K19" i="7"/>
  <c r="H27" i="7"/>
  <c r="K27" i="7"/>
  <c r="D31" i="7"/>
  <c r="K31" i="7"/>
  <c r="H35" i="7"/>
  <c r="K35" i="7"/>
  <c r="H39" i="7"/>
  <c r="K39" i="7"/>
  <c r="H47" i="7"/>
  <c r="K47" i="7"/>
  <c r="E51" i="7"/>
  <c r="K51" i="7"/>
  <c r="E59" i="7"/>
  <c r="K59" i="7"/>
  <c r="H63" i="7"/>
  <c r="K63" i="7"/>
  <c r="H67" i="7"/>
  <c r="K67" i="7"/>
  <c r="H71" i="7"/>
  <c r="K71" i="7"/>
  <c r="H79" i="7"/>
  <c r="K79" i="7"/>
  <c r="H83" i="7"/>
  <c r="K83" i="7"/>
  <c r="H91" i="7"/>
  <c r="K91" i="7"/>
  <c r="E95" i="7"/>
  <c r="K95" i="7"/>
  <c r="H99" i="7"/>
  <c r="K99" i="7"/>
  <c r="E111" i="7"/>
  <c r="K111" i="7"/>
  <c r="H115" i="7"/>
  <c r="K115" i="7"/>
  <c r="E37" i="7"/>
  <c r="K37" i="7"/>
  <c r="E61" i="7"/>
  <c r="K61" i="7"/>
  <c r="F97" i="7"/>
  <c r="K97" i="7"/>
  <c r="F109" i="7"/>
  <c r="K109" i="7"/>
  <c r="D121" i="7"/>
  <c r="K121" i="7"/>
  <c r="C4" i="7"/>
  <c r="K4" i="7"/>
  <c r="F12" i="7"/>
  <c r="K12" i="7"/>
  <c r="F24" i="7"/>
  <c r="K24" i="7"/>
  <c r="F36" i="7"/>
  <c r="K36" i="7"/>
  <c r="H40" i="7"/>
  <c r="K40" i="7"/>
  <c r="H48" i="7"/>
  <c r="K48" i="7"/>
  <c r="F52" i="7"/>
  <c r="K52" i="7"/>
  <c r="H56" i="7"/>
  <c r="K56" i="7"/>
  <c r="F60" i="7"/>
  <c r="K60" i="7"/>
  <c r="F68" i="7"/>
  <c r="K68" i="7"/>
  <c r="D72" i="7"/>
  <c r="K72" i="7"/>
  <c r="F76" i="7"/>
  <c r="K76" i="7"/>
  <c r="H80" i="7"/>
  <c r="K80" i="7"/>
  <c r="C88" i="7"/>
  <c r="K88" i="7"/>
  <c r="E100" i="7"/>
  <c r="K100" i="7"/>
  <c r="H104" i="7"/>
  <c r="K104" i="7"/>
  <c r="H108" i="7"/>
  <c r="K108" i="7"/>
  <c r="E112" i="7"/>
  <c r="K112" i="7"/>
  <c r="H120" i="7"/>
  <c r="K120" i="7"/>
  <c r="H32" i="3"/>
  <c r="X2" i="7"/>
  <c r="H10" i="7"/>
  <c r="H112" i="7"/>
  <c r="H36" i="7"/>
  <c r="H51" i="7"/>
  <c r="F72" i="7"/>
  <c r="H72" i="7"/>
  <c r="H52" i="7"/>
  <c r="H59" i="7"/>
  <c r="H87" i="7"/>
  <c r="F81" i="7"/>
  <c r="H4" i="7"/>
  <c r="H12" i="7"/>
  <c r="D17" i="7"/>
  <c r="H28" i="7"/>
  <c r="H31" i="7"/>
  <c r="F34" i="7"/>
  <c r="D40" i="7"/>
  <c r="E41" i="7"/>
  <c r="D71" i="7"/>
  <c r="H100" i="7"/>
  <c r="H111" i="7"/>
  <c r="H8" i="7"/>
  <c r="E11" i="7"/>
  <c r="E17" i="7"/>
  <c r="H24" i="7"/>
  <c r="E27" i="7"/>
  <c r="F40" i="7"/>
  <c r="D51" i="7"/>
  <c r="C52" i="7"/>
  <c r="D88" i="7"/>
  <c r="E13" i="7"/>
  <c r="D52" i="7"/>
  <c r="F73" i="7"/>
  <c r="E87" i="7"/>
  <c r="H88" i="7"/>
  <c r="AF12" i="3"/>
  <c r="D39" i="7"/>
  <c r="F49" i="7"/>
  <c r="F61" i="7"/>
  <c r="C63" i="7"/>
  <c r="F80" i="7"/>
  <c r="D103" i="7"/>
  <c r="D119" i="7"/>
  <c r="C120" i="7"/>
  <c r="E5" i="7"/>
  <c r="D8" i="7"/>
  <c r="C13" i="7"/>
  <c r="H16" i="7"/>
  <c r="E21" i="7"/>
  <c r="D24" i="7"/>
  <c r="F29" i="7"/>
  <c r="G29" i="7" s="1"/>
  <c r="C31" i="7"/>
  <c r="F48" i="7"/>
  <c r="D60" i="7"/>
  <c r="D63" i="7"/>
  <c r="E103" i="7"/>
  <c r="D108" i="7"/>
  <c r="F113" i="7"/>
  <c r="E119" i="7"/>
  <c r="D120" i="7"/>
  <c r="E8" i="7"/>
  <c r="E12" i="7"/>
  <c r="D13" i="7"/>
  <c r="E24" i="7"/>
  <c r="E28" i="7"/>
  <c r="H60" i="7"/>
  <c r="F66" i="7"/>
  <c r="H68" i="7"/>
  <c r="E73" i="7"/>
  <c r="D87" i="7"/>
  <c r="H103" i="7"/>
  <c r="H119" i="7"/>
  <c r="E25" i="7"/>
  <c r="D25" i="7"/>
  <c r="C25" i="7"/>
  <c r="F44" i="7"/>
  <c r="H44" i="7"/>
  <c r="D44" i="7"/>
  <c r="C44" i="7"/>
  <c r="E7" i="7"/>
  <c r="H25" i="7"/>
  <c r="C32" i="7"/>
  <c r="H32" i="7"/>
  <c r="F32" i="7"/>
  <c r="D32" i="7"/>
  <c r="E9" i="7"/>
  <c r="D9" i="7"/>
  <c r="C9" i="7"/>
  <c r="H20" i="7"/>
  <c r="E20" i="7"/>
  <c r="D20" i="7"/>
  <c r="F33" i="7"/>
  <c r="E33" i="7"/>
  <c r="H9" i="7"/>
  <c r="C23" i="7"/>
  <c r="E23" i="7"/>
  <c r="C43" i="7"/>
  <c r="H43" i="7"/>
  <c r="E43" i="7"/>
  <c r="D43" i="7"/>
  <c r="C46" i="7"/>
  <c r="F46" i="7"/>
  <c r="E55" i="7"/>
  <c r="C64" i="7"/>
  <c r="C75" i="7"/>
  <c r="C78" i="7"/>
  <c r="F78" i="7"/>
  <c r="C84" i="7"/>
  <c r="E92" i="7"/>
  <c r="C96" i="7"/>
  <c r="C116" i="7"/>
  <c r="H5" i="7"/>
  <c r="H21" i="7"/>
  <c r="C35" i="7"/>
  <c r="C38" i="7"/>
  <c r="F38" i="7"/>
  <c r="E47" i="7"/>
  <c r="F53" i="7"/>
  <c r="C55" i="7"/>
  <c r="C56" i="7"/>
  <c r="F58" i="7"/>
  <c r="D64" i="7"/>
  <c r="E65" i="7"/>
  <c r="C67" i="7"/>
  <c r="C70" i="7"/>
  <c r="F70" i="7"/>
  <c r="D75" i="7"/>
  <c r="C76" i="7"/>
  <c r="E79" i="7"/>
  <c r="D84" i="7"/>
  <c r="F89" i="7"/>
  <c r="C92" i="7"/>
  <c r="D95" i="7"/>
  <c r="D96" i="7"/>
  <c r="D97" i="7"/>
  <c r="E104" i="7"/>
  <c r="E107" i="7"/>
  <c r="H107" i="7"/>
  <c r="D116" i="7"/>
  <c r="F121" i="7"/>
  <c r="D4" i="7"/>
  <c r="C5" i="7"/>
  <c r="D16" i="7"/>
  <c r="H17" i="7"/>
  <c r="E19" i="7"/>
  <c r="C21" i="7"/>
  <c r="C30" i="7"/>
  <c r="F30" i="7"/>
  <c r="D35" i="7"/>
  <c r="C36" i="7"/>
  <c r="E39" i="7"/>
  <c r="F45" i="7"/>
  <c r="C47" i="7"/>
  <c r="C48" i="7"/>
  <c r="F50" i="7"/>
  <c r="D55" i="7"/>
  <c r="D56" i="7"/>
  <c r="E57" i="7"/>
  <c r="C59" i="7"/>
  <c r="C62" i="7"/>
  <c r="F62" i="7"/>
  <c r="F64" i="7"/>
  <c r="F65" i="7"/>
  <c r="D67" i="7"/>
  <c r="C68" i="7"/>
  <c r="E71" i="7"/>
  <c r="E75" i="7"/>
  <c r="D76" i="7"/>
  <c r="F77" i="7"/>
  <c r="C79" i="7"/>
  <c r="C80" i="7"/>
  <c r="E84" i="7"/>
  <c r="D92" i="7"/>
  <c r="H95" i="7"/>
  <c r="E96" i="7"/>
  <c r="C100" i="7"/>
  <c r="C104" i="7"/>
  <c r="E108" i="7"/>
  <c r="C112" i="7"/>
  <c r="E116" i="7"/>
  <c r="E4" i="7"/>
  <c r="D5" i="7"/>
  <c r="D12" i="7"/>
  <c r="H13" i="7"/>
  <c r="E15" i="7"/>
  <c r="E16" i="7"/>
  <c r="C17" i="7"/>
  <c r="D21" i="7"/>
  <c r="D28" i="7"/>
  <c r="E31" i="7"/>
  <c r="E35" i="7"/>
  <c r="D36" i="7"/>
  <c r="F37" i="7"/>
  <c r="C39" i="7"/>
  <c r="C40" i="7"/>
  <c r="F42" i="7"/>
  <c r="D47" i="7"/>
  <c r="D48" i="7"/>
  <c r="E49" i="7"/>
  <c r="C51" i="7"/>
  <c r="C54" i="7"/>
  <c r="F54" i="7"/>
  <c r="H55" i="7"/>
  <c r="F56" i="7"/>
  <c r="F57" i="7"/>
  <c r="D59" i="7"/>
  <c r="C60" i="7"/>
  <c r="E63" i="7"/>
  <c r="H64" i="7"/>
  <c r="E67" i="7"/>
  <c r="D68" i="7"/>
  <c r="F69" i="7"/>
  <c r="C71" i="7"/>
  <c r="C72" i="7"/>
  <c r="F74" i="7"/>
  <c r="H75" i="7"/>
  <c r="H76" i="7"/>
  <c r="D79" i="7"/>
  <c r="D80" i="7"/>
  <c r="H84" i="7"/>
  <c r="E88" i="7"/>
  <c r="H92" i="7"/>
  <c r="H96" i="7"/>
  <c r="D100" i="7"/>
  <c r="D104" i="7"/>
  <c r="F105" i="7"/>
  <c r="C108" i="7"/>
  <c r="D111" i="7"/>
  <c r="D112" i="7"/>
  <c r="H116" i="7"/>
  <c r="E120" i="7"/>
  <c r="E123" i="7"/>
  <c r="H123" i="7"/>
  <c r="F10" i="7"/>
  <c r="H106" i="7"/>
  <c r="D106" i="7"/>
  <c r="E106" i="7"/>
  <c r="H122" i="7"/>
  <c r="D122" i="7"/>
  <c r="E122" i="7"/>
  <c r="F7" i="7"/>
  <c r="C18" i="7"/>
  <c r="F19" i="7"/>
  <c r="F23" i="7"/>
  <c r="F27" i="7"/>
  <c r="H34" i="7"/>
  <c r="H38" i="7"/>
  <c r="H42" i="7"/>
  <c r="H46" i="7"/>
  <c r="H50" i="7"/>
  <c r="C83" i="7"/>
  <c r="F83" i="7"/>
  <c r="E85" i="7"/>
  <c r="H85" i="7"/>
  <c r="C85" i="7"/>
  <c r="C91" i="7"/>
  <c r="F91" i="7"/>
  <c r="E93" i="7"/>
  <c r="H93" i="7"/>
  <c r="C93" i="7"/>
  <c r="C99" i="7"/>
  <c r="F99" i="7"/>
  <c r="C106" i="7"/>
  <c r="C115" i="7"/>
  <c r="F115" i="7"/>
  <c r="C122" i="7"/>
  <c r="F4" i="7"/>
  <c r="D6" i="7"/>
  <c r="H6" i="7"/>
  <c r="C7" i="7"/>
  <c r="D14" i="7"/>
  <c r="H14" i="7"/>
  <c r="C15" i="7"/>
  <c r="D26" i="7"/>
  <c r="H26" i="7"/>
  <c r="C27" i="7"/>
  <c r="H29" i="7"/>
  <c r="D29" i="7"/>
  <c r="D30" i="7"/>
  <c r="H33" i="7"/>
  <c r="D33" i="7"/>
  <c r="D34" i="7"/>
  <c r="H37" i="7"/>
  <c r="D37" i="7"/>
  <c r="D38" i="7"/>
  <c r="H45" i="7"/>
  <c r="D45" i="7"/>
  <c r="D46" i="7"/>
  <c r="H49" i="7"/>
  <c r="D49" i="7"/>
  <c r="D50" i="7"/>
  <c r="H53" i="7"/>
  <c r="D53" i="7"/>
  <c r="D54" i="7"/>
  <c r="H57" i="7"/>
  <c r="D57" i="7"/>
  <c r="D58" i="7"/>
  <c r="H61" i="7"/>
  <c r="D61" i="7"/>
  <c r="D62" i="7"/>
  <c r="H65" i="7"/>
  <c r="D65" i="7"/>
  <c r="D66" i="7"/>
  <c r="H69" i="7"/>
  <c r="D69" i="7"/>
  <c r="D70" i="7"/>
  <c r="H73" i="7"/>
  <c r="D73" i="7"/>
  <c r="D74" i="7"/>
  <c r="H77" i="7"/>
  <c r="D77" i="7"/>
  <c r="D78" i="7"/>
  <c r="H81" i="7"/>
  <c r="D81" i="7"/>
  <c r="D83" i="7"/>
  <c r="D85" i="7"/>
  <c r="H86" i="7"/>
  <c r="D86" i="7"/>
  <c r="E86" i="7"/>
  <c r="D91" i="7"/>
  <c r="D93" i="7"/>
  <c r="H94" i="7"/>
  <c r="D94" i="7"/>
  <c r="E94" i="7"/>
  <c r="D99" i="7"/>
  <c r="D101" i="7"/>
  <c r="H102" i="7"/>
  <c r="D102" i="7"/>
  <c r="E102" i="7"/>
  <c r="F106" i="7"/>
  <c r="D107" i="7"/>
  <c r="D109" i="7"/>
  <c r="H110" i="7"/>
  <c r="D110" i="7"/>
  <c r="E110" i="7"/>
  <c r="D115" i="7"/>
  <c r="D117" i="7"/>
  <c r="H118" i="7"/>
  <c r="D118" i="7"/>
  <c r="E118" i="7"/>
  <c r="F122" i="7"/>
  <c r="D123" i="7"/>
  <c r="F5" i="7"/>
  <c r="E6" i="7"/>
  <c r="D7" i="7"/>
  <c r="H7" i="7"/>
  <c r="C8" i="7"/>
  <c r="F9" i="7"/>
  <c r="E10" i="7"/>
  <c r="D11" i="7"/>
  <c r="H11" i="7"/>
  <c r="C12" i="7"/>
  <c r="F13" i="7"/>
  <c r="E14" i="7"/>
  <c r="D15" i="7"/>
  <c r="H15" i="7"/>
  <c r="C16" i="7"/>
  <c r="F17" i="7"/>
  <c r="E18" i="7"/>
  <c r="D19" i="7"/>
  <c r="H19" i="7"/>
  <c r="C20" i="7"/>
  <c r="F21" i="7"/>
  <c r="E22" i="7"/>
  <c r="D23" i="7"/>
  <c r="H23" i="7"/>
  <c r="C24" i="7"/>
  <c r="F25" i="7"/>
  <c r="E26" i="7"/>
  <c r="D27" i="7"/>
  <c r="C28" i="7"/>
  <c r="C29" i="7"/>
  <c r="E30" i="7"/>
  <c r="E32" i="7"/>
  <c r="C33" i="7"/>
  <c r="E34" i="7"/>
  <c r="E36" i="7"/>
  <c r="C37" i="7"/>
  <c r="E38" i="7"/>
  <c r="E40" i="7"/>
  <c r="C41" i="7"/>
  <c r="E42" i="7"/>
  <c r="E44" i="7"/>
  <c r="C45" i="7"/>
  <c r="E46" i="7"/>
  <c r="E48" i="7"/>
  <c r="C49" i="7"/>
  <c r="E50" i="7"/>
  <c r="E52" i="7"/>
  <c r="C53" i="7"/>
  <c r="E54" i="7"/>
  <c r="E56" i="7"/>
  <c r="C57" i="7"/>
  <c r="E58" i="7"/>
  <c r="E60" i="7"/>
  <c r="C61" i="7"/>
  <c r="E62" i="7"/>
  <c r="E64" i="7"/>
  <c r="C65" i="7"/>
  <c r="E66" i="7"/>
  <c r="E68" i="7"/>
  <c r="C69" i="7"/>
  <c r="E70" i="7"/>
  <c r="E72" i="7"/>
  <c r="C73" i="7"/>
  <c r="E74" i="7"/>
  <c r="E76" i="7"/>
  <c r="G76" i="7" s="1"/>
  <c r="C77" i="7"/>
  <c r="E78" i="7"/>
  <c r="E80" i="7"/>
  <c r="C81" i="7"/>
  <c r="E83" i="7"/>
  <c r="F85" i="7"/>
  <c r="C86" i="7"/>
  <c r="C87" i="7"/>
  <c r="F87" i="7"/>
  <c r="E89" i="7"/>
  <c r="H89" i="7"/>
  <c r="C89" i="7"/>
  <c r="E91" i="7"/>
  <c r="F93" i="7"/>
  <c r="C94" i="7"/>
  <c r="C95" i="7"/>
  <c r="F95" i="7"/>
  <c r="E97" i="7"/>
  <c r="H97" i="7"/>
  <c r="C97" i="7"/>
  <c r="E99" i="7"/>
  <c r="C102" i="7"/>
  <c r="C103" i="7"/>
  <c r="F103" i="7"/>
  <c r="E105" i="7"/>
  <c r="H105" i="7"/>
  <c r="C105" i="7"/>
  <c r="C110" i="7"/>
  <c r="C111" i="7"/>
  <c r="F111" i="7"/>
  <c r="E113" i="7"/>
  <c r="H113" i="7"/>
  <c r="C113" i="7"/>
  <c r="E115" i="7"/>
  <c r="C118" i="7"/>
  <c r="C119" i="7"/>
  <c r="F119" i="7"/>
  <c r="E121" i="7"/>
  <c r="H121" i="7"/>
  <c r="C121" i="7"/>
  <c r="F6" i="7"/>
  <c r="F14" i="7"/>
  <c r="F18" i="7"/>
  <c r="F22" i="7"/>
  <c r="F26" i="7"/>
  <c r="H82" i="7"/>
  <c r="D82" i="7"/>
  <c r="E82" i="7"/>
  <c r="H90" i="7"/>
  <c r="D90" i="7"/>
  <c r="E90" i="7"/>
  <c r="H98" i="7"/>
  <c r="D98" i="7"/>
  <c r="E98" i="7"/>
  <c r="H114" i="7"/>
  <c r="D114" i="7"/>
  <c r="E114" i="7"/>
  <c r="C10" i="7"/>
  <c r="F11" i="7"/>
  <c r="C22" i="7"/>
  <c r="H30" i="7"/>
  <c r="H54" i="7"/>
  <c r="H58" i="7"/>
  <c r="H62" i="7"/>
  <c r="H66" i="7"/>
  <c r="H70" i="7"/>
  <c r="H74" i="7"/>
  <c r="H78" i="7"/>
  <c r="C82" i="7"/>
  <c r="C90" i="7"/>
  <c r="C98" i="7"/>
  <c r="E101" i="7"/>
  <c r="G101" i="7" s="1"/>
  <c r="H101" i="7"/>
  <c r="C101" i="7"/>
  <c r="C107" i="7"/>
  <c r="F107" i="7"/>
  <c r="E109" i="7"/>
  <c r="H109" i="7"/>
  <c r="C109" i="7"/>
  <c r="C114" i="7"/>
  <c r="E117" i="7"/>
  <c r="H117" i="7"/>
  <c r="C117" i="7"/>
  <c r="C123" i="7"/>
  <c r="F123" i="7"/>
  <c r="F8" i="7"/>
  <c r="D10" i="7"/>
  <c r="F16" i="7"/>
  <c r="D18" i="7"/>
  <c r="F20" i="7"/>
  <c r="D22" i="7"/>
  <c r="F28" i="7"/>
  <c r="H41" i="7"/>
  <c r="D41" i="7"/>
  <c r="D42" i="7"/>
  <c r="F31" i="7"/>
  <c r="F35" i="7"/>
  <c r="F39" i="7"/>
  <c r="F43" i="7"/>
  <c r="F47" i="7"/>
  <c r="F51" i="7"/>
  <c r="G51" i="7" s="1"/>
  <c r="F55" i="7"/>
  <c r="F59" i="7"/>
  <c r="F63" i="7"/>
  <c r="F67" i="7"/>
  <c r="F71" i="7"/>
  <c r="F75" i="7"/>
  <c r="F79" i="7"/>
  <c r="F84" i="7"/>
  <c r="F88" i="7"/>
  <c r="F92" i="7"/>
  <c r="F96" i="7"/>
  <c r="F100" i="7"/>
  <c r="F104" i="7"/>
  <c r="F108" i="7"/>
  <c r="F112" i="7"/>
  <c r="G112" i="7" s="1"/>
  <c r="F116" i="7"/>
  <c r="F120" i="7"/>
  <c r="N113" i="7" l="1"/>
  <c r="G59" i="7"/>
  <c r="N118" i="7"/>
  <c r="O118" i="7" s="1"/>
  <c r="N14" i="7"/>
  <c r="N81" i="7"/>
  <c r="G98" i="7"/>
  <c r="G52" i="7"/>
  <c r="G53" i="7"/>
  <c r="G81" i="7"/>
  <c r="N98" i="7"/>
  <c r="N66" i="7"/>
  <c r="N15" i="7"/>
  <c r="N52" i="7"/>
  <c r="N79" i="7"/>
  <c r="N120" i="7"/>
  <c r="O120" i="7" s="1"/>
  <c r="N80" i="7"/>
  <c r="N109" i="7"/>
  <c r="N67" i="7"/>
  <c r="N4" i="7"/>
  <c r="N47" i="7"/>
  <c r="N53" i="7"/>
  <c r="N39" i="7"/>
  <c r="N58" i="7"/>
  <c r="N18" i="7"/>
  <c r="G86" i="7"/>
  <c r="N40" i="7"/>
  <c r="G90" i="7"/>
  <c r="G15" i="7"/>
  <c r="N114" i="7"/>
  <c r="N115" i="7"/>
  <c r="N22" i="7"/>
  <c r="G41" i="7"/>
  <c r="N72" i="7"/>
  <c r="N99" i="7"/>
  <c r="N35" i="7"/>
  <c r="N90" i="7"/>
  <c r="N50" i="7"/>
  <c r="N95" i="7"/>
  <c r="N31" i="7"/>
  <c r="G12" i="7"/>
  <c r="N24" i="7"/>
  <c r="N61" i="7"/>
  <c r="N91" i="7"/>
  <c r="N59" i="7"/>
  <c r="N27" i="7"/>
  <c r="N89" i="7"/>
  <c r="N110" i="7"/>
  <c r="N82" i="7"/>
  <c r="N34" i="7"/>
  <c r="N117" i="7"/>
  <c r="N26" i="7"/>
  <c r="N100" i="7"/>
  <c r="N108" i="7"/>
  <c r="N60" i="7"/>
  <c r="G111" i="7"/>
  <c r="G97" i="7"/>
  <c r="G68" i="7"/>
  <c r="G36" i="7"/>
  <c r="G102" i="7"/>
  <c r="G37" i="7"/>
  <c r="G77" i="7"/>
  <c r="G114" i="7"/>
  <c r="G95" i="7"/>
  <c r="G94" i="7"/>
  <c r="G69" i="7"/>
  <c r="G100" i="7"/>
  <c r="G109" i="7"/>
  <c r="G118" i="7"/>
  <c r="G45" i="7"/>
  <c r="G24" i="7"/>
  <c r="G117" i="7"/>
  <c r="G82" i="7"/>
  <c r="G60" i="7"/>
  <c r="G110" i="7"/>
  <c r="G61" i="7"/>
  <c r="N76" i="7"/>
  <c r="N68" i="7"/>
  <c r="N45" i="7"/>
  <c r="N11" i="7"/>
  <c r="N6" i="7"/>
  <c r="N29" i="7"/>
  <c r="N83" i="7"/>
  <c r="N19" i="7"/>
  <c r="N102" i="7"/>
  <c r="N94" i="7"/>
  <c r="N86" i="7"/>
  <c r="N105" i="7"/>
  <c r="O105" i="7" s="1"/>
  <c r="N104" i="7"/>
  <c r="N48" i="7"/>
  <c r="N112" i="7"/>
  <c r="N56" i="7"/>
  <c r="N49" i="7"/>
  <c r="N116" i="7"/>
  <c r="N32" i="7"/>
  <c r="N20" i="7"/>
  <c r="N8" i="7"/>
  <c r="N21" i="7"/>
  <c r="N107" i="7"/>
  <c r="N87" i="7"/>
  <c r="N23" i="7"/>
  <c r="N65" i="7"/>
  <c r="N5" i="7"/>
  <c r="N106" i="7"/>
  <c r="N70" i="7"/>
  <c r="N38" i="7"/>
  <c r="N10" i="7"/>
  <c r="N57" i="7"/>
  <c r="N25" i="7"/>
  <c r="N13" i="7"/>
  <c r="N44" i="7"/>
  <c r="N33" i="7"/>
  <c r="N119" i="7"/>
  <c r="N43" i="7"/>
  <c r="N7" i="7"/>
  <c r="N17" i="7"/>
  <c r="N62" i="7"/>
  <c r="N30" i="7"/>
  <c r="N93" i="7"/>
  <c r="N88" i="7"/>
  <c r="N36" i="7"/>
  <c r="N12" i="7"/>
  <c r="N121" i="7"/>
  <c r="N97" i="7"/>
  <c r="N37" i="7"/>
  <c r="N111" i="7"/>
  <c r="N71" i="7"/>
  <c r="N63" i="7"/>
  <c r="N51" i="7"/>
  <c r="N101" i="7"/>
  <c r="N77" i="7"/>
  <c r="N41" i="7"/>
  <c r="N74" i="7"/>
  <c r="N42" i="7"/>
  <c r="N69" i="7"/>
  <c r="N92" i="7"/>
  <c r="N64" i="7"/>
  <c r="N73" i="7"/>
  <c r="N123" i="7"/>
  <c r="O123" i="7" s="1"/>
  <c r="N55" i="7"/>
  <c r="N54" i="7"/>
  <c r="N96" i="7"/>
  <c r="N84" i="7"/>
  <c r="N28" i="7"/>
  <c r="N16" i="7"/>
  <c r="N85" i="7"/>
  <c r="N9" i="7"/>
  <c r="N103" i="7"/>
  <c r="O103" i="7" s="1"/>
  <c r="N75" i="7"/>
  <c r="N122" i="7"/>
  <c r="O122" i="7" s="1"/>
  <c r="N78" i="7"/>
  <c r="N46" i="7"/>
  <c r="D40" i="3"/>
  <c r="D48" i="3"/>
  <c r="G104" i="7"/>
  <c r="G62" i="7"/>
  <c r="G21" i="7"/>
  <c r="G5" i="7"/>
  <c r="G72" i="7"/>
  <c r="G73" i="7"/>
  <c r="G87" i="7"/>
  <c r="G43" i="7"/>
  <c r="G54" i="7"/>
  <c r="G32" i="7"/>
  <c r="G119" i="7"/>
  <c r="I118" i="7" s="1"/>
  <c r="J118" i="7" s="1"/>
  <c r="G11" i="7"/>
  <c r="G49" i="7"/>
  <c r="G33" i="7"/>
  <c r="G40" i="7"/>
  <c r="G120" i="7"/>
  <c r="G88" i="7"/>
  <c r="G55" i="7"/>
  <c r="G39" i="7"/>
  <c r="G103" i="7"/>
  <c r="G48" i="7"/>
  <c r="G34" i="7"/>
  <c r="G116" i="7"/>
  <c r="G66" i="7"/>
  <c r="G9" i="7"/>
  <c r="G71" i="7"/>
  <c r="G70" i="7"/>
  <c r="G13" i="7"/>
  <c r="G4" i="7"/>
  <c r="G35" i="7"/>
  <c r="G8" i="7"/>
  <c r="G115" i="7"/>
  <c r="G80" i="7"/>
  <c r="G56" i="7"/>
  <c r="G10" i="7"/>
  <c r="G27" i="7"/>
  <c r="G19" i="7"/>
  <c r="G84" i="7"/>
  <c r="G67" i="7"/>
  <c r="G107" i="7"/>
  <c r="G42" i="7"/>
  <c r="G17" i="7"/>
  <c r="G121" i="7"/>
  <c r="G44" i="7"/>
  <c r="G30" i="7"/>
  <c r="G123" i="7"/>
  <c r="I123" i="7" s="1"/>
  <c r="J123" i="7" s="1"/>
  <c r="G113" i="7"/>
  <c r="G7" i="7"/>
  <c r="G20" i="7"/>
  <c r="G108" i="7"/>
  <c r="G92" i="7"/>
  <c r="G28" i="7"/>
  <c r="G91" i="7"/>
  <c r="G89" i="7"/>
  <c r="G38" i="7"/>
  <c r="G14" i="7"/>
  <c r="G57" i="7"/>
  <c r="G65" i="7"/>
  <c r="G99" i="7"/>
  <c r="G78" i="7"/>
  <c r="G46" i="7"/>
  <c r="G96" i="7"/>
  <c r="G79" i="7"/>
  <c r="G63" i="7"/>
  <c r="G47" i="7"/>
  <c r="G31" i="7"/>
  <c r="G64" i="7"/>
  <c r="G23" i="7"/>
  <c r="G106" i="7"/>
  <c r="G75" i="7"/>
  <c r="G16" i="7"/>
  <c r="G105" i="7"/>
  <c r="G74" i="7"/>
  <c r="G58" i="7"/>
  <c r="G50" i="7"/>
  <c r="G25" i="7"/>
  <c r="G22" i="7"/>
  <c r="G6" i="7"/>
  <c r="G83" i="7"/>
  <c r="G122" i="7"/>
  <c r="I122" i="7" s="1"/>
  <c r="J122" i="7" s="1"/>
  <c r="G26" i="7"/>
  <c r="G18" i="7"/>
  <c r="G93" i="7"/>
  <c r="G85" i="7"/>
  <c r="O79" i="7" l="1"/>
  <c r="O102" i="7"/>
  <c r="O110" i="7"/>
  <c r="O101" i="7"/>
  <c r="O116" i="7"/>
  <c r="O106" i="7"/>
  <c r="I106" i="7"/>
  <c r="J106" i="7" s="1"/>
  <c r="O112" i="7"/>
  <c r="O115" i="7"/>
  <c r="O111" i="7"/>
  <c r="O108" i="7"/>
  <c r="O114" i="7"/>
  <c r="O109" i="7"/>
  <c r="I121" i="7"/>
  <c r="J121" i="7" s="1"/>
  <c r="O119" i="7"/>
  <c r="O104" i="7"/>
  <c r="O98" i="7"/>
  <c r="O121" i="7"/>
  <c r="O107" i="7"/>
  <c r="O117" i="7"/>
  <c r="O113" i="7"/>
  <c r="O15" i="7"/>
  <c r="O52" i="7"/>
  <c r="O54" i="7"/>
  <c r="O51" i="7"/>
  <c r="O62" i="7"/>
  <c r="O70" i="7"/>
  <c r="O49" i="7"/>
  <c r="O59" i="7"/>
  <c r="O66" i="7"/>
  <c r="O46" i="7"/>
  <c r="O55" i="7"/>
  <c r="O63" i="7"/>
  <c r="O17" i="7"/>
  <c r="O56" i="7"/>
  <c r="O91" i="7"/>
  <c r="O22" i="7"/>
  <c r="O71" i="7"/>
  <c r="O61" i="7"/>
  <c r="O73" i="7"/>
  <c r="O43" i="7"/>
  <c r="O65" i="7"/>
  <c r="O48" i="7"/>
  <c r="O68" i="7"/>
  <c r="O24" i="7"/>
  <c r="O75" i="7"/>
  <c r="O64" i="7"/>
  <c r="O37" i="7"/>
  <c r="O23" i="7"/>
  <c r="O76" i="7"/>
  <c r="O100" i="7"/>
  <c r="O47" i="7"/>
  <c r="O92" i="7"/>
  <c r="O97" i="7"/>
  <c r="O33" i="7"/>
  <c r="O87" i="7"/>
  <c r="O26" i="7"/>
  <c r="O31" i="7"/>
  <c r="I93" i="7"/>
  <c r="J93" i="7" s="1"/>
  <c r="O69" i="7"/>
  <c r="O44" i="7"/>
  <c r="O86" i="7"/>
  <c r="O95" i="7"/>
  <c r="O40" i="7"/>
  <c r="O60" i="7"/>
  <c r="O85" i="7"/>
  <c r="O42" i="7"/>
  <c r="O12" i="7"/>
  <c r="O13" i="7"/>
  <c r="O21" i="7"/>
  <c r="O94" i="7"/>
  <c r="O34" i="7"/>
  <c r="O50" i="7"/>
  <c r="O78" i="7"/>
  <c r="O45" i="7"/>
  <c r="I50" i="7"/>
  <c r="J50" i="7" s="1"/>
  <c r="O16" i="7"/>
  <c r="O74" i="7"/>
  <c r="O36" i="7"/>
  <c r="O25" i="7"/>
  <c r="O82" i="7"/>
  <c r="O90" i="7"/>
  <c r="O18" i="7"/>
  <c r="O80" i="7"/>
  <c r="O53" i="7"/>
  <c r="I59" i="7"/>
  <c r="J59" i="7" s="1"/>
  <c r="O28" i="7"/>
  <c r="O88" i="7"/>
  <c r="O57" i="7"/>
  <c r="O20" i="7"/>
  <c r="O19" i="7"/>
  <c r="O35" i="7"/>
  <c r="O58" i="7"/>
  <c r="O14" i="7"/>
  <c r="I95" i="7"/>
  <c r="J95" i="7" s="1"/>
  <c r="O41" i="7"/>
  <c r="O84" i="7"/>
  <c r="O77" i="7"/>
  <c r="O93" i="7"/>
  <c r="O32" i="7"/>
  <c r="O83" i="7"/>
  <c r="O89" i="7"/>
  <c r="O99" i="7"/>
  <c r="O39" i="7"/>
  <c r="O67" i="7"/>
  <c r="O96" i="7"/>
  <c r="O30" i="7"/>
  <c r="O38" i="7"/>
  <c r="O29" i="7"/>
  <c r="O27" i="7"/>
  <c r="O72" i="7"/>
  <c r="O81" i="7"/>
  <c r="O11" i="7"/>
  <c r="O4" i="7"/>
  <c r="O9" i="7"/>
  <c r="O7" i="7"/>
  <c r="O8" i="7"/>
  <c r="O6" i="7"/>
  <c r="O10" i="7"/>
  <c r="O5" i="7"/>
  <c r="I83" i="7"/>
  <c r="J83" i="7" s="1"/>
  <c r="I81" i="7"/>
  <c r="J81" i="7" s="1"/>
  <c r="I46" i="7"/>
  <c r="J46" i="7" s="1"/>
  <c r="I45" i="7"/>
  <c r="J45" i="7" s="1"/>
  <c r="I85" i="7"/>
  <c r="J85" i="7" s="1"/>
  <c r="I105" i="7"/>
  <c r="J105" i="7" s="1"/>
  <c r="I63" i="7"/>
  <c r="J63" i="7" s="1"/>
  <c r="I77" i="7"/>
  <c r="J77" i="7" s="1"/>
  <c r="I78" i="7"/>
  <c r="J78" i="7" s="1"/>
  <c r="I28" i="7"/>
  <c r="J28" i="7" s="1"/>
  <c r="I44" i="7"/>
  <c r="J44" i="7" s="1"/>
  <c r="I107" i="7"/>
  <c r="J107" i="7" s="1"/>
  <c r="I115" i="7"/>
  <c r="J115" i="7" s="1"/>
  <c r="I66" i="7"/>
  <c r="J66" i="7" s="1"/>
  <c r="I103" i="7"/>
  <c r="J103" i="7" s="1"/>
  <c r="I101" i="7"/>
  <c r="J101" i="7" s="1"/>
  <c r="I120" i="7"/>
  <c r="J120" i="7" s="1"/>
  <c r="I43" i="7"/>
  <c r="J43" i="7" s="1"/>
  <c r="I82" i="7"/>
  <c r="J82" i="7" s="1"/>
  <c r="I100" i="7"/>
  <c r="J100" i="7" s="1"/>
  <c r="I64" i="7"/>
  <c r="J64" i="7" s="1"/>
  <c r="I79" i="7"/>
  <c r="J79" i="7" s="1"/>
  <c r="I99" i="7"/>
  <c r="J99" i="7" s="1"/>
  <c r="I97" i="7"/>
  <c r="J97" i="7" s="1"/>
  <c r="I37" i="7"/>
  <c r="J37" i="7" s="1"/>
  <c r="I36" i="7"/>
  <c r="J36" i="7" s="1"/>
  <c r="I38" i="7"/>
  <c r="J38" i="7" s="1"/>
  <c r="I92" i="7"/>
  <c r="J92" i="7" s="1"/>
  <c r="I113" i="7"/>
  <c r="J113" i="7" s="1"/>
  <c r="I112" i="7"/>
  <c r="J112" i="7" s="1"/>
  <c r="I67" i="7"/>
  <c r="J67" i="7" s="1"/>
  <c r="I68" i="7"/>
  <c r="J68" i="7" s="1"/>
  <c r="I69" i="7"/>
  <c r="J69" i="7" s="1"/>
  <c r="I70" i="7"/>
  <c r="J70" i="7" s="1"/>
  <c r="I116" i="7"/>
  <c r="J116" i="7" s="1"/>
  <c r="I39" i="7"/>
  <c r="J39" i="7" s="1"/>
  <c r="I40" i="7"/>
  <c r="J40" i="7" s="1"/>
  <c r="I119" i="7"/>
  <c r="J119" i="7" s="1"/>
  <c r="I117" i="7"/>
  <c r="J117" i="7" s="1"/>
  <c r="I87" i="7"/>
  <c r="J87" i="7" s="1"/>
  <c r="I60" i="7"/>
  <c r="J60" i="7" s="1"/>
  <c r="I109" i="7"/>
  <c r="J109" i="7" s="1"/>
  <c r="I76" i="7"/>
  <c r="J76" i="7" s="1"/>
  <c r="I58" i="7"/>
  <c r="J58" i="7" s="1"/>
  <c r="I75" i="7"/>
  <c r="J75" i="7" s="1"/>
  <c r="I31" i="7"/>
  <c r="J31" i="7" s="1"/>
  <c r="I96" i="7"/>
  <c r="J96" i="7" s="1"/>
  <c r="I65" i="7"/>
  <c r="J65" i="7" s="1"/>
  <c r="I89" i="7"/>
  <c r="J89" i="7" s="1"/>
  <c r="I108" i="7"/>
  <c r="J108" i="7" s="1"/>
  <c r="I84" i="7"/>
  <c r="J84" i="7" s="1"/>
  <c r="I56" i="7"/>
  <c r="J56" i="7" s="1"/>
  <c r="I35" i="7"/>
  <c r="J35" i="7" s="1"/>
  <c r="I71" i="7"/>
  <c r="J71" i="7" s="1"/>
  <c r="I34" i="7"/>
  <c r="J34" i="7" s="1"/>
  <c r="I55" i="7"/>
  <c r="J55" i="7" s="1"/>
  <c r="I33" i="7"/>
  <c r="J33" i="7" s="1"/>
  <c r="I32" i="7"/>
  <c r="J32" i="7" s="1"/>
  <c r="I73" i="7"/>
  <c r="J73" i="7" s="1"/>
  <c r="I62" i="7"/>
  <c r="J62" i="7" s="1"/>
  <c r="I61" i="7"/>
  <c r="J61" i="7" s="1"/>
  <c r="I86" i="7"/>
  <c r="J86" i="7" s="1"/>
  <c r="I111" i="7"/>
  <c r="J111" i="7" s="1"/>
  <c r="I114" i="7"/>
  <c r="J114" i="7" s="1"/>
  <c r="I102" i="7"/>
  <c r="J102" i="7" s="1"/>
  <c r="I74" i="7"/>
  <c r="J74" i="7" s="1"/>
  <c r="I47" i="7"/>
  <c r="J47" i="7" s="1"/>
  <c r="I57" i="7"/>
  <c r="J57" i="7" s="1"/>
  <c r="I90" i="7"/>
  <c r="J90" i="7" s="1"/>
  <c r="I91" i="7"/>
  <c r="J91" i="7" s="1"/>
  <c r="I29" i="7"/>
  <c r="J29" i="7" s="1"/>
  <c r="I30" i="7"/>
  <c r="J30" i="7" s="1"/>
  <c r="I41" i="7"/>
  <c r="J41" i="7" s="1"/>
  <c r="I42" i="7"/>
  <c r="J42" i="7" s="1"/>
  <c r="I80" i="7"/>
  <c r="J80" i="7" s="1"/>
  <c r="I48" i="7"/>
  <c r="J48" i="7" s="1"/>
  <c r="I88" i="7"/>
  <c r="J88" i="7" s="1"/>
  <c r="I49" i="7"/>
  <c r="J49" i="7" s="1"/>
  <c r="I52" i="7"/>
  <c r="J52" i="7" s="1"/>
  <c r="I54" i="7"/>
  <c r="J54" i="7" s="1"/>
  <c r="I53" i="7"/>
  <c r="J53" i="7" s="1"/>
  <c r="I72" i="7"/>
  <c r="J72" i="7" s="1"/>
  <c r="I104" i="7"/>
  <c r="J104" i="7" s="1"/>
  <c r="I110" i="7"/>
  <c r="J110" i="7" s="1"/>
  <c r="I94" i="7"/>
  <c r="J94" i="7" s="1"/>
  <c r="I51" i="7"/>
  <c r="J51" i="7" s="1"/>
  <c r="I98" i="7"/>
  <c r="J98" i="7" s="1"/>
  <c r="I21" i="7"/>
  <c r="J21" i="7" s="1"/>
  <c r="I24" i="7"/>
  <c r="J24" i="7" s="1"/>
  <c r="I25" i="7"/>
  <c r="J25" i="7" s="1"/>
  <c r="I17" i="7"/>
  <c r="J17" i="7" s="1"/>
  <c r="I23" i="7"/>
  <c r="J23" i="7" s="1"/>
  <c r="I27" i="7"/>
  <c r="J27" i="7" s="1"/>
  <c r="I18" i="7"/>
  <c r="J18" i="7" s="1"/>
  <c r="I26" i="7"/>
  <c r="J26" i="7" s="1"/>
  <c r="I22" i="7"/>
  <c r="J22" i="7" s="1"/>
  <c r="I20" i="7"/>
  <c r="J20" i="7" s="1"/>
  <c r="I19" i="7"/>
  <c r="J19" i="7" s="1"/>
  <c r="I16" i="7"/>
  <c r="J16" i="7" s="1"/>
  <c r="I14" i="7"/>
  <c r="J14" i="7" s="1"/>
  <c r="I13" i="7"/>
  <c r="J13" i="7" s="1"/>
  <c r="I15" i="7"/>
  <c r="J15" i="7" s="1"/>
  <c r="I12" i="7"/>
  <c r="J12" i="7" s="1"/>
  <c r="I11" i="7"/>
  <c r="J11" i="7" s="1"/>
  <c r="I10" i="7"/>
  <c r="J10" i="7" s="1"/>
  <c r="I8" i="7"/>
  <c r="J8" i="7" s="1"/>
  <c r="I6" i="7"/>
  <c r="J6" i="7" s="1"/>
  <c r="I9" i="7"/>
  <c r="J9" i="7" s="1"/>
  <c r="I7" i="7"/>
  <c r="J7" i="7" s="1"/>
  <c r="I5" i="7"/>
  <c r="J5" i="7" s="1"/>
  <c r="I4" i="7"/>
  <c r="J4" i="7" s="1"/>
  <c r="AE51" i="3" l="1"/>
  <c r="AF19" i="3"/>
  <c r="AF15" i="3"/>
  <c r="AF17" i="3"/>
  <c r="AF18" i="3"/>
  <c r="AF14" i="3"/>
  <c r="AF16" i="3"/>
  <c r="AE50" i="3" l="1"/>
  <c r="AF50" i="3" s="1"/>
  <c r="AG51" i="3"/>
  <c r="AF10" i="3" s="1"/>
  <c r="AC6" i="3"/>
  <c r="AF13" i="3" l="1"/>
</calcChain>
</file>

<file path=xl/sharedStrings.xml><?xml version="1.0" encoding="utf-8"?>
<sst xmlns="http://schemas.openxmlformats.org/spreadsheetml/2006/main" count="746" uniqueCount="141">
  <si>
    <t>Date</t>
  </si>
  <si>
    <t>Description</t>
  </si>
  <si>
    <t>Amount</t>
  </si>
  <si>
    <t>Type</t>
  </si>
  <si>
    <t>Category</t>
  </si>
  <si>
    <t>Account</t>
  </si>
  <si>
    <t>Comments</t>
  </si>
  <si>
    <t>Budget</t>
  </si>
  <si>
    <t>Income</t>
  </si>
  <si>
    <t>Sum of Amount</t>
  </si>
  <si>
    <t>Row Labels</t>
  </si>
  <si>
    <t>Grand Total</t>
  </si>
  <si>
    <t>(All)</t>
  </si>
  <si>
    <t>Expense</t>
  </si>
  <si>
    <t>Total</t>
  </si>
  <si>
    <t>BANK ACCOUNTS</t>
  </si>
  <si>
    <t>CREDIT CARD ACCOUNTS</t>
  </si>
  <si>
    <t>Choose Year and Month</t>
  </si>
  <si>
    <t>CASH</t>
  </si>
  <si>
    <t>WHERE DID MONEY COME FROM?</t>
  </si>
  <si>
    <t>Transfers</t>
  </si>
  <si>
    <t>INCOME</t>
  </si>
  <si>
    <t>EXPENSE</t>
  </si>
  <si>
    <t>SAVINGS</t>
  </si>
  <si>
    <t>DID I EXCEED MY OVERALL BUDGET?</t>
  </si>
  <si>
    <t>BUDGET</t>
  </si>
  <si>
    <t>WHERE WAS MONEY SPENT?</t>
  </si>
  <si>
    <t>Savings</t>
  </si>
  <si>
    <t>Cumulative Savings</t>
  </si>
  <si>
    <t>Net Balance</t>
  </si>
  <si>
    <t>Year</t>
  </si>
  <si>
    <t>Month</t>
  </si>
  <si>
    <t>Ending Balance</t>
  </si>
  <si>
    <t>Last Transaction Date</t>
  </si>
  <si>
    <t>ARE MY EXPENSES STAYING UNDER THE BUDGET?</t>
  </si>
  <si>
    <t>HOW MUCH AM I SAVING EVERY MONTH?</t>
  </si>
  <si>
    <t>CURRENT NET BALANCE</t>
  </si>
  <si>
    <t>Beginning Balance</t>
  </si>
  <si>
    <t>Ending Balance = Beginning Balance - Expense + Income + Transfers</t>
  </si>
  <si>
    <t>Enter End Date</t>
  </si>
  <si>
    <t>Enter Begin Date</t>
  </si>
  <si>
    <t>Budget - Expense</t>
  </si>
  <si>
    <t>Jan</t>
  </si>
  <si>
    <t>INCOME CATEGORIES</t>
  </si>
  <si>
    <t>TRANSFER CATEGORIES</t>
  </si>
  <si>
    <t>EXPENSE CATEGORY</t>
  </si>
  <si>
    <t>MONTHLY BUDGET</t>
  </si>
  <si>
    <t>INCOME CATEGORY</t>
  </si>
  <si>
    <t>EXPENSE SUBCATEGORY</t>
  </si>
  <si>
    <t>TRANSFER CATEGORY</t>
  </si>
  <si>
    <t>ACCOUNT NAME</t>
  </si>
  <si>
    <t>STARTING BALANCE</t>
  </si>
  <si>
    <t>ALL ACCOUNTS</t>
  </si>
  <si>
    <t>CREDIT</t>
  </si>
  <si>
    <t>BANK</t>
  </si>
  <si>
    <t>ROW NUMBER</t>
  </si>
  <si>
    <t>SORTED ROW NUM</t>
  </si>
  <si>
    <t>SORTED ACCOUNT NAME</t>
  </si>
  <si>
    <t>CURRENT BALANCE</t>
  </si>
  <si>
    <t>MONTHLY FINANCIAL ANALYSIS</t>
  </si>
  <si>
    <t>CASH ACCOUNTS</t>
  </si>
  <si>
    <t>ACCOUNT TYPE</t>
  </si>
  <si>
    <t xml:space="preserve">Enter negative values if you owe money </t>
  </si>
  <si>
    <t>CHOOSE ACCOUNT</t>
  </si>
  <si>
    <t>CHOOSE ONLY ONE TRANSACTION TYPE</t>
  </si>
  <si>
    <t>Subcategory</t>
  </si>
  <si>
    <t>EXPENSE BY SUBCATEGORIES</t>
  </si>
  <si>
    <t>Tracks up to last 10 years</t>
  </si>
  <si>
    <t>AM I SPENDING MORE OVER TIME IN ANY CATEGORIES OR SUBCATEGORIES?</t>
  </si>
  <si>
    <t>ACCT INCOME</t>
  </si>
  <si>
    <t>ACCT EXPENSE</t>
  </si>
  <si>
    <t>ACCT TRANSFERS</t>
  </si>
  <si>
    <t>ACCT BALANCE</t>
  </si>
  <si>
    <t>ACCT CUM BALANCE</t>
  </si>
  <si>
    <t>BALANCES AT MONTH END</t>
  </si>
  <si>
    <t>TRANSACTION SUMMARY FOR  PERIOD</t>
  </si>
  <si>
    <t>Current Balance = Starting Balance + Income - Expense + Transfer</t>
  </si>
  <si>
    <t>EXPENSE CATEGORIES</t>
  </si>
  <si>
    <t>SUBCATEGORIES</t>
  </si>
  <si>
    <t>HARD CODED</t>
  </si>
  <si>
    <t>HARD CODING BELOW</t>
  </si>
  <si>
    <t>Indian Bank</t>
  </si>
  <si>
    <t>WALLET</t>
  </si>
  <si>
    <t>SALARY</t>
  </si>
  <si>
    <t>Feb</t>
  </si>
  <si>
    <t>Indian Overseas Bank</t>
  </si>
  <si>
    <t>State Bank of India CC</t>
  </si>
  <si>
    <t>ICICI CC</t>
  </si>
  <si>
    <t>PROPERTY RENT</t>
  </si>
  <si>
    <t>Car</t>
  </si>
  <si>
    <t>Dining</t>
  </si>
  <si>
    <t>Entertainment</t>
  </si>
  <si>
    <t>Groceries</t>
  </si>
  <si>
    <t>Medical</t>
  </si>
  <si>
    <t>Household</t>
  </si>
  <si>
    <t>Utilities</t>
  </si>
  <si>
    <t>Miscellaneous</t>
  </si>
  <si>
    <t>Car Maintenance</t>
  </si>
  <si>
    <t>Fuel</t>
  </si>
  <si>
    <t>Restaurant</t>
  </si>
  <si>
    <t>Movies</t>
  </si>
  <si>
    <t>Coffee Shop</t>
  </si>
  <si>
    <t>Clothing</t>
  </si>
  <si>
    <t>Electronics</t>
  </si>
  <si>
    <t>Insurance</t>
  </si>
  <si>
    <t>Electricity Bill</t>
  </si>
  <si>
    <t>Water Bill</t>
  </si>
  <si>
    <t>Internet Bill</t>
  </si>
  <si>
    <t>Phone Bill</t>
  </si>
  <si>
    <t>Credit Card Payment</t>
  </si>
  <si>
    <t>ATM withdrawal</t>
  </si>
  <si>
    <t>Cheque</t>
  </si>
  <si>
    <t>Grocery shopping</t>
  </si>
  <si>
    <t>Salary</t>
  </si>
  <si>
    <t>Property rent from tenant</t>
  </si>
  <si>
    <t>Property Rent</t>
  </si>
  <si>
    <t>Medicines</t>
  </si>
  <si>
    <t xml:space="preserve">Car Fuel </t>
  </si>
  <si>
    <t>Car Repair charges</t>
  </si>
  <si>
    <t>Fast food</t>
  </si>
  <si>
    <t>State Bank of India CC - Credit Card Payment</t>
  </si>
  <si>
    <t>Transfer</t>
  </si>
  <si>
    <t>ICICI CC - Credit Card Payment</t>
  </si>
  <si>
    <t>SBI Credit Card Payment</t>
  </si>
  <si>
    <t>ICICI Credit Card Payment</t>
  </si>
  <si>
    <t>Shopping for festival</t>
  </si>
  <si>
    <t>Car insurance</t>
  </si>
  <si>
    <t>Mp3 player</t>
  </si>
  <si>
    <t>birthday gift</t>
  </si>
  <si>
    <t>Cash withdrawal</t>
  </si>
  <si>
    <t>Salary increased this month.</t>
  </si>
  <si>
    <t>Mar</t>
  </si>
  <si>
    <t>CREDIT ACCTS</t>
  </si>
  <si>
    <t>Other T</t>
  </si>
  <si>
    <t>DAY TO DAY TRANSACTIONS</t>
  </si>
  <si>
    <t>Includes late payment fee</t>
  </si>
  <si>
    <t>REPORTING SUMMARY</t>
  </si>
  <si>
    <t>TREND TRENDS</t>
  </si>
  <si>
    <t>HDFC Bank</t>
  </si>
  <si>
    <t>Includes last month due</t>
  </si>
  <si>
    <t>COMPARISON OF EXPENSE vs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</si>
</sst>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4009]\ * #,##0.00_ ;_ [$₹-4009]\ * \-#,##0.00_ ;_ [$₹-4009]\ * &quot;-&quot;??_ ;_ @_ "/>
    <numFmt numFmtId="166" formatCode="[$₹-4009]\ #,##0.00"/>
    <numFmt numFmtId="167" formatCode="[$₹-4009]\ #,##0"/>
    <numFmt numFmtId="168" formatCode="[$-F800]dddd\,\ mmmm\ dd\,\ yyyy"/>
    <numFmt numFmtId="169" formatCode="[$-409]d\-mmm\-yyyy;@"/>
    <numFmt numFmtId="170" formatCode="[$-409]mmm\-yy;@"/>
    <numFmt numFmtId="171" formatCode="[$-409]mmmm\ d\,\ yyyy;@"/>
  </numFmts>
  <fonts count="54"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b/>
      <sz val="11"/>
      <color rgb="FF002060"/>
      <name val="Calibri"/>
      <family val="2"/>
      <scheme val="minor"/>
    </font>
    <font>
      <sz val="16"/>
      <name val="Tw Cen MT"/>
      <family val="2"/>
    </font>
    <font>
      <sz val="16"/>
      <color theme="1"/>
      <name val="Tw Cen MT"/>
      <family val="2"/>
    </font>
    <font>
      <i/>
      <sz val="11"/>
      <color theme="1"/>
      <name val="Calibri"/>
      <family val="2"/>
      <scheme val="minor"/>
    </font>
    <font>
      <sz val="18"/>
      <color theme="1"/>
      <name val="Calibri"/>
      <family val="2"/>
      <scheme val="minor"/>
    </font>
    <font>
      <b/>
      <sz val="16"/>
      <color theme="1"/>
      <name val="Calibri"/>
      <family val="2"/>
      <scheme val="minor"/>
    </font>
    <font>
      <sz val="11"/>
      <color theme="1"/>
      <name val="Calibri"/>
      <family val="2"/>
      <scheme val="minor"/>
    </font>
    <font>
      <sz val="11"/>
      <color theme="0"/>
      <name val="Calibri"/>
      <family val="2"/>
      <scheme val="minor"/>
    </font>
    <font>
      <sz val="14"/>
      <color theme="0"/>
      <name val="Calibri"/>
      <family val="2"/>
      <scheme val="minor"/>
    </font>
    <font>
      <b/>
      <sz val="16"/>
      <name val="Calibri"/>
      <family val="2"/>
      <scheme val="minor"/>
    </font>
    <font>
      <i/>
      <sz val="11"/>
      <color rgb="FFFF0000"/>
      <name val="Calibri"/>
      <family val="2"/>
      <scheme val="minor"/>
    </font>
    <font>
      <b/>
      <sz val="12"/>
      <color theme="1"/>
      <name val="Calibri"/>
      <family val="2"/>
      <scheme val="minor"/>
    </font>
    <font>
      <i/>
      <sz val="11"/>
      <name val="Calibri"/>
      <family val="2"/>
      <scheme val="minor"/>
    </font>
    <font>
      <i/>
      <sz val="12"/>
      <color rgb="FFFF0000"/>
      <name val="Calibri"/>
      <family val="2"/>
      <scheme val="minor"/>
    </font>
    <font>
      <sz val="16"/>
      <color rgb="FF00B050"/>
      <name val="Tw Cen MT"/>
      <family val="2"/>
    </font>
    <font>
      <sz val="14"/>
      <color theme="1"/>
      <name val="Tw Cen MT"/>
      <family val="2"/>
    </font>
    <font>
      <b/>
      <sz val="20"/>
      <color theme="1"/>
      <name val="Calibri"/>
      <family val="2"/>
      <scheme val="minor"/>
    </font>
    <font>
      <sz val="20"/>
      <color theme="0"/>
      <name val="Tw Cen MT"/>
      <family val="2"/>
    </font>
    <font>
      <b/>
      <sz val="20"/>
      <name val="Calibri"/>
      <family val="2"/>
      <scheme val="minor"/>
    </font>
    <font>
      <sz val="11"/>
      <color rgb="FFFF0000"/>
      <name val="Calibri"/>
      <family val="2"/>
      <scheme val="minor"/>
    </font>
    <font>
      <sz val="16"/>
      <color theme="1"/>
      <name val="Calibri"/>
      <family val="2"/>
      <scheme val="minor"/>
    </font>
    <font>
      <i/>
      <sz val="10"/>
      <color theme="1"/>
      <name val="Calibri"/>
      <family val="2"/>
      <scheme val="minor"/>
    </font>
    <font>
      <u/>
      <sz val="11"/>
      <color theme="10"/>
      <name val="Calibri"/>
      <family val="2"/>
      <scheme val="minor"/>
    </font>
    <font>
      <sz val="11"/>
      <color rgb="FF000000"/>
      <name val="Calibri"/>
      <family val="2"/>
      <scheme val="minor"/>
    </font>
    <font>
      <sz val="24"/>
      <color theme="7" tint="0.39997558519241921"/>
      <name val="Tw Cen MT"/>
      <family val="2"/>
    </font>
    <font>
      <u/>
      <sz val="18"/>
      <color theme="0"/>
      <name val="Tw Cen MT"/>
      <family val="2"/>
    </font>
    <font>
      <i/>
      <sz val="10"/>
      <name val="Calibri"/>
      <family val="2"/>
      <scheme val="minor"/>
    </font>
    <font>
      <sz val="16"/>
      <color theme="5" tint="-0.249977111117893"/>
      <name val="Tw Cen MT"/>
      <family val="2"/>
    </font>
    <font>
      <b/>
      <sz val="14"/>
      <name val="Calibri"/>
      <family val="2"/>
      <scheme val="minor"/>
    </font>
    <font>
      <b/>
      <sz val="14"/>
      <color theme="8" tint="-0.499984740745262"/>
      <name val="Calibri"/>
      <family val="2"/>
      <scheme val="minor"/>
    </font>
    <font>
      <b/>
      <sz val="18"/>
      <color theme="8" tint="-0.499984740745262"/>
      <name val="Calibri"/>
      <family val="2"/>
      <scheme val="minor"/>
    </font>
    <font>
      <b/>
      <sz val="11"/>
      <color theme="0"/>
      <name val="Calibri"/>
      <family val="2"/>
      <scheme val="minor"/>
    </font>
    <font>
      <b/>
      <sz val="18"/>
      <name val="Calibri"/>
      <family val="2"/>
      <scheme val="minor"/>
    </font>
    <font>
      <b/>
      <sz val="18"/>
      <color theme="3"/>
      <name val="Calibri"/>
      <family val="2"/>
      <scheme val="minor"/>
    </font>
    <font>
      <b/>
      <sz val="14"/>
      <color theme="1"/>
      <name val="Calibri"/>
      <family val="2"/>
      <scheme val="minor"/>
    </font>
    <font>
      <b/>
      <sz val="11"/>
      <color rgb="FFC00000"/>
      <name val="Calibri"/>
      <family val="2"/>
      <scheme val="minor"/>
    </font>
    <font>
      <i/>
      <sz val="12"/>
      <color theme="1"/>
      <name val="Calibri"/>
      <family val="2"/>
      <scheme val="minor"/>
    </font>
    <font>
      <sz val="20"/>
      <color theme="7" tint="0.39997558519241921"/>
      <name val="Tw Cen MT"/>
      <family val="2"/>
    </font>
    <font>
      <b/>
      <i/>
      <sz val="14"/>
      <color theme="3"/>
      <name val="Calibri"/>
      <family val="2"/>
      <scheme val="minor"/>
    </font>
    <font>
      <i/>
      <sz val="14"/>
      <color theme="1"/>
      <name val="Calibri"/>
      <family val="2"/>
      <scheme val="minor"/>
    </font>
    <font>
      <sz val="10"/>
      <color theme="1"/>
      <name val="Calibri"/>
      <family val="2"/>
      <scheme val="minor"/>
    </font>
    <font>
      <b/>
      <sz val="18"/>
      <color theme="7"/>
      <name val="Calibri"/>
      <family val="2"/>
      <scheme val="minor"/>
    </font>
    <font>
      <sz val="14"/>
      <color theme="1"/>
      <name val="Calibri"/>
      <scheme val="minor"/>
    </font>
    <font>
      <sz val="12"/>
      <color theme="1"/>
      <name val="Calibri"/>
      <scheme val="minor"/>
    </font>
    <font>
      <sz val="18"/>
      <color theme="0"/>
      <name val="Calibri"/>
      <family val="2"/>
      <scheme val="minor"/>
    </font>
    <font>
      <b/>
      <sz val="20"/>
      <color theme="7" tint="0.39997558519241921"/>
      <name val="Tw Cen MT"/>
      <family val="2"/>
    </font>
    <font>
      <b/>
      <sz val="11"/>
      <color theme="7"/>
      <name val="Calibri"/>
      <family val="2"/>
      <scheme val="minor"/>
    </font>
    <font>
      <b/>
      <sz val="11"/>
      <color theme="7" tint="0.39997558519241921"/>
      <name val="Calibri"/>
      <family val="2"/>
      <scheme val="minor"/>
    </font>
    <font>
      <b/>
      <sz val="24"/>
      <color theme="7"/>
      <name val="Tw Cen MT"/>
      <family val="2"/>
    </font>
    <font>
      <sz val="16"/>
      <color rgb="FF002060"/>
      <name val="Tw Cen MT"/>
      <family val="2"/>
    </font>
  </fonts>
  <fills count="17">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2" tint="-9.9978637043366805E-2"/>
        <bgColor indexed="64"/>
      </patternFill>
    </fill>
    <fill>
      <patternFill patternType="solid">
        <fgColor theme="3"/>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theme="5" tint="-0.249977111117893"/>
        <bgColor indexed="64"/>
      </patternFill>
    </fill>
    <fill>
      <patternFill patternType="solid">
        <fgColor rgb="FF00B050"/>
        <bgColor indexed="64"/>
      </patternFill>
    </fill>
    <fill>
      <patternFill patternType="solid">
        <fgColor rgb="FF002060"/>
        <bgColor indexed="64"/>
      </patternFill>
    </fill>
  </fills>
  <borders count="37">
    <border>
      <left/>
      <right/>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style="dashed">
        <color auto="1"/>
      </bottom>
      <diagonal/>
    </border>
    <border>
      <left/>
      <right style="dashed">
        <color auto="1"/>
      </right>
      <top/>
      <bottom style="dashed">
        <color auto="1"/>
      </bottom>
      <diagonal/>
    </border>
    <border>
      <left/>
      <right/>
      <top/>
      <bottom style="dashed">
        <color auto="1"/>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ashed">
        <color auto="1"/>
      </left>
      <right/>
      <top/>
      <bottom/>
      <diagonal/>
    </border>
    <border>
      <left/>
      <right style="dashed">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0" fillId="0" borderId="0" applyFont="0" applyFill="0" applyBorder="0" applyAlignment="0" applyProtection="0"/>
    <xf numFmtId="0" fontId="26" fillId="0" borderId="0" applyNumberFormat="0" applyFill="0" applyBorder="0" applyAlignment="0" applyProtection="0"/>
  </cellStyleXfs>
  <cellXfs count="228">
    <xf numFmtId="0" fontId="0" fillId="0" borderId="0" xfId="0"/>
    <xf numFmtId="0" fontId="3" fillId="0" borderId="0" xfId="0" applyFont="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170" fontId="0" fillId="0" borderId="0" xfId="0" applyNumberFormat="1" applyFill="1" applyAlignment="1">
      <alignment horizontal="center"/>
    </xf>
    <xf numFmtId="0" fontId="0" fillId="0" borderId="0" xfId="0" applyNumberFormat="1" applyFill="1" applyAlignment="1">
      <alignment horizontal="center"/>
    </xf>
    <xf numFmtId="0" fontId="0" fillId="2" borderId="0" xfId="0" applyFill="1" applyProtection="1">
      <protection hidden="1"/>
    </xf>
    <xf numFmtId="0" fontId="0" fillId="0" borderId="0" xfId="0" applyProtection="1">
      <protection hidden="1"/>
    </xf>
    <xf numFmtId="0" fontId="0" fillId="7" borderId="2" xfId="0" applyFill="1" applyBorder="1" applyProtection="1">
      <protection hidden="1"/>
    </xf>
    <xf numFmtId="0" fontId="0" fillId="7" borderId="0" xfId="0" applyFill="1" applyBorder="1" applyProtection="1">
      <protection hidden="1"/>
    </xf>
    <xf numFmtId="0" fontId="0" fillId="7" borderId="3" xfId="0" applyFill="1" applyBorder="1" applyProtection="1">
      <protection hidden="1"/>
    </xf>
    <xf numFmtId="0" fontId="0" fillId="7" borderId="0" xfId="0" applyFont="1" applyFill="1" applyBorder="1" applyProtection="1">
      <protection hidden="1"/>
    </xf>
    <xf numFmtId="0" fontId="7" fillId="7" borderId="0" xfId="0" applyFont="1" applyFill="1" applyBorder="1" applyProtection="1">
      <protection hidden="1"/>
    </xf>
    <xf numFmtId="0" fontId="0" fillId="7" borderId="0" xfId="0" applyFill="1" applyProtection="1">
      <protection hidden="1"/>
    </xf>
    <xf numFmtId="0" fontId="1" fillId="7" borderId="0" xfId="0" applyFont="1" applyFill="1" applyBorder="1" applyAlignment="1" applyProtection="1">
      <alignment horizontal="center"/>
      <protection hidden="1"/>
    </xf>
    <xf numFmtId="0" fontId="0" fillId="2" borderId="0" xfId="0" applyFill="1" applyBorder="1" applyProtection="1">
      <protection hidden="1"/>
    </xf>
    <xf numFmtId="0" fontId="0" fillId="7" borderId="4" xfId="0" applyFill="1" applyBorder="1" applyProtection="1">
      <protection hidden="1"/>
    </xf>
    <xf numFmtId="0" fontId="0" fillId="7" borderId="5" xfId="0" applyFill="1" applyBorder="1" applyProtection="1">
      <protection hidden="1"/>
    </xf>
    <xf numFmtId="0" fontId="0" fillId="7" borderId="6" xfId="0" applyFill="1" applyBorder="1" applyProtection="1">
      <protection hidden="1"/>
    </xf>
    <xf numFmtId="0" fontId="0" fillId="0" borderId="0" xfId="0" applyProtection="1">
      <protection locked="0" hidden="1"/>
    </xf>
    <xf numFmtId="0" fontId="0" fillId="2" borderId="2" xfId="0" applyFill="1" applyBorder="1" applyProtection="1">
      <protection hidden="1"/>
    </xf>
    <xf numFmtId="0" fontId="7" fillId="2" borderId="0" xfId="0" applyFont="1" applyFill="1" applyBorder="1" applyAlignment="1" applyProtection="1">
      <alignment vertical="center" wrapText="1"/>
      <protection hidden="1"/>
    </xf>
    <xf numFmtId="0" fontId="0" fillId="2" borderId="3" xfId="0" applyFill="1" applyBorder="1" applyProtection="1">
      <protection hidden="1"/>
    </xf>
    <xf numFmtId="166" fontId="12" fillId="2" borderId="0" xfId="0" applyNumberFormat="1" applyFont="1" applyFill="1" applyBorder="1" applyAlignment="1" applyProtection="1">
      <alignment vertical="center"/>
      <protection hidden="1"/>
    </xf>
    <xf numFmtId="0" fontId="17" fillId="2" borderId="0" xfId="0" applyFont="1" applyFill="1" applyBorder="1" applyAlignment="1" applyProtection="1">
      <alignment vertical="center"/>
      <protection hidden="1"/>
    </xf>
    <xf numFmtId="0" fontId="17" fillId="2" borderId="0" xfId="0" applyFont="1" applyFill="1" applyBorder="1" applyAlignment="1" applyProtection="1">
      <alignment vertical="center" wrapText="1"/>
      <protection hidden="1"/>
    </xf>
    <xf numFmtId="0" fontId="6" fillId="2" borderId="0" xfId="0" applyFont="1" applyFill="1" applyBorder="1" applyProtection="1">
      <protection hidden="1"/>
    </xf>
    <xf numFmtId="166" fontId="8" fillId="7" borderId="0" xfId="0" applyNumberFormat="1" applyFont="1" applyFill="1" applyBorder="1" applyAlignment="1" applyProtection="1">
      <alignment vertical="center"/>
      <protection hidden="1"/>
    </xf>
    <xf numFmtId="0" fontId="1" fillId="7" borderId="0" xfId="0" applyFont="1" applyFill="1" applyBorder="1" applyProtection="1">
      <protection hidden="1"/>
    </xf>
    <xf numFmtId="166" fontId="13" fillId="7" borderId="0" xfId="0" applyNumberFormat="1" applyFont="1" applyFill="1" applyBorder="1" applyAlignment="1" applyProtection="1">
      <alignment horizontal="center" vertical="center"/>
      <protection hidden="1"/>
    </xf>
    <xf numFmtId="166" fontId="0" fillId="7" borderId="0" xfId="0" applyNumberFormat="1" applyFill="1" applyBorder="1" applyProtection="1">
      <protection hidden="1"/>
    </xf>
    <xf numFmtId="0" fontId="6" fillId="2" borderId="0" xfId="0" applyFont="1" applyFill="1" applyBorder="1" applyAlignment="1" applyProtection="1">
      <alignment vertical="center"/>
      <protection hidden="1"/>
    </xf>
    <xf numFmtId="0" fontId="1" fillId="2" borderId="0" xfId="0" applyFont="1" applyFill="1" applyBorder="1" applyAlignment="1" applyProtection="1">
      <alignment horizontal="center"/>
      <protection hidden="1"/>
    </xf>
    <xf numFmtId="166" fontId="9" fillId="7" borderId="0" xfId="0" applyNumberFormat="1" applyFont="1" applyFill="1" applyBorder="1" applyAlignment="1" applyProtection="1">
      <alignment horizontal="center"/>
      <protection hidden="1"/>
    </xf>
    <xf numFmtId="0" fontId="6" fillId="2" borderId="2" xfId="0" applyFont="1" applyFill="1" applyBorder="1" applyProtection="1">
      <protection hidden="1"/>
    </xf>
    <xf numFmtId="0" fontId="19" fillId="2" borderId="0" xfId="0" applyFont="1" applyFill="1" applyBorder="1" applyProtection="1">
      <protection hidden="1"/>
    </xf>
    <xf numFmtId="14" fontId="0" fillId="2" borderId="0" xfId="0" applyNumberFormat="1" applyFill="1" applyBorder="1" applyAlignment="1" applyProtection="1">
      <alignment horizontal="center"/>
      <protection hidden="1"/>
    </xf>
    <xf numFmtId="166" fontId="0" fillId="2" borderId="0" xfId="0" applyNumberFormat="1" applyFill="1" applyBorder="1" applyAlignment="1" applyProtection="1">
      <alignment horizontal="center"/>
      <protection hidden="1"/>
    </xf>
    <xf numFmtId="0" fontId="7" fillId="2" borderId="0" xfId="0" applyFont="1" applyFill="1" applyBorder="1" applyProtection="1">
      <protection hidden="1"/>
    </xf>
    <xf numFmtId="0" fontId="24" fillId="7" borderId="0" xfId="0" applyFont="1" applyFill="1" applyBorder="1" applyAlignment="1" applyProtection="1">
      <alignment horizontal="right" vertical="center"/>
      <protection hidden="1"/>
    </xf>
    <xf numFmtId="166" fontId="9" fillId="7" borderId="0" xfId="0" applyNumberFormat="1" applyFont="1" applyFill="1" applyBorder="1" applyAlignment="1" applyProtection="1">
      <alignment horizontal="center" vertical="center"/>
      <protection hidden="1"/>
    </xf>
    <xf numFmtId="0" fontId="2" fillId="2" borderId="0" xfId="0" applyFont="1" applyFill="1" applyBorder="1" applyProtection="1">
      <protection hidden="1"/>
    </xf>
    <xf numFmtId="167" fontId="15" fillId="2" borderId="0" xfId="0" applyNumberFormat="1" applyFont="1" applyFill="1" applyBorder="1" applyAlignment="1" applyProtection="1">
      <protection hidden="1"/>
    </xf>
    <xf numFmtId="0" fontId="5" fillId="2" borderId="0" xfId="0" applyFont="1" applyFill="1" applyBorder="1" applyAlignment="1" applyProtection="1">
      <alignment horizontal="center"/>
      <protection hidden="1"/>
    </xf>
    <xf numFmtId="0" fontId="0" fillId="7" borderId="0" xfId="0" applyFont="1" applyFill="1" applyBorder="1" applyAlignment="1" applyProtection="1">
      <alignment horizontal="center"/>
      <protection hidden="1"/>
    </xf>
    <xf numFmtId="0" fontId="0" fillId="2" borderId="0" xfId="0" applyFill="1" applyBorder="1" applyAlignment="1" applyProtection="1">
      <alignment horizontal="center"/>
      <protection hidden="1"/>
    </xf>
    <xf numFmtId="0" fontId="3" fillId="7" borderId="0" xfId="0" applyFont="1" applyFill="1" applyBorder="1" applyProtection="1">
      <protection hidden="1"/>
    </xf>
    <xf numFmtId="0" fontId="4" fillId="2" borderId="13" xfId="0" applyFont="1" applyFill="1" applyBorder="1" applyAlignment="1" applyProtection="1">
      <alignment horizontal="center"/>
      <protection hidden="1"/>
    </xf>
    <xf numFmtId="166" fontId="32" fillId="7" borderId="0" xfId="0" applyNumberFormat="1" applyFont="1" applyFill="1" applyBorder="1" applyAlignment="1" applyProtection="1">
      <alignment horizontal="center"/>
      <protection hidden="1"/>
    </xf>
    <xf numFmtId="14" fontId="0" fillId="7" borderId="0" xfId="0" applyNumberFormat="1" applyFill="1" applyBorder="1" applyAlignment="1" applyProtection="1">
      <alignment horizontal="center"/>
      <protection hidden="1"/>
    </xf>
    <xf numFmtId="0" fontId="0" fillId="7" borderId="0" xfId="0" applyFill="1" applyBorder="1" applyAlignment="1" applyProtection="1">
      <alignment horizontal="center"/>
      <protection hidden="1"/>
    </xf>
    <xf numFmtId="166" fontId="0" fillId="7" borderId="0" xfId="0" applyNumberFormat="1" applyFill="1" applyBorder="1" applyAlignment="1" applyProtection="1">
      <alignment horizontal="center"/>
      <protection hidden="1"/>
    </xf>
    <xf numFmtId="14" fontId="0" fillId="7" borderId="0" xfId="0" applyNumberFormat="1" applyFill="1" applyBorder="1" applyProtection="1">
      <protection hidden="1"/>
    </xf>
    <xf numFmtId="0" fontId="31" fillId="7" borderId="0" xfId="0" applyFont="1" applyFill="1" applyBorder="1" applyAlignment="1" applyProtection="1">
      <alignment vertical="center"/>
      <protection hidden="1"/>
    </xf>
    <xf numFmtId="166" fontId="30" fillId="7" borderId="0" xfId="0" applyNumberFormat="1" applyFont="1" applyFill="1" applyBorder="1" applyAlignment="1" applyProtection="1">
      <alignment horizontal="left" vertical="center"/>
      <protection hidden="1"/>
    </xf>
    <xf numFmtId="0" fontId="0" fillId="0" borderId="0" xfId="0" applyBorder="1" applyProtection="1">
      <protection hidden="1"/>
    </xf>
    <xf numFmtId="169" fontId="0" fillId="7" borderId="0" xfId="0" applyNumberFormat="1" applyFill="1" applyBorder="1" applyProtection="1">
      <protection hidden="1"/>
    </xf>
    <xf numFmtId="0" fontId="0" fillId="0" borderId="18" xfId="0" applyBorder="1" applyProtection="1">
      <protection hidden="1"/>
    </xf>
    <xf numFmtId="0" fontId="11" fillId="2" borderId="0" xfId="0" applyFont="1" applyFill="1" applyBorder="1" applyProtection="1">
      <protection hidden="1"/>
    </xf>
    <xf numFmtId="0" fontId="11" fillId="2" borderId="3" xfId="0" applyFont="1" applyFill="1" applyBorder="1" applyProtection="1">
      <protection hidden="1"/>
    </xf>
    <xf numFmtId="0" fontId="11" fillId="7" borderId="2" xfId="0" applyFont="1" applyFill="1" applyBorder="1" applyProtection="1">
      <protection hidden="1"/>
    </xf>
    <xf numFmtId="0" fontId="11" fillId="7" borderId="0" xfId="0" applyFont="1" applyFill="1" applyBorder="1" applyProtection="1">
      <protection hidden="1"/>
    </xf>
    <xf numFmtId="164" fontId="11" fillId="7" borderId="0" xfId="1" applyFont="1" applyFill="1" applyBorder="1" applyProtection="1">
      <protection hidden="1"/>
    </xf>
    <xf numFmtId="167" fontId="0" fillId="7" borderId="0" xfId="0" applyNumberFormat="1" applyFill="1" applyBorder="1" applyProtection="1">
      <protection hidden="1"/>
    </xf>
    <xf numFmtId="0" fontId="19" fillId="7" borderId="0" xfId="0" applyFont="1" applyFill="1" applyBorder="1" applyProtection="1">
      <protection hidden="1"/>
    </xf>
    <xf numFmtId="0" fontId="18" fillId="7" borderId="0" xfId="0" applyFont="1" applyFill="1" applyBorder="1" applyAlignment="1" applyProtection="1">
      <alignment vertical="center"/>
      <protection hidden="1"/>
    </xf>
    <xf numFmtId="0" fontId="0" fillId="2" borderId="0" xfId="0" applyFill="1" applyBorder="1" applyProtection="1">
      <protection locked="0" hidden="1"/>
    </xf>
    <xf numFmtId="0" fontId="0" fillId="2" borderId="0" xfId="0" applyFill="1" applyProtection="1">
      <protection locked="0" hidden="1"/>
    </xf>
    <xf numFmtId="0" fontId="11" fillId="2" borderId="0" xfId="0" applyFont="1" applyFill="1" applyProtection="1">
      <protection locked="0" hidden="1"/>
    </xf>
    <xf numFmtId="170" fontId="0" fillId="0" borderId="0" xfId="0" quotePrefix="1" applyNumberFormat="1"/>
    <xf numFmtId="3" fontId="0" fillId="2" borderId="0" xfId="0" applyNumberFormat="1" applyFill="1" applyBorder="1" applyAlignment="1" applyProtection="1">
      <alignment horizontal="center" vertical="center"/>
      <protection hidden="1"/>
    </xf>
    <xf numFmtId="3" fontId="1" fillId="2" borderId="19" xfId="0" applyNumberFormat="1" applyFont="1" applyFill="1" applyBorder="1" applyAlignment="1" applyProtection="1">
      <protection hidden="1"/>
    </xf>
    <xf numFmtId="3" fontId="1" fillId="2" borderId="18" xfId="0" applyNumberFormat="1" applyFont="1" applyFill="1" applyBorder="1" applyAlignment="1" applyProtection="1">
      <alignment horizontal="center"/>
      <protection hidden="1"/>
    </xf>
    <xf numFmtId="3" fontId="0" fillId="0" borderId="0" xfId="0" applyNumberFormat="1" applyFill="1" applyAlignment="1">
      <alignment horizontal="center"/>
    </xf>
    <xf numFmtId="3" fontId="0" fillId="0" borderId="0" xfId="0" applyNumberFormat="1" applyFill="1"/>
    <xf numFmtId="3" fontId="0" fillId="0" borderId="0" xfId="0" applyNumberFormat="1"/>
    <xf numFmtId="0" fontId="1" fillId="7" borderId="0" xfId="0" applyFont="1" applyFill="1" applyBorder="1" applyAlignment="1" applyProtection="1">
      <alignment horizontal="center"/>
      <protection hidden="1"/>
    </xf>
    <xf numFmtId="3" fontId="0" fillId="2" borderId="0" xfId="0" applyNumberFormat="1" applyFill="1" applyBorder="1" applyAlignment="1" applyProtection="1">
      <alignment horizontal="center" vertical="center"/>
      <protection hidden="1"/>
    </xf>
    <xf numFmtId="0" fontId="0" fillId="7" borderId="0" xfId="0" applyFill="1"/>
    <xf numFmtId="0" fontId="0" fillId="9" borderId="0" xfId="0" applyFill="1"/>
    <xf numFmtId="0" fontId="1" fillId="0" borderId="0" xfId="0" applyFont="1"/>
    <xf numFmtId="4" fontId="33" fillId="7" borderId="0" xfId="0" applyNumberFormat="1" applyFont="1" applyFill="1" applyBorder="1" applyAlignment="1" applyProtection="1">
      <alignment vertical="center"/>
      <protection hidden="1"/>
    </xf>
    <xf numFmtId="0" fontId="33" fillId="7" borderId="23" xfId="0" applyFont="1" applyFill="1" applyBorder="1" applyAlignment="1" applyProtection="1">
      <alignment vertical="center" wrapText="1"/>
      <protection hidden="1"/>
    </xf>
    <xf numFmtId="0" fontId="33" fillId="7" borderId="24" xfId="0" applyFont="1" applyFill="1" applyBorder="1" applyAlignment="1" applyProtection="1">
      <alignment vertical="center" wrapText="1"/>
      <protection hidden="1"/>
    </xf>
    <xf numFmtId="0" fontId="33" fillId="7" borderId="25" xfId="0" applyFont="1" applyFill="1" applyBorder="1" applyAlignment="1" applyProtection="1">
      <alignment vertical="center" wrapText="1"/>
      <protection hidden="1"/>
    </xf>
    <xf numFmtId="0" fontId="33" fillId="7" borderId="26" xfId="0" applyFont="1" applyFill="1" applyBorder="1" applyAlignment="1" applyProtection="1">
      <alignment vertical="center" wrapText="1"/>
      <protection hidden="1"/>
    </xf>
    <xf numFmtId="0" fontId="33" fillId="7" borderId="27" xfId="0" applyFont="1" applyFill="1" applyBorder="1" applyAlignment="1" applyProtection="1">
      <alignment vertical="center" wrapText="1"/>
      <protection hidden="1"/>
    </xf>
    <xf numFmtId="0" fontId="33" fillId="7" borderId="28" xfId="0" applyFont="1" applyFill="1" applyBorder="1" applyAlignment="1" applyProtection="1">
      <alignment vertical="center" wrapText="1"/>
      <protection hidden="1"/>
    </xf>
    <xf numFmtId="4" fontId="36" fillId="7" borderId="0" xfId="0" applyNumberFormat="1" applyFont="1" applyFill="1" applyBorder="1" applyAlignment="1" applyProtection="1">
      <alignment vertical="center"/>
      <protection hidden="1"/>
    </xf>
    <xf numFmtId="0" fontId="0" fillId="7" borderId="25" xfId="0" applyFill="1" applyBorder="1" applyProtection="1">
      <protection hidden="1"/>
    </xf>
    <xf numFmtId="0" fontId="0" fillId="7" borderId="26" xfId="0" applyFill="1" applyBorder="1" applyProtection="1">
      <protection hidden="1"/>
    </xf>
    <xf numFmtId="166" fontId="30" fillId="7" borderId="25" xfId="0" applyNumberFormat="1" applyFont="1" applyFill="1" applyBorder="1" applyAlignment="1" applyProtection="1">
      <alignment horizontal="left" vertical="center"/>
      <protection hidden="1"/>
    </xf>
    <xf numFmtId="0" fontId="0" fillId="7" borderId="27" xfId="0" applyFill="1" applyBorder="1" applyProtection="1">
      <protection hidden="1"/>
    </xf>
    <xf numFmtId="0" fontId="0" fillId="7" borderId="28" xfId="0" applyFill="1" applyBorder="1" applyProtection="1">
      <protection hidden="1"/>
    </xf>
    <xf numFmtId="4" fontId="13" fillId="7" borderId="0" xfId="0" applyNumberFormat="1" applyFont="1" applyFill="1" applyBorder="1" applyAlignment="1" applyProtection="1">
      <alignment vertical="center"/>
      <protection hidden="1"/>
    </xf>
    <xf numFmtId="0" fontId="34" fillId="7" borderId="0" xfId="0" applyFont="1" applyFill="1" applyBorder="1" applyAlignment="1" applyProtection="1">
      <alignment vertical="center"/>
      <protection hidden="1"/>
    </xf>
    <xf numFmtId="0" fontId="0" fillId="7" borderId="0" xfId="0" applyNumberFormat="1" applyFill="1"/>
    <xf numFmtId="0" fontId="0" fillId="7" borderId="0" xfId="0" applyNumberFormat="1" applyFont="1" applyFill="1" applyBorder="1" applyProtection="1">
      <protection hidden="1"/>
    </xf>
    <xf numFmtId="0" fontId="0" fillId="7" borderId="0" xfId="0" applyNumberFormat="1" applyFill="1" applyBorder="1" applyProtection="1">
      <protection hidden="1"/>
    </xf>
    <xf numFmtId="0" fontId="0" fillId="7" borderId="0" xfId="0" applyNumberFormat="1" applyFill="1" applyProtection="1">
      <protection hidden="1"/>
    </xf>
    <xf numFmtId="0" fontId="27" fillId="7" borderId="0" xfId="0" applyNumberFormat="1" applyFont="1" applyFill="1" applyBorder="1" applyProtection="1">
      <protection hidden="1"/>
    </xf>
    <xf numFmtId="0" fontId="0" fillId="7" borderId="0" xfId="0" applyFill="1" applyBorder="1"/>
    <xf numFmtId="0" fontId="0" fillId="7" borderId="0" xfId="0" applyNumberFormat="1" applyFill="1" applyBorder="1"/>
    <xf numFmtId="0" fontId="7" fillId="7" borderId="0" xfId="0" applyFont="1" applyFill="1" applyBorder="1"/>
    <xf numFmtId="0" fontId="0" fillId="11" borderId="0" xfId="0" applyFill="1"/>
    <xf numFmtId="0" fontId="7" fillId="7" borderId="0" xfId="0" applyFont="1" applyFill="1"/>
    <xf numFmtId="0" fontId="16" fillId="2" borderId="0" xfId="0" applyFont="1" applyFill="1" applyBorder="1" applyAlignment="1" applyProtection="1">
      <alignment vertical="center" wrapText="1"/>
      <protection hidden="1"/>
    </xf>
    <xf numFmtId="0" fontId="0" fillId="0" borderId="0" xfId="0" applyAlignment="1">
      <alignment horizontal="left" indent="1"/>
    </xf>
    <xf numFmtId="0" fontId="39" fillId="12" borderId="0" xfId="0" applyFont="1" applyFill="1" applyBorder="1" applyProtection="1">
      <protection hidden="1"/>
    </xf>
    <xf numFmtId="0" fontId="1" fillId="12" borderId="0" xfId="0" applyFont="1" applyFill="1" applyBorder="1" applyProtection="1">
      <protection hidden="1"/>
    </xf>
    <xf numFmtId="0" fontId="0" fillId="2" borderId="5" xfId="0" applyFill="1" applyBorder="1" applyProtection="1">
      <protection hidden="1"/>
    </xf>
    <xf numFmtId="0" fontId="0" fillId="2" borderId="6" xfId="0" applyFill="1" applyBorder="1" applyProtection="1">
      <protection hidden="1"/>
    </xf>
    <xf numFmtId="0" fontId="0" fillId="2" borderId="0" xfId="0" applyFont="1" applyFill="1" applyBorder="1" applyProtection="1">
      <protection hidden="1"/>
    </xf>
    <xf numFmtId="0" fontId="3" fillId="2" borderId="0" xfId="0" applyFont="1" applyFill="1" applyBorder="1" applyAlignment="1" applyProtection="1">
      <alignment horizontal="center"/>
      <protection hidden="1"/>
    </xf>
    <xf numFmtId="171" fontId="2" fillId="2" borderId="0" xfId="0" applyNumberFormat="1" applyFont="1" applyFill="1" applyBorder="1" applyAlignment="1" applyProtection="1">
      <protection locked="0" hidden="1"/>
    </xf>
    <xf numFmtId="171" fontId="2" fillId="2" borderId="0" xfId="0" applyNumberFormat="1" applyFont="1" applyFill="1" applyBorder="1" applyAlignment="1" applyProtection="1">
      <protection hidden="1"/>
    </xf>
    <xf numFmtId="0" fontId="14" fillId="2" borderId="0" xfId="0" applyFont="1" applyFill="1" applyBorder="1" applyAlignment="1" applyProtection="1">
      <alignment horizontal="left" vertical="center"/>
      <protection hidden="1"/>
    </xf>
    <xf numFmtId="14" fontId="0" fillId="2" borderId="0" xfId="0" applyNumberFormat="1" applyFont="1" applyFill="1" applyBorder="1" applyProtection="1">
      <protection hidden="1"/>
    </xf>
    <xf numFmtId="166" fontId="0" fillId="2" borderId="0" xfId="0" applyNumberFormat="1" applyFont="1" applyFill="1" applyBorder="1" applyAlignment="1" applyProtection="1">
      <alignment horizontal="center"/>
      <protection hidden="1"/>
    </xf>
    <xf numFmtId="0" fontId="25" fillId="2" borderId="0" xfId="0" applyFont="1" applyFill="1" applyBorder="1" applyAlignment="1" applyProtection="1">
      <alignment horizontal="left"/>
      <protection hidden="1"/>
    </xf>
    <xf numFmtId="0" fontId="0" fillId="2" borderId="4" xfId="0" applyFill="1" applyBorder="1" applyProtection="1">
      <protection hidden="1"/>
    </xf>
    <xf numFmtId="0" fontId="0" fillId="2" borderId="32" xfId="0" applyFill="1" applyBorder="1" applyProtection="1">
      <protection hidden="1"/>
    </xf>
    <xf numFmtId="3" fontId="0" fillId="2" borderId="32" xfId="0" applyNumberFormat="1" applyFill="1" applyBorder="1" applyProtection="1">
      <protection hidden="1"/>
    </xf>
    <xf numFmtId="0" fontId="43" fillId="2" borderId="0" xfId="0" applyFont="1" applyFill="1" applyBorder="1" applyAlignment="1" applyProtection="1">
      <alignment horizontal="center" vertical="center"/>
      <protection hidden="1"/>
    </xf>
    <xf numFmtId="0" fontId="42" fillId="2" borderId="29" xfId="0" applyFont="1" applyFill="1" applyBorder="1" applyAlignment="1" applyProtection="1">
      <alignment horizontal="center" vertical="center" wrapText="1"/>
      <protection hidden="1"/>
    </xf>
    <xf numFmtId="0" fontId="38" fillId="2" borderId="0" xfId="0" applyFont="1" applyFill="1" applyBorder="1" applyProtection="1">
      <protection hidden="1"/>
    </xf>
    <xf numFmtId="0" fontId="38" fillId="2" borderId="0" xfId="0" applyFont="1" applyFill="1" applyBorder="1" applyAlignment="1" applyProtection="1">
      <alignment vertical="center"/>
      <protection hidden="1"/>
    </xf>
    <xf numFmtId="0" fontId="15" fillId="2" borderId="0" xfId="0" applyFont="1" applyFill="1" applyBorder="1" applyAlignment="1" applyProtection="1">
      <alignment vertical="center"/>
      <protection hidden="1"/>
    </xf>
    <xf numFmtId="0" fontId="7" fillId="2" borderId="0" xfId="0" applyFont="1" applyFill="1" applyBorder="1" applyAlignment="1" applyProtection="1">
      <alignment horizontal="left"/>
      <protection hidden="1"/>
    </xf>
    <xf numFmtId="0" fontId="0" fillId="2" borderId="5" xfId="0" applyFont="1" applyFill="1" applyBorder="1" applyProtection="1">
      <protection hidden="1"/>
    </xf>
    <xf numFmtId="0" fontId="41" fillId="8" borderId="20" xfId="0" applyFont="1" applyFill="1" applyBorder="1" applyAlignment="1" applyProtection="1">
      <alignment vertical="center"/>
      <protection locked="0" hidden="1"/>
    </xf>
    <xf numFmtId="0" fontId="41" fillId="8" borderId="21" xfId="0" applyFont="1" applyFill="1" applyBorder="1" applyAlignment="1" applyProtection="1">
      <alignment vertical="center"/>
      <protection locked="0" hidden="1"/>
    </xf>
    <xf numFmtId="0" fontId="15" fillId="2" borderId="2" xfId="0" applyFont="1" applyFill="1" applyBorder="1" applyProtection="1">
      <protection hidden="1"/>
    </xf>
    <xf numFmtId="171" fontId="2" fillId="2" borderId="11" xfId="0" applyNumberFormat="1" applyFont="1" applyFill="1" applyBorder="1" applyAlignment="1" applyProtection="1">
      <alignment horizontal="center"/>
      <protection locked="0"/>
    </xf>
    <xf numFmtId="0" fontId="11" fillId="7" borderId="0" xfId="0" applyFont="1" applyFill="1"/>
    <xf numFmtId="0" fontId="0" fillId="7" borderId="0" xfId="0" applyFill="1" applyAlignment="1">
      <alignment wrapText="1"/>
    </xf>
    <xf numFmtId="0" fontId="0" fillId="7" borderId="0" xfId="0" applyNumberFormat="1" applyFill="1" applyAlignment="1" applyProtection="1">
      <alignment wrapText="1"/>
      <protection hidden="1"/>
    </xf>
    <xf numFmtId="0" fontId="0" fillId="7" borderId="0" xfId="0" applyNumberFormat="1" applyFill="1" applyAlignment="1" applyProtection="1">
      <protection hidden="1"/>
    </xf>
    <xf numFmtId="0" fontId="35" fillId="7" borderId="0" xfId="0" applyFont="1" applyFill="1" applyBorder="1" applyAlignment="1" applyProtection="1">
      <alignment vertical="center"/>
      <protection hidden="1"/>
    </xf>
    <xf numFmtId="0" fontId="0" fillId="7" borderId="0" xfId="0" applyNumberFormat="1" applyFill="1" applyBorder="1" applyAlignment="1" applyProtection="1">
      <protection hidden="1"/>
    </xf>
    <xf numFmtId="0" fontId="23" fillId="0" borderId="0" xfId="0" applyFont="1"/>
    <xf numFmtId="0" fontId="48" fillId="14" borderId="35" xfId="0" applyFont="1" applyFill="1" applyBorder="1" applyAlignment="1" applyProtection="1">
      <alignment horizontal="center" vertical="center"/>
      <protection locked="0" hidden="1"/>
    </xf>
    <xf numFmtId="0" fontId="48" fillId="14" borderId="27" xfId="0" applyFont="1" applyFill="1" applyBorder="1" applyAlignment="1" applyProtection="1">
      <alignment horizontal="center" vertical="center"/>
      <protection locked="0" hidden="1"/>
    </xf>
    <xf numFmtId="169" fontId="46" fillId="0" borderId="33" xfId="0" applyNumberFormat="1" applyFont="1" applyBorder="1" applyAlignment="1" applyProtection="1">
      <alignment horizontal="center" vertical="center"/>
      <protection locked="0" hidden="1"/>
    </xf>
    <xf numFmtId="0" fontId="46" fillId="0" borderId="36" xfId="0" applyFont="1" applyBorder="1" applyAlignment="1" applyProtection="1">
      <alignment horizontal="left" vertical="center"/>
      <protection locked="0" hidden="1"/>
    </xf>
    <xf numFmtId="4" fontId="46" fillId="0" borderId="36" xfId="0" applyNumberFormat="1" applyFont="1" applyBorder="1" applyAlignment="1" applyProtection="1">
      <alignment horizontal="center" vertical="center"/>
      <protection locked="0" hidden="1"/>
    </xf>
    <xf numFmtId="0" fontId="46" fillId="0" borderId="36" xfId="0" applyFont="1" applyBorder="1" applyAlignment="1" applyProtection="1">
      <alignment horizontal="center" vertical="center"/>
      <protection locked="0" hidden="1"/>
    </xf>
    <xf numFmtId="0" fontId="47" fillId="0" borderId="36" xfId="0" applyFont="1" applyBorder="1" applyAlignment="1" applyProtection="1">
      <alignment horizontal="center" vertical="center" wrapText="1"/>
      <protection locked="0" hidden="1"/>
    </xf>
    <xf numFmtId="0" fontId="46" fillId="0" borderId="36" xfId="0" applyNumberFormat="1" applyFont="1" applyBorder="1" applyAlignment="1" applyProtection="1">
      <alignment horizontal="center" vertical="center"/>
      <protection hidden="1"/>
    </xf>
    <xf numFmtId="0" fontId="46" fillId="0" borderId="31" xfId="0" applyNumberFormat="1" applyFont="1" applyBorder="1" applyAlignment="1" applyProtection="1">
      <alignment horizontal="center" vertical="center"/>
      <protection hidden="1"/>
    </xf>
    <xf numFmtId="0" fontId="46" fillId="0" borderId="34" xfId="0" applyFont="1" applyBorder="1" applyAlignment="1" applyProtection="1">
      <alignment horizontal="left" vertical="center"/>
      <protection locked="0" hidden="1"/>
    </xf>
    <xf numFmtId="4" fontId="46" fillId="0" borderId="34" xfId="0" applyNumberFormat="1" applyFont="1" applyBorder="1" applyAlignment="1" applyProtection="1">
      <alignment horizontal="center" vertical="center"/>
      <protection locked="0" hidden="1"/>
    </xf>
    <xf numFmtId="0" fontId="46" fillId="0" borderId="34" xfId="0" applyFont="1" applyBorder="1" applyAlignment="1" applyProtection="1">
      <alignment horizontal="center" vertical="center"/>
      <protection locked="0" hidden="1"/>
    </xf>
    <xf numFmtId="0" fontId="47" fillId="0" borderId="34" xfId="0" applyFont="1" applyBorder="1" applyAlignment="1" applyProtection="1">
      <alignment horizontal="center" vertical="center" wrapText="1"/>
      <protection locked="0" hidden="1"/>
    </xf>
    <xf numFmtId="0" fontId="46" fillId="0" borderId="34" xfId="0" applyNumberFormat="1" applyFont="1" applyBorder="1" applyAlignment="1" applyProtection="1">
      <alignment horizontal="center" vertical="center"/>
      <protection hidden="1"/>
    </xf>
    <xf numFmtId="0" fontId="46" fillId="0" borderId="23" xfId="0" applyNumberFormat="1" applyFont="1" applyBorder="1" applyAlignment="1" applyProtection="1">
      <alignment horizontal="center" vertical="center"/>
      <protection hidden="1"/>
    </xf>
    <xf numFmtId="0" fontId="2" fillId="0" borderId="36" xfId="0" applyFont="1" applyBorder="1" applyAlignment="1" applyProtection="1">
      <alignment horizontal="center" vertical="center" wrapText="1"/>
      <protection locked="0" hidden="1"/>
    </xf>
    <xf numFmtId="0" fontId="3" fillId="0" borderId="36" xfId="0" applyFont="1" applyBorder="1" applyAlignment="1" applyProtection="1">
      <alignment horizontal="left" vertical="center"/>
      <protection locked="0" hidden="1"/>
    </xf>
    <xf numFmtId="0" fontId="50" fillId="16" borderId="0" xfId="0" applyFont="1" applyFill="1" applyBorder="1" applyAlignment="1" applyProtection="1">
      <alignment horizontal="center" vertical="center"/>
      <protection hidden="1"/>
    </xf>
    <xf numFmtId="0" fontId="51" fillId="16" borderId="0" xfId="0" applyFont="1" applyFill="1" applyBorder="1" applyAlignment="1" applyProtection="1">
      <alignment vertical="center"/>
      <protection hidden="1"/>
    </xf>
    <xf numFmtId="0" fontId="51" fillId="16" borderId="0" xfId="0" applyFont="1" applyFill="1" applyAlignment="1"/>
    <xf numFmtId="0" fontId="48" fillId="15" borderId="28" xfId="0" applyFont="1" applyFill="1" applyBorder="1" applyAlignment="1" applyProtection="1">
      <alignment horizontal="center" vertical="center"/>
      <protection locked="0" hidden="1"/>
    </xf>
    <xf numFmtId="0" fontId="48" fillId="15" borderId="35" xfId="0" applyFont="1" applyFill="1" applyBorder="1" applyAlignment="1" applyProtection="1">
      <alignment horizontal="center" vertical="center"/>
      <protection locked="0" hidden="1"/>
    </xf>
    <xf numFmtId="0" fontId="51" fillId="16" borderId="0" xfId="0" applyFont="1" applyFill="1" applyAlignment="1">
      <alignment horizontal="center"/>
    </xf>
    <xf numFmtId="0" fontId="28" fillId="8" borderId="0" xfId="0" applyFont="1" applyFill="1" applyAlignment="1" applyProtection="1">
      <alignment horizontal="center" vertical="center"/>
      <protection hidden="1"/>
    </xf>
    <xf numFmtId="0" fontId="52" fillId="8" borderId="20" xfId="0" applyFont="1" applyFill="1" applyBorder="1" applyAlignment="1" applyProtection="1">
      <alignment horizontal="center"/>
      <protection hidden="1"/>
    </xf>
    <xf numFmtId="0" fontId="52" fillId="8" borderId="21" xfId="0" applyFont="1" applyFill="1" applyBorder="1" applyAlignment="1" applyProtection="1">
      <alignment horizontal="center"/>
      <protection hidden="1"/>
    </xf>
    <xf numFmtId="0" fontId="52" fillId="8" borderId="22" xfId="0" applyFont="1" applyFill="1" applyBorder="1" applyAlignment="1" applyProtection="1">
      <alignment horizontal="center"/>
      <protection hidden="1"/>
    </xf>
    <xf numFmtId="0" fontId="53" fillId="2" borderId="2" xfId="0" applyFont="1" applyFill="1" applyBorder="1" applyAlignment="1" applyProtection="1">
      <alignment horizontal="center" vertical="center"/>
      <protection hidden="1"/>
    </xf>
    <xf numFmtId="0" fontId="53" fillId="2" borderId="0" xfId="0" applyFont="1" applyFill="1" applyBorder="1" applyAlignment="1" applyProtection="1">
      <alignment horizontal="center" vertical="center"/>
      <protection hidden="1"/>
    </xf>
    <xf numFmtId="0" fontId="53" fillId="2" borderId="16" xfId="0" applyFont="1" applyFill="1" applyBorder="1" applyAlignment="1" applyProtection="1">
      <alignment horizontal="center" vertical="center"/>
      <protection hidden="1"/>
    </xf>
    <xf numFmtId="0" fontId="29" fillId="8" borderId="21" xfId="2" applyFont="1" applyFill="1" applyBorder="1" applyAlignment="1" applyProtection="1">
      <alignment horizontal="center" vertical="center"/>
      <protection locked="0" hidden="1"/>
    </xf>
    <xf numFmtId="0" fontId="29" fillId="8" borderId="22" xfId="2" applyFont="1" applyFill="1" applyBorder="1" applyAlignment="1" applyProtection="1">
      <alignment horizontal="center" vertical="center"/>
      <protection locked="0" hidden="1"/>
    </xf>
    <xf numFmtId="3" fontId="0" fillId="2" borderId="0" xfId="0" applyNumberFormat="1" applyFill="1" applyBorder="1" applyAlignment="1" applyProtection="1">
      <alignment horizontal="center" vertical="center"/>
      <protection hidden="1"/>
    </xf>
    <xf numFmtId="3" fontId="0" fillId="2" borderId="16" xfId="0" applyNumberFormat="1" applyFill="1" applyBorder="1" applyAlignment="1" applyProtection="1">
      <alignment horizontal="center" vertical="center"/>
      <protection hidden="1"/>
    </xf>
    <xf numFmtId="0" fontId="0" fillId="2" borderId="15" xfId="0" applyFill="1" applyBorder="1" applyAlignment="1" applyProtection="1">
      <alignment horizontal="center" vertical="center"/>
      <protection hidden="1"/>
    </xf>
    <xf numFmtId="0" fontId="0" fillId="2" borderId="0" xfId="0" applyFill="1" applyBorder="1" applyAlignment="1" applyProtection="1">
      <alignment horizontal="center" vertical="center"/>
      <protection hidden="1"/>
    </xf>
    <xf numFmtId="0" fontId="33" fillId="2" borderId="0" xfId="0" applyFont="1" applyFill="1" applyBorder="1" applyAlignment="1" applyProtection="1">
      <alignment horizontal="left" vertical="center"/>
      <protection hidden="1"/>
    </xf>
    <xf numFmtId="4" fontId="33" fillId="2" borderId="0" xfId="0" applyNumberFormat="1" applyFont="1" applyFill="1" applyBorder="1" applyAlignment="1" applyProtection="1">
      <alignment horizontal="center" vertical="center"/>
      <protection hidden="1"/>
    </xf>
    <xf numFmtId="0" fontId="45" fillId="10" borderId="0" xfId="0" applyFont="1" applyFill="1" applyBorder="1" applyAlignment="1" applyProtection="1">
      <alignment horizontal="center" vertical="center"/>
      <protection hidden="1"/>
    </xf>
    <xf numFmtId="0" fontId="45" fillId="10" borderId="30" xfId="0" applyFont="1" applyFill="1" applyBorder="1" applyAlignment="1" applyProtection="1">
      <alignment horizontal="center" vertical="center"/>
      <protection hidden="1"/>
    </xf>
    <xf numFmtId="0" fontId="0" fillId="7" borderId="0" xfId="0" applyFill="1" applyBorder="1" applyAlignment="1" applyProtection="1">
      <alignment horizontal="center"/>
      <protection hidden="1"/>
    </xf>
    <xf numFmtId="0" fontId="37" fillId="2" borderId="7" xfId="0" applyFont="1" applyFill="1" applyBorder="1" applyAlignment="1" applyProtection="1">
      <alignment horizontal="center" vertical="center"/>
      <protection locked="0"/>
    </xf>
    <xf numFmtId="0" fontId="37" fillId="2" borderId="8" xfId="0" applyFont="1" applyFill="1" applyBorder="1" applyAlignment="1" applyProtection="1">
      <alignment horizontal="center" vertical="center"/>
      <protection locked="0"/>
    </xf>
    <xf numFmtId="0" fontId="37" fillId="2" borderId="9" xfId="0" applyFont="1" applyFill="1" applyBorder="1" applyAlignment="1" applyProtection="1">
      <alignment horizontal="center" vertical="center"/>
      <protection locked="0"/>
    </xf>
    <xf numFmtId="0" fontId="37" fillId="2" borderId="10" xfId="0" applyFont="1" applyFill="1" applyBorder="1" applyAlignment="1" applyProtection="1">
      <alignment horizontal="center" vertical="center"/>
      <protection locked="0"/>
    </xf>
    <xf numFmtId="0" fontId="33" fillId="2" borderId="0" xfId="0" applyFont="1" applyFill="1" applyBorder="1" applyAlignment="1" applyProtection="1">
      <alignment horizontal="center" vertical="center"/>
      <protection hidden="1"/>
    </xf>
    <xf numFmtId="0" fontId="1" fillId="7" borderId="0" xfId="0" applyFont="1" applyFill="1" applyBorder="1" applyAlignment="1" applyProtection="1">
      <alignment horizontal="center"/>
      <protection hidden="1"/>
    </xf>
    <xf numFmtId="0" fontId="17" fillId="5" borderId="0" xfId="0" applyFont="1" applyFill="1" applyBorder="1" applyAlignment="1" applyProtection="1">
      <alignment horizontal="center"/>
      <protection hidden="1"/>
    </xf>
    <xf numFmtId="0" fontId="4" fillId="2" borderId="12" xfId="0" applyFont="1" applyFill="1" applyBorder="1" applyAlignment="1" applyProtection="1">
      <alignment horizontal="center"/>
      <protection hidden="1"/>
    </xf>
    <xf numFmtId="0" fontId="4" fillId="2" borderId="13" xfId="0" applyFont="1" applyFill="1" applyBorder="1" applyAlignment="1" applyProtection="1">
      <alignment horizontal="center"/>
      <protection hidden="1"/>
    </xf>
    <xf numFmtId="0" fontId="4" fillId="2" borderId="14" xfId="0" applyFont="1" applyFill="1" applyBorder="1" applyAlignment="1" applyProtection="1">
      <alignment horizontal="center"/>
      <protection hidden="1"/>
    </xf>
    <xf numFmtId="0" fontId="19" fillId="2" borderId="0" xfId="0" applyFont="1" applyFill="1" applyBorder="1" applyAlignment="1" applyProtection="1">
      <alignment horizontal="right"/>
      <protection hidden="1"/>
    </xf>
    <xf numFmtId="0" fontId="40" fillId="2" borderId="0" xfId="0" applyFont="1" applyFill="1" applyBorder="1" applyAlignment="1" applyProtection="1">
      <alignment horizontal="center"/>
      <protection hidden="1"/>
    </xf>
    <xf numFmtId="3" fontId="20" fillId="2" borderId="0" xfId="0" applyNumberFormat="1" applyFont="1" applyFill="1" applyBorder="1" applyAlignment="1" applyProtection="1">
      <alignment horizontal="left" vertical="center"/>
      <protection hidden="1"/>
    </xf>
    <xf numFmtId="4" fontId="9" fillId="7" borderId="0" xfId="0" applyNumberFormat="1" applyFont="1" applyFill="1" applyBorder="1" applyAlignment="1" applyProtection="1">
      <alignment horizontal="center" vertical="center"/>
      <protection hidden="1"/>
    </xf>
    <xf numFmtId="0" fontId="21" fillId="13" borderId="0" xfId="0" applyFont="1" applyFill="1" applyBorder="1" applyAlignment="1" applyProtection="1">
      <alignment horizontal="center" vertical="center"/>
      <protection hidden="1"/>
    </xf>
    <xf numFmtId="4" fontId="33" fillId="7" borderId="0" xfId="0" applyNumberFormat="1" applyFont="1" applyFill="1" applyBorder="1" applyAlignment="1" applyProtection="1">
      <alignment horizontal="center" vertical="center"/>
      <protection hidden="1"/>
    </xf>
    <xf numFmtId="0" fontId="7" fillId="2" borderId="17" xfId="0" applyFont="1" applyFill="1" applyBorder="1" applyAlignment="1" applyProtection="1">
      <alignment horizontal="center" vertical="center"/>
      <protection hidden="1"/>
    </xf>
    <xf numFmtId="0" fontId="7" fillId="2" borderId="18" xfId="0" applyFont="1" applyFill="1" applyBorder="1" applyAlignment="1" applyProtection="1">
      <alignment horizontal="center" vertical="center"/>
      <protection hidden="1"/>
    </xf>
    <xf numFmtId="0" fontId="0" fillId="2" borderId="32" xfId="0" applyFill="1" applyBorder="1" applyAlignment="1" applyProtection="1">
      <alignment horizontal="center"/>
      <protection hidden="1"/>
    </xf>
    <xf numFmtId="0" fontId="0" fillId="2" borderId="33" xfId="0" applyFill="1" applyBorder="1" applyAlignment="1" applyProtection="1">
      <alignment horizontal="center"/>
      <protection hidden="1"/>
    </xf>
    <xf numFmtId="0" fontId="44" fillId="2" borderId="31" xfId="0" applyFont="1" applyFill="1" applyBorder="1" applyAlignment="1" applyProtection="1">
      <alignment horizontal="center"/>
      <protection hidden="1"/>
    </xf>
    <xf numFmtId="0" fontId="44" fillId="2" borderId="32" xfId="0" applyFont="1" applyFill="1" applyBorder="1" applyAlignment="1" applyProtection="1">
      <alignment horizontal="center"/>
      <protection hidden="1"/>
    </xf>
    <xf numFmtId="0" fontId="49" fillId="8" borderId="20" xfId="2" applyFont="1" applyFill="1" applyBorder="1" applyAlignment="1" applyProtection="1">
      <alignment horizontal="center" vertical="center"/>
      <protection locked="0" hidden="1"/>
    </xf>
    <xf numFmtId="0" fontId="49" fillId="8" borderId="21" xfId="2" applyFont="1" applyFill="1" applyBorder="1" applyAlignment="1" applyProtection="1">
      <alignment horizontal="center" vertical="center"/>
      <protection locked="0" hidden="1"/>
    </xf>
    <xf numFmtId="0" fontId="49" fillId="8" borderId="22" xfId="2" applyFont="1" applyFill="1" applyBorder="1" applyAlignment="1" applyProtection="1">
      <alignment horizontal="center" vertical="center"/>
      <protection locked="0" hidden="1"/>
    </xf>
    <xf numFmtId="0" fontId="49" fillId="8" borderId="20" xfId="0" applyFont="1" applyFill="1" applyBorder="1" applyAlignment="1" applyProtection="1">
      <alignment horizontal="center" vertical="center"/>
      <protection locked="0" hidden="1"/>
    </xf>
    <xf numFmtId="0" fontId="49" fillId="8" borderId="21" xfId="0" applyFont="1" applyFill="1" applyBorder="1" applyAlignment="1" applyProtection="1">
      <alignment horizontal="center" vertical="center"/>
      <protection locked="0" hidden="1"/>
    </xf>
    <xf numFmtId="0" fontId="49" fillId="8" borderId="22" xfId="0" applyFont="1" applyFill="1" applyBorder="1" applyAlignment="1" applyProtection="1">
      <alignment horizontal="center" vertical="center"/>
      <protection locked="0" hidden="1"/>
    </xf>
    <xf numFmtId="4" fontId="13" fillId="7" borderId="0" xfId="0" applyNumberFormat="1" applyFont="1" applyFill="1" applyBorder="1" applyAlignment="1" applyProtection="1">
      <alignment horizontal="center" vertical="center"/>
      <protection hidden="1"/>
    </xf>
    <xf numFmtId="0" fontId="33" fillId="7" borderId="0" xfId="0" applyFont="1" applyFill="1" applyBorder="1" applyAlignment="1" applyProtection="1">
      <alignment horizontal="center" vertical="center" wrapText="1"/>
      <protection hidden="1"/>
    </xf>
    <xf numFmtId="0" fontId="33" fillId="7" borderId="0" xfId="0" applyFont="1" applyFill="1" applyBorder="1" applyAlignment="1" applyProtection="1">
      <alignment horizontal="center" vertical="center"/>
      <protection hidden="1"/>
    </xf>
    <xf numFmtId="0" fontId="34" fillId="7" borderId="0" xfId="0" applyFont="1" applyFill="1" applyBorder="1" applyAlignment="1" applyProtection="1">
      <alignment horizontal="center" vertical="center"/>
      <protection hidden="1"/>
    </xf>
    <xf numFmtId="0" fontId="7" fillId="7" borderId="0" xfId="0" applyFont="1" applyFill="1" applyBorder="1" applyAlignment="1" applyProtection="1">
      <alignment horizontal="right"/>
      <protection hidden="1"/>
    </xf>
    <xf numFmtId="4" fontId="8" fillId="12" borderId="0" xfId="0" applyNumberFormat="1" applyFont="1" applyFill="1" applyBorder="1" applyAlignment="1" applyProtection="1">
      <alignment horizontal="center" vertical="center"/>
      <protection hidden="1"/>
    </xf>
    <xf numFmtId="4" fontId="8" fillId="12" borderId="1" xfId="0" applyNumberFormat="1" applyFont="1" applyFill="1" applyBorder="1" applyAlignment="1" applyProtection="1">
      <alignment horizontal="center" vertical="center"/>
      <protection hidden="1"/>
    </xf>
    <xf numFmtId="168" fontId="2" fillId="7" borderId="0" xfId="0" applyNumberFormat="1" applyFont="1" applyFill="1" applyBorder="1" applyAlignment="1" applyProtection="1">
      <alignment horizontal="right"/>
      <protection hidden="1"/>
    </xf>
    <xf numFmtId="0" fontId="21" fillId="3" borderId="0" xfId="0" applyFont="1" applyFill="1" applyBorder="1" applyAlignment="1" applyProtection="1">
      <alignment horizontal="center" vertical="center"/>
      <protection hidden="1"/>
    </xf>
    <xf numFmtId="3" fontId="22" fillId="2" borderId="0" xfId="0" applyNumberFormat="1" applyFont="1" applyFill="1" applyBorder="1" applyAlignment="1" applyProtection="1">
      <alignment horizontal="left" vertical="center"/>
      <protection hidden="1"/>
    </xf>
    <xf numFmtId="0" fontId="21" fillId="4" borderId="0" xfId="0" applyFont="1" applyFill="1" applyBorder="1" applyAlignment="1" applyProtection="1">
      <alignment horizontal="center" vertical="center"/>
      <protection hidden="1"/>
    </xf>
    <xf numFmtId="0" fontId="21" fillId="6" borderId="0" xfId="0" applyFont="1" applyFill="1" applyBorder="1" applyAlignment="1" applyProtection="1">
      <alignment horizontal="center" vertical="center"/>
      <protection hidden="1"/>
    </xf>
    <xf numFmtId="0" fontId="30" fillId="2" borderId="0" xfId="0" applyFont="1" applyFill="1" applyBorder="1" applyAlignment="1" applyProtection="1">
      <alignment horizontal="center" vertical="center" wrapText="1"/>
      <protection hidden="1"/>
    </xf>
  </cellXfs>
  <cellStyles count="3">
    <cellStyle name="Comma" xfId="1" builtinId="3"/>
    <cellStyle name="Hyperlink" xfId="2" builtinId="8"/>
    <cellStyle name="Normal" xfId="0" builtinId="0"/>
  </cellStyles>
  <dxfs count="11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indexed="65"/>
        </patternFill>
      </fill>
      <alignment horizontal="center" vertical="bottom" textRotation="0" wrapText="0" indent="0" justifyLastLine="0" shrinkToFit="0" readingOrder="0"/>
    </dxf>
    <dxf>
      <numFmt numFmtId="3" formatCode="#,##0"/>
      <fill>
        <patternFill patternType="none">
          <fgColor indexed="64"/>
          <bgColor auto="1"/>
        </patternFill>
      </fill>
      <alignment horizontal="center" vertical="bottom"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alignment horizontal="center" vertical="bottom" textRotation="0" wrapText="0"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numFmt numFmtId="170" formatCode="[$-409]mmm\-yy;@"/>
      <fill>
        <patternFill patternType="none">
          <fgColor indexed="64"/>
          <bgColor auto="1"/>
        </patternFill>
      </fill>
      <alignment horizontal="center" vertical="bottom" textRotation="0" wrapText="0" indent="0" justifyLastLine="0" shrinkToFit="0" readingOrder="0"/>
    </dxf>
    <dxf>
      <numFmt numFmtId="170" formatCode="[$-409]mmm\-yy;@"/>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color theme="0"/>
      </font>
      <fill>
        <patternFill>
          <bgColor theme="0"/>
        </patternFill>
      </fill>
    </dxf>
    <dxf>
      <font>
        <b/>
        <i val="0"/>
        <color rgb="FF00B050"/>
      </font>
      <fill>
        <patternFill patternType="solid">
          <bgColor theme="4" tint="0.79998168889431442"/>
        </patternFill>
      </fill>
    </dxf>
    <dxf>
      <font>
        <b/>
        <i val="0"/>
        <color rgb="FFFF0000"/>
      </font>
      <fill>
        <patternFill>
          <bgColor theme="4" tint="0.79998168889431442"/>
        </patternFill>
      </fill>
    </dxf>
    <dxf>
      <font>
        <color rgb="FFC00000"/>
      </font>
    </dxf>
    <dxf>
      <font>
        <color rgb="FF00B050"/>
      </font>
    </dxf>
    <dxf>
      <font>
        <color rgb="FFC00000"/>
      </font>
      <fill>
        <patternFill>
          <bgColor theme="0"/>
        </patternFill>
      </fill>
    </dxf>
    <dxf>
      <fill>
        <patternFill>
          <bgColor rgb="FF00B050"/>
        </patternFill>
      </fill>
    </dxf>
    <dxf>
      <font>
        <color theme="0"/>
      </font>
      <fill>
        <patternFill>
          <bgColor rgb="FFFF0000"/>
        </patternFill>
      </fill>
    </dxf>
    <dxf>
      <font>
        <strike val="0"/>
        <outline val="0"/>
        <shadow val="0"/>
        <u val="none"/>
        <vertAlign val="baseline"/>
        <sz val="14"/>
        <color theme="1"/>
        <name val="Calibri"/>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1" hidden="1"/>
    </dxf>
    <dxf>
      <font>
        <strike val="0"/>
        <outline val="0"/>
        <shadow val="0"/>
        <u val="none"/>
        <vertAlign val="baseline"/>
        <sz val="14"/>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1"/>
    </dxf>
    <dxf>
      <font>
        <strike val="0"/>
        <outline val="0"/>
        <shadow val="0"/>
        <u val="none"/>
        <vertAlign val="baseline"/>
        <sz val="12"/>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numFmt numFmtId="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1"/>
    </dxf>
    <dxf>
      <font>
        <strike val="0"/>
        <outline val="0"/>
        <shadow val="0"/>
        <u val="none"/>
        <vertAlign val="baseline"/>
        <sz val="14"/>
        <color theme="1"/>
        <name val="Calibri"/>
        <scheme val="minor"/>
      </font>
      <numFmt numFmtId="169" formatCode="[$-409]d\-mmm\-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1"/>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protection locked="0" hidden="1"/>
    </dxf>
    <dxf>
      <border>
        <bottom style="thin">
          <color indexed="64"/>
        </bottom>
      </border>
    </dxf>
    <dxf>
      <font>
        <strike val="0"/>
        <outline val="0"/>
        <shadow val="0"/>
        <u val="none"/>
        <vertAlign val="baseline"/>
        <sz val="18"/>
        <color theme="3"/>
        <name val="Calibri"/>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0" hidden="1"/>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fill>
        <patternFill patternType="none">
          <fgColor indexed="64"/>
          <bgColor theme="4" tint="0.79998168889431442"/>
        </patternFill>
      </fill>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alignment horizontal="general" vertical="bottom" textRotation="0" wrapText="0" indent="0" justifyLastLine="0" shrinkToFit="0" readingOrder="0"/>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alignment horizontal="general" vertical="bottom" textRotation="0" wrapText="1" indent="0" justifyLastLine="0" shrinkToFit="0" readingOrder="0"/>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protection locked="1" hidden="1"/>
    </dxf>
    <dxf>
      <numFmt numFmtId="0" formatCode="General"/>
      <fill>
        <patternFill>
          <fgColor indexed="64"/>
          <bgColor theme="4" tint="0.79998168889431442"/>
        </patternFill>
      </fill>
      <alignment horizontal="general" vertical="bottom" textRotation="0" wrapText="0" indent="0" justifyLastLine="0" shrinkToFit="0" readingOrder="0"/>
      <protection locked="1" hidden="1"/>
    </dxf>
  </dxfs>
  <tableStyles count="0" defaultTableStyle="TableStyleMedium2" defaultPivotStyle="PivotStyleLight16"/>
  <colors>
    <mruColors>
      <color rgb="FF95D3DF"/>
      <color rgb="FF56DC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&amp; EXPENSE TRACKER.xlsx]pivot_tables!PT_Income</c:name>
    <c:fmtId val="19"/>
  </c:pivotSource>
  <c:chart>
    <c:autoTitleDeleted val="1"/>
    <c:pivotFmts>
      <c:pivotFmt>
        <c:idx val="0"/>
        <c:spPr>
          <a:solidFill>
            <a:schemeClr val="accent6"/>
          </a:solidFill>
          <a:ln w="19050">
            <a:solidFill>
              <a:schemeClr val="lt1"/>
            </a:solidFill>
          </a:ln>
          <a:effectLst/>
        </c:spPr>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c:spPr>
      </c:pivotFmt>
      <c:pivotFmt>
        <c:idx val="6"/>
        <c:spPr>
          <a:solidFill>
            <a:schemeClr val="accent6"/>
          </a:solidFill>
          <a:ln w="19050">
            <a:solidFill>
              <a:schemeClr val="lt1"/>
            </a:solidFill>
          </a:ln>
          <a:effectLst/>
        </c:spPr>
      </c:pivotFmt>
      <c:pivotFmt>
        <c:idx val="7"/>
      </c:pivotFmt>
      <c:pivotFmt>
        <c:idx val="8"/>
        <c:spPr>
          <a:solidFill>
            <a:schemeClr val="accent6"/>
          </a:solidFill>
          <a:ln w="19050">
            <a:solidFill>
              <a:schemeClr val="lt1"/>
            </a:solidFill>
          </a:ln>
          <a:effectLst/>
        </c:spPr>
      </c:pivotFmt>
    </c:pivotFmts>
    <c:plotArea>
      <c:layout>
        <c:manualLayout>
          <c:layoutTarget val="inner"/>
          <c:xMode val="edge"/>
          <c:yMode val="edge"/>
          <c:x val="0.20632793321951257"/>
          <c:y val="0.1305870874973436"/>
          <c:w val="0.63227305931418765"/>
          <c:h val="0.82175552188468559"/>
        </c:manualLayout>
      </c:layout>
      <c:pieChart>
        <c:varyColors val="1"/>
        <c:ser>
          <c:idx val="0"/>
          <c:order val="0"/>
          <c:tx>
            <c:strRef>
              <c:f>pivot_tables!$K$4</c:f>
              <c:strCache>
                <c:ptCount val="1"/>
                <c:pt idx="0">
                  <c:v>Total</c:v>
                </c:pt>
              </c:strCache>
            </c:strRef>
          </c:tx>
          <c:dPt>
            <c:idx val="0"/>
            <c:bubble3D val="0"/>
            <c:spPr>
              <a:solidFill>
                <a:schemeClr val="accent6"/>
              </a:solidFill>
            </c:spPr>
            <c:extLst>
              <c:ext xmlns:c16="http://schemas.microsoft.com/office/drawing/2014/chart" uri="{C3380CC4-5D6E-409C-BE32-E72D297353CC}">
                <c16:uniqueId val="{00000001-E716-44E5-9E2C-BB5AC5190B6A}"/>
              </c:ext>
            </c:extLst>
          </c:dPt>
          <c:dPt>
            <c:idx val="1"/>
            <c:bubble3D val="0"/>
            <c:extLst>
              <c:ext xmlns:c16="http://schemas.microsoft.com/office/drawing/2014/chart" uri="{C3380CC4-5D6E-409C-BE32-E72D297353CC}">
                <c16:uniqueId val="{00000002-E716-44E5-9E2C-BB5AC5190B6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pivot_tables!$J$5:$J$7</c:f>
              <c:strCache>
                <c:ptCount val="2"/>
                <c:pt idx="0">
                  <c:v>Salary</c:v>
                </c:pt>
                <c:pt idx="1">
                  <c:v>Property Rent</c:v>
                </c:pt>
              </c:strCache>
            </c:strRef>
          </c:cat>
          <c:val>
            <c:numRef>
              <c:f>pivot_tables!$K$5:$K$7</c:f>
              <c:numCache>
                <c:formatCode>#,##0</c:formatCode>
                <c:ptCount val="2"/>
                <c:pt idx="0">
                  <c:v>205000</c:v>
                </c:pt>
                <c:pt idx="1">
                  <c:v>49500</c:v>
                </c:pt>
              </c:numCache>
            </c:numRef>
          </c:val>
          <c:extLst>
            <c:ext xmlns:c16="http://schemas.microsoft.com/office/drawing/2014/chart" uri="{C3380CC4-5D6E-409C-BE32-E72D297353CC}">
              <c16:uniqueId val="{00000003-E716-44E5-9E2C-BB5AC5190B6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[INCOME &amp; EXPENSE TRACKER.xlsx]pivot_tables!PT_CatSubCat</c:name>
    <c:fmtId val="7"/>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70082251155723E-2"/>
          <c:y val="2.2652014148347506E-2"/>
          <c:w val="0.91103203751167339"/>
          <c:h val="0.87225593630324971"/>
        </c:manualLayout>
      </c:layout>
      <c:barChart>
        <c:barDir val="col"/>
        <c:grouping val="clustered"/>
        <c:varyColors val="0"/>
        <c:ser>
          <c:idx val="0"/>
          <c:order val="0"/>
          <c:tx>
            <c:strRef>
              <c:f>pivot_tables!$X$7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pivot_tables!$W$8:$W$12</c:f>
              <c:multiLvlStrCache>
                <c:ptCount val="3"/>
                <c:lvl>
                  <c:pt idx="0">
                    <c:v>Jan</c:v>
                  </c:pt>
                  <c:pt idx="1">
                    <c:v>Feb</c:v>
                  </c:pt>
                  <c:pt idx="2">
                    <c:v>Mar</c:v>
                  </c:pt>
                </c:lvl>
                <c:lvl>
                  <c:pt idx="0">
                    <c:v>2021</c:v>
                  </c:pt>
                </c:lvl>
              </c:multiLvlStrCache>
            </c:multiLvlStrRef>
          </c:cat>
          <c:val>
            <c:numRef>
              <c:f>pivot_tables!$X$8:$X$12</c:f>
              <c:numCache>
                <c:formatCode>#,##0</c:formatCode>
                <c:ptCount val="3"/>
                <c:pt idx="0">
                  <c:v>-2065</c:v>
                </c:pt>
                <c:pt idx="1">
                  <c:v>3910</c:v>
                </c:pt>
                <c:pt idx="2">
                  <c:v>31370</c:v>
                </c:pt>
              </c:numCache>
            </c:numRef>
          </c:val>
          <c:extLst>
            <c:ext xmlns:c16="http://schemas.microsoft.com/office/drawing/2014/chart" uri="{C3380CC4-5D6E-409C-BE32-E72D297353CC}">
              <c16:uniqueId val="{00000000-7730-4646-B9ED-1E94241DF00B}"/>
            </c:ext>
          </c:extLst>
        </c:ser>
        <c:dLbls>
          <c:showLegendKey val="0"/>
          <c:showVal val="0"/>
          <c:showCatName val="0"/>
          <c:showSerName val="0"/>
          <c:showPercent val="0"/>
          <c:showBubbleSize val="0"/>
        </c:dLbls>
        <c:gapWidth val="150"/>
        <c:axId val="350753672"/>
        <c:axId val="350754064"/>
      </c:barChart>
      <c:catAx>
        <c:axId val="35075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0754064"/>
        <c:crosses val="autoZero"/>
        <c:auto val="1"/>
        <c:lblAlgn val="ctr"/>
        <c:lblOffset val="100"/>
        <c:noMultiLvlLbl val="0"/>
      </c:catAx>
      <c:valAx>
        <c:axId val="35075406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53672"/>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&amp; EXPENSE TRACKER.xlsx]pivot_tables!PT_Expense</c:name>
    <c:fmtId val="0"/>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pivotFmt>
      <c:pivotFmt>
        <c:idx val="3"/>
        <c:spPr>
          <a:solidFill>
            <a:schemeClr val="accent1"/>
          </a:solidFill>
          <a:ln>
            <a:noFill/>
          </a:ln>
          <a:effectLst/>
        </c:spPr>
      </c:pivotFmt>
      <c:pivotFmt>
        <c:idx val="4"/>
      </c:pivotFmt>
      <c:pivotFmt>
        <c:idx val="5"/>
        <c:spPr>
          <a:solidFill>
            <a:schemeClr val="accent1"/>
          </a:solidFill>
          <a:ln>
            <a:noFill/>
          </a:ln>
          <a:effectLst/>
        </c:spPr>
      </c:pivotFmt>
      <c:pivotFmt>
        <c:idx val="6"/>
        <c:spPr>
          <a:solidFill>
            <a:schemeClr val="accent1"/>
          </a:solidFill>
          <a:ln>
            <a:noFill/>
          </a:ln>
          <a:effectLst/>
        </c:spPr>
      </c:pivotFmt>
      <c:pivotFmt>
        <c:idx val="7"/>
      </c:pivotFmt>
      <c:pivotFmt>
        <c:idx val="8"/>
        <c:spPr>
          <a:solidFill>
            <a:schemeClr val="accent1"/>
          </a:solidFill>
          <a:ln>
            <a:noFill/>
          </a:ln>
          <a:effectLst/>
        </c:spPr>
      </c:pivotFmt>
      <c:pivotFmt>
        <c:idx val="9"/>
      </c:pivotFmt>
      <c:pivotFmt>
        <c:idx val="10"/>
        <c:spPr>
          <a:solidFill>
            <a:schemeClr val="accent1"/>
          </a:solidFill>
          <a:ln>
            <a:noFill/>
          </a:ln>
          <a:effectLst/>
        </c:spPr>
      </c:pivotFmt>
      <c:pivotFmt>
        <c:idx val="11"/>
      </c:pivotFmt>
      <c:pivotFmt>
        <c:idx val="12"/>
        <c:spPr>
          <a:solidFill>
            <a:schemeClr val="accent1"/>
          </a:solidFill>
          <a:ln>
            <a:noFill/>
          </a:ln>
          <a:effectLst/>
        </c:spPr>
      </c:pivotFmt>
      <c:pivotFmt>
        <c:idx val="13"/>
      </c:pivotFmt>
      <c:pivotFmt>
        <c:idx val="14"/>
        <c:spPr>
          <a:solidFill>
            <a:schemeClr val="accent1"/>
          </a:solidFill>
          <a:ln>
            <a:noFill/>
          </a:ln>
          <a:effectLst/>
        </c:spPr>
      </c:pivotFmt>
    </c:pivotFmts>
    <c:plotArea>
      <c:layout>
        <c:manualLayout>
          <c:layoutTarget val="inner"/>
          <c:xMode val="edge"/>
          <c:yMode val="edge"/>
          <c:x val="0.26795296073959535"/>
          <c:y val="0.15801764064208829"/>
          <c:w val="0.84476763933920029"/>
          <c:h val="0.82273998924451808"/>
        </c:manualLayout>
      </c:layout>
      <c:pieChart>
        <c:varyColors val="1"/>
        <c:ser>
          <c:idx val="0"/>
          <c:order val="0"/>
          <c:tx>
            <c:strRef>
              <c:f>pivot_tables!$B$6</c:f>
              <c:strCache>
                <c:ptCount val="1"/>
                <c:pt idx="0">
                  <c:v>Total</c:v>
                </c:pt>
              </c:strCache>
            </c:strRef>
          </c:tx>
          <c:dPt>
            <c:idx val="0"/>
            <c:bubble3D val="0"/>
            <c:extLst>
              <c:ext xmlns:c16="http://schemas.microsoft.com/office/drawing/2014/chart" uri="{C3380CC4-5D6E-409C-BE32-E72D297353CC}">
                <c16:uniqueId val="{00000000-77F2-4876-9002-2A5D7A485356}"/>
              </c:ext>
            </c:extLst>
          </c:dPt>
          <c:dPt>
            <c:idx val="1"/>
            <c:bubble3D val="0"/>
            <c:extLst>
              <c:ext xmlns:c16="http://schemas.microsoft.com/office/drawing/2014/chart" uri="{C3380CC4-5D6E-409C-BE32-E72D297353CC}">
                <c16:uniqueId val="{00000001-77F2-4876-9002-2A5D7A485356}"/>
              </c:ext>
            </c:extLst>
          </c:dPt>
          <c:dPt>
            <c:idx val="2"/>
            <c:bubble3D val="0"/>
            <c:spPr>
              <a:solidFill>
                <a:schemeClr val="accent1"/>
              </a:solidFill>
              <a:ln>
                <a:noFill/>
              </a:ln>
              <a:effectLst/>
            </c:spPr>
            <c:extLst>
              <c:ext xmlns:c16="http://schemas.microsoft.com/office/drawing/2014/chart" uri="{C3380CC4-5D6E-409C-BE32-E72D297353CC}">
                <c16:uniqueId val="{00000002-77F2-4876-9002-2A5D7A485356}"/>
              </c:ext>
            </c:extLst>
          </c:dPt>
          <c:dPt>
            <c:idx val="3"/>
            <c:bubble3D val="0"/>
            <c:extLst>
              <c:ext xmlns:c16="http://schemas.microsoft.com/office/drawing/2014/chart" uri="{C3380CC4-5D6E-409C-BE32-E72D297353CC}">
                <c16:uniqueId val="{00000003-77F2-4876-9002-2A5D7A485356}"/>
              </c:ext>
            </c:extLst>
          </c:dPt>
          <c:dPt>
            <c:idx val="4"/>
            <c:bubble3D val="0"/>
            <c:extLst>
              <c:ext xmlns:c16="http://schemas.microsoft.com/office/drawing/2014/chart" uri="{C3380CC4-5D6E-409C-BE32-E72D297353CC}">
                <c16:uniqueId val="{00000004-77F2-4876-9002-2A5D7A485356}"/>
              </c:ext>
            </c:extLst>
          </c:dPt>
          <c:dPt>
            <c:idx val="5"/>
            <c:bubble3D val="0"/>
            <c:extLst>
              <c:ext xmlns:c16="http://schemas.microsoft.com/office/drawing/2014/chart" uri="{C3380CC4-5D6E-409C-BE32-E72D297353CC}">
                <c16:uniqueId val="{00000005-77F2-4876-9002-2A5D7A485356}"/>
              </c:ext>
            </c:extLst>
          </c:dPt>
          <c:dPt>
            <c:idx val="6"/>
            <c:bubble3D val="0"/>
            <c:extLst>
              <c:ext xmlns:c16="http://schemas.microsoft.com/office/drawing/2014/chart" uri="{C3380CC4-5D6E-409C-BE32-E72D297353CC}">
                <c16:uniqueId val="{00000006-77F2-4876-9002-2A5D7A485356}"/>
              </c:ext>
            </c:extLst>
          </c:dPt>
          <c:dPt>
            <c:idx val="7"/>
            <c:bubble3D val="0"/>
            <c:extLst>
              <c:ext xmlns:c16="http://schemas.microsoft.com/office/drawing/2014/chart" uri="{C3380CC4-5D6E-409C-BE32-E72D297353CC}">
                <c16:uniqueId val="{00000007-77F2-4876-9002-2A5D7A485356}"/>
              </c:ext>
            </c:extLst>
          </c:dPt>
          <c:dPt>
            <c:idx val="8"/>
            <c:bubble3D val="0"/>
            <c:extLst>
              <c:ext xmlns:c16="http://schemas.microsoft.com/office/drawing/2014/chart" uri="{C3380CC4-5D6E-409C-BE32-E72D297353CC}">
                <c16:uniqueId val="{00000008-77F2-4876-9002-2A5D7A485356}"/>
              </c:ext>
            </c:extLst>
          </c:dPt>
          <c:dPt>
            <c:idx val="9"/>
            <c:bubble3D val="0"/>
            <c:extLst>
              <c:ext xmlns:c16="http://schemas.microsoft.com/office/drawing/2014/chart" uri="{C3380CC4-5D6E-409C-BE32-E72D297353CC}">
                <c16:uniqueId val="{00000009-77F2-4876-9002-2A5D7A48535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pivot_tables!$A$7:$A$14</c:f>
              <c:strCache>
                <c:ptCount val="7"/>
                <c:pt idx="0">
                  <c:v>Car</c:v>
                </c:pt>
                <c:pt idx="1">
                  <c:v>Utilities</c:v>
                </c:pt>
                <c:pt idx="2">
                  <c:v>Medical</c:v>
                </c:pt>
                <c:pt idx="3">
                  <c:v>Groceries</c:v>
                </c:pt>
                <c:pt idx="4">
                  <c:v>Dining</c:v>
                </c:pt>
                <c:pt idx="5">
                  <c:v>Household</c:v>
                </c:pt>
                <c:pt idx="6">
                  <c:v>Entertainment</c:v>
                </c:pt>
              </c:strCache>
            </c:strRef>
          </c:cat>
          <c:val>
            <c:numRef>
              <c:f>pivot_tables!$B$7:$B$14</c:f>
              <c:numCache>
                <c:formatCode>#,##0</c:formatCode>
                <c:ptCount val="7"/>
                <c:pt idx="0">
                  <c:v>4260</c:v>
                </c:pt>
                <c:pt idx="1">
                  <c:v>28190</c:v>
                </c:pt>
                <c:pt idx="2">
                  <c:v>1100</c:v>
                </c:pt>
                <c:pt idx="3">
                  <c:v>1445</c:v>
                </c:pt>
                <c:pt idx="4">
                  <c:v>1280</c:v>
                </c:pt>
                <c:pt idx="5">
                  <c:v>8200</c:v>
                </c:pt>
                <c:pt idx="6">
                  <c:v>1100</c:v>
                </c:pt>
              </c:numCache>
            </c:numRef>
          </c:val>
          <c:extLst>
            <c:ext xmlns:c16="http://schemas.microsoft.com/office/drawing/2014/chart" uri="{C3380CC4-5D6E-409C-BE32-E72D297353CC}">
              <c16:uniqueId val="{0000000A-77F2-4876-9002-2A5D7A48535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&amp; EXPENSE TRACKER.xlsx]pivot_tables!PT_SubCategory</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lumMod val="50000"/>
            </a:schemeClr>
          </a:solidFill>
          <a:ln>
            <a:noFill/>
          </a:ln>
          <a:effectLst/>
        </c:spPr>
      </c:pivotFmt>
      <c:pivotFmt>
        <c:idx val="11"/>
        <c:spPr>
          <a:solidFill>
            <a:schemeClr val="accent1">
              <a:lumMod val="50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22167960016757"/>
          <c:y val="5.204465182592917E-2"/>
          <c:w val="0.66900216040230687"/>
          <c:h val="0.84689835066912933"/>
        </c:manualLayout>
      </c:layout>
      <c:barChart>
        <c:barDir val="bar"/>
        <c:grouping val="clustered"/>
        <c:varyColors val="0"/>
        <c:ser>
          <c:idx val="0"/>
          <c:order val="0"/>
          <c:tx>
            <c:strRef>
              <c:f>pivot_tables!$AH$4</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C58E-4C97-9075-213BE30983A0}"/>
              </c:ext>
            </c:extLst>
          </c:dPt>
          <c:dPt>
            <c:idx val="1"/>
            <c:invertIfNegative val="0"/>
            <c:bubble3D val="0"/>
            <c:extLst>
              <c:ext xmlns:c16="http://schemas.microsoft.com/office/drawing/2014/chart" uri="{C3380CC4-5D6E-409C-BE32-E72D297353CC}">
                <c16:uniqueId val="{00000001-C58E-4C97-9075-213BE30983A0}"/>
              </c:ext>
            </c:extLst>
          </c:dPt>
          <c:dPt>
            <c:idx val="2"/>
            <c:invertIfNegative val="0"/>
            <c:bubble3D val="0"/>
            <c:extLst>
              <c:ext xmlns:c16="http://schemas.microsoft.com/office/drawing/2014/chart" uri="{C3380CC4-5D6E-409C-BE32-E72D297353CC}">
                <c16:uniqueId val="{00000002-C58E-4C97-9075-213BE30983A0}"/>
              </c:ext>
            </c:extLst>
          </c:dPt>
          <c:dPt>
            <c:idx val="3"/>
            <c:invertIfNegative val="0"/>
            <c:bubble3D val="0"/>
            <c:extLst>
              <c:ext xmlns:c16="http://schemas.microsoft.com/office/drawing/2014/chart" uri="{C3380CC4-5D6E-409C-BE32-E72D297353CC}">
                <c16:uniqueId val="{00000003-C58E-4C97-9075-213BE30983A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pivot_tables!$AG$5:$AG$19</c:f>
              <c:strCache>
                <c:ptCount val="14"/>
                <c:pt idx="0">
                  <c:v>Car Maintenance</c:v>
                </c:pt>
                <c:pt idx="1">
                  <c:v>Clothing</c:v>
                </c:pt>
                <c:pt idx="2">
                  <c:v>Coffee Shop</c:v>
                </c:pt>
                <c:pt idx="3">
                  <c:v>Electricity Bill</c:v>
                </c:pt>
                <c:pt idx="4">
                  <c:v>Electronics</c:v>
                </c:pt>
                <c:pt idx="5">
                  <c:v>Fuel</c:v>
                </c:pt>
                <c:pt idx="6">
                  <c:v>Groceries</c:v>
                </c:pt>
                <c:pt idx="7">
                  <c:v>Insurance</c:v>
                </c:pt>
                <c:pt idx="8">
                  <c:v>Internet Bill</c:v>
                </c:pt>
                <c:pt idx="9">
                  <c:v>Medical</c:v>
                </c:pt>
                <c:pt idx="10">
                  <c:v>Movies</c:v>
                </c:pt>
                <c:pt idx="11">
                  <c:v>Phone Bill</c:v>
                </c:pt>
                <c:pt idx="12">
                  <c:v>Restaurant</c:v>
                </c:pt>
                <c:pt idx="13">
                  <c:v>Water Bill</c:v>
                </c:pt>
              </c:strCache>
            </c:strRef>
          </c:cat>
          <c:val>
            <c:numRef>
              <c:f>pivot_tables!$AH$5:$AH$19</c:f>
              <c:numCache>
                <c:formatCode>#,##0</c:formatCode>
                <c:ptCount val="14"/>
                <c:pt idx="0">
                  <c:v>980</c:v>
                </c:pt>
                <c:pt idx="1">
                  <c:v>2000</c:v>
                </c:pt>
                <c:pt idx="2">
                  <c:v>330</c:v>
                </c:pt>
                <c:pt idx="3">
                  <c:v>6410</c:v>
                </c:pt>
                <c:pt idx="4">
                  <c:v>6200</c:v>
                </c:pt>
                <c:pt idx="5">
                  <c:v>3280</c:v>
                </c:pt>
                <c:pt idx="6">
                  <c:v>1445</c:v>
                </c:pt>
                <c:pt idx="7">
                  <c:v>4000</c:v>
                </c:pt>
                <c:pt idx="8">
                  <c:v>5250</c:v>
                </c:pt>
                <c:pt idx="9">
                  <c:v>1100</c:v>
                </c:pt>
                <c:pt idx="10">
                  <c:v>1100</c:v>
                </c:pt>
                <c:pt idx="11">
                  <c:v>8320</c:v>
                </c:pt>
                <c:pt idx="12">
                  <c:v>950</c:v>
                </c:pt>
                <c:pt idx="13">
                  <c:v>4210</c:v>
                </c:pt>
              </c:numCache>
            </c:numRef>
          </c:val>
          <c:extLst>
            <c:ext xmlns:c16="http://schemas.microsoft.com/office/drawing/2014/chart" uri="{C3380CC4-5D6E-409C-BE32-E72D297353CC}">
              <c16:uniqueId val="{00000004-C58E-4C97-9075-213BE30983A0}"/>
            </c:ext>
          </c:extLst>
        </c:ser>
        <c:dLbls>
          <c:showLegendKey val="0"/>
          <c:showVal val="0"/>
          <c:showCatName val="0"/>
          <c:showSerName val="0"/>
          <c:showPercent val="0"/>
          <c:showBubbleSize val="0"/>
        </c:dLbls>
        <c:gapWidth val="100"/>
        <c:axId val="350756024"/>
        <c:axId val="350756808"/>
      </c:barChart>
      <c:catAx>
        <c:axId val="350756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0756808"/>
        <c:crosses val="autoZero"/>
        <c:auto val="1"/>
        <c:lblAlgn val="ctr"/>
        <c:lblOffset val="100"/>
        <c:noMultiLvlLbl val="0"/>
      </c:catAx>
      <c:valAx>
        <c:axId val="350756808"/>
        <c:scaling>
          <c:orientation val="minMax"/>
        </c:scaling>
        <c:delete val="0"/>
        <c:axPos val="b"/>
        <c:majorGridlines>
          <c:spPr>
            <a:ln w="9525" cap="flat" cmpd="sng" algn="ctr">
              <a:no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0756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8.2121854338024533E-2"/>
          <c:y val="0.14966938230671781"/>
          <c:w val="0.90530089958369941"/>
          <c:h val="0.73944545582021293"/>
        </c:manualLayout>
      </c:layout>
      <c:barChart>
        <c:barDir val="col"/>
        <c:grouping val="clustered"/>
        <c:varyColors val="0"/>
        <c:ser>
          <c:idx val="3"/>
          <c:order val="3"/>
          <c:tx>
            <c:strRef>
              <c:f>Monthly_Summary_Table!$F$3</c:f>
              <c:strCache>
                <c:ptCount val="1"/>
                <c:pt idx="0">
                  <c:v>Expense</c:v>
                </c:pt>
              </c:strCache>
            </c:strRef>
          </c:tx>
          <c:spPr>
            <a:solidFill>
              <a:schemeClr val="accent2">
                <a:shade val="92000"/>
              </a:schemeClr>
            </a:solidFill>
            <a:ln>
              <a:noFill/>
            </a:ln>
            <a:effectLst/>
          </c:spPr>
          <c:invertIfNegative val="0"/>
          <c:cat>
            <c:strRef>
              <c:f>Monthly_Summary_Table!$B$4:$B$123</c:f>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f>[0]!MonthlySummary_Expense</c:f>
              <c:numCache>
                <c:formatCode>#,##0</c:formatCode>
                <c:ptCount val="20"/>
                <c:pt idx="0">
                  <c:v>1370</c:v>
                </c:pt>
                <c:pt idx="1">
                  <c:v>2830</c:v>
                </c:pt>
                <c:pt idx="2">
                  <c:v>935</c:v>
                </c:pt>
                <c:pt idx="3">
                  <c:v>3230</c:v>
                </c:pt>
                <c:pt idx="4">
                  <c:v>2830</c:v>
                </c:pt>
                <c:pt idx="5">
                  <c:v>1330</c:v>
                </c:pt>
                <c:pt idx="6">
                  <c:v>2280</c:v>
                </c:pt>
                <c:pt idx="7">
                  <c:v>1740</c:v>
                </c:pt>
                <c:pt idx="8">
                  <c:v>1100</c:v>
                </c:pt>
                <c:pt idx="9">
                  <c:v>1530</c:v>
                </c:pt>
                <c:pt idx="10">
                  <c:v>1980</c:v>
                </c:pt>
                <c:pt idx="11">
                  <c:v>2375</c:v>
                </c:pt>
                <c:pt idx="12">
                  <c:v>7160</c:v>
                </c:pt>
                <c:pt idx="13">
                  <c:v>2110</c:v>
                </c:pt>
                <c:pt idx="14">
                  <c:v>4620</c:v>
                </c:pt>
                <c:pt idx="15">
                  <c:v>2020</c:v>
                </c:pt>
                <c:pt idx="16">
                  <c:v>1580</c:v>
                </c:pt>
                <c:pt idx="17">
                  <c:v>330</c:v>
                </c:pt>
                <c:pt idx="18">
                  <c:v>2150</c:v>
                </c:pt>
                <c:pt idx="19">
                  <c:v>2075</c:v>
                </c:pt>
              </c:numCache>
            </c:numRef>
          </c:val>
          <c:extLst>
            <c:ext xmlns:c16="http://schemas.microsoft.com/office/drawing/2014/chart" uri="{C3380CC4-5D6E-409C-BE32-E72D297353CC}">
              <c16:uniqueId val="{00000000-4FCC-4439-9A94-E47451F25C11}"/>
            </c:ext>
          </c:extLst>
        </c:ser>
        <c:dLbls>
          <c:showLegendKey val="0"/>
          <c:showVal val="0"/>
          <c:showCatName val="0"/>
          <c:showSerName val="0"/>
          <c:showPercent val="0"/>
          <c:showBubbleSize val="0"/>
        </c:dLbls>
        <c:gapWidth val="150"/>
        <c:axId val="353744056"/>
        <c:axId val="353747192"/>
        <c:extLst>
          <c:ext xmlns:c15="http://schemas.microsoft.com/office/drawing/2012/chart" uri="{02D57815-91ED-43cb-92C2-25804820EDAC}">
            <c15:filteredBarSeries>
              <c15:ser>
                <c:idx val="0"/>
                <c:order val="0"/>
                <c:tx>
                  <c:strRef>
                    <c:extLst>
                      <c:ext uri="{02D57815-91ED-43cb-92C2-25804820EDAC}">
                        <c15:formulaRef>
                          <c15:sqref>Monthly_Summary_Table!$C$3</c15:sqref>
                        </c15:formulaRef>
                      </c:ext>
                    </c:extLst>
                    <c:strCache>
                      <c:ptCount val="1"/>
                      <c:pt idx="0">
                        <c:v>Year</c:v>
                      </c:pt>
                    </c:strCache>
                  </c:strRef>
                </c:tx>
                <c:spPr>
                  <a:solidFill>
                    <a:schemeClr val="accent2">
                      <a:shade val="45000"/>
                    </a:schemeClr>
                  </a:solidFill>
                  <a:ln>
                    <a:noFill/>
                  </a:ln>
                  <a:effectLst/>
                </c:spPr>
                <c:invertIfNegative val="0"/>
                <c:cat>
                  <c:strRef>
                    <c:extLst>
                      <c:ex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c:ext uri="{02D57815-91ED-43cb-92C2-25804820EDAC}">
                        <c15:formulaRef>
                          <c15:sqref>Monthly_Summary_Table!$C$4:$C$123</c15:sqref>
                        </c15:formulaRef>
                      </c:ext>
                    </c:extLst>
                    <c:numCache>
                      <c:formatCode>General</c:formatCode>
                      <c:ptCount val="120"/>
                      <c:pt idx="0">
                        <c:v>2021</c:v>
                      </c:pt>
                      <c:pt idx="1">
                        <c:v>2021</c:v>
                      </c:pt>
                      <c:pt idx="2">
                        <c:v>2021</c:v>
                      </c:pt>
                      <c:pt idx="3">
                        <c:v>2020</c:v>
                      </c:pt>
                      <c:pt idx="4">
                        <c:v>2020</c:v>
                      </c:pt>
                      <c:pt idx="5">
                        <c:v>2020</c:v>
                      </c:pt>
                      <c:pt idx="6">
                        <c:v>2020</c:v>
                      </c:pt>
                      <c:pt idx="7">
                        <c:v>2020</c:v>
                      </c:pt>
                      <c:pt idx="8">
                        <c:v>2020</c:v>
                      </c:pt>
                      <c:pt idx="9">
                        <c:v>2020</c:v>
                      </c:pt>
                      <c:pt idx="10">
                        <c:v>2020</c:v>
                      </c:pt>
                      <c:pt idx="11">
                        <c:v>2020</c:v>
                      </c:pt>
                      <c:pt idx="12">
                        <c:v>2020</c:v>
                      </c:pt>
                      <c:pt idx="13">
                        <c:v>2020</c:v>
                      </c:pt>
                      <c:pt idx="14">
                        <c:v>2020</c:v>
                      </c:pt>
                      <c:pt idx="15">
                        <c:v>2019</c:v>
                      </c:pt>
                      <c:pt idx="16">
                        <c:v>2019</c:v>
                      </c:pt>
                      <c:pt idx="17">
                        <c:v>2019</c:v>
                      </c:pt>
                      <c:pt idx="18">
                        <c:v>2019</c:v>
                      </c:pt>
                      <c:pt idx="19">
                        <c:v>2019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c:ext xmlns:c16="http://schemas.microsoft.com/office/drawing/2014/chart" uri="{C3380CC4-5D6E-409C-BE32-E72D297353CC}">
                    <c16:uniqueId val="{00000002-4FCC-4439-9A94-E47451F25C1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Monthly_Summary_Table!$D$3</c15:sqref>
                        </c15:formulaRef>
                      </c:ext>
                    </c:extLst>
                    <c:strCache>
                      <c:ptCount val="1"/>
                      <c:pt idx="0">
                        <c:v>Month</c:v>
                      </c:pt>
                    </c:strCache>
                  </c:strRef>
                </c:tx>
                <c:spPr>
                  <a:solidFill>
                    <a:schemeClr val="accent2">
                      <a:shade val="61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Monthly_Summary_Table!$D$4:$D$123</c15:sqref>
                        </c15:formulaRef>
                      </c:ext>
                    </c:extLst>
                    <c:numCache>
                      <c:formatCode>General</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3-4FCC-4439-9A94-E47451F25C1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Monthly_Summary_Table!$E$3</c15:sqref>
                        </c15:formulaRef>
                      </c:ext>
                    </c:extLst>
                    <c:strCache>
                      <c:ptCount val="1"/>
                      <c:pt idx="0">
                        <c:v>Income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Monthly_Summary_Table!$E$4:$E$123</c15:sqref>
                        </c15:formulaRef>
                      </c:ext>
                    </c:extLst>
                    <c:numCache>
                      <c:formatCode>#,##0</c:formatCode>
                      <c:ptCount val="120"/>
                      <c:pt idx="0">
                        <c:v>37000</c:v>
                      </c:pt>
                      <c:pt idx="1">
                        <c:v>0</c:v>
                      </c:pt>
                      <c:pt idx="2">
                        <c:v>0</c:v>
                      </c:pt>
                      <c:pt idx="3">
                        <c:v>37000</c:v>
                      </c:pt>
                      <c:pt idx="4">
                        <c:v>0</c:v>
                      </c:pt>
                      <c:pt idx="5">
                        <c:v>0</c:v>
                      </c:pt>
                      <c:pt idx="6">
                        <c:v>37000</c:v>
                      </c:pt>
                      <c:pt idx="7">
                        <c:v>0</c:v>
                      </c:pt>
                      <c:pt idx="8">
                        <c:v>0</c:v>
                      </c:pt>
                      <c:pt idx="9">
                        <c:v>34500</c:v>
                      </c:pt>
                      <c:pt idx="10">
                        <c:v>0</c:v>
                      </c:pt>
                      <c:pt idx="11">
                        <c:v>0</c:v>
                      </c:pt>
                      <c:pt idx="12">
                        <c:v>34500</c:v>
                      </c:pt>
                      <c:pt idx="13">
                        <c:v>0</c:v>
                      </c:pt>
                      <c:pt idx="14">
                        <c:v>0</c:v>
                      </c:pt>
                      <c:pt idx="15">
                        <c:v>34500</c:v>
                      </c:pt>
                      <c:pt idx="16">
                        <c:v>0</c:v>
                      </c:pt>
                      <c:pt idx="17">
                        <c:v>0</c:v>
                      </c:pt>
                      <c:pt idx="18">
                        <c:v>7500</c:v>
                      </c:pt>
                      <c:pt idx="19">
                        <c:v>32500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4-4FCC-4439-9A94-E47451F25C1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Monthly_Summary_Table!$G$3</c15:sqref>
                        </c15:formulaRef>
                      </c:ext>
                    </c:extLst>
                    <c:strCache>
                      <c:ptCount val="1"/>
                      <c:pt idx="0">
                        <c:v>Savings</c:v>
                      </c:pt>
                    </c:strCache>
                  </c:strRef>
                </c:tx>
                <c:spPr>
                  <a:solidFill>
                    <a:schemeClr val="accent2">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Monthly_Summary_Table!$G$4:$G$123</c15:sqref>
                        </c15:formulaRef>
                      </c:ext>
                    </c:extLst>
                    <c:numCache>
                      <c:formatCode>#,##0</c:formatCode>
                      <c:ptCount val="120"/>
                      <c:pt idx="0">
                        <c:v>35630</c:v>
                      </c:pt>
                      <c:pt idx="1">
                        <c:v>-2830</c:v>
                      </c:pt>
                      <c:pt idx="2">
                        <c:v>-935</c:v>
                      </c:pt>
                      <c:pt idx="3">
                        <c:v>33770</c:v>
                      </c:pt>
                      <c:pt idx="4">
                        <c:v>-2830</c:v>
                      </c:pt>
                      <c:pt idx="5">
                        <c:v>-1330</c:v>
                      </c:pt>
                      <c:pt idx="6">
                        <c:v>34720</c:v>
                      </c:pt>
                      <c:pt idx="7">
                        <c:v>-1740</c:v>
                      </c:pt>
                      <c:pt idx="8">
                        <c:v>-1100</c:v>
                      </c:pt>
                      <c:pt idx="9">
                        <c:v>32970</c:v>
                      </c:pt>
                      <c:pt idx="10">
                        <c:v>-1980</c:v>
                      </c:pt>
                      <c:pt idx="11">
                        <c:v>-2375</c:v>
                      </c:pt>
                      <c:pt idx="12">
                        <c:v>27340</c:v>
                      </c:pt>
                      <c:pt idx="13">
                        <c:v>-2110</c:v>
                      </c:pt>
                      <c:pt idx="14">
                        <c:v>-4620</c:v>
                      </c:pt>
                      <c:pt idx="15">
                        <c:v>32480</c:v>
                      </c:pt>
                      <c:pt idx="16">
                        <c:v>-1580</c:v>
                      </c:pt>
                      <c:pt idx="17">
                        <c:v>-330</c:v>
                      </c:pt>
                      <c:pt idx="18">
                        <c:v>5350</c:v>
                      </c:pt>
                      <c:pt idx="19">
                        <c:v>30425</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5-4FCC-4439-9A94-E47451F25C1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Monthly_Summary_Table!$I$3</c15:sqref>
                        </c15:formulaRef>
                      </c:ext>
                    </c:extLst>
                    <c:strCache>
                      <c:ptCount val="1"/>
                      <c:pt idx="0">
                        <c:v>Cumulative Savings</c:v>
                      </c:pt>
                    </c:strCache>
                  </c:strRef>
                </c:tx>
                <c:spPr>
                  <a:solidFill>
                    <a:schemeClr val="accent2">
                      <a:tint val="62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Monthly_Summary_Table!$I$4:$I$123</c15:sqref>
                        </c15:formulaRef>
                      </c:ext>
                    </c:extLst>
                    <c:numCache>
                      <c:formatCode>#,##0</c:formatCode>
                      <c:ptCount val="120"/>
                      <c:pt idx="0">
                        <c:v>208925</c:v>
                      </c:pt>
                      <c:pt idx="1">
                        <c:v>173295</c:v>
                      </c:pt>
                      <c:pt idx="2">
                        <c:v>176125</c:v>
                      </c:pt>
                      <c:pt idx="3">
                        <c:v>177060</c:v>
                      </c:pt>
                      <c:pt idx="4">
                        <c:v>143290</c:v>
                      </c:pt>
                      <c:pt idx="5">
                        <c:v>146120</c:v>
                      </c:pt>
                      <c:pt idx="6">
                        <c:v>147450</c:v>
                      </c:pt>
                      <c:pt idx="7">
                        <c:v>112730</c:v>
                      </c:pt>
                      <c:pt idx="8">
                        <c:v>114470</c:v>
                      </c:pt>
                      <c:pt idx="9">
                        <c:v>115570</c:v>
                      </c:pt>
                      <c:pt idx="10">
                        <c:v>82600</c:v>
                      </c:pt>
                      <c:pt idx="11">
                        <c:v>84580</c:v>
                      </c:pt>
                      <c:pt idx="12">
                        <c:v>86955</c:v>
                      </c:pt>
                      <c:pt idx="13">
                        <c:v>59615</c:v>
                      </c:pt>
                      <c:pt idx="14">
                        <c:v>61725</c:v>
                      </c:pt>
                      <c:pt idx="15">
                        <c:v>66345</c:v>
                      </c:pt>
                      <c:pt idx="16">
                        <c:v>33865</c:v>
                      </c:pt>
                      <c:pt idx="17">
                        <c:v>35445</c:v>
                      </c:pt>
                      <c:pt idx="18">
                        <c:v>35775</c:v>
                      </c:pt>
                      <c:pt idx="19">
                        <c:v>30425</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6-4FCC-4439-9A94-E47451F25C11}"/>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Monthly_Summary_Table!$J$3</c15:sqref>
                        </c15:formulaRef>
                      </c:ext>
                    </c:extLst>
                    <c:strCache>
                      <c:ptCount val="1"/>
                      <c:pt idx="0">
                        <c:v>Net Balance</c:v>
                      </c:pt>
                    </c:strCache>
                  </c:strRef>
                </c:tx>
                <c:spPr>
                  <a:solidFill>
                    <a:schemeClr val="accent2">
                      <a:tint val="46000"/>
                    </a:schemeClr>
                  </a:solidFill>
                  <a:ln>
                    <a:noFill/>
                  </a:ln>
                  <a:effectLst/>
                </c:spPr>
                <c:invertIfNegative val="0"/>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Monthly_Summary_Table!$J$4:$J$123</c15:sqref>
                        </c15:formulaRef>
                      </c:ext>
                    </c:extLst>
                    <c:numCache>
                      <c:formatCode>#,##0</c:formatCode>
                      <c:ptCount val="120"/>
                      <c:pt idx="0">
                        <c:v>235125</c:v>
                      </c:pt>
                      <c:pt idx="1">
                        <c:v>199495</c:v>
                      </c:pt>
                      <c:pt idx="2">
                        <c:v>202325</c:v>
                      </c:pt>
                      <c:pt idx="3">
                        <c:v>203260</c:v>
                      </c:pt>
                      <c:pt idx="4">
                        <c:v>169490</c:v>
                      </c:pt>
                      <c:pt idx="5">
                        <c:v>172320</c:v>
                      </c:pt>
                      <c:pt idx="6">
                        <c:v>173650</c:v>
                      </c:pt>
                      <c:pt idx="7">
                        <c:v>138930</c:v>
                      </c:pt>
                      <c:pt idx="8">
                        <c:v>140670</c:v>
                      </c:pt>
                      <c:pt idx="9">
                        <c:v>141770</c:v>
                      </c:pt>
                      <c:pt idx="10">
                        <c:v>108800</c:v>
                      </c:pt>
                      <c:pt idx="11">
                        <c:v>110780</c:v>
                      </c:pt>
                      <c:pt idx="12">
                        <c:v>113155</c:v>
                      </c:pt>
                      <c:pt idx="13">
                        <c:v>85815</c:v>
                      </c:pt>
                      <c:pt idx="14">
                        <c:v>87925</c:v>
                      </c:pt>
                      <c:pt idx="15">
                        <c:v>92545</c:v>
                      </c:pt>
                      <c:pt idx="16">
                        <c:v>60065</c:v>
                      </c:pt>
                      <c:pt idx="17">
                        <c:v>61645</c:v>
                      </c:pt>
                      <c:pt idx="18">
                        <c:v>61975</c:v>
                      </c:pt>
                      <c:pt idx="19">
                        <c:v>56625</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7-4FCC-4439-9A94-E47451F25C11}"/>
                  </c:ext>
                </c:extLst>
              </c15:ser>
            </c15:filteredBarSeries>
          </c:ext>
        </c:extLst>
      </c:barChart>
      <c:lineChart>
        <c:grouping val="standard"/>
        <c:varyColors val="0"/>
        <c:ser>
          <c:idx val="5"/>
          <c:order val="5"/>
          <c:tx>
            <c:strRef>
              <c:f>Monthly_Summary_Table!$H$3</c:f>
              <c:strCache>
                <c:ptCount val="1"/>
                <c:pt idx="0">
                  <c:v>Budget</c:v>
                </c:pt>
              </c:strCache>
            </c:strRef>
          </c:tx>
          <c:spPr>
            <a:ln w="28575" cap="rnd">
              <a:solidFill>
                <a:schemeClr val="accent2">
                  <a:tint val="77000"/>
                </a:schemeClr>
              </a:solidFill>
              <a:round/>
            </a:ln>
            <a:effectLst/>
          </c:spPr>
          <c:marker>
            <c:symbol val="none"/>
          </c:marker>
          <c:cat>
            <c:strRef>
              <c:f>Monthly_Summary_Table!$B$4:$B$123</c:f>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f>[0]!MonthlySummary_Budget</c:f>
              <c:numCache>
                <c:formatCode>#,##0</c:formatCode>
                <c:ptCount val="20"/>
                <c:pt idx="0">
                  <c:v>9450</c:v>
                </c:pt>
                <c:pt idx="1">
                  <c:v>9450</c:v>
                </c:pt>
                <c:pt idx="2">
                  <c:v>9450</c:v>
                </c:pt>
                <c:pt idx="3">
                  <c:v>9450</c:v>
                </c:pt>
                <c:pt idx="4">
                  <c:v>9450</c:v>
                </c:pt>
                <c:pt idx="5">
                  <c:v>9450</c:v>
                </c:pt>
                <c:pt idx="6">
                  <c:v>9450</c:v>
                </c:pt>
                <c:pt idx="7">
                  <c:v>9450</c:v>
                </c:pt>
                <c:pt idx="8">
                  <c:v>9450</c:v>
                </c:pt>
                <c:pt idx="9">
                  <c:v>9450</c:v>
                </c:pt>
                <c:pt idx="10">
                  <c:v>9450</c:v>
                </c:pt>
                <c:pt idx="11">
                  <c:v>9450</c:v>
                </c:pt>
                <c:pt idx="12">
                  <c:v>9450</c:v>
                </c:pt>
                <c:pt idx="13">
                  <c:v>9450</c:v>
                </c:pt>
                <c:pt idx="14">
                  <c:v>9450</c:v>
                </c:pt>
                <c:pt idx="15">
                  <c:v>9450</c:v>
                </c:pt>
                <c:pt idx="16">
                  <c:v>9450</c:v>
                </c:pt>
                <c:pt idx="17">
                  <c:v>9450</c:v>
                </c:pt>
                <c:pt idx="18">
                  <c:v>9450</c:v>
                </c:pt>
                <c:pt idx="19">
                  <c:v>9450</c:v>
                </c:pt>
              </c:numCache>
            </c:numRef>
          </c:val>
          <c:smooth val="0"/>
          <c:extLst>
            <c:ext xmlns:c16="http://schemas.microsoft.com/office/drawing/2014/chart" uri="{C3380CC4-5D6E-409C-BE32-E72D297353CC}">
              <c16:uniqueId val="{00000001-4FCC-4439-9A94-E47451F25C11}"/>
            </c:ext>
          </c:extLst>
        </c:ser>
        <c:dLbls>
          <c:showLegendKey val="0"/>
          <c:showVal val="0"/>
          <c:showCatName val="0"/>
          <c:showSerName val="0"/>
          <c:showPercent val="0"/>
          <c:showBubbleSize val="0"/>
        </c:dLbls>
        <c:marker val="1"/>
        <c:smooth val="0"/>
        <c:axId val="353744056"/>
        <c:axId val="353747192"/>
      </c:lineChart>
      <c:dateAx>
        <c:axId val="3537440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747192"/>
        <c:crosses val="autoZero"/>
        <c:auto val="0"/>
        <c:lblOffset val="100"/>
        <c:baseTimeUnit val="months"/>
      </c:dateAx>
      <c:valAx>
        <c:axId val="35374719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744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3698088474669E-2"/>
          <c:y val="0.11710778075614399"/>
          <c:w val="0.90338577303697709"/>
          <c:h val="0.77065519544400218"/>
        </c:manualLayout>
      </c:layout>
      <c:barChart>
        <c:barDir val="col"/>
        <c:grouping val="clustered"/>
        <c:varyColors val="0"/>
        <c:ser>
          <c:idx val="4"/>
          <c:order val="4"/>
          <c:tx>
            <c:strRef>
              <c:f>Monthly_Summary_Table!$G$3</c:f>
              <c:strCache>
                <c:ptCount val="1"/>
                <c:pt idx="0">
                  <c:v>Savings</c:v>
                </c:pt>
              </c:strCache>
            </c:strRef>
          </c:tx>
          <c:spPr>
            <a:solidFill>
              <a:schemeClr val="accent5"/>
            </a:solidFill>
            <a:ln>
              <a:noFill/>
            </a:ln>
            <a:effectLst/>
          </c:spPr>
          <c:invertIfNegative val="0"/>
          <c:cat>
            <c:strRef>
              <c:f>Monthly_Summary_Table!$B$4:$B$123</c:f>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f>[0]!MonthlySummary_Savings</c:f>
              <c:numCache>
                <c:formatCode>#,##0</c:formatCode>
                <c:ptCount val="20"/>
                <c:pt idx="0">
                  <c:v>35630</c:v>
                </c:pt>
                <c:pt idx="1">
                  <c:v>-2830</c:v>
                </c:pt>
                <c:pt idx="2">
                  <c:v>-935</c:v>
                </c:pt>
                <c:pt idx="3">
                  <c:v>33770</c:v>
                </c:pt>
                <c:pt idx="4">
                  <c:v>-2830</c:v>
                </c:pt>
                <c:pt idx="5">
                  <c:v>-1330</c:v>
                </c:pt>
                <c:pt idx="6">
                  <c:v>34720</c:v>
                </c:pt>
                <c:pt idx="7">
                  <c:v>-1740</c:v>
                </c:pt>
                <c:pt idx="8">
                  <c:v>-1100</c:v>
                </c:pt>
                <c:pt idx="9">
                  <c:v>32970</c:v>
                </c:pt>
                <c:pt idx="10">
                  <c:v>-1980</c:v>
                </c:pt>
                <c:pt idx="11">
                  <c:v>-2375</c:v>
                </c:pt>
                <c:pt idx="12">
                  <c:v>27340</c:v>
                </c:pt>
                <c:pt idx="13">
                  <c:v>-2110</c:v>
                </c:pt>
                <c:pt idx="14">
                  <c:v>-4620</c:v>
                </c:pt>
                <c:pt idx="15">
                  <c:v>32480</c:v>
                </c:pt>
                <c:pt idx="16">
                  <c:v>-1580</c:v>
                </c:pt>
                <c:pt idx="17">
                  <c:v>-330</c:v>
                </c:pt>
                <c:pt idx="18">
                  <c:v>5350</c:v>
                </c:pt>
                <c:pt idx="19">
                  <c:v>30425</c:v>
                </c:pt>
              </c:numCache>
            </c:numRef>
          </c:val>
          <c:extLst>
            <c:ext xmlns:c16="http://schemas.microsoft.com/office/drawing/2014/chart" uri="{C3380CC4-5D6E-409C-BE32-E72D297353CC}">
              <c16:uniqueId val="{00000000-6DD0-4D06-9842-D4CBB2C04065}"/>
            </c:ext>
          </c:extLst>
        </c:ser>
        <c:dLbls>
          <c:showLegendKey val="0"/>
          <c:showVal val="0"/>
          <c:showCatName val="0"/>
          <c:showSerName val="0"/>
          <c:showPercent val="0"/>
          <c:showBubbleSize val="0"/>
        </c:dLbls>
        <c:gapWidth val="150"/>
        <c:axId val="353748368"/>
        <c:axId val="353746016"/>
        <c:extLst>
          <c:ext xmlns:c15="http://schemas.microsoft.com/office/drawing/2012/chart" uri="{02D57815-91ED-43cb-92C2-25804820EDAC}">
            <c15:filteredBarSeries>
              <c15:ser>
                <c:idx val="0"/>
                <c:order val="0"/>
                <c:tx>
                  <c:strRef>
                    <c:extLst>
                      <c:ext uri="{02D57815-91ED-43cb-92C2-25804820EDAC}">
                        <c15:formulaRef>
                          <c15:sqref>Monthly_Summary_Table!$C$3</c15:sqref>
                        </c15:formulaRef>
                      </c:ext>
                    </c:extLst>
                    <c:strCache>
                      <c:ptCount val="1"/>
                      <c:pt idx="0">
                        <c:v>Year</c:v>
                      </c:pt>
                    </c:strCache>
                  </c:strRef>
                </c:tx>
                <c:spPr>
                  <a:solidFill>
                    <a:schemeClr val="accent1"/>
                  </a:solidFill>
                  <a:ln>
                    <a:noFill/>
                  </a:ln>
                  <a:effectLst/>
                </c:spPr>
                <c:invertIfNegative val="0"/>
                <c:cat>
                  <c:strRef>
                    <c:extLst>
                      <c:ex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c:ext uri="{02D57815-91ED-43cb-92C2-25804820EDAC}">
                        <c15:formulaRef>
                          <c15:sqref>Monthly_Summary_Table!$C$4:$C$123</c15:sqref>
                        </c15:formulaRef>
                      </c:ext>
                    </c:extLst>
                    <c:numCache>
                      <c:formatCode>General</c:formatCode>
                      <c:ptCount val="120"/>
                      <c:pt idx="0">
                        <c:v>2021</c:v>
                      </c:pt>
                      <c:pt idx="1">
                        <c:v>2021</c:v>
                      </c:pt>
                      <c:pt idx="2">
                        <c:v>2021</c:v>
                      </c:pt>
                      <c:pt idx="3">
                        <c:v>2020</c:v>
                      </c:pt>
                      <c:pt idx="4">
                        <c:v>2020</c:v>
                      </c:pt>
                      <c:pt idx="5">
                        <c:v>2020</c:v>
                      </c:pt>
                      <c:pt idx="6">
                        <c:v>2020</c:v>
                      </c:pt>
                      <c:pt idx="7">
                        <c:v>2020</c:v>
                      </c:pt>
                      <c:pt idx="8">
                        <c:v>2020</c:v>
                      </c:pt>
                      <c:pt idx="9">
                        <c:v>2020</c:v>
                      </c:pt>
                      <c:pt idx="10">
                        <c:v>2020</c:v>
                      </c:pt>
                      <c:pt idx="11">
                        <c:v>2020</c:v>
                      </c:pt>
                      <c:pt idx="12">
                        <c:v>2020</c:v>
                      </c:pt>
                      <c:pt idx="13">
                        <c:v>2020</c:v>
                      </c:pt>
                      <c:pt idx="14">
                        <c:v>2020</c:v>
                      </c:pt>
                      <c:pt idx="15">
                        <c:v>2019</c:v>
                      </c:pt>
                      <c:pt idx="16">
                        <c:v>2019</c:v>
                      </c:pt>
                      <c:pt idx="17">
                        <c:v>2019</c:v>
                      </c:pt>
                      <c:pt idx="18">
                        <c:v>2019</c:v>
                      </c:pt>
                      <c:pt idx="19">
                        <c:v>2019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c:ext xmlns:c16="http://schemas.microsoft.com/office/drawing/2014/chart" uri="{C3380CC4-5D6E-409C-BE32-E72D297353CC}">
                    <c16:uniqueId val="{00000002-6DD0-4D06-9842-D4CBB2C0406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Monthly_Summary_Table!$D$3</c15:sqref>
                        </c15:formulaRef>
                      </c:ext>
                    </c:extLst>
                    <c:strCache>
                      <c:ptCount val="1"/>
                      <c:pt idx="0">
                        <c:v>Month</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Monthly_Summary_Table!$D$4:$D$123</c15:sqref>
                        </c15:formulaRef>
                      </c:ext>
                    </c:extLst>
                    <c:numCache>
                      <c:formatCode>General</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3-6DD0-4D06-9842-D4CBB2C0406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Monthly_Summary_Table!$E$3</c15:sqref>
                        </c15:formulaRef>
                      </c:ext>
                    </c:extLst>
                    <c:strCache>
                      <c:ptCount val="1"/>
                      <c:pt idx="0">
                        <c:v>Income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Monthly_Summary_Table!$E$4:$E$123</c15:sqref>
                        </c15:formulaRef>
                      </c:ext>
                    </c:extLst>
                    <c:numCache>
                      <c:formatCode>#,##0</c:formatCode>
                      <c:ptCount val="120"/>
                      <c:pt idx="0">
                        <c:v>37000</c:v>
                      </c:pt>
                      <c:pt idx="1">
                        <c:v>0</c:v>
                      </c:pt>
                      <c:pt idx="2">
                        <c:v>0</c:v>
                      </c:pt>
                      <c:pt idx="3">
                        <c:v>37000</c:v>
                      </c:pt>
                      <c:pt idx="4">
                        <c:v>0</c:v>
                      </c:pt>
                      <c:pt idx="5">
                        <c:v>0</c:v>
                      </c:pt>
                      <c:pt idx="6">
                        <c:v>37000</c:v>
                      </c:pt>
                      <c:pt idx="7">
                        <c:v>0</c:v>
                      </c:pt>
                      <c:pt idx="8">
                        <c:v>0</c:v>
                      </c:pt>
                      <c:pt idx="9">
                        <c:v>34500</c:v>
                      </c:pt>
                      <c:pt idx="10">
                        <c:v>0</c:v>
                      </c:pt>
                      <c:pt idx="11">
                        <c:v>0</c:v>
                      </c:pt>
                      <c:pt idx="12">
                        <c:v>34500</c:v>
                      </c:pt>
                      <c:pt idx="13">
                        <c:v>0</c:v>
                      </c:pt>
                      <c:pt idx="14">
                        <c:v>0</c:v>
                      </c:pt>
                      <c:pt idx="15">
                        <c:v>34500</c:v>
                      </c:pt>
                      <c:pt idx="16">
                        <c:v>0</c:v>
                      </c:pt>
                      <c:pt idx="17">
                        <c:v>0</c:v>
                      </c:pt>
                      <c:pt idx="18">
                        <c:v>7500</c:v>
                      </c:pt>
                      <c:pt idx="19">
                        <c:v>32500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4-6DD0-4D06-9842-D4CBB2C0406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Monthly_Summary_Table!$F$3</c15:sqref>
                        </c15:formulaRef>
                      </c:ext>
                    </c:extLst>
                    <c:strCache>
                      <c:ptCount val="1"/>
                      <c:pt idx="0">
                        <c:v>Expense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Monthly_Summary_Table!$F$4:$F$123</c15:sqref>
                        </c15:formulaRef>
                      </c:ext>
                    </c:extLst>
                    <c:numCache>
                      <c:formatCode>#,##0</c:formatCode>
                      <c:ptCount val="120"/>
                      <c:pt idx="0">
                        <c:v>1370</c:v>
                      </c:pt>
                      <c:pt idx="1">
                        <c:v>2830</c:v>
                      </c:pt>
                      <c:pt idx="2">
                        <c:v>935</c:v>
                      </c:pt>
                      <c:pt idx="3">
                        <c:v>3230</c:v>
                      </c:pt>
                      <c:pt idx="4">
                        <c:v>2830</c:v>
                      </c:pt>
                      <c:pt idx="5">
                        <c:v>1330</c:v>
                      </c:pt>
                      <c:pt idx="6">
                        <c:v>2280</c:v>
                      </c:pt>
                      <c:pt idx="7">
                        <c:v>1740</c:v>
                      </c:pt>
                      <c:pt idx="8">
                        <c:v>1100</c:v>
                      </c:pt>
                      <c:pt idx="9">
                        <c:v>1530</c:v>
                      </c:pt>
                      <c:pt idx="10">
                        <c:v>1980</c:v>
                      </c:pt>
                      <c:pt idx="11">
                        <c:v>2375</c:v>
                      </c:pt>
                      <c:pt idx="12">
                        <c:v>7160</c:v>
                      </c:pt>
                      <c:pt idx="13">
                        <c:v>2110</c:v>
                      </c:pt>
                      <c:pt idx="14">
                        <c:v>4620</c:v>
                      </c:pt>
                      <c:pt idx="15">
                        <c:v>2020</c:v>
                      </c:pt>
                      <c:pt idx="16">
                        <c:v>1580</c:v>
                      </c:pt>
                      <c:pt idx="17">
                        <c:v>330</c:v>
                      </c:pt>
                      <c:pt idx="18">
                        <c:v>2150</c:v>
                      </c:pt>
                      <c:pt idx="19">
                        <c:v>2075</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extLst xmlns:c15="http://schemas.microsoft.com/office/drawing/2012/chart">
                  <c:ext xmlns:c16="http://schemas.microsoft.com/office/drawing/2014/chart" uri="{C3380CC4-5D6E-409C-BE32-E72D297353CC}">
                    <c16:uniqueId val="{00000005-6DD0-4D06-9842-D4CBB2C04065}"/>
                  </c:ext>
                </c:extLst>
              </c15:ser>
            </c15:filteredBarSeries>
          </c:ext>
        </c:extLst>
      </c:barChart>
      <c:lineChart>
        <c:grouping val="standard"/>
        <c:varyColors val="0"/>
        <c:ser>
          <c:idx val="7"/>
          <c:order val="7"/>
          <c:tx>
            <c:strRef>
              <c:f>Monthly_Summary_Table!$J$3</c:f>
              <c:strCache>
                <c:ptCount val="1"/>
                <c:pt idx="0">
                  <c:v>Net Balance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Monthly_Summary_Table!$B$4:$B$123</c:f>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f>[0]!MonthlySummary_NetBalance</c:f>
              <c:numCache>
                <c:formatCode>#,##0</c:formatCode>
                <c:ptCount val="20"/>
                <c:pt idx="0">
                  <c:v>235125</c:v>
                </c:pt>
                <c:pt idx="1">
                  <c:v>199495</c:v>
                </c:pt>
                <c:pt idx="2">
                  <c:v>202325</c:v>
                </c:pt>
                <c:pt idx="3">
                  <c:v>203260</c:v>
                </c:pt>
                <c:pt idx="4">
                  <c:v>169490</c:v>
                </c:pt>
                <c:pt idx="5">
                  <c:v>172320</c:v>
                </c:pt>
                <c:pt idx="6">
                  <c:v>173650</c:v>
                </c:pt>
                <c:pt idx="7">
                  <c:v>138930</c:v>
                </c:pt>
                <c:pt idx="8">
                  <c:v>140670</c:v>
                </c:pt>
                <c:pt idx="9">
                  <c:v>141770</c:v>
                </c:pt>
                <c:pt idx="10">
                  <c:v>108800</c:v>
                </c:pt>
                <c:pt idx="11">
                  <c:v>110780</c:v>
                </c:pt>
                <c:pt idx="12">
                  <c:v>113155</c:v>
                </c:pt>
                <c:pt idx="13">
                  <c:v>85815</c:v>
                </c:pt>
                <c:pt idx="14">
                  <c:v>87925</c:v>
                </c:pt>
                <c:pt idx="15">
                  <c:v>92545</c:v>
                </c:pt>
                <c:pt idx="16">
                  <c:v>60065</c:v>
                </c:pt>
                <c:pt idx="17">
                  <c:v>61645</c:v>
                </c:pt>
                <c:pt idx="18">
                  <c:v>61975</c:v>
                </c:pt>
                <c:pt idx="19">
                  <c:v>56625</c:v>
                </c:pt>
              </c:numCache>
            </c:numRef>
          </c:val>
          <c:smooth val="0"/>
          <c:extLst>
            <c:ext xmlns:c16="http://schemas.microsoft.com/office/drawing/2014/chart" uri="{C3380CC4-5D6E-409C-BE32-E72D297353CC}">
              <c16:uniqueId val="{00000001-6DD0-4D06-9842-D4CBB2C04065}"/>
            </c:ext>
          </c:extLst>
        </c:ser>
        <c:dLbls>
          <c:showLegendKey val="0"/>
          <c:showVal val="0"/>
          <c:showCatName val="0"/>
          <c:showSerName val="0"/>
          <c:showPercent val="0"/>
          <c:showBubbleSize val="0"/>
        </c:dLbls>
        <c:marker val="1"/>
        <c:smooth val="0"/>
        <c:axId val="353748368"/>
        <c:axId val="353746016"/>
        <c:extLst>
          <c:ext xmlns:c15="http://schemas.microsoft.com/office/drawing/2012/chart" uri="{02D57815-91ED-43cb-92C2-25804820EDAC}">
            <c15:filteredLineSeries>
              <c15:ser>
                <c:idx val="5"/>
                <c:order val="5"/>
                <c:tx>
                  <c:strRef>
                    <c:extLst>
                      <c:ext uri="{02D57815-91ED-43cb-92C2-25804820EDAC}">
                        <c15:formulaRef>
                          <c15:sqref>Monthly_Summary_Table!$H$3</c15:sqref>
                        </c15:formulaRef>
                      </c:ext>
                    </c:extLst>
                    <c:strCache>
                      <c:ptCount val="1"/>
                      <c:pt idx="0">
                        <c:v>Budget</c:v>
                      </c:pt>
                    </c:strCache>
                  </c:strRef>
                </c:tx>
                <c:spPr>
                  <a:ln w="19050" cap="rnd">
                    <a:solidFill>
                      <a:schemeClr val="accent5">
                        <a:lumMod val="75000"/>
                      </a:schemeClr>
                    </a:solidFill>
                    <a:prstDash val="dash"/>
                    <a:round/>
                  </a:ln>
                  <a:effectLst/>
                </c:spPr>
                <c:marker>
                  <c:symbol val="none"/>
                </c:marker>
                <c:cat>
                  <c:strRef>
                    <c:extLst>
                      <c:ex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c:ext uri="{02D57815-91ED-43cb-92C2-25804820EDAC}">
                        <c15:formulaRef>
                          <c15:sqref>Monthly_Summary_Table!$H$4:$H$123</c15:sqref>
                        </c15:formulaRef>
                      </c:ext>
                    </c:extLst>
                    <c:numCache>
                      <c:formatCode>#,##0</c:formatCode>
                      <c:ptCount val="120"/>
                      <c:pt idx="0">
                        <c:v>9450</c:v>
                      </c:pt>
                      <c:pt idx="1">
                        <c:v>9450</c:v>
                      </c:pt>
                      <c:pt idx="2">
                        <c:v>9450</c:v>
                      </c:pt>
                      <c:pt idx="3">
                        <c:v>9450</c:v>
                      </c:pt>
                      <c:pt idx="4">
                        <c:v>9450</c:v>
                      </c:pt>
                      <c:pt idx="5">
                        <c:v>9450</c:v>
                      </c:pt>
                      <c:pt idx="6">
                        <c:v>9450</c:v>
                      </c:pt>
                      <c:pt idx="7">
                        <c:v>9450</c:v>
                      </c:pt>
                      <c:pt idx="8">
                        <c:v>9450</c:v>
                      </c:pt>
                      <c:pt idx="9">
                        <c:v>9450</c:v>
                      </c:pt>
                      <c:pt idx="10">
                        <c:v>9450</c:v>
                      </c:pt>
                      <c:pt idx="11">
                        <c:v>9450</c:v>
                      </c:pt>
                      <c:pt idx="12">
                        <c:v>9450</c:v>
                      </c:pt>
                      <c:pt idx="13">
                        <c:v>9450</c:v>
                      </c:pt>
                      <c:pt idx="14">
                        <c:v>9450</c:v>
                      </c:pt>
                      <c:pt idx="15">
                        <c:v>9450</c:v>
                      </c:pt>
                      <c:pt idx="16">
                        <c:v>9450</c:v>
                      </c:pt>
                      <c:pt idx="17">
                        <c:v>9450</c:v>
                      </c:pt>
                      <c:pt idx="18">
                        <c:v>9450</c:v>
                      </c:pt>
                      <c:pt idx="19">
                        <c:v>9450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6-6DD0-4D06-9842-D4CBB2C0406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Monthly_Summary_Table!$I$3</c15:sqref>
                        </c15:formulaRef>
                      </c:ext>
                    </c:extLst>
                    <c:strCache>
                      <c:ptCount val="1"/>
                      <c:pt idx="0">
                        <c:v>Cumulative Savings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Monthly_Summary_Table!$B$4:$B$123</c15:sqref>
                        </c15:formulaRef>
                      </c:ext>
                    </c:extLst>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extLst xmlns:c15="http://schemas.microsoft.com/office/drawing/2012/chart">
                      <c:ext xmlns:c15="http://schemas.microsoft.com/office/drawing/2012/chart" uri="{02D57815-91ED-43cb-92C2-25804820EDAC}">
                        <c15:formulaRef>
                          <c15:sqref>Monthly_Summary_Table!$I$4:$I$123</c15:sqref>
                        </c15:formulaRef>
                      </c:ext>
                    </c:extLst>
                    <c:numCache>
                      <c:formatCode>#,##0</c:formatCode>
                      <c:ptCount val="120"/>
                      <c:pt idx="0">
                        <c:v>208925</c:v>
                      </c:pt>
                      <c:pt idx="1">
                        <c:v>173295</c:v>
                      </c:pt>
                      <c:pt idx="2">
                        <c:v>176125</c:v>
                      </c:pt>
                      <c:pt idx="3">
                        <c:v>177060</c:v>
                      </c:pt>
                      <c:pt idx="4">
                        <c:v>143290</c:v>
                      </c:pt>
                      <c:pt idx="5">
                        <c:v>146120</c:v>
                      </c:pt>
                      <c:pt idx="6">
                        <c:v>147450</c:v>
                      </c:pt>
                      <c:pt idx="7">
                        <c:v>112730</c:v>
                      </c:pt>
                      <c:pt idx="8">
                        <c:v>114470</c:v>
                      </c:pt>
                      <c:pt idx="9">
                        <c:v>115570</c:v>
                      </c:pt>
                      <c:pt idx="10">
                        <c:v>82600</c:v>
                      </c:pt>
                      <c:pt idx="11">
                        <c:v>84580</c:v>
                      </c:pt>
                      <c:pt idx="12">
                        <c:v>86955</c:v>
                      </c:pt>
                      <c:pt idx="13">
                        <c:v>59615</c:v>
                      </c:pt>
                      <c:pt idx="14">
                        <c:v>61725</c:v>
                      </c:pt>
                      <c:pt idx="15">
                        <c:v>66345</c:v>
                      </c:pt>
                      <c:pt idx="16">
                        <c:v>33865</c:v>
                      </c:pt>
                      <c:pt idx="17">
                        <c:v>35445</c:v>
                      </c:pt>
                      <c:pt idx="18">
                        <c:v>35775</c:v>
                      </c:pt>
                      <c:pt idx="19">
                        <c:v>30425</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xmlns:c15="http://schemas.microsoft.com/office/drawing/2012/chart">
                  <c:ext xmlns:c16="http://schemas.microsoft.com/office/drawing/2014/chart" uri="{C3380CC4-5D6E-409C-BE32-E72D297353CC}">
                    <c16:uniqueId val="{00000007-6DD0-4D06-9842-D4CBB2C04065}"/>
                  </c:ext>
                </c:extLst>
              </c15:ser>
            </c15:filteredLineSeries>
          </c:ext>
        </c:extLst>
      </c:lineChart>
      <c:dateAx>
        <c:axId val="353748368"/>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746016"/>
        <c:crosses val="autoZero"/>
        <c:auto val="0"/>
        <c:lblOffset val="100"/>
        <c:baseTimeUnit val="months"/>
      </c:dateAx>
      <c:valAx>
        <c:axId val="35374601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748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8.2121854338024533E-2"/>
          <c:y val="5.2663551535716918E-2"/>
          <c:w val="0.90530089958369941"/>
          <c:h val="0.83645108992983319"/>
        </c:manualLayout>
      </c:layout>
      <c:lineChart>
        <c:grouping val="standard"/>
        <c:varyColors val="0"/>
        <c:ser>
          <c:idx val="8"/>
          <c:order val="0"/>
          <c:tx>
            <c:strRef>
              <c:f>Monthly_Summary_Table!$O$3</c:f>
              <c:strCache>
                <c:ptCount val="1"/>
                <c:pt idx="0">
                  <c:v>ACCT CUM BALANCE</c:v>
                </c:pt>
              </c:strCache>
            </c:strRef>
          </c:tx>
          <c:spPr>
            <a:ln w="28575" cap="rnd">
              <a:solidFill>
                <a:schemeClr val="accent2"/>
              </a:solidFill>
              <a:round/>
            </a:ln>
            <a:effectLst/>
          </c:spPr>
          <c:marker>
            <c:symbol val="circle"/>
            <c:size val="7"/>
            <c:spPr>
              <a:solidFill>
                <a:srgbClr val="00B050"/>
              </a:solidFill>
              <a:ln w="9525">
                <a:solidFill>
                  <a:srgbClr val="00B050"/>
                </a:solidFill>
              </a:ln>
              <a:effectLst/>
            </c:spPr>
          </c:marker>
          <c:cat>
            <c:strRef>
              <c:f>Monthly_Summary_Table!$B$4:$B$123</c:f>
              <c:strCache>
                <c:ptCount val="20"/>
                <c:pt idx="0">
                  <c:v>Mar-21</c:v>
                </c:pt>
                <c:pt idx="1">
                  <c:v>Feb-21</c:v>
                </c:pt>
                <c:pt idx="2">
                  <c:v>Jan-21</c:v>
                </c:pt>
                <c:pt idx="3">
                  <c:v>Dec-20</c:v>
                </c:pt>
                <c:pt idx="4">
                  <c:v>Nov-20</c:v>
                </c:pt>
                <c:pt idx="5">
                  <c:v>Oct-20</c:v>
                </c:pt>
                <c:pt idx="6">
                  <c:v>Sep-20</c:v>
                </c:pt>
                <c:pt idx="7">
                  <c:v>Aug-20</c:v>
                </c:pt>
                <c:pt idx="8">
                  <c:v>Jul-20</c:v>
                </c:pt>
                <c:pt idx="9">
                  <c:v>Jun-20</c:v>
                </c:pt>
                <c:pt idx="10">
                  <c:v>May-20</c:v>
                </c:pt>
                <c:pt idx="11">
                  <c:v>Apr-20</c:v>
                </c:pt>
                <c:pt idx="12">
                  <c:v>Mar-20</c:v>
                </c:pt>
                <c:pt idx="13">
                  <c:v>Feb-20</c:v>
                </c:pt>
                <c:pt idx="14">
                  <c:v>Jan-20</c:v>
                </c:pt>
                <c:pt idx="15">
                  <c:v>Dec-19</c:v>
                </c:pt>
                <c:pt idx="16">
                  <c:v>Nov-19</c:v>
                </c:pt>
                <c:pt idx="17">
                  <c:v>Oct-19</c:v>
                </c:pt>
                <c:pt idx="18">
                  <c:v>Sep-19</c:v>
                </c:pt>
                <c:pt idx="19">
                  <c:v>Aug-19</c:v>
                </c:pt>
              </c:strCache>
            </c:strRef>
          </c:cat>
          <c:val>
            <c:numRef>
              <c:f>[0]!Acct_MonthEndBalance</c:f>
              <c:numCache>
                <c:formatCode>#,##0</c:formatCode>
                <c:ptCount val="20"/>
                <c:pt idx="0">
                  <c:v>146335</c:v>
                </c:pt>
                <c:pt idx="1">
                  <c:v>117705</c:v>
                </c:pt>
                <c:pt idx="2">
                  <c:v>117705</c:v>
                </c:pt>
                <c:pt idx="3">
                  <c:v>120870</c:v>
                </c:pt>
                <c:pt idx="4">
                  <c:v>94100</c:v>
                </c:pt>
                <c:pt idx="5">
                  <c:v>94100</c:v>
                </c:pt>
                <c:pt idx="6">
                  <c:v>101930</c:v>
                </c:pt>
                <c:pt idx="7">
                  <c:v>73290</c:v>
                </c:pt>
                <c:pt idx="8">
                  <c:v>73380</c:v>
                </c:pt>
                <c:pt idx="9">
                  <c:v>78110</c:v>
                </c:pt>
                <c:pt idx="10">
                  <c:v>51230</c:v>
                </c:pt>
                <c:pt idx="11">
                  <c:v>53210</c:v>
                </c:pt>
                <c:pt idx="12">
                  <c:v>53960</c:v>
                </c:pt>
                <c:pt idx="13">
                  <c:v>33140</c:v>
                </c:pt>
                <c:pt idx="14">
                  <c:v>33140</c:v>
                </c:pt>
                <c:pt idx="15">
                  <c:v>37120</c:v>
                </c:pt>
                <c:pt idx="16">
                  <c:v>11020</c:v>
                </c:pt>
                <c:pt idx="17">
                  <c:v>11020</c:v>
                </c:pt>
                <c:pt idx="18">
                  <c:v>16000</c:v>
                </c:pt>
                <c:pt idx="19">
                  <c:v>16750</c:v>
                </c:pt>
              </c:numCache>
            </c:numRef>
          </c:val>
          <c:smooth val="0"/>
          <c:extLst>
            <c:ext xmlns:c16="http://schemas.microsoft.com/office/drawing/2014/chart" uri="{C3380CC4-5D6E-409C-BE32-E72D297353CC}">
              <c16:uniqueId val="{00000000-23AB-4D3D-99BF-2F4E22E6A256}"/>
            </c:ext>
          </c:extLst>
        </c:ser>
        <c:dLbls>
          <c:showLegendKey val="0"/>
          <c:showVal val="0"/>
          <c:showCatName val="0"/>
          <c:showSerName val="0"/>
          <c:showPercent val="0"/>
          <c:showBubbleSize val="0"/>
        </c:dLbls>
        <c:marker val="1"/>
        <c:smooth val="0"/>
        <c:axId val="353745232"/>
        <c:axId val="353748760"/>
        <c:extLst/>
      </c:lineChart>
      <c:dateAx>
        <c:axId val="3537452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748760"/>
        <c:crosses val="autoZero"/>
        <c:auto val="0"/>
        <c:lblOffset val="100"/>
        <c:baseTimeUnit val="months"/>
      </c:dateAx>
      <c:valAx>
        <c:axId val="35374876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745232"/>
        <c:crosses val="autoZero"/>
        <c:crossBetween val="between"/>
      </c:valAx>
      <c:spPr>
        <a:noFill/>
        <a:ln>
          <a:noFill/>
        </a:ln>
        <a:effectLst/>
      </c:spPr>
    </c:plotArea>
    <c:plotVisOnly val="1"/>
    <c:dispBlanksAs val="gap"/>
    <c:showDLblsOverMax val="0"/>
  </c:chart>
  <c:spPr>
    <a:noFill/>
    <a:ln w="12700"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1043940</xdr:colOff>
      <xdr:row>1</xdr:row>
      <xdr:rowOff>182880</xdr:rowOff>
    </xdr:from>
    <xdr:to>
      <xdr:col>7</xdr:col>
      <xdr:colOff>922020</xdr:colOff>
      <xdr:row>2</xdr:row>
      <xdr:rowOff>320040</xdr:rowOff>
    </xdr:to>
    <xdr:sp macro="" textlink="">
      <xdr:nvSpPr>
        <xdr:cNvPr id="2" name="Rectangle: Rounded Corners 1">
          <a:extLst>
            <a:ext uri="{FF2B5EF4-FFF2-40B4-BE49-F238E27FC236}">
              <a16:creationId xmlns:a16="http://schemas.microsoft.com/office/drawing/2014/main" id="{0AAA922A-6585-36D2-0663-4A961399EC5A}"/>
            </a:ext>
          </a:extLst>
        </xdr:cNvPr>
        <xdr:cNvSpPr/>
      </xdr:nvSpPr>
      <xdr:spPr>
        <a:xfrm>
          <a:off x="1242060" y="723900"/>
          <a:ext cx="5334000" cy="373380"/>
        </a:xfrm>
        <a:prstGeom prst="roundRect">
          <a:avLst/>
        </a:prstGeom>
        <a:solidFill>
          <a:srgbClr val="00B050"/>
        </a:solidFill>
        <a:ln>
          <a:solidFill>
            <a:srgbClr val="0070C0"/>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latin typeface="+mn-lt"/>
            </a:rPr>
            <a:t>LIST OF ACCOUNTS</a:t>
          </a:r>
        </a:p>
      </xdr:txBody>
    </xdr:sp>
    <xdr:clientData/>
  </xdr:twoCellAnchor>
  <xdr:twoCellAnchor>
    <xdr:from>
      <xdr:col>10</xdr:col>
      <xdr:colOff>38100</xdr:colOff>
      <xdr:row>2</xdr:row>
      <xdr:rowOff>0</xdr:rowOff>
    </xdr:from>
    <xdr:to>
      <xdr:col>15</xdr:col>
      <xdr:colOff>1143000</xdr:colOff>
      <xdr:row>3</xdr:row>
      <xdr:rowOff>15240</xdr:rowOff>
    </xdr:to>
    <xdr:sp macro="" textlink="">
      <xdr:nvSpPr>
        <xdr:cNvPr id="4" name="Rectangle: Rounded Corners 3">
          <a:extLst>
            <a:ext uri="{FF2B5EF4-FFF2-40B4-BE49-F238E27FC236}">
              <a16:creationId xmlns:a16="http://schemas.microsoft.com/office/drawing/2014/main" id="{186A4A48-9AE6-4F95-960C-9ECDC1EEB9F2}"/>
            </a:ext>
          </a:extLst>
        </xdr:cNvPr>
        <xdr:cNvSpPr/>
      </xdr:nvSpPr>
      <xdr:spPr>
        <a:xfrm>
          <a:off x="8420100" y="777240"/>
          <a:ext cx="5448300" cy="403860"/>
        </a:xfrm>
        <a:prstGeom prst="roundRect">
          <a:avLst/>
        </a:prstGeom>
        <a:solidFill>
          <a:srgbClr val="00B050"/>
        </a:solidFill>
        <a:ln>
          <a:solidFill>
            <a:srgbClr val="0070C0"/>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latin typeface="+mn-lt"/>
            </a:rPr>
            <a:t>CATEGORIES &amp; BUDGET</a:t>
          </a:r>
        </a:p>
      </xdr:txBody>
    </xdr:sp>
    <xdr:clientData/>
  </xdr:twoCellAnchor>
  <xdr:twoCellAnchor>
    <xdr:from>
      <xdr:col>0</xdr:col>
      <xdr:colOff>0</xdr:colOff>
      <xdr:row>0</xdr:row>
      <xdr:rowOff>38100</xdr:rowOff>
    </xdr:from>
    <xdr:to>
      <xdr:col>18</xdr:col>
      <xdr:colOff>0</xdr:colOff>
      <xdr:row>0</xdr:row>
      <xdr:rowOff>510540</xdr:rowOff>
    </xdr:to>
    <xdr:sp macro="" textlink="">
      <xdr:nvSpPr>
        <xdr:cNvPr id="5" name="Rectangle: Rounded Corners 4">
          <a:extLst>
            <a:ext uri="{FF2B5EF4-FFF2-40B4-BE49-F238E27FC236}">
              <a16:creationId xmlns:a16="http://schemas.microsoft.com/office/drawing/2014/main" id="{D614E950-0516-4841-A5F1-CCE4A303D8B2}"/>
            </a:ext>
          </a:extLst>
        </xdr:cNvPr>
        <xdr:cNvSpPr/>
      </xdr:nvSpPr>
      <xdr:spPr>
        <a:xfrm>
          <a:off x="0" y="38100"/>
          <a:ext cx="15659100" cy="472440"/>
        </a:xfrm>
        <a:prstGeom prst="roundRect">
          <a:avLst/>
        </a:prstGeom>
        <a:solidFill>
          <a:schemeClr val="accent5">
            <a:lumMod val="50000"/>
          </a:schemeClr>
        </a:solidFill>
        <a:ln>
          <a:solidFill>
            <a:srgbClr val="0070C0"/>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FC000"/>
              </a:solidFill>
              <a:latin typeface="+mn-lt"/>
            </a:rPr>
            <a:t>INCOME</a:t>
          </a:r>
          <a:r>
            <a:rPr lang="en-IN" sz="2000" b="1" baseline="0">
              <a:solidFill>
                <a:srgbClr val="FFC000"/>
              </a:solidFill>
              <a:latin typeface="+mn-lt"/>
            </a:rPr>
            <a:t> - EXPENSE - BUDGET TRACKER APPLICATON</a:t>
          </a:r>
          <a:endParaRPr lang="en-IN" sz="2000" b="1">
            <a:solidFill>
              <a:srgbClr val="FFC000"/>
            </a:solidFill>
            <a:latin typeface="+mn-lt"/>
          </a:endParaRPr>
        </a:p>
      </xdr:txBody>
    </xdr:sp>
    <xdr:clientData/>
  </xdr:twoCellAnchor>
  <xdr:twoCellAnchor editAs="oneCell">
    <xdr:from>
      <xdr:col>1</xdr:col>
      <xdr:colOff>510540</xdr:colOff>
      <xdr:row>3</xdr:row>
      <xdr:rowOff>182880</xdr:rowOff>
    </xdr:from>
    <xdr:to>
      <xdr:col>2</xdr:col>
      <xdr:colOff>335280</xdr:colOff>
      <xdr:row>4</xdr:row>
      <xdr:rowOff>91440</xdr:rowOff>
    </xdr:to>
    <xdr:pic>
      <xdr:nvPicPr>
        <xdr:cNvPr id="7" name="Picture 6">
          <a:extLst>
            <a:ext uri="{FF2B5EF4-FFF2-40B4-BE49-F238E27FC236}">
              <a16:creationId xmlns:a16="http://schemas.microsoft.com/office/drawing/2014/main" id="{025411F8-9E82-0947-E8C7-88D76FC1A9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660" y="1127760"/>
          <a:ext cx="1249680" cy="1249680"/>
        </a:xfrm>
        <a:prstGeom prst="rect">
          <a:avLst/>
        </a:prstGeom>
      </xdr:spPr>
    </xdr:pic>
    <xdr:clientData/>
  </xdr:twoCellAnchor>
  <xdr:twoCellAnchor editAs="oneCell">
    <xdr:from>
      <xdr:col>4</xdr:col>
      <xdr:colOff>388620</xdr:colOff>
      <xdr:row>3</xdr:row>
      <xdr:rowOff>236220</xdr:rowOff>
    </xdr:from>
    <xdr:to>
      <xdr:col>5</xdr:col>
      <xdr:colOff>312420</xdr:colOff>
      <xdr:row>5</xdr:row>
      <xdr:rowOff>53340</xdr:rowOff>
    </xdr:to>
    <xdr:pic>
      <xdr:nvPicPr>
        <xdr:cNvPr id="9" name="Picture 8">
          <a:extLst>
            <a:ext uri="{FF2B5EF4-FFF2-40B4-BE49-F238E27FC236}">
              <a16:creationId xmlns:a16="http://schemas.microsoft.com/office/drawing/2014/main" id="{739C1083-9F54-73C4-2155-E31FE059A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0880" y="1181100"/>
          <a:ext cx="1348740" cy="1348740"/>
        </a:xfrm>
        <a:prstGeom prst="rect">
          <a:avLst/>
        </a:prstGeom>
      </xdr:spPr>
    </xdr:pic>
    <xdr:clientData/>
  </xdr:twoCellAnchor>
  <xdr:twoCellAnchor editAs="oneCell">
    <xdr:from>
      <xdr:col>7</xdr:col>
      <xdr:colOff>449580</xdr:colOff>
      <xdr:row>3</xdr:row>
      <xdr:rowOff>152412</xdr:rowOff>
    </xdr:from>
    <xdr:to>
      <xdr:col>8</xdr:col>
      <xdr:colOff>327660</xdr:colOff>
      <xdr:row>4</xdr:row>
      <xdr:rowOff>114312</xdr:rowOff>
    </xdr:to>
    <xdr:pic>
      <xdr:nvPicPr>
        <xdr:cNvPr id="11" name="Picture 10">
          <a:extLst>
            <a:ext uri="{FF2B5EF4-FFF2-40B4-BE49-F238E27FC236}">
              <a16:creationId xmlns:a16="http://schemas.microsoft.com/office/drawing/2014/main" id="{E5FDAB66-8949-E83D-DDC3-4B334BC1BB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8840" y="1097292"/>
          <a:ext cx="1303020" cy="1303020"/>
        </a:xfrm>
        <a:prstGeom prst="rect">
          <a:avLst/>
        </a:prstGeom>
      </xdr:spPr>
    </xdr:pic>
    <xdr:clientData/>
  </xdr:twoCellAnchor>
  <xdr:twoCellAnchor editAs="oneCell">
    <xdr:from>
      <xdr:col>10</xdr:col>
      <xdr:colOff>99060</xdr:colOff>
      <xdr:row>3</xdr:row>
      <xdr:rowOff>563881</xdr:rowOff>
    </xdr:from>
    <xdr:to>
      <xdr:col>10</xdr:col>
      <xdr:colOff>1175558</xdr:colOff>
      <xdr:row>4</xdr:row>
      <xdr:rowOff>45721</xdr:rowOff>
    </xdr:to>
    <xdr:pic>
      <xdr:nvPicPr>
        <xdr:cNvPr id="6" name="Picture 5">
          <a:extLst>
            <a:ext uri="{FF2B5EF4-FFF2-40B4-BE49-F238E27FC236}">
              <a16:creationId xmlns:a16="http://schemas.microsoft.com/office/drawing/2014/main" id="{0B46EFAF-9087-3CD1-2E61-4DE9DD97ABD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82940" y="1729741"/>
          <a:ext cx="1076498" cy="822960"/>
        </a:xfrm>
        <a:prstGeom prst="rect">
          <a:avLst/>
        </a:prstGeom>
      </xdr:spPr>
    </xdr:pic>
    <xdr:clientData/>
  </xdr:twoCellAnchor>
  <xdr:twoCellAnchor editAs="oneCell">
    <xdr:from>
      <xdr:col>12</xdr:col>
      <xdr:colOff>487680</xdr:colOff>
      <xdr:row>3</xdr:row>
      <xdr:rowOff>464210</xdr:rowOff>
    </xdr:from>
    <xdr:to>
      <xdr:col>13</xdr:col>
      <xdr:colOff>358140</xdr:colOff>
      <xdr:row>4</xdr:row>
      <xdr:rowOff>75590</xdr:rowOff>
    </xdr:to>
    <xdr:pic>
      <xdr:nvPicPr>
        <xdr:cNvPr id="10" name="Picture 9">
          <a:extLst>
            <a:ext uri="{FF2B5EF4-FFF2-40B4-BE49-F238E27FC236}">
              <a16:creationId xmlns:a16="http://schemas.microsoft.com/office/drawing/2014/main" id="{36569268-7675-DDF9-F7C6-6403AA1E663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28960" y="1630070"/>
          <a:ext cx="952500" cy="952500"/>
        </a:xfrm>
        <a:prstGeom prst="rect">
          <a:avLst/>
        </a:prstGeom>
      </xdr:spPr>
    </xdr:pic>
    <xdr:clientData/>
  </xdr:twoCellAnchor>
  <xdr:twoCellAnchor>
    <xdr:from>
      <xdr:col>14</xdr:col>
      <xdr:colOff>91440</xdr:colOff>
      <xdr:row>7</xdr:row>
      <xdr:rowOff>99060</xdr:rowOff>
    </xdr:from>
    <xdr:to>
      <xdr:col>14</xdr:col>
      <xdr:colOff>495300</xdr:colOff>
      <xdr:row>15</xdr:row>
      <xdr:rowOff>91440</xdr:rowOff>
    </xdr:to>
    <xdr:sp macro="" textlink="">
      <xdr:nvSpPr>
        <xdr:cNvPr id="14" name="Right Brace 13">
          <a:extLst>
            <a:ext uri="{FF2B5EF4-FFF2-40B4-BE49-F238E27FC236}">
              <a16:creationId xmlns:a16="http://schemas.microsoft.com/office/drawing/2014/main" id="{E960E1F4-9ADA-4A1F-47DB-05B29360FE4C}"/>
            </a:ext>
          </a:extLst>
        </xdr:cNvPr>
        <xdr:cNvSpPr/>
      </xdr:nvSpPr>
      <xdr:spPr>
        <a:xfrm>
          <a:off x="12283440" y="3421380"/>
          <a:ext cx="403860" cy="1455420"/>
        </a:xfrm>
        <a:prstGeom prst="rightBrace">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1043940</xdr:colOff>
      <xdr:row>3</xdr:row>
      <xdr:rowOff>30480</xdr:rowOff>
    </xdr:from>
    <xdr:to>
      <xdr:col>7</xdr:col>
      <xdr:colOff>845820</xdr:colOff>
      <xdr:row>3</xdr:row>
      <xdr:rowOff>365760</xdr:rowOff>
    </xdr:to>
    <xdr:sp macro="" textlink="">
      <xdr:nvSpPr>
        <xdr:cNvPr id="15" name="Right Brace 14">
          <a:extLst>
            <a:ext uri="{FF2B5EF4-FFF2-40B4-BE49-F238E27FC236}">
              <a16:creationId xmlns:a16="http://schemas.microsoft.com/office/drawing/2014/main" id="{4E62F471-C77A-077F-08BC-10120E137873}"/>
            </a:ext>
          </a:extLst>
        </xdr:cNvPr>
        <xdr:cNvSpPr/>
      </xdr:nvSpPr>
      <xdr:spPr>
        <a:xfrm rot="5400000">
          <a:off x="3703320" y="-1264920"/>
          <a:ext cx="335280" cy="5257800"/>
        </a:xfrm>
        <a:prstGeom prst="righ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n-IN" sz="1100"/>
        </a:p>
      </xdr:txBody>
    </xdr:sp>
    <xdr:clientData/>
  </xdr:twoCellAnchor>
  <xdr:twoCellAnchor>
    <xdr:from>
      <xdr:col>10</xdr:col>
      <xdr:colOff>129540</xdr:colOff>
      <xdr:row>3</xdr:row>
      <xdr:rowOff>106680</xdr:rowOff>
    </xdr:from>
    <xdr:to>
      <xdr:col>15</xdr:col>
      <xdr:colOff>1127760</xdr:colOff>
      <xdr:row>3</xdr:row>
      <xdr:rowOff>441960</xdr:rowOff>
    </xdr:to>
    <xdr:sp macro="" textlink="">
      <xdr:nvSpPr>
        <xdr:cNvPr id="16" name="Right Brace 15">
          <a:extLst>
            <a:ext uri="{FF2B5EF4-FFF2-40B4-BE49-F238E27FC236}">
              <a16:creationId xmlns:a16="http://schemas.microsoft.com/office/drawing/2014/main" id="{10AAE5CF-42E6-4DDB-A30D-8E7FC26268CF}"/>
            </a:ext>
          </a:extLst>
        </xdr:cNvPr>
        <xdr:cNvSpPr/>
      </xdr:nvSpPr>
      <xdr:spPr>
        <a:xfrm rot="5400000">
          <a:off x="11014710" y="-1230630"/>
          <a:ext cx="335280" cy="5341620"/>
        </a:xfrm>
        <a:prstGeom prst="righ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57148</xdr:colOff>
      <xdr:row>8</xdr:row>
      <xdr:rowOff>201085</xdr:rowOff>
    </xdr:from>
    <xdr:to>
      <xdr:col>21</xdr:col>
      <xdr:colOff>26383</xdr:colOff>
      <xdr:row>22</xdr:row>
      <xdr:rowOff>99358</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468036</xdr:colOff>
      <xdr:row>19</xdr:row>
      <xdr:rowOff>31080</xdr:rowOff>
    </xdr:from>
    <xdr:to>
      <xdr:col>71</xdr:col>
      <xdr:colOff>887308</xdr:colOff>
      <xdr:row>50</xdr:row>
      <xdr:rowOff>92777</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57</xdr:col>
      <xdr:colOff>502483</xdr:colOff>
      <xdr:row>9</xdr:row>
      <xdr:rowOff>153193</xdr:rowOff>
    </xdr:from>
    <xdr:to>
      <xdr:col>72</xdr:col>
      <xdr:colOff>64826</xdr:colOff>
      <xdr:row>15</xdr:row>
      <xdr:rowOff>4763</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1936233" y="2343943"/>
              <a:ext cx="12097243" cy="1185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20</xdr:col>
      <xdr:colOff>71872</xdr:colOff>
      <xdr:row>8</xdr:row>
      <xdr:rowOff>201085</xdr:rowOff>
    </xdr:from>
    <xdr:to>
      <xdr:col>25</xdr:col>
      <xdr:colOff>306919</xdr:colOff>
      <xdr:row>22</xdr:row>
      <xdr:rowOff>102086</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5291</xdr:colOff>
      <xdr:row>29</xdr:row>
      <xdr:rowOff>127753</xdr:rowOff>
    </xdr:from>
    <xdr:to>
      <xdr:col>26</xdr:col>
      <xdr:colOff>428625</xdr:colOff>
      <xdr:row>51</xdr:row>
      <xdr:rowOff>51769</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48084</xdr:colOff>
      <xdr:row>24</xdr:row>
      <xdr:rowOff>90618</xdr:rowOff>
    </xdr:from>
    <xdr:to>
      <xdr:col>26</xdr:col>
      <xdr:colOff>571500</xdr:colOff>
      <xdr:row>28</xdr:row>
      <xdr:rowOff>130967</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183309" y="5434143"/>
              <a:ext cx="7562391" cy="1059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36</xdr:col>
      <xdr:colOff>312964</xdr:colOff>
      <xdr:row>5</xdr:row>
      <xdr:rowOff>138794</xdr:rowOff>
    </xdr:from>
    <xdr:to>
      <xdr:col>53</xdr:col>
      <xdr:colOff>559598</xdr:colOff>
      <xdr:row>26</xdr:row>
      <xdr:rowOff>87232</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231889</xdr:colOff>
      <xdr:row>29</xdr:row>
      <xdr:rowOff>72005</xdr:rowOff>
    </xdr:from>
    <xdr:to>
      <xdr:col>53</xdr:col>
      <xdr:colOff>473982</xdr:colOff>
      <xdr:row>51</xdr:row>
      <xdr:rowOff>163286</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68</xdr:col>
      <xdr:colOff>726281</xdr:colOff>
      <xdr:row>6</xdr:row>
      <xdr:rowOff>42863</xdr:rowOff>
    </xdr:from>
    <xdr:to>
      <xdr:col>72</xdr:col>
      <xdr:colOff>35720</xdr:colOff>
      <xdr:row>9</xdr:row>
      <xdr:rowOff>71436</xdr:rowOff>
    </xdr:to>
    <mc:AlternateContent xmlns:mc="http://schemas.openxmlformats.org/markup-compatibility/2006" xmlns:a14="http://schemas.microsoft.com/office/drawing/2010/main">
      <mc:Choice Requires="a14">
        <xdr:graphicFrame macro="">
          <xdr:nvGraphicFramePr>
            <xdr:cNvPr id="12" name="Type">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1037331" y="1566863"/>
              <a:ext cx="2967039" cy="695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22</xdr:col>
      <xdr:colOff>276225</xdr:colOff>
      <xdr:row>1</xdr:row>
      <xdr:rowOff>133350</xdr:rowOff>
    </xdr:from>
    <xdr:to>
      <xdr:col>31</xdr:col>
      <xdr:colOff>19050</xdr:colOff>
      <xdr:row>4</xdr:row>
      <xdr:rowOff>57150</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831050" y="523875"/>
              <a:ext cx="62293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18</xdr:col>
      <xdr:colOff>190499</xdr:colOff>
      <xdr:row>1</xdr:row>
      <xdr:rowOff>152400</xdr:rowOff>
    </xdr:from>
    <xdr:to>
      <xdr:col>22</xdr:col>
      <xdr:colOff>19049</xdr:colOff>
      <xdr:row>4</xdr:row>
      <xdr:rowOff>38100</xdr:rowOff>
    </xdr:to>
    <mc:AlternateContent xmlns:mc="http://schemas.openxmlformats.org/markup-compatibility/2006" xmlns:a14="http://schemas.microsoft.com/office/drawing/2010/main">
      <mc:Choice Requires="a14">
        <xdr:graphicFrame macro="">
          <xdr:nvGraphicFramePr>
            <xdr:cNvPr id="20" name="YEAR 1">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592549" y="542925"/>
              <a:ext cx="298132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absolute">
    <xdr:from>
      <xdr:col>57</xdr:col>
      <xdr:colOff>500063</xdr:colOff>
      <xdr:row>4</xdr:row>
      <xdr:rowOff>119062</xdr:rowOff>
    </xdr:from>
    <xdr:to>
      <xdr:col>68</xdr:col>
      <xdr:colOff>523875</xdr:colOff>
      <xdr:row>9</xdr:row>
      <xdr:rowOff>83344</xdr:rowOff>
    </xdr:to>
    <mc:AlternateContent xmlns:mc="http://schemas.openxmlformats.org/markup-compatibility/2006" xmlns:a14="http://schemas.microsoft.com/office/drawing/2010/main">
      <mc:Choice Requires="a14">
        <xdr:graphicFrame macro="">
          <xdr:nvGraphicFramePr>
            <xdr:cNvPr id="23" name="Account 1">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41933813" y="1262062"/>
              <a:ext cx="8901112" cy="1012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57</xdr:col>
      <xdr:colOff>511968</xdr:colOff>
      <xdr:row>1</xdr:row>
      <xdr:rowOff>95251</xdr:rowOff>
    </xdr:from>
    <xdr:to>
      <xdr:col>63</xdr:col>
      <xdr:colOff>369093</xdr:colOff>
      <xdr:row>4</xdr:row>
      <xdr:rowOff>76677</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945718" y="485776"/>
              <a:ext cx="5000625" cy="733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63</xdr:col>
      <xdr:colOff>476250</xdr:colOff>
      <xdr:row>1</xdr:row>
      <xdr:rowOff>95251</xdr:rowOff>
    </xdr:from>
    <xdr:to>
      <xdr:col>72</xdr:col>
      <xdr:colOff>0</xdr:colOff>
      <xdr:row>4</xdr:row>
      <xdr:rowOff>76677</xdr:rowOff>
    </xdr:to>
    <mc:AlternateContent xmlns:mc="http://schemas.openxmlformats.org/markup-compatibility/2006" xmlns:a14="http://schemas.microsoft.com/office/drawing/2010/main">
      <mc:Choice Requires="a14">
        <xdr:graphicFrame macro="">
          <xdr:nvGraphicFramePr>
            <xdr:cNvPr id="25" name="MONTH 1">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7053500" y="485776"/>
              <a:ext cx="6915150" cy="733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6</xdr:col>
      <xdr:colOff>59530</xdr:colOff>
      <xdr:row>33</xdr:row>
      <xdr:rowOff>47625</xdr:rowOff>
    </xdr:from>
    <xdr:to>
      <xdr:col>12</xdr:col>
      <xdr:colOff>416718</xdr:colOff>
      <xdr:row>52</xdr:row>
      <xdr:rowOff>34162</xdr:rowOff>
    </xdr:to>
    <xdr:graphicFrame macro="">
      <xdr:nvGraphicFramePr>
        <xdr:cNvPr id="26" name="Chart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57</xdr:col>
      <xdr:colOff>214312</xdr:colOff>
      <xdr:row>18</xdr:row>
      <xdr:rowOff>130968</xdr:rowOff>
    </xdr:from>
    <xdr:to>
      <xdr:col>60</xdr:col>
      <xdr:colOff>273844</xdr:colOff>
      <xdr:row>47</xdr:row>
      <xdr:rowOff>23813</xdr:rowOff>
    </xdr:to>
    <mc:AlternateContent xmlns:mc="http://schemas.openxmlformats.org/markup-compatibility/2006" xmlns:a14="http://schemas.microsoft.com/office/drawing/2010/main">
      <mc:Choice Requires="a14">
        <xdr:graphicFrame macro="">
          <xdr:nvGraphicFramePr>
            <xdr:cNvPr id="27" name="Subcategory">
              <a:extLst>
                <a:ext uri="{FF2B5EF4-FFF2-40B4-BE49-F238E27FC236}">
                  <a16:creationId xmlns:a16="http://schemas.microsoft.com/office/drawing/2014/main" id="{00000000-0008-0000-0200-00001B00000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41648062" y="4274343"/>
              <a:ext cx="2259807" cy="5893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xdr:col>
      <xdr:colOff>225114</xdr:colOff>
      <xdr:row>43</xdr:row>
      <xdr:rowOff>31256</xdr:rowOff>
    </xdr:from>
    <xdr:to>
      <xdr:col>1</xdr:col>
      <xdr:colOff>534676</xdr:colOff>
      <xdr:row>44</xdr:row>
      <xdr:rowOff>136172</xdr:rowOff>
    </xdr:to>
    <xdr:sp macro="" textlink="">
      <xdr:nvSpPr>
        <xdr:cNvPr id="5" name="Plus 4">
          <a:extLst>
            <a:ext uri="{FF2B5EF4-FFF2-40B4-BE49-F238E27FC236}">
              <a16:creationId xmlns:a16="http://schemas.microsoft.com/office/drawing/2014/main" id="{00000000-0008-0000-0200-000005000000}"/>
            </a:ext>
          </a:extLst>
        </xdr:cNvPr>
        <xdr:cNvSpPr/>
      </xdr:nvSpPr>
      <xdr:spPr>
        <a:xfrm>
          <a:off x="440267" y="9309727"/>
          <a:ext cx="309562" cy="293174"/>
        </a:xfrm>
        <a:prstGeom prst="mathPlus">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213768</xdr:colOff>
      <xdr:row>45</xdr:row>
      <xdr:rowOff>94570</xdr:rowOff>
    </xdr:from>
    <xdr:to>
      <xdr:col>1</xdr:col>
      <xdr:colOff>523330</xdr:colOff>
      <xdr:row>47</xdr:row>
      <xdr:rowOff>11227</xdr:rowOff>
    </xdr:to>
    <xdr:sp macro="" textlink="">
      <xdr:nvSpPr>
        <xdr:cNvPr id="28" name="Plus 27">
          <a:extLst>
            <a:ext uri="{FF2B5EF4-FFF2-40B4-BE49-F238E27FC236}">
              <a16:creationId xmlns:a16="http://schemas.microsoft.com/office/drawing/2014/main" id="{00000000-0008-0000-0200-00001C000000}"/>
            </a:ext>
          </a:extLst>
        </xdr:cNvPr>
        <xdr:cNvSpPr/>
      </xdr:nvSpPr>
      <xdr:spPr>
        <a:xfrm>
          <a:off x="213768" y="9749558"/>
          <a:ext cx="309562" cy="293175"/>
        </a:xfrm>
        <a:prstGeom prst="mathPlus">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212815</xdr:colOff>
      <xdr:row>41</xdr:row>
      <xdr:rowOff>108857</xdr:rowOff>
    </xdr:from>
    <xdr:to>
      <xdr:col>1</xdr:col>
      <xdr:colOff>510471</xdr:colOff>
      <xdr:row>42</xdr:row>
      <xdr:rowOff>108857</xdr:rowOff>
    </xdr:to>
    <xdr:sp macro="" textlink="">
      <xdr:nvSpPr>
        <xdr:cNvPr id="29" name="Minus 28">
          <a:extLst>
            <a:ext uri="{FF2B5EF4-FFF2-40B4-BE49-F238E27FC236}">
              <a16:creationId xmlns:a16="http://schemas.microsoft.com/office/drawing/2014/main" id="{00000000-0008-0000-0200-00001D000000}"/>
            </a:ext>
          </a:extLst>
        </xdr:cNvPr>
        <xdr:cNvSpPr/>
      </xdr:nvSpPr>
      <xdr:spPr>
        <a:xfrm>
          <a:off x="212815" y="9010810"/>
          <a:ext cx="297656" cy="188259"/>
        </a:xfrm>
        <a:prstGeom prst="mathMinus">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213767</xdr:colOff>
      <xdr:row>47</xdr:row>
      <xdr:rowOff>156482</xdr:rowOff>
    </xdr:from>
    <xdr:to>
      <xdr:col>1</xdr:col>
      <xdr:colOff>463799</xdr:colOff>
      <xdr:row>48</xdr:row>
      <xdr:rowOff>144576</xdr:rowOff>
    </xdr:to>
    <xdr:sp macro="" textlink="">
      <xdr:nvSpPr>
        <xdr:cNvPr id="30" name="Equal 29">
          <a:extLst>
            <a:ext uri="{FF2B5EF4-FFF2-40B4-BE49-F238E27FC236}">
              <a16:creationId xmlns:a16="http://schemas.microsoft.com/office/drawing/2014/main" id="{00000000-0008-0000-0200-00001E000000}"/>
            </a:ext>
          </a:extLst>
        </xdr:cNvPr>
        <xdr:cNvSpPr/>
      </xdr:nvSpPr>
      <xdr:spPr>
        <a:xfrm>
          <a:off x="213767" y="10187988"/>
          <a:ext cx="250032" cy="176353"/>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lfan" refreshedDate="44783.508073032404" createdVersion="5" refreshedVersion="8" minRefreshableVersion="3" recordCount="101" xr:uid="{00000000-000A-0000-FFFF-FFFF0A000000}">
  <cacheSource type="worksheet">
    <worksheetSource name="Tbl_Transactions"/>
  </cacheSource>
  <cacheFields count="10">
    <cacheField name="Date" numFmtId="169">
      <sharedItems containsSemiMixedTypes="0" containsNonDate="0" containsDate="1" containsString="0" minDate="2019-08-02T00:00:00" maxDate="2021-03-25T00:00:00"/>
    </cacheField>
    <cacheField name="Description" numFmtId="0">
      <sharedItems/>
    </cacheField>
    <cacheField name="Amount" numFmtId="4">
      <sharedItems containsSemiMixedTypes="0" containsString="0" containsNumber="1" containsInteger="1" minValue="-7500" maxValue="32500"/>
    </cacheField>
    <cacheField name="Type" numFmtId="0">
      <sharedItems containsBlank="1" count="6">
        <s v="Expense"/>
        <s v="Income"/>
        <s v="Transfer"/>
        <m u="1"/>
        <s v="Debit" u="1"/>
        <s v="Credit" u="1"/>
      </sharedItems>
    </cacheField>
    <cacheField name="Category" numFmtId="0">
      <sharedItems containsBlank="1" count="20">
        <s v="Utilities"/>
        <s v="Groceries"/>
        <s v="Salary"/>
        <s v="Property Rent"/>
        <s v="Medical"/>
        <s v="Car"/>
        <s v="Dining"/>
        <s v="Credit Card Payment"/>
        <s v="Entertainment"/>
        <s v="Household"/>
        <s v="ATM withdrawal"/>
        <m u="1"/>
        <s v="Home" u="1"/>
        <s v="Company" u="1"/>
        <s v="Transfer" u="1"/>
        <s v="Misc" u="1"/>
        <s v="Auto" u="1"/>
        <s v="Interest" u="1"/>
        <s v="Rent" u="1"/>
        <s v="Income" u="1"/>
      </sharedItems>
    </cacheField>
    <cacheField name="Subcategory" numFmtId="0">
      <sharedItems containsBlank="1" count="15">
        <s v="Phone Bill"/>
        <s v="Electricity Bill"/>
        <s v="Groceries"/>
        <s v="Water Bill"/>
        <m/>
        <s v="Internet Bill"/>
        <s v="Medical"/>
        <s v="Fuel"/>
        <s v="Car Maintenance"/>
        <s v="Restaurant"/>
        <s v="Movies"/>
        <s v="Clothing"/>
        <s v="Insurance"/>
        <s v="Electronics"/>
        <s v="Coffee Shop"/>
      </sharedItems>
    </cacheField>
    <cacheField name="Account" numFmtId="0">
      <sharedItems containsBlank="1" count="8">
        <s v="ICICI CC"/>
        <s v="HDFC Bank"/>
        <s v="WALLET"/>
        <s v="Indian Bank"/>
        <s v="Indian Overseas Bank"/>
        <s v="State Bank of India CC"/>
        <m u="1"/>
        <s v="INDIAN" u="1"/>
      </sharedItems>
    </cacheField>
    <cacheField name="Comments" numFmtId="0">
      <sharedItems containsBlank="1"/>
    </cacheField>
    <cacheField name="Year" numFmtId="0">
      <sharedItems containsSemiMixedTypes="0" containsString="0" containsNumber="1" containsInteger="1" minValue="1900" maxValue="2022" count="7">
        <n v="2019"/>
        <n v="2020"/>
        <n v="2021"/>
        <n v="2022" u="1"/>
        <n v="2015" u="1"/>
        <n v="1900" u="1"/>
        <n v="2014" u="1"/>
      </sharedItems>
    </cacheField>
    <cacheField name="Month" numFmtId="0">
      <sharedItems containsMixedTypes="1" containsNumber="1" containsInteger="1" minValue="1" maxValue="12" count="20">
        <s v="Aug"/>
        <s v="Sep"/>
        <s v="Oct"/>
        <s v="Nov"/>
        <s v="Dec"/>
        <s v="Jan"/>
        <s v="Feb"/>
        <s v="Mar"/>
        <s v="Apr"/>
        <s v="May"/>
        <s v="Jun"/>
        <s v="Jul"/>
        <n v="2" u="1"/>
        <n v="1" u="1"/>
        <n v="3" u="1"/>
        <n v="8" u="1"/>
        <n v="9" u="1"/>
        <n v="10" u="1"/>
        <n v="11" u="1"/>
        <n v="12"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d v="2019-08-02T00:00:00"/>
    <s v="Phone Bill"/>
    <n v="180"/>
    <x v="0"/>
    <x v="0"/>
    <x v="0"/>
    <x v="0"/>
    <m/>
    <x v="0"/>
    <x v="0"/>
  </r>
  <r>
    <d v="2019-08-08T00:00:00"/>
    <s v="Electricity Bill"/>
    <n v="980"/>
    <x v="0"/>
    <x v="0"/>
    <x v="1"/>
    <x v="1"/>
    <s v="Includes late payment fee"/>
    <x v="0"/>
    <x v="0"/>
  </r>
  <r>
    <d v="2019-08-14T00:00:00"/>
    <s v="Grocery shopping"/>
    <n v="165"/>
    <x v="0"/>
    <x v="1"/>
    <x v="2"/>
    <x v="2"/>
    <m/>
    <x v="0"/>
    <x v="0"/>
  </r>
  <r>
    <d v="2019-08-20T00:00:00"/>
    <s v="Water Bill"/>
    <n v="750"/>
    <x v="0"/>
    <x v="0"/>
    <x v="3"/>
    <x v="3"/>
    <m/>
    <x v="0"/>
    <x v="0"/>
  </r>
  <r>
    <d v="2019-08-26T00:00:00"/>
    <s v="Salary"/>
    <n v="32500"/>
    <x v="1"/>
    <x v="2"/>
    <x v="4"/>
    <x v="1"/>
    <s v="Includes last month due"/>
    <x v="0"/>
    <x v="0"/>
  </r>
  <r>
    <d v="2019-09-01T00:00:00"/>
    <s v="Property rent from tenant"/>
    <n v="7500"/>
    <x v="1"/>
    <x v="3"/>
    <x v="4"/>
    <x v="4"/>
    <m/>
    <x v="0"/>
    <x v="1"/>
  </r>
  <r>
    <d v="2019-09-07T00:00:00"/>
    <s v="Internet Bill"/>
    <n v="750"/>
    <x v="0"/>
    <x v="0"/>
    <x v="5"/>
    <x v="3"/>
    <s v="Includes late payment fee"/>
    <x v="0"/>
    <x v="1"/>
  </r>
  <r>
    <d v="2019-09-13T00:00:00"/>
    <s v="Medicines"/>
    <n v="480"/>
    <x v="0"/>
    <x v="4"/>
    <x v="6"/>
    <x v="5"/>
    <m/>
    <x v="0"/>
    <x v="1"/>
  </r>
  <r>
    <d v="2019-09-19T00:00:00"/>
    <s v="Car Fuel "/>
    <n v="620"/>
    <x v="0"/>
    <x v="5"/>
    <x v="7"/>
    <x v="0"/>
    <m/>
    <x v="0"/>
    <x v="1"/>
  </r>
  <r>
    <d v="2019-09-25T00:00:00"/>
    <s v="Car Repair charges"/>
    <n v="300"/>
    <x v="0"/>
    <x v="5"/>
    <x v="8"/>
    <x v="5"/>
    <m/>
    <x v="0"/>
    <x v="1"/>
  </r>
  <r>
    <d v="2019-10-01T00:00:00"/>
    <s v="Fast food"/>
    <n v="330"/>
    <x v="0"/>
    <x v="6"/>
    <x v="9"/>
    <x v="0"/>
    <m/>
    <x v="0"/>
    <x v="2"/>
  </r>
  <r>
    <d v="2019-10-07T00:00:00"/>
    <s v="State Bank of India CC - Credit Card Payment"/>
    <n v="-1980"/>
    <x v="2"/>
    <x v="7"/>
    <x v="4"/>
    <x v="3"/>
    <m/>
    <x v="0"/>
    <x v="2"/>
  </r>
  <r>
    <d v="2019-10-13T00:00:00"/>
    <s v="ICICI CC - Credit Card Payment"/>
    <n v="-1980"/>
    <x v="2"/>
    <x v="7"/>
    <x v="4"/>
    <x v="4"/>
    <m/>
    <x v="0"/>
    <x v="2"/>
  </r>
  <r>
    <d v="2019-10-19T00:00:00"/>
    <s v="State Bank of India CC - Credit Card Payment"/>
    <n v="1980"/>
    <x v="2"/>
    <x v="7"/>
    <x v="4"/>
    <x v="5"/>
    <m/>
    <x v="0"/>
    <x v="2"/>
  </r>
  <r>
    <d v="2019-10-25T00:00:00"/>
    <s v="SBI Credit Card Payment"/>
    <n v="-3000"/>
    <x v="2"/>
    <x v="7"/>
    <x v="4"/>
    <x v="3"/>
    <m/>
    <x v="0"/>
    <x v="2"/>
  </r>
  <r>
    <d v="2019-10-31T00:00:00"/>
    <s v="SBI Credit Card Payment"/>
    <n v="3000"/>
    <x v="2"/>
    <x v="7"/>
    <x v="4"/>
    <x v="5"/>
    <m/>
    <x v="0"/>
    <x v="2"/>
  </r>
  <r>
    <d v="2019-11-06T00:00:00"/>
    <s v="ICICI Credit Card Payment"/>
    <n v="-1980"/>
    <x v="2"/>
    <x v="7"/>
    <x v="4"/>
    <x v="4"/>
    <m/>
    <x v="0"/>
    <x v="3"/>
  </r>
  <r>
    <d v="2019-11-12T00:00:00"/>
    <s v="ICICI Credit Card Payment"/>
    <n v="1980"/>
    <x v="2"/>
    <x v="7"/>
    <x v="4"/>
    <x v="0"/>
    <m/>
    <x v="0"/>
    <x v="3"/>
  </r>
  <r>
    <d v="2019-11-18T00:00:00"/>
    <s v="Phone Bill"/>
    <n v="480"/>
    <x v="0"/>
    <x v="0"/>
    <x v="0"/>
    <x v="0"/>
    <m/>
    <x v="0"/>
    <x v="3"/>
  </r>
  <r>
    <d v="2019-11-24T00:00:00"/>
    <s v="Electricity Bill"/>
    <n v="900"/>
    <x v="0"/>
    <x v="0"/>
    <x v="1"/>
    <x v="5"/>
    <m/>
    <x v="0"/>
    <x v="3"/>
  </r>
  <r>
    <d v="2019-11-30T00:00:00"/>
    <s v="Grocery shopping"/>
    <n v="200"/>
    <x v="0"/>
    <x v="1"/>
    <x v="2"/>
    <x v="2"/>
    <m/>
    <x v="0"/>
    <x v="3"/>
  </r>
  <r>
    <d v="2019-12-06T00:00:00"/>
    <s v="Water Bill"/>
    <n v="650"/>
    <x v="0"/>
    <x v="0"/>
    <x v="3"/>
    <x v="3"/>
    <m/>
    <x v="0"/>
    <x v="4"/>
  </r>
  <r>
    <d v="2019-12-12T00:00:00"/>
    <s v="Salary"/>
    <n v="27500"/>
    <x v="1"/>
    <x v="2"/>
    <x v="4"/>
    <x v="3"/>
    <m/>
    <x v="0"/>
    <x v="4"/>
  </r>
  <r>
    <d v="2019-12-18T00:00:00"/>
    <s v="Property rent from tenant"/>
    <n v="7000"/>
    <x v="1"/>
    <x v="3"/>
    <x v="4"/>
    <x v="4"/>
    <m/>
    <x v="0"/>
    <x v="4"/>
  </r>
  <r>
    <d v="2019-12-24T00:00:00"/>
    <s v="Internet Bill"/>
    <n v="750"/>
    <x v="0"/>
    <x v="0"/>
    <x v="5"/>
    <x v="3"/>
    <m/>
    <x v="0"/>
    <x v="4"/>
  </r>
  <r>
    <d v="2019-12-30T00:00:00"/>
    <s v="Movies"/>
    <n v="620"/>
    <x v="0"/>
    <x v="8"/>
    <x v="10"/>
    <x v="5"/>
    <m/>
    <x v="0"/>
    <x v="4"/>
  </r>
  <r>
    <d v="2020-01-05T00:00:00"/>
    <s v="Shopping for festival"/>
    <n v="2000"/>
    <x v="0"/>
    <x v="9"/>
    <x v="11"/>
    <x v="5"/>
    <m/>
    <x v="1"/>
    <x v="5"/>
  </r>
  <r>
    <d v="2020-01-11T00:00:00"/>
    <s v="Car insurance"/>
    <n v="2000"/>
    <x v="0"/>
    <x v="0"/>
    <x v="12"/>
    <x v="3"/>
    <m/>
    <x v="1"/>
    <x v="5"/>
  </r>
  <r>
    <d v="2020-01-17T00:00:00"/>
    <s v="Car Fuel "/>
    <n v="620"/>
    <x v="0"/>
    <x v="5"/>
    <x v="7"/>
    <x v="0"/>
    <m/>
    <x v="1"/>
    <x v="5"/>
  </r>
  <r>
    <d v="2020-01-23T00:00:00"/>
    <s v="SBI Credit Card Payment"/>
    <n v="-1980"/>
    <x v="2"/>
    <x v="7"/>
    <x v="4"/>
    <x v="3"/>
    <m/>
    <x v="1"/>
    <x v="5"/>
  </r>
  <r>
    <d v="2020-01-29T00:00:00"/>
    <s v="SBI Credit Card Payment"/>
    <n v="1980"/>
    <x v="2"/>
    <x v="7"/>
    <x v="4"/>
    <x v="5"/>
    <m/>
    <x v="1"/>
    <x v="5"/>
  </r>
  <r>
    <d v="2020-02-04T00:00:00"/>
    <s v="ICICI Credit Card Payment"/>
    <n v="-3000"/>
    <x v="2"/>
    <x v="7"/>
    <x v="4"/>
    <x v="4"/>
    <m/>
    <x v="1"/>
    <x v="6"/>
  </r>
  <r>
    <d v="2020-02-10T00:00:00"/>
    <s v="ICICI Credit Card Payment"/>
    <n v="3000"/>
    <x v="2"/>
    <x v="7"/>
    <x v="4"/>
    <x v="0"/>
    <m/>
    <x v="1"/>
    <x v="6"/>
  </r>
  <r>
    <d v="2020-02-16T00:00:00"/>
    <s v="Grocery shopping"/>
    <n v="180"/>
    <x v="0"/>
    <x v="1"/>
    <x v="2"/>
    <x v="0"/>
    <m/>
    <x v="1"/>
    <x v="6"/>
  </r>
  <r>
    <d v="2020-02-22T00:00:00"/>
    <s v="Phone Bill"/>
    <n v="980"/>
    <x v="0"/>
    <x v="0"/>
    <x v="0"/>
    <x v="0"/>
    <m/>
    <x v="1"/>
    <x v="6"/>
  </r>
  <r>
    <d v="2020-02-28T00:00:00"/>
    <s v="Electricity Bill"/>
    <n v="950"/>
    <x v="0"/>
    <x v="0"/>
    <x v="1"/>
    <x v="5"/>
    <m/>
    <x v="1"/>
    <x v="6"/>
  </r>
  <r>
    <d v="2020-03-05T00:00:00"/>
    <s v="Movies"/>
    <n v="480"/>
    <x v="0"/>
    <x v="8"/>
    <x v="10"/>
    <x v="5"/>
    <m/>
    <x v="1"/>
    <x v="7"/>
  </r>
  <r>
    <d v="2020-03-11T00:00:00"/>
    <s v="Mp3 player"/>
    <n v="6200"/>
    <x v="0"/>
    <x v="9"/>
    <x v="13"/>
    <x v="3"/>
    <s v="birthday gift"/>
    <x v="1"/>
    <x v="7"/>
  </r>
  <r>
    <d v="2020-03-17T00:00:00"/>
    <s v="Water Bill"/>
    <n v="480"/>
    <x v="0"/>
    <x v="0"/>
    <x v="3"/>
    <x v="3"/>
    <m/>
    <x v="1"/>
    <x v="7"/>
  </r>
  <r>
    <d v="2020-03-23T00:00:00"/>
    <s v="Salary"/>
    <n v="27500"/>
    <x v="1"/>
    <x v="2"/>
    <x v="4"/>
    <x v="3"/>
    <m/>
    <x v="1"/>
    <x v="7"/>
  </r>
  <r>
    <d v="2020-03-29T00:00:00"/>
    <s v="Property rent from tenant"/>
    <n v="7000"/>
    <x v="1"/>
    <x v="3"/>
    <x v="4"/>
    <x v="4"/>
    <m/>
    <x v="1"/>
    <x v="7"/>
  </r>
  <r>
    <d v="2020-04-04T00:00:00"/>
    <s v="Internet Bill"/>
    <n v="750"/>
    <x v="0"/>
    <x v="0"/>
    <x v="5"/>
    <x v="3"/>
    <m/>
    <x v="1"/>
    <x v="8"/>
  </r>
  <r>
    <d v="2020-04-10T00:00:00"/>
    <s v="Grocery shopping"/>
    <n v="75"/>
    <x v="0"/>
    <x v="1"/>
    <x v="2"/>
    <x v="0"/>
    <m/>
    <x v="1"/>
    <x v="8"/>
  </r>
  <r>
    <d v="2020-04-16T00:00:00"/>
    <s v="Car Fuel "/>
    <n v="450"/>
    <x v="0"/>
    <x v="5"/>
    <x v="7"/>
    <x v="0"/>
    <m/>
    <x v="1"/>
    <x v="8"/>
  </r>
  <r>
    <d v="2020-04-22T00:00:00"/>
    <s v="Car Repair charges"/>
    <n v="480"/>
    <x v="0"/>
    <x v="5"/>
    <x v="8"/>
    <x v="5"/>
    <m/>
    <x v="1"/>
    <x v="8"/>
  </r>
  <r>
    <d v="2020-04-28T00:00:00"/>
    <s v="Fast food"/>
    <n v="620"/>
    <x v="0"/>
    <x v="6"/>
    <x v="9"/>
    <x v="0"/>
    <m/>
    <x v="1"/>
    <x v="8"/>
  </r>
  <r>
    <d v="2020-05-04T00:00:00"/>
    <s v="SBI Credit Card Payment"/>
    <n v="-1980"/>
    <x v="2"/>
    <x v="7"/>
    <x v="4"/>
    <x v="3"/>
    <m/>
    <x v="1"/>
    <x v="9"/>
  </r>
  <r>
    <d v="2020-05-10T00:00:00"/>
    <s v="SBI Credit Card Payment"/>
    <n v="1980"/>
    <x v="2"/>
    <x v="7"/>
    <x v="4"/>
    <x v="5"/>
    <m/>
    <x v="1"/>
    <x v="9"/>
  </r>
  <r>
    <d v="2020-05-16T00:00:00"/>
    <s v="ICICI Credit Card Payment"/>
    <n v="-2000"/>
    <x v="2"/>
    <x v="7"/>
    <x v="4"/>
    <x v="4"/>
    <m/>
    <x v="1"/>
    <x v="9"/>
  </r>
  <r>
    <d v="2020-05-22T00:00:00"/>
    <s v="ICICI Credit Card Payment"/>
    <n v="2000"/>
    <x v="2"/>
    <x v="7"/>
    <x v="4"/>
    <x v="0"/>
    <m/>
    <x v="1"/>
    <x v="9"/>
  </r>
  <r>
    <d v="2020-05-28T00:00:00"/>
    <s v="Phone Bill"/>
    <n v="1980"/>
    <x v="0"/>
    <x v="0"/>
    <x v="0"/>
    <x v="0"/>
    <m/>
    <x v="1"/>
    <x v="9"/>
  </r>
  <r>
    <d v="2020-06-03T00:00:00"/>
    <s v="Electricity Bill"/>
    <n v="850"/>
    <x v="0"/>
    <x v="0"/>
    <x v="1"/>
    <x v="5"/>
    <m/>
    <x v="1"/>
    <x v="10"/>
  </r>
  <r>
    <d v="2020-06-09T00:00:00"/>
    <s v="Water Bill"/>
    <n v="620"/>
    <x v="0"/>
    <x v="0"/>
    <x v="3"/>
    <x v="3"/>
    <m/>
    <x v="1"/>
    <x v="10"/>
  </r>
  <r>
    <d v="2020-06-15T00:00:00"/>
    <s v="Grocery shopping"/>
    <n v="60"/>
    <x v="0"/>
    <x v="1"/>
    <x v="2"/>
    <x v="0"/>
    <m/>
    <x v="1"/>
    <x v="10"/>
  </r>
  <r>
    <d v="2020-06-21T00:00:00"/>
    <s v="Salary"/>
    <n v="27500"/>
    <x v="1"/>
    <x v="2"/>
    <x v="4"/>
    <x v="3"/>
    <m/>
    <x v="1"/>
    <x v="10"/>
  </r>
  <r>
    <d v="2020-06-27T00:00:00"/>
    <s v="Property rent from tenant"/>
    <n v="7000"/>
    <x v="1"/>
    <x v="3"/>
    <x v="4"/>
    <x v="4"/>
    <m/>
    <x v="1"/>
    <x v="10"/>
  </r>
  <r>
    <d v="2020-07-03T00:00:00"/>
    <s v="Internet Bill"/>
    <n v="750"/>
    <x v="0"/>
    <x v="0"/>
    <x v="5"/>
    <x v="3"/>
    <m/>
    <x v="1"/>
    <x v="11"/>
  </r>
  <r>
    <d v="2020-07-09T00:00:00"/>
    <s v="Cash withdrawal"/>
    <n v="-2000"/>
    <x v="2"/>
    <x v="10"/>
    <x v="4"/>
    <x v="3"/>
    <m/>
    <x v="1"/>
    <x v="11"/>
  </r>
  <r>
    <d v="2020-07-15T00:00:00"/>
    <s v="Cash withdrawal"/>
    <n v="2000"/>
    <x v="2"/>
    <x v="10"/>
    <x v="4"/>
    <x v="2"/>
    <m/>
    <x v="1"/>
    <x v="11"/>
  </r>
  <r>
    <d v="2020-07-21T00:00:00"/>
    <s v="Car Fuel "/>
    <n v="350"/>
    <x v="0"/>
    <x v="5"/>
    <x v="7"/>
    <x v="0"/>
    <m/>
    <x v="1"/>
    <x v="11"/>
  </r>
  <r>
    <d v="2020-07-27T00:00:00"/>
    <s v="SBI Credit Card Payment"/>
    <n v="-1980"/>
    <x v="2"/>
    <x v="7"/>
    <x v="4"/>
    <x v="3"/>
    <m/>
    <x v="1"/>
    <x v="11"/>
  </r>
  <r>
    <d v="2020-08-02T00:00:00"/>
    <s v="SBI Credit Card Payment"/>
    <n v="1980"/>
    <x v="2"/>
    <x v="7"/>
    <x v="4"/>
    <x v="5"/>
    <m/>
    <x v="1"/>
    <x v="0"/>
  </r>
  <r>
    <d v="2020-08-08T00:00:00"/>
    <s v="ICICI Credit Card Payment"/>
    <n v="-1980"/>
    <x v="2"/>
    <x v="7"/>
    <x v="4"/>
    <x v="4"/>
    <m/>
    <x v="1"/>
    <x v="0"/>
  </r>
  <r>
    <d v="2020-08-14T00:00:00"/>
    <s v="ICICI Credit Card Payment"/>
    <n v="1980"/>
    <x v="2"/>
    <x v="7"/>
    <x v="4"/>
    <x v="0"/>
    <m/>
    <x v="1"/>
    <x v="0"/>
  </r>
  <r>
    <d v="2020-08-20T00:00:00"/>
    <s v="Grocery shopping"/>
    <n v="90"/>
    <x v="0"/>
    <x v="1"/>
    <x v="2"/>
    <x v="3"/>
    <m/>
    <x v="1"/>
    <x v="0"/>
  </r>
  <r>
    <d v="2020-08-26T00:00:00"/>
    <s v="Phone Bill"/>
    <n v="1650"/>
    <x v="0"/>
    <x v="0"/>
    <x v="0"/>
    <x v="0"/>
    <m/>
    <x v="1"/>
    <x v="0"/>
  </r>
  <r>
    <d v="2020-09-01T00:00:00"/>
    <s v="Electricity Bill"/>
    <n v="920"/>
    <x v="0"/>
    <x v="0"/>
    <x v="1"/>
    <x v="5"/>
    <m/>
    <x v="1"/>
    <x v="1"/>
  </r>
  <r>
    <d v="2020-09-07T00:00:00"/>
    <s v="Water Bill"/>
    <n v="610"/>
    <x v="0"/>
    <x v="0"/>
    <x v="3"/>
    <x v="3"/>
    <m/>
    <x v="1"/>
    <x v="1"/>
  </r>
  <r>
    <d v="2020-09-13T00:00:00"/>
    <s v="Salary"/>
    <n v="30000"/>
    <x v="1"/>
    <x v="2"/>
    <x v="4"/>
    <x v="3"/>
    <s v="Salary increased this month."/>
    <x v="1"/>
    <x v="1"/>
  </r>
  <r>
    <d v="2020-09-19T00:00:00"/>
    <s v="Property rent from tenant"/>
    <n v="7000"/>
    <x v="1"/>
    <x v="3"/>
    <x v="4"/>
    <x v="4"/>
    <m/>
    <x v="1"/>
    <x v="1"/>
  </r>
  <r>
    <d v="2020-09-25T00:00:00"/>
    <s v="Internet Bill"/>
    <n v="750"/>
    <x v="0"/>
    <x v="0"/>
    <x v="5"/>
    <x v="3"/>
    <m/>
    <x v="1"/>
    <x v="1"/>
  </r>
  <r>
    <d v="2020-10-01T00:00:00"/>
    <s v="Grocery shopping"/>
    <n v="330"/>
    <x v="0"/>
    <x v="1"/>
    <x v="2"/>
    <x v="3"/>
    <m/>
    <x v="1"/>
    <x v="2"/>
  </r>
  <r>
    <d v="2020-10-07T00:00:00"/>
    <s v="Car Fuel "/>
    <n v="620"/>
    <x v="0"/>
    <x v="5"/>
    <x v="7"/>
    <x v="0"/>
    <m/>
    <x v="1"/>
    <x v="2"/>
  </r>
  <r>
    <d v="2020-10-13T00:00:00"/>
    <s v="Car Repair charges"/>
    <n v="200"/>
    <x v="0"/>
    <x v="5"/>
    <x v="8"/>
    <x v="5"/>
    <m/>
    <x v="1"/>
    <x v="2"/>
  </r>
  <r>
    <d v="2020-10-19T00:00:00"/>
    <s v="Coffee Shop"/>
    <n v="180"/>
    <x v="0"/>
    <x v="6"/>
    <x v="14"/>
    <x v="0"/>
    <m/>
    <x v="1"/>
    <x v="2"/>
  </r>
  <r>
    <d v="2020-10-25T00:00:00"/>
    <s v="SBI Credit Card Payment"/>
    <n v="-7500"/>
    <x v="2"/>
    <x v="7"/>
    <x v="4"/>
    <x v="3"/>
    <m/>
    <x v="1"/>
    <x v="2"/>
  </r>
  <r>
    <d v="2020-10-31T00:00:00"/>
    <s v="SBI Credit Card Payment"/>
    <n v="3000"/>
    <x v="2"/>
    <x v="7"/>
    <x v="4"/>
    <x v="5"/>
    <m/>
    <x v="1"/>
    <x v="2"/>
  </r>
  <r>
    <d v="2020-11-06T00:00:00"/>
    <s v="ICICI Credit Card Payment"/>
    <n v="-2000"/>
    <x v="2"/>
    <x v="7"/>
    <x v="4"/>
    <x v="4"/>
    <m/>
    <x v="1"/>
    <x v="3"/>
  </r>
  <r>
    <d v="2020-11-12T00:00:00"/>
    <s v="ICICI Credit Card Payment"/>
    <n v="2000"/>
    <x v="2"/>
    <x v="7"/>
    <x v="4"/>
    <x v="0"/>
    <m/>
    <x v="1"/>
    <x v="3"/>
  </r>
  <r>
    <d v="2020-11-18T00:00:00"/>
    <s v="Phone Bill"/>
    <n v="1300"/>
    <x v="0"/>
    <x v="0"/>
    <x v="0"/>
    <x v="0"/>
    <m/>
    <x v="1"/>
    <x v="3"/>
  </r>
  <r>
    <d v="2020-11-24T00:00:00"/>
    <s v="Medicines"/>
    <n v="620"/>
    <x v="0"/>
    <x v="4"/>
    <x v="6"/>
    <x v="5"/>
    <m/>
    <x v="1"/>
    <x v="3"/>
  </r>
  <r>
    <d v="2020-11-30T00:00:00"/>
    <s v="Electricity Bill"/>
    <n v="910"/>
    <x v="0"/>
    <x v="0"/>
    <x v="1"/>
    <x v="5"/>
    <m/>
    <x v="1"/>
    <x v="3"/>
  </r>
  <r>
    <d v="2020-12-06T00:00:00"/>
    <s v="Car insurance"/>
    <n v="2000"/>
    <x v="0"/>
    <x v="0"/>
    <x v="12"/>
    <x v="3"/>
    <m/>
    <x v="1"/>
    <x v="4"/>
  </r>
  <r>
    <d v="2020-12-12T00:00:00"/>
    <s v="Water Bill"/>
    <n v="480"/>
    <x v="0"/>
    <x v="0"/>
    <x v="3"/>
    <x v="3"/>
    <m/>
    <x v="1"/>
    <x v="4"/>
  </r>
  <r>
    <d v="2020-12-18T00:00:00"/>
    <s v="Salary"/>
    <n v="30000"/>
    <x v="1"/>
    <x v="2"/>
    <x v="4"/>
    <x v="3"/>
    <m/>
    <x v="1"/>
    <x v="4"/>
  </r>
  <r>
    <d v="2020-12-24T00:00:00"/>
    <s v="Property rent from tenant"/>
    <n v="7000"/>
    <x v="1"/>
    <x v="3"/>
    <x v="4"/>
    <x v="4"/>
    <m/>
    <x v="1"/>
    <x v="4"/>
  </r>
  <r>
    <d v="2020-12-30T00:00:00"/>
    <s v="Internet Bill"/>
    <n v="750"/>
    <x v="0"/>
    <x v="0"/>
    <x v="5"/>
    <x v="3"/>
    <m/>
    <x v="1"/>
    <x v="4"/>
  </r>
  <r>
    <d v="2021-01-05T00:00:00"/>
    <s v="Grocery shopping"/>
    <n v="165"/>
    <x v="0"/>
    <x v="1"/>
    <x v="2"/>
    <x v="3"/>
    <m/>
    <x v="2"/>
    <x v="5"/>
  </r>
  <r>
    <d v="2021-01-11T00:00:00"/>
    <s v="Car Fuel "/>
    <n v="620"/>
    <x v="0"/>
    <x v="5"/>
    <x v="7"/>
    <x v="0"/>
    <m/>
    <x v="2"/>
    <x v="5"/>
  </r>
  <r>
    <d v="2021-01-17T00:00:00"/>
    <s v="Coffee Shop"/>
    <n v="150"/>
    <x v="0"/>
    <x v="6"/>
    <x v="14"/>
    <x v="0"/>
    <m/>
    <x v="2"/>
    <x v="5"/>
  </r>
  <r>
    <d v="2021-01-23T00:00:00"/>
    <s v="SBI Credit Card Payment"/>
    <n v="-3000"/>
    <x v="2"/>
    <x v="7"/>
    <x v="4"/>
    <x v="3"/>
    <m/>
    <x v="2"/>
    <x v="5"/>
  </r>
  <r>
    <d v="2021-01-29T00:00:00"/>
    <s v="SBI Credit Card Payment"/>
    <n v="3000"/>
    <x v="2"/>
    <x v="7"/>
    <x v="4"/>
    <x v="5"/>
    <m/>
    <x v="2"/>
    <x v="5"/>
  </r>
  <r>
    <d v="2021-02-04T00:00:00"/>
    <s v="ICICI Credit Card Payment"/>
    <n v="-1980"/>
    <x v="2"/>
    <x v="7"/>
    <x v="4"/>
    <x v="4"/>
    <m/>
    <x v="2"/>
    <x v="6"/>
  </r>
  <r>
    <d v="2021-02-10T00:00:00"/>
    <s v="ICICI Credit Card Payment"/>
    <n v="1980"/>
    <x v="2"/>
    <x v="7"/>
    <x v="4"/>
    <x v="0"/>
    <m/>
    <x v="2"/>
    <x v="6"/>
  </r>
  <r>
    <d v="2021-02-16T00:00:00"/>
    <s v="Grocery shopping"/>
    <n v="180"/>
    <x v="0"/>
    <x v="1"/>
    <x v="2"/>
    <x v="2"/>
    <m/>
    <x v="2"/>
    <x v="6"/>
  </r>
  <r>
    <d v="2021-02-22T00:00:00"/>
    <s v="Phone Bill"/>
    <n v="1750"/>
    <x v="0"/>
    <x v="0"/>
    <x v="0"/>
    <x v="0"/>
    <m/>
    <x v="2"/>
    <x v="6"/>
  </r>
  <r>
    <d v="2021-02-28T00:00:00"/>
    <s v="Electricity Bill"/>
    <n v="900"/>
    <x v="0"/>
    <x v="0"/>
    <x v="1"/>
    <x v="5"/>
    <m/>
    <x v="2"/>
    <x v="6"/>
  </r>
  <r>
    <d v="2021-03-06T00:00:00"/>
    <s v="Water Bill"/>
    <n v="620"/>
    <x v="0"/>
    <x v="0"/>
    <x v="3"/>
    <x v="3"/>
    <m/>
    <x v="2"/>
    <x v="7"/>
  </r>
  <r>
    <d v="2021-03-12T00:00:00"/>
    <s v="Salary"/>
    <n v="30000"/>
    <x v="1"/>
    <x v="2"/>
    <x v="4"/>
    <x v="3"/>
    <m/>
    <x v="2"/>
    <x v="7"/>
  </r>
  <r>
    <d v="2021-03-18T00:00:00"/>
    <s v="Property rent from tenant"/>
    <n v="7000"/>
    <x v="1"/>
    <x v="3"/>
    <x v="4"/>
    <x v="4"/>
    <m/>
    <x v="2"/>
    <x v="7"/>
  </r>
  <r>
    <d v="2021-03-24T00:00:00"/>
    <s v="Internet Bill"/>
    <n v="750"/>
    <x v="0"/>
    <x v="0"/>
    <x v="5"/>
    <x v="3"/>
    <m/>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T_CatSubCat" cacheId="1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W7:X12" firstHeaderRow="1" firstDataRow="1" firstDataCol="1" rowPageCount="2" colPageCount="1"/>
  <pivotFields count="10">
    <pivotField numFmtId="14" showAll="0" sortType="ascending"/>
    <pivotField showAll="0"/>
    <pivotField dataField="1" numFmtId="165" showAll="0"/>
    <pivotField axis="axisPage" multipleItemSelectionAllowed="1" showAll="0">
      <items count="7">
        <item m="1" x="5"/>
        <item m="1" x="4"/>
        <item x="0"/>
        <item x="1"/>
        <item x="2"/>
        <item m="1" x="3"/>
        <item t="default"/>
      </items>
    </pivotField>
    <pivotField axis="axisPage" showAll="0">
      <items count="21">
        <item x="5"/>
        <item m="1" x="19"/>
        <item x="4"/>
        <item m="1" x="18"/>
        <item m="1" x="14"/>
        <item x="0"/>
        <item m="1" x="12"/>
        <item x="2"/>
        <item x="1"/>
        <item m="1" x="15"/>
        <item x="6"/>
        <item m="1" x="13"/>
        <item x="9"/>
        <item m="1" x="16"/>
        <item x="7"/>
        <item m="1" x="17"/>
        <item m="1" x="11"/>
        <item x="8"/>
        <item x="3"/>
        <item x="10"/>
        <item t="default"/>
      </items>
    </pivotField>
    <pivotField showAll="0" defaultSubtotal="0">
      <items count="15">
        <item x="8"/>
        <item x="11"/>
        <item x="14"/>
        <item x="1"/>
        <item x="13"/>
        <item x="7"/>
        <item x="2"/>
        <item x="12"/>
        <item x="5"/>
        <item x="6"/>
        <item x="10"/>
        <item x="0"/>
        <item x="9"/>
        <item x="3"/>
        <item x="4"/>
      </items>
    </pivotField>
    <pivotField showAll="0">
      <items count="9">
        <item h="1" x="1"/>
        <item x="0"/>
        <item h="1" m="1" x="7"/>
        <item x="3"/>
        <item h="1" x="4"/>
        <item h="1" x="5"/>
        <item x="2"/>
        <item h="1" m="1" x="6"/>
        <item t="default"/>
      </items>
    </pivotField>
    <pivotField showAll="0"/>
    <pivotField axis="axisRow" showAll="0" defaultSubtotal="0">
      <items count="7">
        <item h="1" m="1" x="6"/>
        <item h="1" m="1" x="4"/>
        <item h="1" m="1" x="5"/>
        <item h="1" x="1"/>
        <item x="2"/>
        <item h="1" x="0"/>
        <item h="1" m="1" x="3"/>
      </items>
    </pivotField>
    <pivotField axis="axisRow" showAll="0" defaultSubtotal="0">
      <items count="20">
        <item m="1" x="13"/>
        <item m="1" x="12"/>
        <item m="1" x="14"/>
        <item m="1" x="15"/>
        <item m="1" x="16"/>
        <item m="1" x="17"/>
        <item m="1" x="18"/>
        <item m="1" x="19"/>
        <item x="0"/>
        <item x="1"/>
        <item x="2"/>
        <item x="3"/>
        <item x="4"/>
        <item x="5"/>
        <item x="6"/>
        <item x="7"/>
        <item x="8"/>
        <item x="9"/>
        <item x="10"/>
        <item x="11"/>
      </items>
    </pivotField>
  </pivotFields>
  <rowFields count="2">
    <field x="8"/>
    <field x="9"/>
  </rowFields>
  <rowItems count="5">
    <i>
      <x v="4"/>
    </i>
    <i r="1">
      <x v="13"/>
    </i>
    <i r="1">
      <x v="14"/>
    </i>
    <i r="1">
      <x v="15"/>
    </i>
    <i t="grand">
      <x/>
    </i>
  </rowItems>
  <colItems count="1">
    <i/>
  </colItems>
  <pageFields count="2">
    <pageField fld="4" hier="-1"/>
    <pageField fld="3" hier="-1"/>
  </pageFields>
  <dataFields count="1">
    <dataField name="Sum of Amount" fld="2" baseField="0" baseItem="0" numFmtId="3"/>
  </dataFields>
  <formats count="1">
    <format dxfId="44">
      <pivotArea outline="0" collapsedLevelsAreSubtotals="1" fieldPosition="0"/>
    </format>
  </formats>
  <chartFormats count="1">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T_Expense" cacheId="1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6:B14" firstHeaderRow="1" firstDataRow="1" firstDataCol="1" rowPageCount="3" colPageCount="1"/>
  <pivotFields count="10">
    <pivotField numFmtId="14" multipleItemSelectionAllowed="1" showAll="0"/>
    <pivotField showAll="0"/>
    <pivotField dataField="1" numFmtId="165" showAll="0"/>
    <pivotField axis="axisPage" multipleItemSelectionAllowed="1" showAll="0">
      <items count="7">
        <item m="1" x="5"/>
        <item m="1" x="4"/>
        <item x="0"/>
        <item h="1" x="1"/>
        <item h="1" x="2"/>
        <item h="1" m="1" x="3"/>
        <item t="default"/>
      </items>
    </pivotField>
    <pivotField axis="axisRow" showAll="0">
      <items count="21">
        <item x="5"/>
        <item m="1" x="19"/>
        <item m="1" x="18"/>
        <item m="1" x="14"/>
        <item x="0"/>
        <item x="4"/>
        <item m="1" x="12"/>
        <item x="2"/>
        <item x="1"/>
        <item m="1" x="15"/>
        <item x="6"/>
        <item m="1" x="13"/>
        <item x="9"/>
        <item m="1" x="16"/>
        <item x="7"/>
        <item m="1" x="17"/>
        <item m="1" x="11"/>
        <item x="8"/>
        <item x="3"/>
        <item x="10"/>
        <item t="default"/>
      </items>
    </pivotField>
    <pivotField showAll="0" defaultSubtotal="0"/>
    <pivotField showAll="0"/>
    <pivotField showAll="0"/>
    <pivotField axis="axisPage" showAll="0" defaultSubtotal="0">
      <items count="7">
        <item m="1" x="6"/>
        <item m="1" x="4"/>
        <item m="1" x="5"/>
        <item x="1"/>
        <item x="2"/>
        <item x="0"/>
        <item m="1" x="3"/>
      </items>
    </pivotField>
    <pivotField axis="axisPage" multipleItemSelectionAllowed="1" showAll="0" defaultSubtotal="0">
      <items count="20">
        <item m="1" x="15"/>
        <item m="1" x="16"/>
        <item m="1" x="17"/>
        <item m="1" x="18"/>
        <item m="1" x="19"/>
        <item m="1" x="13"/>
        <item m="1" x="12"/>
        <item m="1" x="14"/>
        <item x="0"/>
        <item x="1"/>
        <item x="2"/>
        <item x="3"/>
        <item x="4"/>
        <item x="5"/>
        <item x="6"/>
        <item x="7"/>
        <item x="8"/>
        <item x="9"/>
        <item x="10"/>
        <item x="11"/>
      </items>
    </pivotField>
  </pivotFields>
  <rowFields count="1">
    <field x="4"/>
  </rowFields>
  <rowItems count="8">
    <i>
      <x/>
    </i>
    <i>
      <x v="4"/>
    </i>
    <i>
      <x v="5"/>
    </i>
    <i>
      <x v="8"/>
    </i>
    <i>
      <x v="10"/>
    </i>
    <i>
      <x v="12"/>
    </i>
    <i>
      <x v="17"/>
    </i>
    <i t="grand">
      <x/>
    </i>
  </rowItems>
  <colItems count="1">
    <i/>
  </colItems>
  <pageFields count="3">
    <pageField fld="3" hier="-1"/>
    <pageField fld="8" hier="-1"/>
    <pageField fld="9" hier="-1"/>
  </pageFields>
  <dataFields count="1">
    <dataField name="Sum of Amount" fld="2" baseField="0" baseItem="0" numFmtId="3"/>
  </dataFields>
  <formats count="1">
    <format dxfId="4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0" format="6">
      <pivotArea type="data" outline="0" fieldPosition="0">
        <references count="2">
          <reference field="4294967294" count="1" selected="0">
            <x v="0"/>
          </reference>
          <reference field="4" count="1" selected="0">
            <x v="6"/>
          </reference>
        </references>
      </pivotArea>
    </chartFormat>
    <chartFormat chart="0" format="7">
      <pivotArea type="data" outline="0" fieldPosition="0">
        <references count="2">
          <reference field="4294967294" count="1" selected="0">
            <x v="0"/>
          </reference>
          <reference field="4" count="1" selected="0">
            <x v="8"/>
          </reference>
        </references>
      </pivotArea>
    </chartFormat>
    <chartFormat chart="0" format="8">
      <pivotArea type="data" outline="0" fieldPosition="0">
        <references count="2">
          <reference field="4294967294" count="1" selected="0">
            <x v="0"/>
          </reference>
          <reference field="4" count="1" selected="0">
            <x v="9"/>
          </reference>
        </references>
      </pivotArea>
    </chartFormat>
    <chartFormat chart="0" format="9">
      <pivotArea type="data" outline="0" fieldPosition="0">
        <references count="2">
          <reference field="4294967294" count="1" selected="0">
            <x v="0"/>
          </reference>
          <reference field="4" count="1" selected="0">
            <x v="10"/>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6"/>
          </reference>
        </references>
      </pivotArea>
    </chartFormat>
    <chartFormat chart="0" format="13">
      <pivotArea type="data" outline="0" fieldPosition="0">
        <references count="2">
          <reference field="4294967294" count="1" selected="0">
            <x v="0"/>
          </reference>
          <reference field="4" count="1" selected="0">
            <x v="17"/>
          </reference>
        </references>
      </pivotArea>
    </chartFormat>
    <chartFormat chart="0" format="1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T_SubCategory" cacheId="16" applyNumberFormats="0" applyBorderFormats="0" applyFontFormats="0" applyPatternFormats="0" applyAlignmentFormats="0" applyWidthHeightFormats="1" dataCaption="Values" updatedVersion="8" minRefreshableVersion="3" useAutoFormatting="1" colGrandTotals="0" itemPrintTitles="1" createdVersion="5" indent="0" outline="1" outlineData="1" multipleFieldFilters="0" chartFormat="46">
  <location ref="AG4:AH19" firstHeaderRow="1" firstDataRow="1" firstDataCol="1" rowPageCount="2" colPageCount="1"/>
  <pivotFields count="10">
    <pivotField numFmtId="14" showAll="0"/>
    <pivotField showAll="0"/>
    <pivotField dataField="1" numFmtId="166" showAll="0"/>
    <pivotField axis="axisPage" multipleItemSelectionAllowed="1" showAll="0">
      <items count="7">
        <item m="1" x="5"/>
        <item m="1" x="4"/>
        <item x="0"/>
        <item h="1" x="1"/>
        <item h="1" x="2"/>
        <item h="1" m="1" x="3"/>
        <item t="default"/>
      </items>
    </pivotField>
    <pivotField axis="axisPage" showAll="0">
      <items count="21">
        <item x="5"/>
        <item m="1" x="12"/>
        <item m="1" x="19"/>
        <item x="4"/>
        <item m="1" x="18"/>
        <item x="2"/>
        <item m="1" x="14"/>
        <item x="0"/>
        <item x="1"/>
        <item m="1" x="15"/>
        <item x="6"/>
        <item m="1" x="13"/>
        <item x="9"/>
        <item m="1" x="16"/>
        <item x="7"/>
        <item m="1" x="17"/>
        <item m="1" x="11"/>
        <item x="8"/>
        <item x="3"/>
        <item x="10"/>
        <item t="default"/>
      </items>
    </pivotField>
    <pivotField axis="axisRow" showAll="0" defaultSubtotal="0">
      <items count="15">
        <item x="8"/>
        <item x="11"/>
        <item x="14"/>
        <item x="1"/>
        <item x="13"/>
        <item x="7"/>
        <item x="2"/>
        <item x="12"/>
        <item x="5"/>
        <item x="6"/>
        <item x="10"/>
        <item x="0"/>
        <item x="9"/>
        <item x="3"/>
        <item x="4"/>
      </items>
    </pivotField>
    <pivotField showAll="0"/>
    <pivotField showAll="0"/>
    <pivotField showAll="0" defaultSubtotal="0">
      <items count="7">
        <item m="1" x="5"/>
        <item m="1" x="6"/>
        <item m="1" x="4"/>
        <item x="0"/>
        <item x="1"/>
        <item x="2"/>
        <item m="1" x="3"/>
      </items>
    </pivotField>
    <pivotField showAll="0" defaultSubtotal="0">
      <items count="20">
        <item m="1" x="13"/>
        <item m="1" x="12"/>
        <item m="1" x="14"/>
        <item m="1" x="15"/>
        <item m="1" x="16"/>
        <item m="1" x="17"/>
        <item m="1" x="18"/>
        <item m="1" x="19"/>
        <item x="5"/>
        <item x="6"/>
        <item x="7"/>
        <item x="8"/>
        <item x="9"/>
        <item x="10"/>
        <item x="11"/>
        <item x="0"/>
        <item x="1"/>
        <item x="2"/>
        <item x="3"/>
        <item x="4"/>
      </items>
    </pivotField>
  </pivotFields>
  <rowFields count="1">
    <field x="5"/>
  </rowFields>
  <rowItems count="15">
    <i>
      <x/>
    </i>
    <i>
      <x v="1"/>
    </i>
    <i>
      <x v="2"/>
    </i>
    <i>
      <x v="3"/>
    </i>
    <i>
      <x v="4"/>
    </i>
    <i>
      <x v="5"/>
    </i>
    <i>
      <x v="6"/>
    </i>
    <i>
      <x v="7"/>
    </i>
    <i>
      <x v="8"/>
    </i>
    <i>
      <x v="9"/>
    </i>
    <i>
      <x v="10"/>
    </i>
    <i>
      <x v="11"/>
    </i>
    <i>
      <x v="12"/>
    </i>
    <i>
      <x v="13"/>
    </i>
    <i t="grand">
      <x/>
    </i>
  </rowItems>
  <colItems count="1">
    <i/>
  </colItems>
  <pageFields count="2">
    <pageField fld="3" hier="-1"/>
    <pageField fld="4" hier="-1"/>
  </pageFields>
  <dataFields count="1">
    <dataField name="Sum of Amount" fld="2" baseField="0" baseItem="0" numFmtId="3"/>
  </dataFields>
  <formats count="1">
    <format dxfId="4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T_Income" cacheId="1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2">
  <location ref="J4:K7" firstHeaderRow="1" firstDataRow="1" firstDataCol="1" rowPageCount="1" colPageCount="1"/>
  <pivotFields count="10">
    <pivotField numFmtId="14" showAll="0"/>
    <pivotField showAll="0"/>
    <pivotField dataField="1" numFmtId="165" showAll="0"/>
    <pivotField axis="axisPage" multipleItemSelectionAllowed="1" showAll="0">
      <items count="7">
        <item m="1" x="5"/>
        <item m="1" x="4"/>
        <item h="1" x="0"/>
        <item x="1"/>
        <item h="1" x="2"/>
        <item h="1" m="1" x="3"/>
        <item t="default"/>
      </items>
    </pivotField>
    <pivotField axis="axisRow" showAll="0">
      <items count="21">
        <item x="5"/>
        <item m="1" x="19"/>
        <item m="1" x="18"/>
        <item m="1" x="14"/>
        <item x="0"/>
        <item x="4"/>
        <item m="1" x="12"/>
        <item x="2"/>
        <item x="1"/>
        <item m="1" x="15"/>
        <item x="6"/>
        <item m="1" x="13"/>
        <item x="9"/>
        <item m="1" x="16"/>
        <item x="7"/>
        <item m="1" x="17"/>
        <item m="1" x="11"/>
        <item x="8"/>
        <item x="3"/>
        <item x="10"/>
        <item t="default"/>
      </items>
    </pivotField>
    <pivotField showAll="0" defaultSubtotal="0"/>
    <pivotField showAll="0"/>
    <pivotField showAll="0"/>
    <pivotField showAll="0" defaultSubtotal="0">
      <items count="7">
        <item m="1" x="5"/>
        <item m="1" x="6"/>
        <item m="1" x="4"/>
        <item x="0"/>
        <item x="1"/>
        <item x="2"/>
        <item m="1" x="3"/>
      </items>
    </pivotField>
    <pivotField showAll="0" defaultSubtotal="0">
      <items count="20">
        <item m="1" x="13"/>
        <item m="1" x="12"/>
        <item m="1" x="14"/>
        <item m="1" x="15"/>
        <item m="1" x="16"/>
        <item m="1" x="17"/>
        <item m="1" x="18"/>
        <item m="1" x="19"/>
        <item x="5"/>
        <item x="6"/>
        <item x="7"/>
        <item x="8"/>
        <item x="9"/>
        <item x="10"/>
        <item x="11"/>
        <item x="0"/>
        <item x="1"/>
        <item x="2"/>
        <item x="3"/>
        <item x="4"/>
      </items>
    </pivotField>
  </pivotFields>
  <rowFields count="1">
    <field x="4"/>
  </rowFields>
  <rowItems count="3">
    <i>
      <x v="7"/>
    </i>
    <i>
      <x v="18"/>
    </i>
    <i t="grand">
      <x/>
    </i>
  </rowItems>
  <colItems count="1">
    <i/>
  </colItems>
  <pageFields count="1">
    <pageField fld="3" hier="-1"/>
  </pageFields>
  <dataFields count="1">
    <dataField name="Sum of Amount" fld="2" baseField="0" baseItem="0" numFmtId="3"/>
  </dataFields>
  <formats count="1">
    <format dxfId="47">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7"/>
          </reference>
        </references>
      </pivotArea>
    </chartFormat>
    <chartFormat chart="19" format="6">
      <pivotArea type="data" outline="0" fieldPosition="0">
        <references count="2">
          <reference field="4294967294" count="1" selected="0">
            <x v="0"/>
          </reference>
          <reference field="4" count="1" selected="0">
            <x v="15"/>
          </reference>
        </references>
      </pivotArea>
    </chartFormat>
    <chartFormat chart="19" format="7">
      <pivotArea type="data" outline="0" fieldPosition="0">
        <references count="2">
          <reference field="4294967294" count="1" selected="0">
            <x v="0"/>
          </reference>
          <reference field="4" count="1" selected="0">
            <x v="18"/>
          </reference>
        </references>
      </pivotArea>
    </chartFormat>
    <chartFormat chart="19"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5" name="PT_CatSubCat"/>
  </pivotTables>
  <data>
    <tabular pivotCacheId="1" showMissing="0">
      <items count="20">
        <i x="5" s="1"/>
        <i x="7" s="1"/>
        <i x="6" s="1"/>
        <i x="1" s="1"/>
        <i x="2" s="1"/>
        <i x="0" s="1"/>
        <i x="10" s="1" nd="1"/>
        <i x="8" s="1" nd="1"/>
        <i x="9" s="1" nd="1"/>
        <i x="4" s="1" nd="1"/>
        <i x="3" s="1" nd="1"/>
        <i x="16" s="1" nd="1"/>
        <i x="13" s="1" nd="1"/>
        <i x="12" s="1" nd="1"/>
        <i x="19" s="1" nd="1"/>
        <i x="17" s="1" nd="1"/>
        <i x="15" s="1" nd="1"/>
        <i x="18" s="1" nd="1"/>
        <i x="14"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000000-0013-0000-FFFF-FFFF02000000}" sourceName="Category">
  <pivotTables>
    <pivotTable tabId="5" name="PT_SubCategory"/>
  </pivotTables>
  <data>
    <tabular pivotCacheId="1" showMissing="0">
      <items count="20">
        <i x="5" s="1"/>
        <i x="6" s="1"/>
        <i x="8" s="1"/>
        <i x="1" s="1"/>
        <i x="9" s="1"/>
        <i x="4" s="1"/>
        <i x="0" s="1"/>
        <i x="10" s="1" nd="1"/>
        <i x="7" s="1" nd="1"/>
        <i x="3" s="1" nd="1"/>
        <i x="2" s="1" nd="1"/>
        <i x="16" s="1" nd="1"/>
        <i x="13" s="1" nd="1"/>
        <i x="12" s="1" nd="1"/>
        <i x="19" s="1" nd="1"/>
        <i x="17" s="1" nd="1"/>
        <i x="15" s="1" nd="1"/>
        <i x="18" s="1" nd="1"/>
        <i x="14" s="1" nd="1"/>
        <i x="1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3000000}" sourceName="Type">
  <pivotTables>
    <pivotTable tabId="5" name="PT_CatSubCat"/>
  </pivotTables>
  <data>
    <tabular pivotCacheId="1" showMissing="0">
      <items count="6">
        <i x="0" s="1"/>
        <i x="1" s="1"/>
        <i x="2" s="1"/>
        <i x="5"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4000000}" sourceName="MONTH">
  <pivotTables>
    <pivotTable tabId="5" name="PT_Expense"/>
    <pivotTable tabId="5" name="PT_Income"/>
    <pivotTable tabId="5" name="PT_SubCategory"/>
  </pivotTables>
  <data>
    <tabular pivotCacheId="1">
      <items count="20">
        <i x="5" s="1"/>
        <i x="6" s="1"/>
        <i x="7" s="1"/>
        <i x="8" s="1"/>
        <i x="9" s="1"/>
        <i x="10" s="1"/>
        <i x="11" s="1"/>
        <i x="0" s="1"/>
        <i x="1" s="1"/>
        <i x="2" s="1"/>
        <i x="3" s="1"/>
        <i x="4" s="1"/>
        <i x="13" s="1" nd="1"/>
        <i x="12" s="1" nd="1"/>
        <i x="14" s="1" nd="1"/>
        <i x="15" s="1" nd="1"/>
        <i x="16" s="1" nd="1"/>
        <i x="17" s="1" nd="1"/>
        <i x="18" s="1" nd="1"/>
        <i x="1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5000000}" sourceName="YEAR">
  <pivotTables>
    <pivotTable tabId="5" name="PT_Expense"/>
    <pivotTable tabId="5" name="PT_Income"/>
    <pivotTable tabId="5" name="PT_SubCategory"/>
  </pivotTables>
  <data>
    <tabular pivotCacheId="1">
      <items count="7">
        <i x="0" s="1"/>
        <i x="1" s="1"/>
        <i x="2" s="1"/>
        <i x="5" s="1" nd="1"/>
        <i x="6" s="1" nd="1"/>
        <i x="4"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00000000-0013-0000-FFFF-FFFF06000000}" sourceName="Account">
  <pivotTables>
    <pivotTable tabId="5" name="PT_CatSubCat"/>
  </pivotTables>
  <data>
    <tabular pivotCacheId="1" showMissing="0">
      <items count="8">
        <i x="0" s="1"/>
        <i x="3" s="1"/>
        <i x="4"/>
        <i x="5"/>
        <i x="2" s="1"/>
        <i x="1" nd="1"/>
        <i x="7" nd="1"/>
        <i x="6"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7000000}" sourceName="YEAR">
  <pivotTables>
    <pivotTable tabId="5" name="PT_CatSubCat"/>
  </pivotTables>
  <data>
    <tabular pivotCacheId="1" showMissing="0" crossFilter="showItemsWithNoData">
      <items count="7">
        <i x="0"/>
        <i x="1"/>
        <i x="2" s="1"/>
        <i x="5" nd="1"/>
        <i x="6" nd="1"/>
        <i x="4"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8000000}" sourceName="MONTH">
  <pivotTables>
    <pivotTable tabId="5" name="PT_CatSubCat"/>
  </pivotTables>
  <data>
    <tabular pivotCacheId="1" showMissing="0" crossFilter="showItemsWithNoData">
      <items count="20">
        <i x="5" s="1"/>
        <i x="6" s="1"/>
        <i x="7" s="1"/>
        <i x="8" s="1" nd="1"/>
        <i x="9" s="1" nd="1"/>
        <i x="10" s="1" nd="1"/>
        <i x="11" s="1" nd="1"/>
        <i x="0" s="1" nd="1"/>
        <i x="1" s="1" nd="1"/>
        <i x="2" s="1" nd="1"/>
        <i x="3" s="1" nd="1"/>
        <i x="4" s="1" nd="1"/>
        <i x="13" s="1" nd="1"/>
        <i x="12" s="1" nd="1"/>
        <i x="14" s="1" nd="1"/>
        <i x="15" s="1" nd="1"/>
        <i x="16" s="1" nd="1"/>
        <i x="17" s="1" nd="1"/>
        <i x="18" s="1" nd="1"/>
        <i x="19"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00000000-0013-0000-FFFF-FFFF09000000}" sourceName="Subcategory">
  <pivotTables>
    <pivotTable tabId="5" name="PT_CatSubCat"/>
  </pivotTables>
  <data>
    <tabular pivotCacheId="1" showMissing="0">
      <items count="15">
        <i x="14" s="1"/>
        <i x="7" s="1"/>
        <i x="2" s="1"/>
        <i x="5" s="1"/>
        <i x="0" s="1"/>
        <i x="3" s="1"/>
        <i x="4" s="1"/>
        <i x="8" s="1" nd="1"/>
        <i x="11" s="1" nd="1"/>
        <i x="1" s="1" nd="1"/>
        <i x="13" s="1" nd="1"/>
        <i x="12" s="1" nd="1"/>
        <i x="6" s="1" nd="1"/>
        <i x="1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columnCount="8" style="SlicerStyleDark5" rowHeight="365760"/>
  <slicer name="Category 1" xr10:uid="{00000000-0014-0000-FFFF-FFFF02000000}" cache="Slicer_Category1" caption="Category" columnCount="6" style="SlicerStyleDark5" rowHeight="320040"/>
  <slicer name="Type" xr10:uid="{00000000-0014-0000-FFFF-FFFF03000000}" cache="Slicer_Type" caption="TRANSACTION TYPE" columnCount="3" style="SlicerStyleDark5" rowHeight="274320"/>
  <slicer name="MONTH" xr10:uid="{00000000-0014-0000-FFFF-FFFF04000000}" cache="Slicer_MONTH" caption="MONTH" columnCount="12" style="SlicerStyleDark5" rowHeight="274320"/>
  <slicer name="YEAR 1" xr10:uid="{00000000-0014-0000-FFFF-FFFF05000000}" cache="Slicer_YEAR" caption="YEAR" columnCount="5" style="SlicerStyleDark5" rowHeight="274320"/>
  <slicer name="Account 1" xr10:uid="{00000000-0014-0000-FFFF-FFFF06000000}" cache="Slicer_Account" caption="ACCOUNT NAME" columnCount="5" style="SlicerStyleDark5" rowHeight="241300"/>
  <slicer name="YEAR" xr10:uid="{00000000-0014-0000-FFFF-FFFF07000000}" cache="Slicer_YEAR1" caption="YEAR" columnCount="6" style="SlicerStyleDark5" rowHeight="365760"/>
  <slicer name="MONTH 1" xr10:uid="{00000000-0014-0000-FFFF-FFFF08000000}" cache="Slicer_MONTH1" caption="MONTH" columnCount="12" style="SlicerStyleDark5" rowHeight="365760"/>
  <slicer name="Subcategory" xr10:uid="{00000000-0014-0000-FFFF-FFFF09000000}" cache="Slicer_Subcategory" caption="Subcategory" style="SlicerStyleDark5"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_INC_CATS" displayName="T_INC_CATS" ref="K7:K9" totalsRowShown="0" headerRowDxfId="110" dataDxfId="109">
  <tableColumns count="1">
    <tableColumn id="1" xr3:uid="{00000000-0010-0000-0000-000001000000}" name="INCOME CATEGORY" dataDxfId="10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_EXP_CATS" displayName="T_EXP_CATS" ref="M7:N16" totalsRowShown="0" headerRowDxfId="107" dataDxfId="106">
  <tableColumns count="2">
    <tableColumn id="1" xr3:uid="{00000000-0010-0000-0100-000001000000}" name="EXPENSE CATEGORY" dataDxfId="105"/>
    <tableColumn id="2" xr3:uid="{00000000-0010-0000-0100-000002000000}" name="MONTHLY BUDGET" dataDxfId="10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_EXP_SCATS" displayName="T_EXP_SCATS" ref="P7:P21" totalsRowShown="0" headerRowDxfId="103" dataDxfId="102">
  <tableColumns count="1">
    <tableColumn id="1" xr3:uid="{00000000-0010-0000-0200-000001000000}" name="EXPENSE SUBCATEGORY" dataDxfId="10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_TRA_CATS" displayName="T_TRA_CATS" ref="R7:R10" totalsRowShown="0" headerRowDxfId="100" dataDxfId="99">
  <tableColumns count="1">
    <tableColumn id="1" xr3:uid="{00000000-0010-0000-0300-000001000000}" name="TRANSFER CATEGORY" dataDxfId="9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_BANK_ACCTS" displayName="T_BANK_ACCTS" ref="B7:C10" totalsRowShown="0" headerRowDxfId="97" dataDxfId="96">
  <tableColumns count="2">
    <tableColumn id="1" xr3:uid="{00000000-0010-0000-0400-000001000000}" name="ACCOUNT NAME" dataDxfId="95"/>
    <tableColumn id="2" xr3:uid="{00000000-0010-0000-0400-000002000000}" name="STARTING BALANCE" dataDxfId="9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_CREDIT_ACCTS" displayName="T_CREDIT_ACCTS" ref="E7:F9" totalsRowShown="0" headerRowDxfId="93" dataDxfId="92">
  <tableColumns count="2">
    <tableColumn id="1" xr3:uid="{00000000-0010-0000-0500-000001000000}" name="ACCOUNT NAME" dataDxfId="91"/>
    <tableColumn id="2" xr3:uid="{00000000-0010-0000-0500-000002000000}" name="STARTING BALANCE" dataDxfId="9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_CASH_ACCTS" displayName="T_CASH_ACCTS" ref="H7:I8" totalsRowShown="0" headerRowDxfId="89" dataDxfId="88">
  <tableColumns count="2">
    <tableColumn id="1" xr3:uid="{00000000-0010-0000-0600-000001000000}" name="ACCOUNT NAME" dataDxfId="87"/>
    <tableColumn id="2" xr3:uid="{00000000-0010-0000-0600-000002000000}" name="STARTING BALANCE" dataDxfId="8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bl_Transactions" displayName="Tbl_Transactions" ref="A2:J103" totalsRowShown="0" headerRowDxfId="85" dataDxfId="83" headerRowBorderDxfId="84" tableBorderDxfId="82" totalsRowBorderDxfId="81">
  <autoFilter ref="A2:J103" xr:uid="{00000000-0009-0000-0100-000001000000}"/>
  <sortState xmlns:xlrd2="http://schemas.microsoft.com/office/spreadsheetml/2017/richdata2" ref="A4:J104">
    <sortCondition ref="A3:A104"/>
  </sortState>
  <tableColumns count="10">
    <tableColumn id="1" xr3:uid="{00000000-0010-0000-0700-000001000000}" name="Date" dataDxfId="80"/>
    <tableColumn id="2" xr3:uid="{00000000-0010-0000-0700-000002000000}" name="Description" dataDxfId="79"/>
    <tableColumn id="4" xr3:uid="{00000000-0010-0000-0700-000004000000}" name="Amount" dataDxfId="78"/>
    <tableColumn id="5" xr3:uid="{00000000-0010-0000-0700-000005000000}" name="Type" dataDxfId="77"/>
    <tableColumn id="6" xr3:uid="{00000000-0010-0000-0700-000006000000}" name="Category" dataDxfId="76"/>
    <tableColumn id="7" xr3:uid="{00000000-0010-0000-0700-000007000000}" name="Subcategory" dataDxfId="75"/>
    <tableColumn id="8" xr3:uid="{00000000-0010-0000-0700-000008000000}" name="Account" dataDxfId="74"/>
    <tableColumn id="9" xr3:uid="{00000000-0010-0000-0700-000009000000}" name="Comments" dataDxfId="73"/>
    <tableColumn id="3" xr3:uid="{00000000-0010-0000-0700-000003000000}" name="Year" dataDxfId="72">
      <calculatedColumnFormula>YEAR(Tbl_Transactions[[#This Row],[Date]])</calculatedColumnFormula>
    </tableColumn>
    <tableColumn id="10" xr3:uid="{00000000-0010-0000-0700-00000A000000}" name="Month" dataDxfId="71">
      <calculatedColumnFormula>TEXT(Tbl_Transactions[[#This Row],[Date]],"MMM")</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B3:O123" totalsRowShown="0" dataDxfId="62">
  <autoFilter ref="B3:O123" xr:uid="{00000000-0009-0000-0100-000003000000}"/>
  <tableColumns count="14">
    <tableColumn id="1" xr3:uid="{00000000-0010-0000-0800-000001000000}" name="Date" dataDxfId="61">
      <calculatedColumnFormula>IFERROR(IF(EOMONTH(MAX(Tbl_Transactions[Date]),ROW($B$4)-ROW($B4))&lt;MIN(Tbl_Transactions[Date]),"",EOMONTH(MAX(Tbl_Transactions[Date]),ROW($B$4)-ROW($B4))),"")</calculatedColumnFormula>
    </tableColumn>
    <tableColumn id="7" xr3:uid="{00000000-0010-0000-0800-000007000000}" name="Year" dataDxfId="60">
      <calculatedColumnFormula>IFERROR(YEAR(Table3[[#This Row],[Date]]),"")</calculatedColumnFormula>
    </tableColumn>
    <tableColumn id="8" xr3:uid="{00000000-0010-0000-0800-000008000000}" name="Month" dataDxfId="59">
      <calculatedColumnFormula>IFERROR(TEXT(Table3[[#This Row],[Date]],"mmm"),"")</calculatedColumnFormula>
    </tableColumn>
    <tableColumn id="2" xr3:uid="{00000000-0010-0000-0800-000002000000}" name="Income" dataDxfId="58">
      <calculatedColumnFormula>IF(LEN(B4)=0,"",SUMIFS(Tbl_Transactions[Amount],Tbl_Transactions[Type],"Income",Tbl_Transactions[Date],"&lt;="&amp;Monthly_Summary_Table!$B4,Tbl_Transactions[Date],"&gt;"&amp;EOMONTH(Monthly_Summary_Table!$B4,-1)))</calculatedColumnFormula>
    </tableColumn>
    <tableColumn id="3" xr3:uid="{00000000-0010-0000-0800-000003000000}" name="Expense" dataDxfId="57">
      <calculatedColumnFormula>IF(LEN(B4)=0,"",SUMIFS(Tbl_Transactions[Amount],Tbl_Transactions[Type],"Expense",Tbl_Transactions[Date],"&lt;="&amp;Monthly_Summary_Table!$B4,Tbl_Transactions[Date],"&gt;"&amp;EOMONTH(Monthly_Summary_Table!$B4,-1)))</calculatedColumnFormula>
    </tableColumn>
    <tableColumn id="4" xr3:uid="{00000000-0010-0000-0800-000004000000}" name="Savings" dataDxfId="56">
      <calculatedColumnFormula>IFERROR(Table3[[#This Row],[Income]]-Table3[[#This Row],[Expense]],"")</calculatedColumnFormula>
    </tableColumn>
    <tableColumn id="9" xr3:uid="{00000000-0010-0000-0800-000009000000}" name="Budget" dataDxfId="55">
      <calculatedColumnFormula xml:space="preserve"> IF(LEN(Table3[[#This Row],[Date]])=0,"",MonthlyBudget)</calculatedColumnFormula>
    </tableColumn>
    <tableColumn id="5" xr3:uid="{00000000-0010-0000-0800-000005000000}" name="Cumulative Savings" dataDxfId="54">
      <calculatedColumnFormula>IF(LEN(Table3[[#This Row],[Date]])=0,"",SUM(G4:$G$123))</calculatedColumnFormula>
    </tableColumn>
    <tableColumn id="6" xr3:uid="{00000000-0010-0000-0800-000006000000}" name="Net Balance" dataDxfId="53">
      <calculatedColumnFormula>IF(LEN(Table3[[#This Row],[Date]])=0,"",Table3[[#This Row],[Cumulative Savings]]+Starting_Worth)</calculatedColumnFormula>
    </tableColumn>
    <tableColumn id="10" xr3:uid="{00000000-0010-0000-0800-00000A000000}" name="ACCT INCOME" dataDxfId="52">
      <calculatedColumnFormula>IF(LEN(B4)=0,"",SUMIFS(Tbl_Transactions[Amount],Tbl_Transactions[Account],I_CHOSEN_ACCT,Tbl_Transactions[Type],"Income",Tbl_Transactions[Date],"&lt;="&amp;Monthly_Summary_Table!$B4,Tbl_Transactions[Date],"&gt;"&amp;EOMONTH(Monthly_Summary_Table!$B4,-1)))</calculatedColumnFormula>
    </tableColumn>
    <tableColumn id="11" xr3:uid="{00000000-0010-0000-0800-00000B000000}" name="ACCT EXPENSE" dataDxfId="51">
      <calculatedColumnFormula>IF(LEN(B4)=0,"",SUMIFS(Tbl_Transactions[Amount],Tbl_Transactions[Account],I_CHOSEN_ACCT,Tbl_Transactions[Type],"Expense",Tbl_Transactions[Date],"&lt;="&amp;Monthly_Summary_Table!$B4,Tbl_Transactions[Date],"&gt;"&amp;EOMONTH(Monthly_Summary_Table!$B4,-1)))</calculatedColumnFormula>
    </tableColumn>
    <tableColumn id="12" xr3:uid="{00000000-0010-0000-0800-00000C000000}" name="ACCT TRANSFERS" dataDxfId="50">
      <calculatedColumnFormula>IF(LEN(B4)=0,"",SUMIFS(Tbl_Transactions[Amount],Tbl_Transactions[Account],I_CHOSEN_ACCT,Tbl_Transactions[Type],"Transfer",Tbl_Transactions[Date],"&lt;="&amp;Monthly_Summary_Table!$B4,Tbl_Transactions[Date],"&gt;"&amp;EOMONTH(Monthly_Summary_Table!$B4,-1)))</calculatedColumnFormula>
    </tableColumn>
    <tableColumn id="13" xr3:uid="{00000000-0010-0000-0800-00000D000000}" name="ACCT BALANCE" dataDxfId="49">
      <calculatedColumnFormula>IFERROR(Table3[[#This Row],[ACCT INCOME]]-Table3[[#This Row],[ACCT EXPENSE]]+Table3[[#This Row],[ACCT TRANSFERS]],"")</calculatedColumnFormula>
    </tableColumn>
    <tableColumn id="14" xr3:uid="{00000000-0010-0000-0800-00000E000000}" name="ACCT CUM BALANCE" dataDxfId="48">
      <calculatedColumnFormula>IF(LEN(Table3[[#This Row],[Date]])=0,"",SUM(N4:$N$123)+IF(I_CHOSEN_ACCTTYPE="BANK",INDEX(T_BANK_ACCTS[STARTING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66"/>
  <sheetViews>
    <sheetView tabSelected="1" zoomScaleNormal="100" workbookViewId="0">
      <selection activeCell="H15" sqref="H15"/>
    </sheetView>
  </sheetViews>
  <sheetFormatPr defaultColWidth="0" defaultRowHeight="14.4" x14ac:dyDescent="0.3"/>
  <cols>
    <col min="1" max="1" width="2.88671875" style="60" customWidth="1"/>
    <col min="2" max="2" width="20.77734375" style="12" customWidth="1"/>
    <col min="3" max="3" width="11.21875" style="12" customWidth="1"/>
    <col min="4" max="4" width="7.77734375" style="12" customWidth="1"/>
    <col min="5" max="5" width="20.77734375" style="12" customWidth="1"/>
    <col min="6" max="6" width="11.21875" style="12" customWidth="1"/>
    <col min="7" max="7" width="7.77734375" style="12" customWidth="1"/>
    <col min="8" max="8" width="20.77734375" style="12" customWidth="1"/>
    <col min="9" max="9" width="11.21875" style="12" customWidth="1"/>
    <col min="10" max="10" width="7.77734375" style="12" customWidth="1"/>
    <col min="11" max="11" width="19.33203125" style="12" bestFit="1" customWidth="1"/>
    <col min="12" max="12" width="7.77734375" style="12" customWidth="1"/>
    <col min="13" max="13" width="15.77734375" style="12" customWidth="1"/>
    <col min="14" max="14" width="12.6640625" style="12" customWidth="1"/>
    <col min="15" max="15" width="7.77734375" style="12" customWidth="1"/>
    <col min="16" max="16" width="17.109375" style="12" customWidth="1"/>
    <col min="17" max="17" width="4.77734375" style="12" customWidth="1"/>
    <col min="18" max="18" width="20.88671875" style="12" bestFit="1" customWidth="1"/>
    <col min="19" max="23" width="0" style="12" hidden="1" customWidth="1"/>
    <col min="24" max="16384" width="9.109375" style="12" hidden="1"/>
  </cols>
  <sheetData>
    <row r="1" spans="1:18" s="18" customFormat="1" ht="42.6" customHeight="1" x14ac:dyDescent="0.3"/>
    <row r="2" spans="1:18" ht="18.600000000000001" customHeight="1" x14ac:dyDescent="0.3">
      <c r="A2" s="106"/>
      <c r="B2" s="83"/>
      <c r="C2" s="83"/>
      <c r="D2" s="83"/>
      <c r="E2" s="83"/>
      <c r="F2" s="83"/>
      <c r="G2" s="83"/>
      <c r="H2" s="83"/>
      <c r="I2" s="83"/>
      <c r="J2" s="83"/>
      <c r="K2" s="83"/>
      <c r="L2" s="83"/>
      <c r="M2" s="104"/>
      <c r="N2" s="104"/>
      <c r="O2" s="83"/>
      <c r="P2" s="103"/>
      <c r="Q2" s="104"/>
      <c r="R2" s="104"/>
    </row>
    <row r="3" spans="1:18" ht="30.6" customHeight="1" x14ac:dyDescent="0.3">
      <c r="A3" s="83"/>
      <c r="B3" s="83"/>
      <c r="C3" s="83"/>
      <c r="D3" s="83"/>
      <c r="E3" s="83"/>
      <c r="F3" s="83"/>
      <c r="G3" s="83"/>
      <c r="H3" s="83"/>
      <c r="I3" s="83"/>
      <c r="J3" s="83"/>
      <c r="K3" s="83"/>
      <c r="L3" s="83"/>
      <c r="M3" s="83"/>
      <c r="N3" s="83"/>
      <c r="O3" s="83"/>
      <c r="P3" s="83"/>
      <c r="Q3" s="83"/>
      <c r="R3" s="83"/>
    </row>
    <row r="4" spans="1:18" ht="105.6" customHeight="1" x14ac:dyDescent="0.3">
      <c r="A4" s="17"/>
      <c r="B4" s="83"/>
      <c r="C4" s="83"/>
      <c r="D4" s="83"/>
      <c r="E4" s="83"/>
      <c r="F4" s="83"/>
      <c r="G4" s="83"/>
      <c r="H4" s="83"/>
      <c r="I4" s="83"/>
      <c r="J4" s="83"/>
      <c r="K4" s="18"/>
      <c r="L4" s="18"/>
      <c r="M4" s="83"/>
      <c r="N4" s="83"/>
      <c r="O4" s="83"/>
      <c r="P4" s="106"/>
      <c r="Q4" s="106"/>
      <c r="R4" s="106"/>
    </row>
    <row r="5" spans="1:18" ht="15" customHeight="1" x14ac:dyDescent="0.3">
      <c r="A5" s="108"/>
      <c r="B5" s="110" t="s">
        <v>62</v>
      </c>
      <c r="C5" s="83"/>
      <c r="D5" s="83"/>
      <c r="E5" s="110" t="s">
        <v>62</v>
      </c>
      <c r="F5" s="83"/>
      <c r="G5" s="83"/>
      <c r="H5" s="110"/>
      <c r="I5" s="83"/>
      <c r="J5" s="83"/>
      <c r="K5" s="83"/>
      <c r="L5" s="83"/>
      <c r="M5" s="83"/>
      <c r="N5" s="83"/>
      <c r="O5" s="83"/>
      <c r="P5" s="106"/>
      <c r="Q5" s="106"/>
      <c r="R5" s="106"/>
    </row>
    <row r="6" spans="1:18" ht="15" customHeight="1" x14ac:dyDescent="0.3">
      <c r="A6" s="106"/>
      <c r="B6" s="168" t="s">
        <v>15</v>
      </c>
      <c r="C6" s="168"/>
      <c r="D6" s="83"/>
      <c r="E6" s="168" t="s">
        <v>16</v>
      </c>
      <c r="F6" s="168"/>
      <c r="G6" s="83"/>
      <c r="H6" s="168" t="s">
        <v>60</v>
      </c>
      <c r="I6" s="168"/>
      <c r="J6" s="139"/>
      <c r="K6" s="165" t="s">
        <v>43</v>
      </c>
      <c r="L6" s="83"/>
      <c r="M6" s="168" t="s">
        <v>77</v>
      </c>
      <c r="N6" s="168"/>
      <c r="O6" s="139"/>
      <c r="P6" s="163" t="s">
        <v>78</v>
      </c>
      <c r="Q6" s="143"/>
      <c r="R6" s="164" t="s">
        <v>44</v>
      </c>
    </row>
    <row r="7" spans="1:18" ht="34.5" customHeight="1" x14ac:dyDescent="0.3">
      <c r="A7" s="106"/>
      <c r="B7" s="83" t="s">
        <v>50</v>
      </c>
      <c r="C7" s="140" t="s">
        <v>51</v>
      </c>
      <c r="D7" s="83"/>
      <c r="E7" s="83" t="s">
        <v>50</v>
      </c>
      <c r="F7" s="140" t="s">
        <v>51</v>
      </c>
      <c r="G7" s="83"/>
      <c r="H7" s="83" t="s">
        <v>50</v>
      </c>
      <c r="I7" s="140" t="s">
        <v>51</v>
      </c>
      <c r="J7" s="83"/>
      <c r="K7" s="142" t="s">
        <v>47</v>
      </c>
      <c r="L7" s="83"/>
      <c r="M7" s="141" t="s">
        <v>45</v>
      </c>
      <c r="N7" s="141" t="s">
        <v>46</v>
      </c>
      <c r="O7" s="83"/>
      <c r="P7" s="141" t="s">
        <v>48</v>
      </c>
      <c r="Q7" s="104"/>
      <c r="R7" s="144" t="s">
        <v>49</v>
      </c>
    </row>
    <row r="8" spans="1:18" x14ac:dyDescent="0.3">
      <c r="A8" s="106"/>
      <c r="B8" s="83" t="s">
        <v>81</v>
      </c>
      <c r="C8" s="83">
        <v>17500</v>
      </c>
      <c r="D8" s="83"/>
      <c r="E8" s="83" t="s">
        <v>86</v>
      </c>
      <c r="F8" s="83">
        <v>0</v>
      </c>
      <c r="G8" s="83"/>
      <c r="H8" s="83" t="s">
        <v>82</v>
      </c>
      <c r="I8" s="83">
        <v>1200</v>
      </c>
      <c r="J8" s="83"/>
      <c r="K8" s="104" t="s">
        <v>83</v>
      </c>
      <c r="L8" s="83"/>
      <c r="M8" s="104" t="s">
        <v>89</v>
      </c>
      <c r="N8" s="104">
        <v>750</v>
      </c>
      <c r="O8" s="83"/>
      <c r="P8" s="104" t="s">
        <v>97</v>
      </c>
      <c r="Q8" s="104"/>
      <c r="R8" s="103" t="s">
        <v>109</v>
      </c>
    </row>
    <row r="9" spans="1:18" x14ac:dyDescent="0.3">
      <c r="A9" s="106"/>
      <c r="B9" s="83" t="s">
        <v>85</v>
      </c>
      <c r="C9" s="83">
        <v>9000</v>
      </c>
      <c r="D9" s="83"/>
      <c r="E9" s="83" t="s">
        <v>87</v>
      </c>
      <c r="F9" s="83">
        <v>-3500</v>
      </c>
      <c r="G9" s="83"/>
      <c r="H9" s="83"/>
      <c r="I9" s="83"/>
      <c r="J9" s="83"/>
      <c r="K9" s="104" t="s">
        <v>88</v>
      </c>
      <c r="L9" s="83"/>
      <c r="M9" s="104" t="s">
        <v>90</v>
      </c>
      <c r="N9" s="104">
        <v>750</v>
      </c>
      <c r="O9" s="83"/>
      <c r="P9" s="103" t="s">
        <v>98</v>
      </c>
      <c r="Q9" s="104"/>
      <c r="R9" s="104" t="s">
        <v>110</v>
      </c>
    </row>
    <row r="10" spans="1:18" x14ac:dyDescent="0.3">
      <c r="A10" s="106"/>
      <c r="B10" s="83" t="s">
        <v>138</v>
      </c>
      <c r="C10" s="83">
        <v>2000</v>
      </c>
      <c r="D10" s="83"/>
      <c r="E10" s="83"/>
      <c r="F10" s="83"/>
      <c r="G10" s="83"/>
      <c r="H10" s="83"/>
      <c r="I10" s="83"/>
      <c r="J10" s="83"/>
      <c r="K10" s="83"/>
      <c r="L10" s="83"/>
      <c r="M10" s="104" t="s">
        <v>91</v>
      </c>
      <c r="N10" s="104">
        <v>800</v>
      </c>
      <c r="O10" s="83"/>
      <c r="P10" s="103" t="s">
        <v>99</v>
      </c>
      <c r="Q10" s="104"/>
      <c r="R10" s="104" t="s">
        <v>111</v>
      </c>
    </row>
    <row r="11" spans="1:18" x14ac:dyDescent="0.3">
      <c r="A11" s="106"/>
      <c r="B11" s="83"/>
      <c r="C11" s="83"/>
      <c r="D11" s="83"/>
      <c r="E11" s="83"/>
      <c r="F11" s="83"/>
      <c r="G11" s="83"/>
      <c r="H11" s="83"/>
      <c r="I11" s="83"/>
      <c r="J11" s="83"/>
      <c r="K11" s="83"/>
      <c r="L11" s="83"/>
      <c r="M11" s="104" t="s">
        <v>92</v>
      </c>
      <c r="N11" s="104">
        <v>1200</v>
      </c>
      <c r="O11" s="83"/>
      <c r="P11" s="103" t="s">
        <v>100</v>
      </c>
      <c r="Q11" s="104"/>
      <c r="R11" s="104"/>
    </row>
    <row r="12" spans="1:18" x14ac:dyDescent="0.3">
      <c r="A12" s="106"/>
      <c r="B12" s="83"/>
      <c r="C12" s="83"/>
      <c r="D12" s="83"/>
      <c r="E12" s="83"/>
      <c r="F12" s="83"/>
      <c r="G12" s="83"/>
      <c r="H12" s="83"/>
      <c r="I12" s="83"/>
      <c r="J12" s="83"/>
      <c r="K12" s="83"/>
      <c r="L12" s="83"/>
      <c r="M12" s="104" t="s">
        <v>93</v>
      </c>
      <c r="N12" s="104">
        <v>850</v>
      </c>
      <c r="O12" s="83"/>
      <c r="P12" s="103" t="s">
        <v>101</v>
      </c>
      <c r="Q12" s="104"/>
      <c r="R12" s="104"/>
    </row>
    <row r="13" spans="1:18" x14ac:dyDescent="0.3">
      <c r="A13" s="106"/>
      <c r="B13" s="83"/>
      <c r="C13" s="83"/>
      <c r="D13" s="83"/>
      <c r="E13" s="83"/>
      <c r="F13" s="83"/>
      <c r="G13" s="83"/>
      <c r="H13" s="83"/>
      <c r="I13" s="83"/>
      <c r="J13" s="83"/>
      <c r="K13" s="83"/>
      <c r="L13" s="83"/>
      <c r="M13" s="104" t="s">
        <v>94</v>
      </c>
      <c r="N13" s="104">
        <v>600</v>
      </c>
      <c r="O13" s="83"/>
      <c r="P13" s="103" t="s">
        <v>102</v>
      </c>
      <c r="Q13" s="104"/>
      <c r="R13" s="104"/>
    </row>
    <row r="14" spans="1:18" x14ac:dyDescent="0.3">
      <c r="A14" s="106"/>
      <c r="B14" s="83"/>
      <c r="C14" s="83"/>
      <c r="D14" s="83"/>
      <c r="E14" s="83"/>
      <c r="F14" s="83"/>
      <c r="G14" s="83"/>
      <c r="H14" s="83"/>
      <c r="I14" s="83"/>
      <c r="J14" s="83"/>
      <c r="K14" s="83"/>
      <c r="L14" s="83"/>
      <c r="M14" s="104" t="s">
        <v>95</v>
      </c>
      <c r="N14" s="104">
        <v>2500</v>
      </c>
      <c r="O14" s="83"/>
      <c r="P14" s="103" t="s">
        <v>103</v>
      </c>
      <c r="Q14" s="104"/>
      <c r="R14" s="104"/>
    </row>
    <row r="15" spans="1:18" x14ac:dyDescent="0.3">
      <c r="A15" s="106"/>
      <c r="B15" s="83"/>
      <c r="C15" s="83"/>
      <c r="D15" s="83"/>
      <c r="E15" s="83"/>
      <c r="F15" s="83"/>
      <c r="G15" s="83"/>
      <c r="H15" s="83"/>
      <c r="I15" s="83"/>
      <c r="J15" s="83"/>
      <c r="K15" s="83"/>
      <c r="L15" s="83"/>
      <c r="M15" s="104" t="s">
        <v>96</v>
      </c>
      <c r="N15" s="104">
        <v>1500</v>
      </c>
      <c r="O15" s="83"/>
      <c r="P15" s="104" t="s">
        <v>92</v>
      </c>
      <c r="Q15" s="104"/>
      <c r="R15" s="104"/>
    </row>
    <row r="16" spans="1:18" x14ac:dyDescent="0.3">
      <c r="A16" s="106"/>
      <c r="B16" s="83"/>
      <c r="C16" s="83"/>
      <c r="D16" s="83"/>
      <c r="E16" s="83"/>
      <c r="F16" s="83"/>
      <c r="G16" s="83"/>
      <c r="H16" s="83"/>
      <c r="I16" s="83"/>
      <c r="J16" s="83"/>
      <c r="K16" s="83"/>
      <c r="L16" s="83"/>
      <c r="M16" s="104" t="s">
        <v>133</v>
      </c>
      <c r="N16" s="104">
        <v>500</v>
      </c>
      <c r="O16" s="83"/>
      <c r="P16" s="104" t="s">
        <v>93</v>
      </c>
      <c r="Q16" s="104"/>
      <c r="R16" s="104"/>
    </row>
    <row r="17" spans="1:18" x14ac:dyDescent="0.3">
      <c r="A17" s="106"/>
      <c r="B17" s="83"/>
      <c r="C17" s="83"/>
      <c r="D17" s="83"/>
      <c r="E17" s="83"/>
      <c r="F17" s="83"/>
      <c r="G17" s="83"/>
      <c r="H17" s="83"/>
      <c r="I17" s="83"/>
      <c r="J17" s="83"/>
      <c r="K17" s="83"/>
      <c r="L17" s="83"/>
      <c r="M17" s="18"/>
      <c r="N17" s="18"/>
      <c r="O17" s="83"/>
      <c r="P17" s="104" t="s">
        <v>104</v>
      </c>
      <c r="Q17" s="104"/>
      <c r="R17" s="104"/>
    </row>
    <row r="18" spans="1:18" x14ac:dyDescent="0.3">
      <c r="A18" s="106"/>
      <c r="B18" s="83"/>
      <c r="C18" s="83"/>
      <c r="D18" s="83"/>
      <c r="E18" s="83"/>
      <c r="F18" s="83"/>
      <c r="G18" s="83"/>
      <c r="H18" s="83"/>
      <c r="I18" s="83"/>
      <c r="J18" s="83"/>
      <c r="K18" s="83"/>
      <c r="L18" s="83"/>
      <c r="M18" s="18"/>
      <c r="N18" s="18"/>
      <c r="O18" s="83"/>
      <c r="P18" s="104" t="s">
        <v>105</v>
      </c>
      <c r="Q18" s="104"/>
      <c r="R18" s="104"/>
    </row>
    <row r="19" spans="1:18" x14ac:dyDescent="0.3">
      <c r="A19" s="106"/>
      <c r="B19" s="83"/>
      <c r="C19" s="83"/>
      <c r="D19" s="83"/>
      <c r="E19" s="83"/>
      <c r="F19" s="83"/>
      <c r="G19" s="83"/>
      <c r="H19" s="83"/>
      <c r="I19" s="83"/>
      <c r="J19" s="83"/>
      <c r="K19" s="83"/>
      <c r="L19" s="83"/>
      <c r="M19" s="18"/>
      <c r="N19" s="18"/>
      <c r="O19" s="83"/>
      <c r="P19" s="104" t="s">
        <v>106</v>
      </c>
      <c r="Q19" s="104"/>
      <c r="R19" s="103"/>
    </row>
    <row r="20" spans="1:18" x14ac:dyDescent="0.3">
      <c r="A20" s="106"/>
      <c r="B20" s="83"/>
      <c r="C20" s="83"/>
      <c r="D20" s="83"/>
      <c r="E20" s="83"/>
      <c r="F20" s="83"/>
      <c r="G20" s="83"/>
      <c r="H20" s="83"/>
      <c r="I20" s="83"/>
      <c r="J20" s="83"/>
      <c r="K20" s="83"/>
      <c r="L20" s="83"/>
      <c r="M20" s="18"/>
      <c r="N20" s="18"/>
      <c r="O20" s="83"/>
      <c r="P20" s="104" t="s">
        <v>107</v>
      </c>
      <c r="Q20" s="104"/>
      <c r="R20" s="14"/>
    </row>
    <row r="21" spans="1:18" x14ac:dyDescent="0.3">
      <c r="A21" s="106"/>
      <c r="B21" s="18"/>
      <c r="C21" s="18"/>
      <c r="D21" s="83"/>
      <c r="E21" s="18"/>
      <c r="F21" s="18"/>
      <c r="G21" s="83"/>
      <c r="H21" s="83"/>
      <c r="I21" s="83"/>
      <c r="J21" s="83"/>
      <c r="K21" s="18"/>
      <c r="L21" s="83"/>
      <c r="M21" s="83"/>
      <c r="N21" s="83"/>
      <c r="O21" s="83"/>
      <c r="P21" s="104" t="s">
        <v>108</v>
      </c>
      <c r="Q21" s="103"/>
      <c r="R21" s="14"/>
    </row>
    <row r="22" spans="1:18" ht="15" customHeight="1" x14ac:dyDescent="0.3">
      <c r="A22" s="106"/>
      <c r="B22" s="18"/>
      <c r="C22" s="18"/>
      <c r="D22" s="18"/>
      <c r="E22" s="18"/>
      <c r="F22" s="18"/>
      <c r="G22" s="18"/>
      <c r="H22" s="18"/>
      <c r="I22" s="18"/>
      <c r="J22" s="18"/>
      <c r="K22" s="18"/>
      <c r="L22" s="18"/>
      <c r="M22" s="83"/>
      <c r="N22" s="83"/>
      <c r="O22" s="18"/>
      <c r="P22" s="83"/>
      <c r="Q22" s="14"/>
      <c r="R22" s="14"/>
    </row>
    <row r="23" spans="1:18" ht="15" customHeight="1" x14ac:dyDescent="0.3">
      <c r="A23" s="106"/>
      <c r="B23" s="18"/>
      <c r="C23" s="18"/>
      <c r="D23" s="18"/>
      <c r="E23" s="18"/>
      <c r="F23" s="18"/>
      <c r="G23" s="18"/>
      <c r="H23" s="18"/>
      <c r="I23" s="18"/>
      <c r="J23" s="18"/>
      <c r="K23" s="18"/>
      <c r="L23" s="18"/>
      <c r="M23" s="83"/>
      <c r="N23" s="83"/>
      <c r="O23" s="18"/>
      <c r="P23" s="83"/>
      <c r="Q23" s="14"/>
      <c r="R23" s="14"/>
    </row>
    <row r="24" spans="1:18" ht="15" customHeight="1" x14ac:dyDescent="0.3">
      <c r="A24" s="106"/>
      <c r="B24" s="18"/>
      <c r="C24" s="18"/>
      <c r="D24" s="18"/>
      <c r="E24" s="18"/>
      <c r="F24" s="18"/>
      <c r="G24" s="18"/>
      <c r="H24" s="18"/>
      <c r="I24" s="18"/>
      <c r="J24" s="18"/>
      <c r="K24" s="18"/>
      <c r="L24" s="18"/>
      <c r="M24" s="83"/>
      <c r="N24" s="83"/>
      <c r="O24" s="18"/>
      <c r="P24" s="83"/>
      <c r="Q24" s="14"/>
      <c r="R24" s="14"/>
    </row>
    <row r="25" spans="1:18" ht="30" customHeight="1" x14ac:dyDescent="0.3">
      <c r="A25" s="106"/>
      <c r="B25" s="18"/>
      <c r="C25" s="18"/>
      <c r="D25" s="18"/>
      <c r="E25" s="18"/>
      <c r="F25" s="18"/>
      <c r="G25" s="18"/>
      <c r="H25" s="18"/>
      <c r="I25" s="18"/>
      <c r="J25" s="18"/>
      <c r="K25" s="18"/>
      <c r="L25" s="18"/>
      <c r="M25" s="83"/>
      <c r="N25" s="83"/>
      <c r="O25" s="18"/>
      <c r="P25" s="83"/>
      <c r="Q25" s="14"/>
      <c r="R25" s="14"/>
    </row>
    <row r="26" spans="1:18" ht="15" customHeight="1" x14ac:dyDescent="0.3">
      <c r="A26" s="106"/>
      <c r="B26" s="18"/>
      <c r="C26" s="18"/>
      <c r="D26" s="18"/>
      <c r="E26" s="18"/>
      <c r="F26" s="18"/>
      <c r="G26" s="18"/>
      <c r="H26" s="18"/>
      <c r="I26" s="18"/>
      <c r="J26" s="18"/>
      <c r="K26" s="18"/>
      <c r="L26" s="18"/>
      <c r="M26" s="83"/>
      <c r="N26" s="83"/>
      <c r="O26" s="18"/>
      <c r="P26" s="83"/>
      <c r="Q26" s="14"/>
      <c r="R26" s="83"/>
    </row>
    <row r="27" spans="1:18" x14ac:dyDescent="0.3">
      <c r="A27" s="106"/>
      <c r="B27" s="83"/>
      <c r="C27" s="83"/>
      <c r="D27" s="18"/>
      <c r="E27" s="83"/>
      <c r="F27" s="83"/>
      <c r="G27" s="18"/>
      <c r="H27" s="18"/>
      <c r="I27" s="18"/>
      <c r="J27" s="18"/>
      <c r="K27" s="83"/>
      <c r="L27" s="18"/>
      <c r="M27" s="83"/>
      <c r="N27" s="83"/>
      <c r="O27" s="18"/>
      <c r="P27" s="107"/>
      <c r="Q27" s="14"/>
      <c r="R27" s="83"/>
    </row>
    <row r="28" spans="1:18" s="83" customFormat="1" x14ac:dyDescent="0.3">
      <c r="P28" s="107"/>
    </row>
    <row r="29" spans="1:18" s="83" customFormat="1" x14ac:dyDescent="0.3">
      <c r="P29" s="107"/>
    </row>
    <row r="30" spans="1:18" s="83" customFormat="1" x14ac:dyDescent="0.3">
      <c r="P30" s="107"/>
    </row>
    <row r="31" spans="1:18" s="83" customFormat="1" ht="15" customHeight="1" x14ac:dyDescent="0.3">
      <c r="P31" s="107"/>
    </row>
    <row r="32" spans="1:18" s="83" customFormat="1" x14ac:dyDescent="0.3">
      <c r="P32" s="103"/>
    </row>
    <row r="33" spans="1:18" s="83" customFormat="1" x14ac:dyDescent="0.3">
      <c r="M33" s="101"/>
      <c r="N33" s="101"/>
      <c r="P33" s="103"/>
    </row>
    <row r="34" spans="1:18" s="83" customFormat="1" x14ac:dyDescent="0.3">
      <c r="M34" s="101"/>
      <c r="N34" s="101"/>
      <c r="P34" s="103"/>
    </row>
    <row r="35" spans="1:18" s="83" customFormat="1" x14ac:dyDescent="0.3">
      <c r="M35" s="101"/>
      <c r="N35" s="101"/>
      <c r="P35" s="103"/>
    </row>
    <row r="36" spans="1:18" s="83" customFormat="1" x14ac:dyDescent="0.3">
      <c r="M36" s="101"/>
      <c r="N36" s="101"/>
      <c r="P36" s="14"/>
    </row>
    <row r="37" spans="1:18" s="83" customFormat="1" x14ac:dyDescent="0.3">
      <c r="M37" s="101"/>
      <c r="N37" s="101"/>
      <c r="P37" s="14"/>
    </row>
    <row r="38" spans="1:18" s="83" customFormat="1" x14ac:dyDescent="0.3">
      <c r="M38" s="103"/>
      <c r="N38" s="103"/>
      <c r="P38" s="14"/>
      <c r="R38" s="107"/>
    </row>
    <row r="39" spans="1:18" s="83" customFormat="1" x14ac:dyDescent="0.3">
      <c r="B39" s="102"/>
      <c r="C39" s="102"/>
      <c r="E39" s="102"/>
      <c r="F39" s="101"/>
      <c r="K39" s="101"/>
      <c r="M39" s="103"/>
      <c r="N39" s="103"/>
      <c r="P39" s="14"/>
      <c r="R39" s="107"/>
    </row>
    <row r="40" spans="1:18" x14ac:dyDescent="0.3">
      <c r="A40" s="16"/>
      <c r="B40" s="105"/>
      <c r="C40" s="102"/>
      <c r="D40" s="102"/>
      <c r="E40" s="102"/>
      <c r="F40" s="101"/>
      <c r="G40" s="18"/>
      <c r="H40" s="101"/>
      <c r="I40" s="101"/>
      <c r="J40" s="101"/>
      <c r="K40" s="101"/>
      <c r="L40" s="101"/>
      <c r="M40" s="103"/>
      <c r="N40" s="103"/>
      <c r="O40" s="101"/>
      <c r="P40" s="14"/>
      <c r="Q40" s="107"/>
      <c r="R40" s="107"/>
    </row>
    <row r="41" spans="1:18" x14ac:dyDescent="0.3">
      <c r="A41" s="16"/>
      <c r="B41" s="105"/>
      <c r="C41" s="102"/>
      <c r="D41" s="102"/>
      <c r="E41" s="102"/>
      <c r="F41" s="101"/>
      <c r="G41" s="18"/>
      <c r="H41" s="101"/>
      <c r="I41" s="101"/>
      <c r="J41" s="101"/>
      <c r="K41" s="101"/>
      <c r="L41" s="101"/>
      <c r="M41" s="104"/>
      <c r="N41" s="104"/>
      <c r="O41" s="101"/>
      <c r="P41" s="14"/>
      <c r="Q41" s="107"/>
      <c r="R41" s="107"/>
    </row>
    <row r="42" spans="1:18" x14ac:dyDescent="0.3">
      <c r="A42" s="16"/>
      <c r="B42" s="105"/>
      <c r="C42" s="102"/>
      <c r="D42" s="102"/>
      <c r="E42" s="102"/>
      <c r="F42" s="101"/>
      <c r="G42" s="18"/>
      <c r="H42" s="101"/>
      <c r="I42" s="101"/>
      <c r="J42" s="101"/>
      <c r="K42" s="101"/>
      <c r="L42" s="101"/>
      <c r="M42" s="18"/>
      <c r="N42" s="18"/>
      <c r="O42" s="101"/>
      <c r="P42" s="14"/>
      <c r="Q42" s="107"/>
      <c r="R42" s="107"/>
    </row>
    <row r="43" spans="1:18" x14ac:dyDescent="0.3">
      <c r="A43" s="16"/>
      <c r="B43" s="105"/>
      <c r="C43" s="102"/>
      <c r="D43" s="102"/>
      <c r="E43" s="102"/>
      <c r="F43" s="101"/>
      <c r="G43" s="18"/>
      <c r="H43" s="101"/>
      <c r="I43" s="101"/>
      <c r="J43" s="101"/>
      <c r="K43" s="101"/>
      <c r="L43" s="101"/>
      <c r="M43" s="18"/>
      <c r="N43" s="18"/>
      <c r="O43" s="101"/>
      <c r="P43" s="14"/>
      <c r="Q43" s="107"/>
      <c r="R43" s="103"/>
    </row>
    <row r="44" spans="1:18" x14ac:dyDescent="0.3">
      <c r="A44" s="16"/>
      <c r="B44" s="105"/>
      <c r="C44" s="103"/>
      <c r="D44" s="102"/>
      <c r="E44" s="103"/>
      <c r="F44" s="103"/>
      <c r="G44" s="18"/>
      <c r="H44" s="101"/>
      <c r="I44" s="101"/>
      <c r="J44" s="101"/>
      <c r="K44" s="103"/>
      <c r="L44" s="101"/>
      <c r="M44" s="18"/>
      <c r="N44" s="18"/>
      <c r="O44" s="101"/>
      <c r="P44" s="14"/>
      <c r="Q44" s="107"/>
      <c r="R44" s="103"/>
    </row>
    <row r="45" spans="1:18" x14ac:dyDescent="0.3">
      <c r="A45" s="14"/>
      <c r="B45" s="105"/>
      <c r="C45" s="103"/>
      <c r="D45" s="103"/>
      <c r="E45" s="103"/>
      <c r="F45" s="103"/>
      <c r="G45" s="18"/>
      <c r="H45" s="103"/>
      <c r="I45" s="103"/>
      <c r="J45" s="103"/>
      <c r="K45" s="103"/>
      <c r="L45" s="103"/>
      <c r="M45" s="18"/>
      <c r="N45" s="18"/>
      <c r="O45" s="103"/>
      <c r="P45" s="14"/>
      <c r="Q45" s="103"/>
      <c r="R45" s="103"/>
    </row>
    <row r="46" spans="1:18" x14ac:dyDescent="0.3">
      <c r="A46" s="14"/>
      <c r="B46" s="103"/>
      <c r="C46" s="103"/>
      <c r="D46" s="103"/>
      <c r="E46" s="103"/>
      <c r="F46" s="103"/>
      <c r="G46" s="103"/>
      <c r="H46" s="103"/>
      <c r="I46" s="103"/>
      <c r="J46" s="103"/>
      <c r="K46" s="103"/>
      <c r="L46" s="103"/>
      <c r="M46" s="18"/>
      <c r="N46" s="18"/>
      <c r="O46" s="103"/>
      <c r="P46" s="14"/>
      <c r="Q46" s="103"/>
      <c r="R46" s="103"/>
    </row>
    <row r="47" spans="1:18" x14ac:dyDescent="0.3">
      <c r="A47" s="14"/>
      <c r="B47" s="104"/>
      <c r="C47" s="104"/>
      <c r="D47" s="103"/>
      <c r="E47" s="104"/>
      <c r="F47" s="104"/>
      <c r="G47" s="103"/>
      <c r="H47" s="103"/>
      <c r="I47" s="103"/>
      <c r="J47" s="103"/>
      <c r="K47" s="104"/>
      <c r="L47" s="103"/>
      <c r="M47" s="18"/>
      <c r="N47" s="18"/>
      <c r="O47" s="103"/>
      <c r="P47" s="14"/>
      <c r="Q47" s="103"/>
      <c r="R47" s="14"/>
    </row>
    <row r="48" spans="1:18" x14ac:dyDescent="0.3">
      <c r="A48" s="14"/>
      <c r="B48" s="18"/>
      <c r="C48" s="18"/>
      <c r="D48" s="104"/>
      <c r="E48" s="33"/>
      <c r="F48" s="14"/>
      <c r="G48" s="104"/>
      <c r="H48" s="104"/>
      <c r="I48" s="104"/>
      <c r="J48" s="104"/>
      <c r="K48" s="18"/>
      <c r="L48" s="104"/>
      <c r="M48" s="18"/>
      <c r="N48" s="18"/>
      <c r="O48" s="104"/>
      <c r="P48" s="14"/>
      <c r="Q48" s="103"/>
      <c r="R48" s="14"/>
    </row>
    <row r="49" spans="1:18" x14ac:dyDescent="0.3">
      <c r="A49" s="14"/>
      <c r="B49" s="18"/>
      <c r="C49" s="18"/>
      <c r="D49" s="18"/>
      <c r="E49" s="14"/>
      <c r="F49" s="14"/>
      <c r="G49" s="18"/>
      <c r="H49" s="18"/>
      <c r="I49" s="18"/>
      <c r="J49" s="18"/>
      <c r="K49" s="18"/>
      <c r="L49" s="18"/>
      <c r="M49" s="18"/>
      <c r="N49" s="18"/>
      <c r="O49" s="18"/>
      <c r="P49" s="14"/>
      <c r="Q49" s="14"/>
      <c r="R49" s="14"/>
    </row>
    <row r="50" spans="1:18" x14ac:dyDescent="0.3">
      <c r="A50" s="14"/>
      <c r="B50" s="18"/>
      <c r="C50" s="18"/>
      <c r="D50" s="18"/>
      <c r="E50" s="14"/>
      <c r="F50" s="14"/>
      <c r="G50" s="18"/>
      <c r="H50" s="18"/>
      <c r="I50" s="18"/>
      <c r="J50" s="18"/>
      <c r="K50" s="18"/>
      <c r="L50" s="18"/>
      <c r="M50" s="18"/>
      <c r="N50" s="18"/>
      <c r="O50" s="18"/>
      <c r="P50" s="14"/>
      <c r="Q50" s="14"/>
      <c r="R50" s="14"/>
    </row>
    <row r="51" spans="1:18" x14ac:dyDescent="0.3">
      <c r="A51" s="14"/>
      <c r="B51" s="18"/>
      <c r="C51" s="18"/>
      <c r="D51" s="18"/>
      <c r="E51" s="14"/>
      <c r="F51" s="14"/>
      <c r="G51" s="18"/>
      <c r="H51" s="18"/>
      <c r="I51" s="18"/>
      <c r="J51" s="18"/>
      <c r="K51" s="18"/>
      <c r="L51" s="18"/>
      <c r="M51" s="18"/>
      <c r="N51" s="18"/>
      <c r="O51" s="18"/>
      <c r="P51" s="14"/>
      <c r="Q51" s="14"/>
      <c r="R51" s="14"/>
    </row>
    <row r="52" spans="1:18" x14ac:dyDescent="0.3">
      <c r="A52" s="14"/>
      <c r="B52" s="18"/>
      <c r="C52" s="18"/>
      <c r="D52" s="18"/>
      <c r="E52" s="14"/>
      <c r="F52" s="14"/>
      <c r="G52" s="18"/>
      <c r="H52" s="18"/>
      <c r="I52" s="18"/>
      <c r="J52" s="18"/>
      <c r="K52" s="18"/>
      <c r="L52" s="18"/>
      <c r="M52" s="18"/>
      <c r="N52" s="18"/>
      <c r="O52" s="18"/>
      <c r="P52" s="14"/>
      <c r="Q52" s="14"/>
      <c r="R52" s="14"/>
    </row>
    <row r="53" spans="1:18" x14ac:dyDescent="0.3">
      <c r="A53" s="14"/>
      <c r="B53" s="18"/>
      <c r="C53" s="18"/>
      <c r="D53" s="18"/>
      <c r="E53" s="14"/>
      <c r="F53" s="14"/>
      <c r="G53" s="18"/>
      <c r="H53" s="18"/>
      <c r="I53" s="18"/>
      <c r="J53" s="18"/>
      <c r="K53" s="18"/>
      <c r="L53" s="18"/>
      <c r="M53" s="18"/>
      <c r="N53" s="18"/>
      <c r="O53" s="18"/>
      <c r="P53" s="14"/>
      <c r="Q53" s="14"/>
      <c r="R53" s="14"/>
    </row>
    <row r="54" spans="1:18" x14ac:dyDescent="0.3">
      <c r="A54" s="14"/>
      <c r="B54" s="18"/>
      <c r="C54" s="18"/>
      <c r="D54" s="18"/>
      <c r="E54" s="14"/>
      <c r="F54" s="14"/>
      <c r="G54" s="18"/>
      <c r="H54" s="18"/>
      <c r="I54" s="18"/>
      <c r="J54" s="18"/>
      <c r="K54" s="18"/>
      <c r="L54" s="18"/>
      <c r="M54" s="18"/>
      <c r="N54" s="18"/>
      <c r="O54" s="18"/>
      <c r="P54" s="18"/>
      <c r="Q54" s="14"/>
      <c r="R54" s="14"/>
    </row>
    <row r="55" spans="1:18" x14ac:dyDescent="0.3">
      <c r="A55" s="14"/>
      <c r="B55" s="18"/>
      <c r="C55" s="18"/>
      <c r="D55" s="18"/>
      <c r="E55" s="18"/>
      <c r="F55" s="18"/>
      <c r="G55" s="18"/>
      <c r="H55" s="18"/>
      <c r="I55" s="18"/>
      <c r="J55" s="18"/>
      <c r="K55" s="18"/>
      <c r="L55" s="18"/>
      <c r="M55" s="18"/>
      <c r="N55" s="18"/>
      <c r="O55" s="18"/>
      <c r="P55" s="18"/>
      <c r="Q55" s="14"/>
      <c r="R55" s="14"/>
    </row>
    <row r="56" spans="1:18" x14ac:dyDescent="0.3">
      <c r="A56" s="14"/>
      <c r="B56" s="18"/>
      <c r="C56" s="18"/>
      <c r="D56" s="18"/>
      <c r="E56" s="18"/>
      <c r="F56" s="18"/>
      <c r="G56" s="18"/>
      <c r="H56" s="18"/>
      <c r="I56" s="18"/>
      <c r="J56" s="18"/>
      <c r="K56" s="18"/>
      <c r="L56" s="18"/>
      <c r="M56" s="18"/>
      <c r="N56" s="18"/>
      <c r="O56" s="18"/>
      <c r="P56" s="18"/>
      <c r="Q56" s="14"/>
      <c r="R56" s="14"/>
    </row>
    <row r="57" spans="1:18" x14ac:dyDescent="0.3">
      <c r="A57" s="14"/>
      <c r="B57" s="18"/>
      <c r="C57" s="18"/>
      <c r="D57" s="18"/>
      <c r="E57" s="18"/>
      <c r="F57" s="18"/>
      <c r="G57" s="18"/>
      <c r="H57" s="18"/>
      <c r="I57" s="18"/>
      <c r="J57" s="18"/>
      <c r="K57" s="18"/>
      <c r="L57" s="18"/>
      <c r="M57" s="18"/>
      <c r="N57" s="18"/>
      <c r="O57" s="18"/>
      <c r="P57" s="18"/>
      <c r="Q57" s="14"/>
      <c r="R57" s="14"/>
    </row>
    <row r="58" spans="1:18" x14ac:dyDescent="0.3">
      <c r="A58" s="14"/>
      <c r="B58" s="18"/>
      <c r="C58" s="18"/>
      <c r="D58" s="18"/>
      <c r="E58" s="18"/>
      <c r="F58" s="18"/>
      <c r="G58" s="18"/>
      <c r="H58" s="18"/>
      <c r="I58" s="18"/>
      <c r="J58" s="18"/>
      <c r="K58" s="18"/>
      <c r="L58" s="18"/>
      <c r="M58" s="18"/>
      <c r="N58" s="18"/>
      <c r="O58" s="18"/>
      <c r="P58" s="18"/>
      <c r="Q58" s="14"/>
      <c r="R58" s="14"/>
    </row>
    <row r="59" spans="1:18" x14ac:dyDescent="0.3">
      <c r="A59" s="14"/>
      <c r="B59" s="18"/>
      <c r="C59" s="18"/>
      <c r="D59" s="18"/>
      <c r="E59" s="18"/>
      <c r="F59" s="18"/>
      <c r="G59" s="18"/>
      <c r="H59" s="18"/>
      <c r="I59" s="18"/>
      <c r="J59" s="18"/>
      <c r="K59" s="18"/>
      <c r="L59" s="18"/>
      <c r="M59" s="18"/>
      <c r="N59" s="18"/>
      <c r="O59" s="18"/>
      <c r="P59" s="18"/>
      <c r="Q59" s="14"/>
      <c r="R59" s="14"/>
    </row>
    <row r="60" spans="1:18" x14ac:dyDescent="0.3">
      <c r="A60" s="14"/>
      <c r="B60" s="18"/>
      <c r="C60" s="18"/>
      <c r="D60" s="18"/>
      <c r="E60" s="18"/>
      <c r="F60" s="18"/>
      <c r="G60" s="18"/>
      <c r="H60" s="18"/>
      <c r="I60" s="18"/>
      <c r="J60" s="18"/>
      <c r="K60" s="18"/>
      <c r="L60" s="18"/>
      <c r="M60" s="18"/>
      <c r="N60" s="18"/>
      <c r="O60" s="18"/>
      <c r="P60" s="18"/>
      <c r="Q60" s="14"/>
      <c r="R60" s="14"/>
    </row>
    <row r="61" spans="1:18" x14ac:dyDescent="0.3">
      <c r="Q61" s="60"/>
      <c r="R61" s="60"/>
    </row>
    <row r="62" spans="1:18" x14ac:dyDescent="0.3">
      <c r="Q62" s="60"/>
      <c r="R62" s="60"/>
    </row>
    <row r="63" spans="1:18" x14ac:dyDescent="0.3">
      <c r="Q63" s="60"/>
      <c r="R63" s="60"/>
    </row>
    <row r="64" spans="1:18" x14ac:dyDescent="0.3">
      <c r="Q64" s="60"/>
      <c r="R64" s="60"/>
    </row>
    <row r="65" spans="17:17" x14ac:dyDescent="0.3">
      <c r="Q65" s="60"/>
    </row>
    <row r="66" spans="17:17" x14ac:dyDescent="0.3">
      <c r="Q66" s="60"/>
    </row>
  </sheetData>
  <mergeCells count="4">
    <mergeCell ref="B6:C6"/>
    <mergeCell ref="E6:F6"/>
    <mergeCell ref="H6:I6"/>
    <mergeCell ref="M6:N6"/>
  </mergeCells>
  <pageMargins left="0.7" right="0.7" top="0.75" bottom="0.75" header="0.3" footer="0.3"/>
  <pageSetup scale="50" orientation="landscape" horizontalDpi="4294967292" r:id="rId1"/>
  <drawing r:id="rId2"/>
  <tableParts count="7">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8"/>
  <sheetViews>
    <sheetView zoomScaleNormal="100" workbookViewId="0">
      <pane ySplit="2" topLeftCell="A93" activePane="bottomLeft" state="frozen"/>
      <selection pane="bottomLeft" activeCell="A103" sqref="A103"/>
    </sheetView>
  </sheetViews>
  <sheetFormatPr defaultColWidth="0" defaultRowHeight="14.4" x14ac:dyDescent="0.3"/>
  <cols>
    <col min="1" max="1" width="16.6640625" style="24" customWidth="1"/>
    <col min="2" max="2" width="34.33203125" style="24" customWidth="1"/>
    <col min="3" max="3" width="22.88671875" style="24" customWidth="1"/>
    <col min="4" max="4" width="20.21875" style="24" customWidth="1"/>
    <col min="5" max="5" width="23.33203125" style="24" customWidth="1"/>
    <col min="6" max="6" width="24.88671875" style="24" customWidth="1"/>
    <col min="7" max="7" width="31.6640625" style="24" customWidth="1"/>
    <col min="8" max="8" width="27.88671875" style="24" bestFit="1" customWidth="1"/>
    <col min="9" max="9" width="13.77734375" style="24" customWidth="1"/>
    <col min="10" max="10" width="17.109375" style="24" customWidth="1"/>
    <col min="11" max="11" width="18.77734375" hidden="1" customWidth="1"/>
    <col min="12" max="12" width="0" hidden="1" customWidth="1"/>
    <col min="13" max="13" width="18.77734375" hidden="1" customWidth="1"/>
    <col min="14" max="14" width="0" hidden="1" customWidth="1"/>
    <col min="15" max="15" width="18.77734375" hidden="1" customWidth="1"/>
    <col min="16" max="16384" width="9.109375" hidden="1"/>
  </cols>
  <sheetData>
    <row r="1" spans="1:10" ht="30.6" x14ac:dyDescent="0.3">
      <c r="A1" s="169" t="s">
        <v>134</v>
      </c>
      <c r="B1" s="169"/>
      <c r="C1" s="169"/>
      <c r="D1" s="169"/>
      <c r="E1" s="169"/>
      <c r="F1" s="169"/>
      <c r="G1" s="169"/>
      <c r="H1" s="169"/>
      <c r="I1" s="169"/>
      <c r="J1" s="169"/>
    </row>
    <row r="2" spans="1:10" ht="30" customHeight="1" x14ac:dyDescent="0.3">
      <c r="A2" s="166" t="s">
        <v>0</v>
      </c>
      <c r="B2" s="167" t="s">
        <v>1</v>
      </c>
      <c r="C2" s="167" t="s">
        <v>2</v>
      </c>
      <c r="D2" s="167" t="s">
        <v>3</v>
      </c>
      <c r="E2" s="167" t="s">
        <v>4</v>
      </c>
      <c r="F2" s="167" t="s">
        <v>65</v>
      </c>
      <c r="G2" s="167" t="s">
        <v>5</v>
      </c>
      <c r="H2" s="167" t="s">
        <v>6</v>
      </c>
      <c r="I2" s="146" t="s">
        <v>30</v>
      </c>
      <c r="J2" s="147" t="s">
        <v>31</v>
      </c>
    </row>
    <row r="3" spans="1:10" s="1" customFormat="1" ht="30" customHeight="1" x14ac:dyDescent="0.3">
      <c r="A3" s="148">
        <v>43679</v>
      </c>
      <c r="B3" s="149" t="s">
        <v>108</v>
      </c>
      <c r="C3" s="150">
        <v>180</v>
      </c>
      <c r="D3" s="151" t="s">
        <v>13</v>
      </c>
      <c r="E3" s="151" t="s">
        <v>95</v>
      </c>
      <c r="F3" s="151" t="s">
        <v>108</v>
      </c>
      <c r="G3" s="151" t="s">
        <v>87</v>
      </c>
      <c r="H3" s="161"/>
      <c r="I3" s="153">
        <f>YEAR(Tbl_Transactions[[#This Row],[Date]])</f>
        <v>2019</v>
      </c>
      <c r="J3" s="154" t="str">
        <f>TEXT(Tbl_Transactions[[#This Row],[Date]],"MMM")</f>
        <v>Aug</v>
      </c>
    </row>
    <row r="4" spans="1:10" s="1" customFormat="1" ht="30" customHeight="1" x14ac:dyDescent="0.3">
      <c r="A4" s="148">
        <v>43685</v>
      </c>
      <c r="B4" s="149" t="s">
        <v>105</v>
      </c>
      <c r="C4" s="150">
        <v>980</v>
      </c>
      <c r="D4" s="151" t="s">
        <v>13</v>
      </c>
      <c r="E4" s="151" t="s">
        <v>95</v>
      </c>
      <c r="F4" s="151" t="s">
        <v>105</v>
      </c>
      <c r="G4" s="151" t="s">
        <v>138</v>
      </c>
      <c r="H4" s="149" t="s">
        <v>135</v>
      </c>
      <c r="I4" s="153">
        <f>YEAR(Tbl_Transactions[[#This Row],[Date]])</f>
        <v>2019</v>
      </c>
      <c r="J4" s="154" t="str">
        <f>TEXT(Tbl_Transactions[[#This Row],[Date]],"MMM")</f>
        <v>Aug</v>
      </c>
    </row>
    <row r="5" spans="1:10" ht="30" customHeight="1" x14ac:dyDescent="0.3">
      <c r="A5" s="148">
        <v>43691</v>
      </c>
      <c r="B5" s="149" t="s">
        <v>112</v>
      </c>
      <c r="C5" s="150">
        <v>165</v>
      </c>
      <c r="D5" s="151" t="s">
        <v>13</v>
      </c>
      <c r="E5" s="151" t="s">
        <v>92</v>
      </c>
      <c r="F5" s="151" t="s">
        <v>92</v>
      </c>
      <c r="G5" s="151" t="s">
        <v>82</v>
      </c>
      <c r="H5" s="149"/>
      <c r="I5" s="153">
        <f>YEAR(Tbl_Transactions[[#This Row],[Date]])</f>
        <v>2019</v>
      </c>
      <c r="J5" s="154" t="str">
        <f>TEXT(Tbl_Transactions[[#This Row],[Date]],"MMM")</f>
        <v>Aug</v>
      </c>
    </row>
    <row r="6" spans="1:10" ht="30" customHeight="1" x14ac:dyDescent="0.3">
      <c r="A6" s="148">
        <v>43697</v>
      </c>
      <c r="B6" s="149" t="s">
        <v>106</v>
      </c>
      <c r="C6" s="150">
        <v>750</v>
      </c>
      <c r="D6" s="151" t="s">
        <v>13</v>
      </c>
      <c r="E6" s="151" t="s">
        <v>95</v>
      </c>
      <c r="F6" s="151" t="s">
        <v>106</v>
      </c>
      <c r="G6" s="151" t="s">
        <v>81</v>
      </c>
      <c r="H6" s="149"/>
      <c r="I6" s="153">
        <f>YEAR(Tbl_Transactions[[#This Row],[Date]])</f>
        <v>2019</v>
      </c>
      <c r="J6" s="154" t="str">
        <f>TEXT(Tbl_Transactions[[#This Row],[Date]],"MMM")</f>
        <v>Aug</v>
      </c>
    </row>
    <row r="7" spans="1:10" ht="30" customHeight="1" x14ac:dyDescent="0.3">
      <c r="A7" s="148">
        <v>43703</v>
      </c>
      <c r="B7" s="149" t="s">
        <v>113</v>
      </c>
      <c r="C7" s="150">
        <v>32500</v>
      </c>
      <c r="D7" s="151" t="s">
        <v>8</v>
      </c>
      <c r="E7" s="151" t="s">
        <v>113</v>
      </c>
      <c r="F7" s="151"/>
      <c r="G7" s="151" t="s">
        <v>138</v>
      </c>
      <c r="H7" s="149" t="s">
        <v>139</v>
      </c>
      <c r="I7" s="153">
        <f>YEAR(Tbl_Transactions[[#This Row],[Date]])</f>
        <v>2019</v>
      </c>
      <c r="J7" s="154" t="str">
        <f>TEXT(Tbl_Transactions[[#This Row],[Date]],"MMM")</f>
        <v>Aug</v>
      </c>
    </row>
    <row r="8" spans="1:10" ht="30" customHeight="1" x14ac:dyDescent="0.3">
      <c r="A8" s="148">
        <v>43709</v>
      </c>
      <c r="B8" s="149" t="s">
        <v>114</v>
      </c>
      <c r="C8" s="150">
        <v>7500</v>
      </c>
      <c r="D8" s="151" t="s">
        <v>8</v>
      </c>
      <c r="E8" s="151" t="s">
        <v>115</v>
      </c>
      <c r="F8" s="151"/>
      <c r="G8" s="151" t="s">
        <v>85</v>
      </c>
      <c r="H8" s="149"/>
      <c r="I8" s="153">
        <f>YEAR(Tbl_Transactions[[#This Row],[Date]])</f>
        <v>2019</v>
      </c>
      <c r="J8" s="154" t="str">
        <f>TEXT(Tbl_Transactions[[#This Row],[Date]],"MMM")</f>
        <v>Sep</v>
      </c>
    </row>
    <row r="9" spans="1:10" ht="30" customHeight="1" x14ac:dyDescent="0.3">
      <c r="A9" s="148">
        <v>43715</v>
      </c>
      <c r="B9" s="149" t="s">
        <v>107</v>
      </c>
      <c r="C9" s="150">
        <v>750</v>
      </c>
      <c r="D9" s="151" t="s">
        <v>13</v>
      </c>
      <c r="E9" s="151" t="s">
        <v>95</v>
      </c>
      <c r="F9" s="151" t="s">
        <v>107</v>
      </c>
      <c r="G9" s="151" t="s">
        <v>81</v>
      </c>
      <c r="H9" s="149" t="s">
        <v>135</v>
      </c>
      <c r="I9" s="153">
        <f>YEAR(Tbl_Transactions[[#This Row],[Date]])</f>
        <v>2019</v>
      </c>
      <c r="J9" s="154" t="str">
        <f>TEXT(Tbl_Transactions[[#This Row],[Date]],"MMM")</f>
        <v>Sep</v>
      </c>
    </row>
    <row r="10" spans="1:10" ht="30" customHeight="1" x14ac:dyDescent="0.3">
      <c r="A10" s="148">
        <v>43721</v>
      </c>
      <c r="B10" s="149" t="s">
        <v>116</v>
      </c>
      <c r="C10" s="150">
        <v>480</v>
      </c>
      <c r="D10" s="151" t="s">
        <v>13</v>
      </c>
      <c r="E10" s="151" t="s">
        <v>93</v>
      </c>
      <c r="F10" s="151" t="s">
        <v>93</v>
      </c>
      <c r="G10" s="151" t="s">
        <v>86</v>
      </c>
      <c r="H10" s="149"/>
      <c r="I10" s="153">
        <f>YEAR(Tbl_Transactions[[#This Row],[Date]])</f>
        <v>2019</v>
      </c>
      <c r="J10" s="154" t="str">
        <f>TEXT(Tbl_Transactions[[#This Row],[Date]],"MMM")</f>
        <v>Sep</v>
      </c>
    </row>
    <row r="11" spans="1:10" ht="30" customHeight="1" x14ac:dyDescent="0.3">
      <c r="A11" s="148">
        <v>43727</v>
      </c>
      <c r="B11" s="149" t="s">
        <v>117</v>
      </c>
      <c r="C11" s="150">
        <v>620</v>
      </c>
      <c r="D11" s="151" t="s">
        <v>13</v>
      </c>
      <c r="E11" s="151" t="s">
        <v>89</v>
      </c>
      <c r="F11" s="151" t="s">
        <v>98</v>
      </c>
      <c r="G11" s="151" t="s">
        <v>87</v>
      </c>
      <c r="H11" s="149"/>
      <c r="I11" s="153">
        <f>YEAR(Tbl_Transactions[[#This Row],[Date]])</f>
        <v>2019</v>
      </c>
      <c r="J11" s="154" t="str">
        <f>TEXT(Tbl_Transactions[[#This Row],[Date]],"MMM")</f>
        <v>Sep</v>
      </c>
    </row>
    <row r="12" spans="1:10" ht="30" customHeight="1" x14ac:dyDescent="0.3">
      <c r="A12" s="148">
        <v>43733</v>
      </c>
      <c r="B12" s="149" t="s">
        <v>118</v>
      </c>
      <c r="C12" s="150">
        <v>300</v>
      </c>
      <c r="D12" s="151" t="s">
        <v>13</v>
      </c>
      <c r="E12" s="151" t="s">
        <v>89</v>
      </c>
      <c r="F12" s="151" t="s">
        <v>97</v>
      </c>
      <c r="G12" s="151" t="s">
        <v>86</v>
      </c>
      <c r="H12" s="152"/>
      <c r="I12" s="153">
        <f>YEAR(Tbl_Transactions[[#This Row],[Date]])</f>
        <v>2019</v>
      </c>
      <c r="J12" s="154" t="str">
        <f>TEXT(Tbl_Transactions[[#This Row],[Date]],"MMM")</f>
        <v>Sep</v>
      </c>
    </row>
    <row r="13" spans="1:10" ht="30" customHeight="1" x14ac:dyDescent="0.3">
      <c r="A13" s="148">
        <v>43739</v>
      </c>
      <c r="B13" s="149" t="s">
        <v>119</v>
      </c>
      <c r="C13" s="150">
        <v>330</v>
      </c>
      <c r="D13" s="151" t="s">
        <v>13</v>
      </c>
      <c r="E13" s="151" t="s">
        <v>90</v>
      </c>
      <c r="F13" s="151" t="s">
        <v>99</v>
      </c>
      <c r="G13" s="151" t="s">
        <v>87</v>
      </c>
      <c r="H13" s="152"/>
      <c r="I13" s="153">
        <f>YEAR(Tbl_Transactions[[#This Row],[Date]])</f>
        <v>2019</v>
      </c>
      <c r="J13" s="154" t="str">
        <f>TEXT(Tbl_Transactions[[#This Row],[Date]],"MMM")</f>
        <v>Oct</v>
      </c>
    </row>
    <row r="14" spans="1:10" ht="30" customHeight="1" x14ac:dyDescent="0.3">
      <c r="A14" s="148">
        <v>43745</v>
      </c>
      <c r="B14" s="149" t="s">
        <v>120</v>
      </c>
      <c r="C14" s="150">
        <v>-1980</v>
      </c>
      <c r="D14" s="151" t="s">
        <v>121</v>
      </c>
      <c r="E14" s="151" t="s">
        <v>109</v>
      </c>
      <c r="F14" s="151"/>
      <c r="G14" s="151" t="s">
        <v>81</v>
      </c>
      <c r="H14" s="152"/>
      <c r="I14" s="153">
        <f>YEAR(Tbl_Transactions[[#This Row],[Date]])</f>
        <v>2019</v>
      </c>
      <c r="J14" s="154" t="str">
        <f>TEXT(Tbl_Transactions[[#This Row],[Date]],"MMM")</f>
        <v>Oct</v>
      </c>
    </row>
    <row r="15" spans="1:10" ht="30" customHeight="1" x14ac:dyDescent="0.3">
      <c r="A15" s="148">
        <v>43751</v>
      </c>
      <c r="B15" s="149" t="s">
        <v>122</v>
      </c>
      <c r="C15" s="150">
        <v>-1980</v>
      </c>
      <c r="D15" s="151" t="s">
        <v>121</v>
      </c>
      <c r="E15" s="151" t="s">
        <v>109</v>
      </c>
      <c r="F15" s="151"/>
      <c r="G15" s="151" t="s">
        <v>85</v>
      </c>
      <c r="H15" s="152"/>
      <c r="I15" s="153">
        <f>YEAR(Tbl_Transactions[[#This Row],[Date]])</f>
        <v>2019</v>
      </c>
      <c r="J15" s="154" t="str">
        <f>TEXT(Tbl_Transactions[[#This Row],[Date]],"MMM")</f>
        <v>Oct</v>
      </c>
    </row>
    <row r="16" spans="1:10" ht="30" customHeight="1" x14ac:dyDescent="0.3">
      <c r="A16" s="148">
        <v>43757</v>
      </c>
      <c r="B16" s="149" t="s">
        <v>120</v>
      </c>
      <c r="C16" s="150">
        <v>1980</v>
      </c>
      <c r="D16" s="151" t="s">
        <v>121</v>
      </c>
      <c r="E16" s="151" t="s">
        <v>109</v>
      </c>
      <c r="F16" s="151"/>
      <c r="G16" s="151" t="s">
        <v>86</v>
      </c>
      <c r="H16" s="152"/>
      <c r="I16" s="153">
        <f>YEAR(Tbl_Transactions[[#This Row],[Date]])</f>
        <v>2019</v>
      </c>
      <c r="J16" s="154" t="str">
        <f>TEXT(Tbl_Transactions[[#This Row],[Date]],"MMM")</f>
        <v>Oct</v>
      </c>
    </row>
    <row r="17" spans="1:10" ht="30" customHeight="1" x14ac:dyDescent="0.3">
      <c r="A17" s="148">
        <v>43763</v>
      </c>
      <c r="B17" s="149" t="s">
        <v>123</v>
      </c>
      <c r="C17" s="150">
        <v>-3000</v>
      </c>
      <c r="D17" s="151" t="s">
        <v>121</v>
      </c>
      <c r="E17" s="151" t="s">
        <v>109</v>
      </c>
      <c r="F17" s="151"/>
      <c r="G17" s="151" t="s">
        <v>81</v>
      </c>
      <c r="H17" s="152"/>
      <c r="I17" s="153">
        <f>YEAR(Tbl_Transactions[[#This Row],[Date]])</f>
        <v>2019</v>
      </c>
      <c r="J17" s="154" t="str">
        <f>TEXT(Tbl_Transactions[[#This Row],[Date]],"MMM")</f>
        <v>Oct</v>
      </c>
    </row>
    <row r="18" spans="1:10" ht="30" customHeight="1" x14ac:dyDescent="0.3">
      <c r="A18" s="148">
        <v>43769</v>
      </c>
      <c r="B18" s="149" t="s">
        <v>123</v>
      </c>
      <c r="C18" s="150">
        <v>3000</v>
      </c>
      <c r="D18" s="151" t="s">
        <v>121</v>
      </c>
      <c r="E18" s="151" t="s">
        <v>109</v>
      </c>
      <c r="F18" s="151"/>
      <c r="G18" s="151" t="s">
        <v>86</v>
      </c>
      <c r="H18" s="152"/>
      <c r="I18" s="153">
        <f>YEAR(Tbl_Transactions[[#This Row],[Date]])</f>
        <v>2019</v>
      </c>
      <c r="J18" s="154" t="str">
        <f>TEXT(Tbl_Transactions[[#This Row],[Date]],"MMM")</f>
        <v>Oct</v>
      </c>
    </row>
    <row r="19" spans="1:10" ht="30" customHeight="1" x14ac:dyDescent="0.3">
      <c r="A19" s="148">
        <v>43775</v>
      </c>
      <c r="B19" s="149" t="s">
        <v>124</v>
      </c>
      <c r="C19" s="150">
        <v>-1980</v>
      </c>
      <c r="D19" s="151" t="s">
        <v>121</v>
      </c>
      <c r="E19" s="151" t="s">
        <v>109</v>
      </c>
      <c r="F19" s="151"/>
      <c r="G19" s="151" t="s">
        <v>85</v>
      </c>
      <c r="H19" s="152"/>
      <c r="I19" s="153">
        <f>YEAR(Tbl_Transactions[[#This Row],[Date]])</f>
        <v>2019</v>
      </c>
      <c r="J19" s="154" t="str">
        <f>TEXT(Tbl_Transactions[[#This Row],[Date]],"MMM")</f>
        <v>Nov</v>
      </c>
    </row>
    <row r="20" spans="1:10" ht="30" customHeight="1" x14ac:dyDescent="0.3">
      <c r="A20" s="148">
        <v>43781</v>
      </c>
      <c r="B20" s="149" t="s">
        <v>124</v>
      </c>
      <c r="C20" s="150">
        <v>1980</v>
      </c>
      <c r="D20" s="151" t="s">
        <v>121</v>
      </c>
      <c r="E20" s="151" t="s">
        <v>109</v>
      </c>
      <c r="F20" s="151"/>
      <c r="G20" s="151" t="s">
        <v>87</v>
      </c>
      <c r="H20" s="152"/>
      <c r="I20" s="153">
        <f>YEAR(Tbl_Transactions[[#This Row],[Date]])</f>
        <v>2019</v>
      </c>
      <c r="J20" s="154" t="str">
        <f>TEXT(Tbl_Transactions[[#This Row],[Date]],"MMM")</f>
        <v>Nov</v>
      </c>
    </row>
    <row r="21" spans="1:10" ht="30" customHeight="1" x14ac:dyDescent="0.3">
      <c r="A21" s="148">
        <v>43787</v>
      </c>
      <c r="B21" s="149" t="s">
        <v>108</v>
      </c>
      <c r="C21" s="150">
        <v>480</v>
      </c>
      <c r="D21" s="151" t="s">
        <v>13</v>
      </c>
      <c r="E21" s="151" t="s">
        <v>95</v>
      </c>
      <c r="F21" s="151" t="s">
        <v>108</v>
      </c>
      <c r="G21" s="151" t="s">
        <v>87</v>
      </c>
      <c r="H21" s="152"/>
      <c r="I21" s="153">
        <f>YEAR(Tbl_Transactions[[#This Row],[Date]])</f>
        <v>2019</v>
      </c>
      <c r="J21" s="154" t="str">
        <f>TEXT(Tbl_Transactions[[#This Row],[Date]],"MMM")</f>
        <v>Nov</v>
      </c>
    </row>
    <row r="22" spans="1:10" ht="30" customHeight="1" x14ac:dyDescent="0.3">
      <c r="A22" s="148">
        <v>43793</v>
      </c>
      <c r="B22" s="149" t="s">
        <v>105</v>
      </c>
      <c r="C22" s="150">
        <v>900</v>
      </c>
      <c r="D22" s="151" t="s">
        <v>13</v>
      </c>
      <c r="E22" s="151" t="s">
        <v>95</v>
      </c>
      <c r="F22" s="151" t="s">
        <v>105</v>
      </c>
      <c r="G22" s="151" t="s">
        <v>86</v>
      </c>
      <c r="H22" s="152"/>
      <c r="I22" s="153">
        <f>YEAR(Tbl_Transactions[[#This Row],[Date]])</f>
        <v>2019</v>
      </c>
      <c r="J22" s="154" t="str">
        <f>TEXT(Tbl_Transactions[[#This Row],[Date]],"MMM")</f>
        <v>Nov</v>
      </c>
    </row>
    <row r="23" spans="1:10" ht="30" customHeight="1" x14ac:dyDescent="0.3">
      <c r="A23" s="148">
        <v>43799</v>
      </c>
      <c r="B23" s="149" t="s">
        <v>112</v>
      </c>
      <c r="C23" s="150">
        <v>200</v>
      </c>
      <c r="D23" s="151" t="s">
        <v>13</v>
      </c>
      <c r="E23" s="151" t="s">
        <v>92</v>
      </c>
      <c r="F23" s="151" t="s">
        <v>92</v>
      </c>
      <c r="G23" s="151" t="s">
        <v>82</v>
      </c>
      <c r="H23" s="152"/>
      <c r="I23" s="153">
        <f>YEAR(Tbl_Transactions[[#This Row],[Date]])</f>
        <v>2019</v>
      </c>
      <c r="J23" s="154" t="str">
        <f>TEXT(Tbl_Transactions[[#This Row],[Date]],"MMM")</f>
        <v>Nov</v>
      </c>
    </row>
    <row r="24" spans="1:10" ht="30" customHeight="1" x14ac:dyDescent="0.3">
      <c r="A24" s="148">
        <v>43805</v>
      </c>
      <c r="B24" s="149" t="s">
        <v>106</v>
      </c>
      <c r="C24" s="150">
        <v>650</v>
      </c>
      <c r="D24" s="151" t="s">
        <v>13</v>
      </c>
      <c r="E24" s="151" t="s">
        <v>95</v>
      </c>
      <c r="F24" s="151" t="s">
        <v>106</v>
      </c>
      <c r="G24" s="151" t="s">
        <v>81</v>
      </c>
      <c r="H24" s="152"/>
      <c r="I24" s="153">
        <f>YEAR(Tbl_Transactions[[#This Row],[Date]])</f>
        <v>2019</v>
      </c>
      <c r="J24" s="154" t="str">
        <f>TEXT(Tbl_Transactions[[#This Row],[Date]],"MMM")</f>
        <v>Dec</v>
      </c>
    </row>
    <row r="25" spans="1:10" ht="30" customHeight="1" x14ac:dyDescent="0.3">
      <c r="A25" s="148">
        <v>43811</v>
      </c>
      <c r="B25" s="149" t="s">
        <v>113</v>
      </c>
      <c r="C25" s="150">
        <v>27500</v>
      </c>
      <c r="D25" s="151" t="s">
        <v>8</v>
      </c>
      <c r="E25" s="151" t="s">
        <v>113</v>
      </c>
      <c r="F25" s="151"/>
      <c r="G25" s="151" t="s">
        <v>81</v>
      </c>
      <c r="H25" s="152"/>
      <c r="I25" s="153">
        <f>YEAR(Tbl_Transactions[[#This Row],[Date]])</f>
        <v>2019</v>
      </c>
      <c r="J25" s="154" t="str">
        <f>TEXT(Tbl_Transactions[[#This Row],[Date]],"MMM")</f>
        <v>Dec</v>
      </c>
    </row>
    <row r="26" spans="1:10" ht="30" customHeight="1" x14ac:dyDescent="0.3">
      <c r="A26" s="148">
        <v>43817</v>
      </c>
      <c r="B26" s="149" t="s">
        <v>114</v>
      </c>
      <c r="C26" s="150">
        <v>7000</v>
      </c>
      <c r="D26" s="151" t="s">
        <v>8</v>
      </c>
      <c r="E26" s="151" t="s">
        <v>115</v>
      </c>
      <c r="F26" s="151"/>
      <c r="G26" s="151" t="s">
        <v>85</v>
      </c>
      <c r="H26" s="152"/>
      <c r="I26" s="153">
        <f>YEAR(Tbl_Transactions[[#This Row],[Date]])</f>
        <v>2019</v>
      </c>
      <c r="J26" s="154" t="str">
        <f>TEXT(Tbl_Transactions[[#This Row],[Date]],"MMM")</f>
        <v>Dec</v>
      </c>
    </row>
    <row r="27" spans="1:10" ht="30" customHeight="1" x14ac:dyDescent="0.3">
      <c r="A27" s="148">
        <v>43823</v>
      </c>
      <c r="B27" s="149" t="s">
        <v>107</v>
      </c>
      <c r="C27" s="150">
        <v>750</v>
      </c>
      <c r="D27" s="151" t="s">
        <v>13</v>
      </c>
      <c r="E27" s="151" t="s">
        <v>95</v>
      </c>
      <c r="F27" s="151" t="s">
        <v>107</v>
      </c>
      <c r="G27" s="151" t="s">
        <v>81</v>
      </c>
      <c r="H27" s="152"/>
      <c r="I27" s="153">
        <f>YEAR(Tbl_Transactions[[#This Row],[Date]])</f>
        <v>2019</v>
      </c>
      <c r="J27" s="154" t="str">
        <f>TEXT(Tbl_Transactions[[#This Row],[Date]],"MMM")</f>
        <v>Dec</v>
      </c>
    </row>
    <row r="28" spans="1:10" ht="30" customHeight="1" x14ac:dyDescent="0.3">
      <c r="A28" s="148">
        <v>43829</v>
      </c>
      <c r="B28" s="149" t="s">
        <v>100</v>
      </c>
      <c r="C28" s="150">
        <v>620</v>
      </c>
      <c r="D28" s="151" t="s">
        <v>13</v>
      </c>
      <c r="E28" s="151" t="s">
        <v>91</v>
      </c>
      <c r="F28" s="151" t="s">
        <v>100</v>
      </c>
      <c r="G28" s="151" t="s">
        <v>86</v>
      </c>
      <c r="H28" s="152"/>
      <c r="I28" s="153">
        <f>YEAR(Tbl_Transactions[[#This Row],[Date]])</f>
        <v>2019</v>
      </c>
      <c r="J28" s="154" t="str">
        <f>TEXT(Tbl_Transactions[[#This Row],[Date]],"MMM")</f>
        <v>Dec</v>
      </c>
    </row>
    <row r="29" spans="1:10" ht="30" customHeight="1" x14ac:dyDescent="0.3">
      <c r="A29" s="148">
        <v>43835</v>
      </c>
      <c r="B29" s="149" t="s">
        <v>125</v>
      </c>
      <c r="C29" s="150">
        <v>2000</v>
      </c>
      <c r="D29" s="151" t="s">
        <v>13</v>
      </c>
      <c r="E29" s="151" t="s">
        <v>94</v>
      </c>
      <c r="F29" s="151" t="s">
        <v>102</v>
      </c>
      <c r="G29" s="151" t="s">
        <v>86</v>
      </c>
      <c r="H29" s="152"/>
      <c r="I29" s="153">
        <f>YEAR(Tbl_Transactions[[#This Row],[Date]])</f>
        <v>2020</v>
      </c>
      <c r="J29" s="154" t="str">
        <f>TEXT(Tbl_Transactions[[#This Row],[Date]],"MMM")</f>
        <v>Jan</v>
      </c>
    </row>
    <row r="30" spans="1:10" ht="30" customHeight="1" x14ac:dyDescent="0.3">
      <c r="A30" s="148">
        <v>43841</v>
      </c>
      <c r="B30" s="149" t="s">
        <v>126</v>
      </c>
      <c r="C30" s="150">
        <v>2000</v>
      </c>
      <c r="D30" s="151" t="s">
        <v>13</v>
      </c>
      <c r="E30" s="151" t="s">
        <v>95</v>
      </c>
      <c r="F30" s="151" t="s">
        <v>104</v>
      </c>
      <c r="G30" s="151" t="s">
        <v>81</v>
      </c>
      <c r="H30" s="152"/>
      <c r="I30" s="153">
        <f>YEAR(Tbl_Transactions[[#This Row],[Date]])</f>
        <v>2020</v>
      </c>
      <c r="J30" s="154" t="str">
        <f>TEXT(Tbl_Transactions[[#This Row],[Date]],"MMM")</f>
        <v>Jan</v>
      </c>
    </row>
    <row r="31" spans="1:10" ht="30" customHeight="1" x14ac:dyDescent="0.3">
      <c r="A31" s="148">
        <v>43847</v>
      </c>
      <c r="B31" s="149" t="s">
        <v>117</v>
      </c>
      <c r="C31" s="150">
        <v>620</v>
      </c>
      <c r="D31" s="151" t="s">
        <v>13</v>
      </c>
      <c r="E31" s="151" t="s">
        <v>89</v>
      </c>
      <c r="F31" s="151" t="s">
        <v>98</v>
      </c>
      <c r="G31" s="151" t="s">
        <v>87</v>
      </c>
      <c r="H31" s="152"/>
      <c r="I31" s="153">
        <f>YEAR(Tbl_Transactions[[#This Row],[Date]])</f>
        <v>2020</v>
      </c>
      <c r="J31" s="154" t="str">
        <f>TEXT(Tbl_Transactions[[#This Row],[Date]],"MMM")</f>
        <v>Jan</v>
      </c>
    </row>
    <row r="32" spans="1:10" ht="30" customHeight="1" x14ac:dyDescent="0.3">
      <c r="A32" s="148">
        <v>43853</v>
      </c>
      <c r="B32" s="149" t="s">
        <v>123</v>
      </c>
      <c r="C32" s="150">
        <v>-1980</v>
      </c>
      <c r="D32" s="151" t="s">
        <v>121</v>
      </c>
      <c r="E32" s="151" t="s">
        <v>109</v>
      </c>
      <c r="F32" s="151"/>
      <c r="G32" s="151" t="s">
        <v>81</v>
      </c>
      <c r="H32" s="152"/>
      <c r="I32" s="153">
        <f>YEAR(Tbl_Transactions[[#This Row],[Date]])</f>
        <v>2020</v>
      </c>
      <c r="J32" s="154" t="str">
        <f>TEXT(Tbl_Transactions[[#This Row],[Date]],"MMM")</f>
        <v>Jan</v>
      </c>
    </row>
    <row r="33" spans="1:10" ht="30" customHeight="1" x14ac:dyDescent="0.3">
      <c r="A33" s="148">
        <v>43859</v>
      </c>
      <c r="B33" s="149" t="s">
        <v>123</v>
      </c>
      <c r="C33" s="150">
        <v>1980</v>
      </c>
      <c r="D33" s="151" t="s">
        <v>121</v>
      </c>
      <c r="E33" s="151" t="s">
        <v>109</v>
      </c>
      <c r="F33" s="151"/>
      <c r="G33" s="151" t="s">
        <v>86</v>
      </c>
      <c r="H33" s="152"/>
      <c r="I33" s="153">
        <f>YEAR(Tbl_Transactions[[#This Row],[Date]])</f>
        <v>2020</v>
      </c>
      <c r="J33" s="154" t="str">
        <f>TEXT(Tbl_Transactions[[#This Row],[Date]],"MMM")</f>
        <v>Jan</v>
      </c>
    </row>
    <row r="34" spans="1:10" ht="30" customHeight="1" x14ac:dyDescent="0.3">
      <c r="A34" s="148">
        <v>43865</v>
      </c>
      <c r="B34" s="149" t="s">
        <v>124</v>
      </c>
      <c r="C34" s="150">
        <v>-3000</v>
      </c>
      <c r="D34" s="151" t="s">
        <v>121</v>
      </c>
      <c r="E34" s="151" t="s">
        <v>109</v>
      </c>
      <c r="F34" s="151"/>
      <c r="G34" s="151" t="s">
        <v>85</v>
      </c>
      <c r="H34" s="152"/>
      <c r="I34" s="153">
        <f>YEAR(Tbl_Transactions[[#This Row],[Date]])</f>
        <v>2020</v>
      </c>
      <c r="J34" s="154" t="str">
        <f>TEXT(Tbl_Transactions[[#This Row],[Date]],"MMM")</f>
        <v>Feb</v>
      </c>
    </row>
    <row r="35" spans="1:10" ht="30" customHeight="1" x14ac:dyDescent="0.3">
      <c r="A35" s="148">
        <v>43871</v>
      </c>
      <c r="B35" s="149" t="s">
        <v>124</v>
      </c>
      <c r="C35" s="150">
        <v>3000</v>
      </c>
      <c r="D35" s="151" t="s">
        <v>121</v>
      </c>
      <c r="E35" s="151" t="s">
        <v>109</v>
      </c>
      <c r="F35" s="151"/>
      <c r="G35" s="151" t="s">
        <v>87</v>
      </c>
      <c r="H35" s="152"/>
      <c r="I35" s="153">
        <f>YEAR(Tbl_Transactions[[#This Row],[Date]])</f>
        <v>2020</v>
      </c>
      <c r="J35" s="154" t="str">
        <f>TEXT(Tbl_Transactions[[#This Row],[Date]],"MMM")</f>
        <v>Feb</v>
      </c>
    </row>
    <row r="36" spans="1:10" ht="30" customHeight="1" x14ac:dyDescent="0.3">
      <c r="A36" s="148">
        <v>43877</v>
      </c>
      <c r="B36" s="149" t="s">
        <v>112</v>
      </c>
      <c r="C36" s="150">
        <v>180</v>
      </c>
      <c r="D36" s="151" t="s">
        <v>13</v>
      </c>
      <c r="E36" s="151" t="s">
        <v>92</v>
      </c>
      <c r="F36" s="151" t="s">
        <v>92</v>
      </c>
      <c r="G36" s="151" t="s">
        <v>87</v>
      </c>
      <c r="H36" s="152"/>
      <c r="I36" s="153">
        <f>YEAR(Tbl_Transactions[[#This Row],[Date]])</f>
        <v>2020</v>
      </c>
      <c r="J36" s="154" t="str">
        <f>TEXT(Tbl_Transactions[[#This Row],[Date]],"MMM")</f>
        <v>Feb</v>
      </c>
    </row>
    <row r="37" spans="1:10" ht="30" customHeight="1" x14ac:dyDescent="0.3">
      <c r="A37" s="148">
        <v>43883</v>
      </c>
      <c r="B37" s="149" t="s">
        <v>108</v>
      </c>
      <c r="C37" s="150">
        <v>980</v>
      </c>
      <c r="D37" s="151" t="s">
        <v>13</v>
      </c>
      <c r="E37" s="151" t="s">
        <v>95</v>
      </c>
      <c r="F37" s="151" t="s">
        <v>108</v>
      </c>
      <c r="G37" s="151" t="s">
        <v>87</v>
      </c>
      <c r="H37" s="152"/>
      <c r="I37" s="153">
        <f>YEAR(Tbl_Transactions[[#This Row],[Date]])</f>
        <v>2020</v>
      </c>
      <c r="J37" s="154" t="str">
        <f>TEXT(Tbl_Transactions[[#This Row],[Date]],"MMM")</f>
        <v>Feb</v>
      </c>
    </row>
    <row r="38" spans="1:10" ht="30" customHeight="1" x14ac:dyDescent="0.3">
      <c r="A38" s="148">
        <v>43889</v>
      </c>
      <c r="B38" s="149" t="s">
        <v>105</v>
      </c>
      <c r="C38" s="150">
        <v>950</v>
      </c>
      <c r="D38" s="151" t="s">
        <v>13</v>
      </c>
      <c r="E38" s="151" t="s">
        <v>95</v>
      </c>
      <c r="F38" s="151" t="s">
        <v>105</v>
      </c>
      <c r="G38" s="151" t="s">
        <v>86</v>
      </c>
      <c r="H38" s="152"/>
      <c r="I38" s="153">
        <f>YEAR(Tbl_Transactions[[#This Row],[Date]])</f>
        <v>2020</v>
      </c>
      <c r="J38" s="154" t="str">
        <f>TEXT(Tbl_Transactions[[#This Row],[Date]],"MMM")</f>
        <v>Feb</v>
      </c>
    </row>
    <row r="39" spans="1:10" ht="30" customHeight="1" x14ac:dyDescent="0.3">
      <c r="A39" s="148">
        <v>43895</v>
      </c>
      <c r="B39" s="149" t="s">
        <v>100</v>
      </c>
      <c r="C39" s="150">
        <v>480</v>
      </c>
      <c r="D39" s="151" t="s">
        <v>13</v>
      </c>
      <c r="E39" s="151" t="s">
        <v>91</v>
      </c>
      <c r="F39" s="151" t="s">
        <v>100</v>
      </c>
      <c r="G39" s="151" t="s">
        <v>86</v>
      </c>
      <c r="H39" s="152"/>
      <c r="I39" s="153">
        <f>YEAR(Tbl_Transactions[[#This Row],[Date]])</f>
        <v>2020</v>
      </c>
      <c r="J39" s="154" t="str">
        <f>TEXT(Tbl_Transactions[[#This Row],[Date]],"MMM")</f>
        <v>Mar</v>
      </c>
    </row>
    <row r="40" spans="1:10" ht="30" customHeight="1" x14ac:dyDescent="0.3">
      <c r="A40" s="148">
        <v>43901</v>
      </c>
      <c r="B40" s="149" t="s">
        <v>127</v>
      </c>
      <c r="C40" s="150">
        <v>6200</v>
      </c>
      <c r="D40" s="151" t="s">
        <v>13</v>
      </c>
      <c r="E40" s="151" t="s">
        <v>94</v>
      </c>
      <c r="F40" s="151" t="s">
        <v>103</v>
      </c>
      <c r="G40" s="151" t="s">
        <v>81</v>
      </c>
      <c r="H40" s="152" t="s">
        <v>128</v>
      </c>
      <c r="I40" s="153">
        <f>YEAR(Tbl_Transactions[[#This Row],[Date]])</f>
        <v>2020</v>
      </c>
      <c r="J40" s="154" t="str">
        <f>TEXT(Tbl_Transactions[[#This Row],[Date]],"MMM")</f>
        <v>Mar</v>
      </c>
    </row>
    <row r="41" spans="1:10" ht="30" customHeight="1" x14ac:dyDescent="0.3">
      <c r="A41" s="148">
        <v>43907</v>
      </c>
      <c r="B41" s="149" t="s">
        <v>106</v>
      </c>
      <c r="C41" s="150">
        <v>480</v>
      </c>
      <c r="D41" s="151" t="s">
        <v>13</v>
      </c>
      <c r="E41" s="151" t="s">
        <v>95</v>
      </c>
      <c r="F41" s="151" t="s">
        <v>106</v>
      </c>
      <c r="G41" s="151" t="s">
        <v>81</v>
      </c>
      <c r="H41" s="152"/>
      <c r="I41" s="153">
        <f>YEAR(Tbl_Transactions[[#This Row],[Date]])</f>
        <v>2020</v>
      </c>
      <c r="J41" s="154" t="str">
        <f>TEXT(Tbl_Transactions[[#This Row],[Date]],"MMM")</f>
        <v>Mar</v>
      </c>
    </row>
    <row r="42" spans="1:10" ht="30" customHeight="1" x14ac:dyDescent="0.3">
      <c r="A42" s="148">
        <v>43913</v>
      </c>
      <c r="B42" s="149" t="s">
        <v>113</v>
      </c>
      <c r="C42" s="150">
        <v>27500</v>
      </c>
      <c r="D42" s="151" t="s">
        <v>8</v>
      </c>
      <c r="E42" s="151" t="s">
        <v>113</v>
      </c>
      <c r="F42" s="151"/>
      <c r="G42" s="151" t="s">
        <v>81</v>
      </c>
      <c r="H42" s="152"/>
      <c r="I42" s="153">
        <f>YEAR(Tbl_Transactions[[#This Row],[Date]])</f>
        <v>2020</v>
      </c>
      <c r="J42" s="154" t="str">
        <f>TEXT(Tbl_Transactions[[#This Row],[Date]],"MMM")</f>
        <v>Mar</v>
      </c>
    </row>
    <row r="43" spans="1:10" ht="30" customHeight="1" x14ac:dyDescent="0.3">
      <c r="A43" s="148">
        <v>43919</v>
      </c>
      <c r="B43" s="149" t="s">
        <v>114</v>
      </c>
      <c r="C43" s="150">
        <v>7000</v>
      </c>
      <c r="D43" s="151" t="s">
        <v>8</v>
      </c>
      <c r="E43" s="151" t="s">
        <v>115</v>
      </c>
      <c r="F43" s="151"/>
      <c r="G43" s="151" t="s">
        <v>85</v>
      </c>
      <c r="H43" s="152"/>
      <c r="I43" s="153">
        <f>YEAR(Tbl_Transactions[[#This Row],[Date]])</f>
        <v>2020</v>
      </c>
      <c r="J43" s="154" t="str">
        <f>TEXT(Tbl_Transactions[[#This Row],[Date]],"MMM")</f>
        <v>Mar</v>
      </c>
    </row>
    <row r="44" spans="1:10" ht="30" customHeight="1" x14ac:dyDescent="0.3">
      <c r="A44" s="148">
        <v>43925</v>
      </c>
      <c r="B44" s="149" t="s">
        <v>107</v>
      </c>
      <c r="C44" s="150">
        <v>750</v>
      </c>
      <c r="D44" s="151" t="s">
        <v>13</v>
      </c>
      <c r="E44" s="151" t="s">
        <v>95</v>
      </c>
      <c r="F44" s="151" t="s">
        <v>107</v>
      </c>
      <c r="G44" s="151" t="s">
        <v>81</v>
      </c>
      <c r="H44" s="152"/>
      <c r="I44" s="153">
        <f>YEAR(Tbl_Transactions[[#This Row],[Date]])</f>
        <v>2020</v>
      </c>
      <c r="J44" s="154" t="str">
        <f>TEXT(Tbl_Transactions[[#This Row],[Date]],"MMM")</f>
        <v>Apr</v>
      </c>
    </row>
    <row r="45" spans="1:10" ht="30" customHeight="1" x14ac:dyDescent="0.3">
      <c r="A45" s="148">
        <v>43931</v>
      </c>
      <c r="B45" s="149" t="s">
        <v>112</v>
      </c>
      <c r="C45" s="150">
        <v>75</v>
      </c>
      <c r="D45" s="151" t="s">
        <v>13</v>
      </c>
      <c r="E45" s="151" t="s">
        <v>92</v>
      </c>
      <c r="F45" s="151" t="s">
        <v>92</v>
      </c>
      <c r="G45" s="151" t="s">
        <v>87</v>
      </c>
      <c r="H45" s="152"/>
      <c r="I45" s="153">
        <f>YEAR(Tbl_Transactions[[#This Row],[Date]])</f>
        <v>2020</v>
      </c>
      <c r="J45" s="154" t="str">
        <f>TEXT(Tbl_Transactions[[#This Row],[Date]],"MMM")</f>
        <v>Apr</v>
      </c>
    </row>
    <row r="46" spans="1:10" ht="30" customHeight="1" x14ac:dyDescent="0.3">
      <c r="A46" s="148">
        <v>43937</v>
      </c>
      <c r="B46" s="149" t="s">
        <v>117</v>
      </c>
      <c r="C46" s="150">
        <v>450</v>
      </c>
      <c r="D46" s="151" t="s">
        <v>13</v>
      </c>
      <c r="E46" s="151" t="s">
        <v>89</v>
      </c>
      <c r="F46" s="151" t="s">
        <v>98</v>
      </c>
      <c r="G46" s="151" t="s">
        <v>87</v>
      </c>
      <c r="H46" s="152"/>
      <c r="I46" s="153">
        <f>YEAR(Tbl_Transactions[[#This Row],[Date]])</f>
        <v>2020</v>
      </c>
      <c r="J46" s="154" t="str">
        <f>TEXT(Tbl_Transactions[[#This Row],[Date]],"MMM")</f>
        <v>Apr</v>
      </c>
    </row>
    <row r="47" spans="1:10" ht="30" customHeight="1" x14ac:dyDescent="0.3">
      <c r="A47" s="148">
        <v>43943</v>
      </c>
      <c r="B47" s="149" t="s">
        <v>118</v>
      </c>
      <c r="C47" s="150">
        <v>480</v>
      </c>
      <c r="D47" s="151" t="s">
        <v>13</v>
      </c>
      <c r="E47" s="151" t="s">
        <v>89</v>
      </c>
      <c r="F47" s="151" t="s">
        <v>97</v>
      </c>
      <c r="G47" s="151" t="s">
        <v>86</v>
      </c>
      <c r="H47" s="152"/>
      <c r="I47" s="153">
        <f>YEAR(Tbl_Transactions[[#This Row],[Date]])</f>
        <v>2020</v>
      </c>
      <c r="J47" s="154" t="str">
        <f>TEXT(Tbl_Transactions[[#This Row],[Date]],"MMM")</f>
        <v>Apr</v>
      </c>
    </row>
    <row r="48" spans="1:10" ht="30" customHeight="1" x14ac:dyDescent="0.3">
      <c r="A48" s="148">
        <v>43949</v>
      </c>
      <c r="B48" s="149" t="s">
        <v>119</v>
      </c>
      <c r="C48" s="150">
        <v>620</v>
      </c>
      <c r="D48" s="151" t="s">
        <v>13</v>
      </c>
      <c r="E48" s="151" t="s">
        <v>90</v>
      </c>
      <c r="F48" s="151" t="s">
        <v>99</v>
      </c>
      <c r="G48" s="151" t="s">
        <v>87</v>
      </c>
      <c r="H48" s="152"/>
      <c r="I48" s="153">
        <f>YEAR(Tbl_Transactions[[#This Row],[Date]])</f>
        <v>2020</v>
      </c>
      <c r="J48" s="154" t="str">
        <f>TEXT(Tbl_Transactions[[#This Row],[Date]],"MMM")</f>
        <v>Apr</v>
      </c>
    </row>
    <row r="49" spans="1:10" ht="30" customHeight="1" x14ac:dyDescent="0.3">
      <c r="A49" s="148">
        <v>43955</v>
      </c>
      <c r="B49" s="149" t="s">
        <v>123</v>
      </c>
      <c r="C49" s="150">
        <v>-1980</v>
      </c>
      <c r="D49" s="151" t="s">
        <v>121</v>
      </c>
      <c r="E49" s="151" t="s">
        <v>109</v>
      </c>
      <c r="F49" s="151"/>
      <c r="G49" s="151" t="s">
        <v>81</v>
      </c>
      <c r="H49" s="152"/>
      <c r="I49" s="153">
        <f>YEAR(Tbl_Transactions[[#This Row],[Date]])</f>
        <v>2020</v>
      </c>
      <c r="J49" s="154" t="str">
        <f>TEXT(Tbl_Transactions[[#This Row],[Date]],"MMM")</f>
        <v>May</v>
      </c>
    </row>
    <row r="50" spans="1:10" ht="30" customHeight="1" x14ac:dyDescent="0.3">
      <c r="A50" s="148">
        <v>43961</v>
      </c>
      <c r="B50" s="149" t="s">
        <v>123</v>
      </c>
      <c r="C50" s="150">
        <v>1980</v>
      </c>
      <c r="D50" s="151" t="s">
        <v>121</v>
      </c>
      <c r="E50" s="151" t="s">
        <v>109</v>
      </c>
      <c r="F50" s="151"/>
      <c r="G50" s="151" t="s">
        <v>86</v>
      </c>
      <c r="H50" s="152"/>
      <c r="I50" s="153">
        <f>YEAR(Tbl_Transactions[[#This Row],[Date]])</f>
        <v>2020</v>
      </c>
      <c r="J50" s="154" t="str">
        <f>TEXT(Tbl_Transactions[[#This Row],[Date]],"MMM")</f>
        <v>May</v>
      </c>
    </row>
    <row r="51" spans="1:10" ht="30" customHeight="1" x14ac:dyDescent="0.3">
      <c r="A51" s="148">
        <v>43967</v>
      </c>
      <c r="B51" s="149" t="s">
        <v>124</v>
      </c>
      <c r="C51" s="150">
        <v>-2000</v>
      </c>
      <c r="D51" s="151" t="s">
        <v>121</v>
      </c>
      <c r="E51" s="151" t="s">
        <v>109</v>
      </c>
      <c r="F51" s="151"/>
      <c r="G51" s="151" t="s">
        <v>85</v>
      </c>
      <c r="H51" s="152"/>
      <c r="I51" s="153">
        <f>YEAR(Tbl_Transactions[[#This Row],[Date]])</f>
        <v>2020</v>
      </c>
      <c r="J51" s="154" t="str">
        <f>TEXT(Tbl_Transactions[[#This Row],[Date]],"MMM")</f>
        <v>May</v>
      </c>
    </row>
    <row r="52" spans="1:10" ht="30" customHeight="1" x14ac:dyDescent="0.3">
      <c r="A52" s="148">
        <v>43973</v>
      </c>
      <c r="B52" s="149" t="s">
        <v>124</v>
      </c>
      <c r="C52" s="150">
        <v>2000</v>
      </c>
      <c r="D52" s="151" t="s">
        <v>121</v>
      </c>
      <c r="E52" s="151" t="s">
        <v>109</v>
      </c>
      <c r="F52" s="151"/>
      <c r="G52" s="151" t="s">
        <v>87</v>
      </c>
      <c r="H52" s="152"/>
      <c r="I52" s="153">
        <f>YEAR(Tbl_Transactions[[#This Row],[Date]])</f>
        <v>2020</v>
      </c>
      <c r="J52" s="154" t="str">
        <f>TEXT(Tbl_Transactions[[#This Row],[Date]],"MMM")</f>
        <v>May</v>
      </c>
    </row>
    <row r="53" spans="1:10" ht="30" customHeight="1" x14ac:dyDescent="0.3">
      <c r="A53" s="148">
        <v>43979</v>
      </c>
      <c r="B53" s="162" t="s">
        <v>108</v>
      </c>
      <c r="C53" s="150">
        <v>1980</v>
      </c>
      <c r="D53" s="151" t="s">
        <v>13</v>
      </c>
      <c r="E53" s="151" t="s">
        <v>95</v>
      </c>
      <c r="F53" s="151" t="s">
        <v>108</v>
      </c>
      <c r="G53" s="151" t="s">
        <v>87</v>
      </c>
      <c r="H53" s="152"/>
      <c r="I53" s="153">
        <f>YEAR(Tbl_Transactions[[#This Row],[Date]])</f>
        <v>2020</v>
      </c>
      <c r="J53" s="154" t="str">
        <f>TEXT(Tbl_Transactions[[#This Row],[Date]],"MMM")</f>
        <v>May</v>
      </c>
    </row>
    <row r="54" spans="1:10" ht="30" customHeight="1" x14ac:dyDescent="0.3">
      <c r="A54" s="148">
        <v>43985</v>
      </c>
      <c r="B54" s="149" t="s">
        <v>105</v>
      </c>
      <c r="C54" s="150">
        <v>850</v>
      </c>
      <c r="D54" s="151" t="s">
        <v>13</v>
      </c>
      <c r="E54" s="151" t="s">
        <v>95</v>
      </c>
      <c r="F54" s="151" t="s">
        <v>105</v>
      </c>
      <c r="G54" s="151" t="s">
        <v>86</v>
      </c>
      <c r="H54" s="152"/>
      <c r="I54" s="153">
        <f>YEAR(Tbl_Transactions[[#This Row],[Date]])</f>
        <v>2020</v>
      </c>
      <c r="J54" s="154" t="str">
        <f>TEXT(Tbl_Transactions[[#This Row],[Date]],"MMM")</f>
        <v>Jun</v>
      </c>
    </row>
    <row r="55" spans="1:10" ht="30" customHeight="1" x14ac:dyDescent="0.3">
      <c r="A55" s="148">
        <v>43991</v>
      </c>
      <c r="B55" s="149" t="s">
        <v>106</v>
      </c>
      <c r="C55" s="150">
        <v>620</v>
      </c>
      <c r="D55" s="151" t="s">
        <v>13</v>
      </c>
      <c r="E55" s="151" t="s">
        <v>95</v>
      </c>
      <c r="F55" s="151" t="s">
        <v>106</v>
      </c>
      <c r="G55" s="151" t="s">
        <v>81</v>
      </c>
      <c r="H55" s="152"/>
      <c r="I55" s="153">
        <f>YEAR(Tbl_Transactions[[#This Row],[Date]])</f>
        <v>2020</v>
      </c>
      <c r="J55" s="154" t="str">
        <f>TEXT(Tbl_Transactions[[#This Row],[Date]],"MMM")</f>
        <v>Jun</v>
      </c>
    </row>
    <row r="56" spans="1:10" ht="30" customHeight="1" x14ac:dyDescent="0.3">
      <c r="A56" s="148">
        <v>43997</v>
      </c>
      <c r="B56" s="149" t="s">
        <v>112</v>
      </c>
      <c r="C56" s="150">
        <v>60</v>
      </c>
      <c r="D56" s="151" t="s">
        <v>13</v>
      </c>
      <c r="E56" s="151" t="s">
        <v>92</v>
      </c>
      <c r="F56" s="151" t="s">
        <v>92</v>
      </c>
      <c r="G56" s="151" t="s">
        <v>87</v>
      </c>
      <c r="H56" s="152"/>
      <c r="I56" s="153">
        <f>YEAR(Tbl_Transactions[[#This Row],[Date]])</f>
        <v>2020</v>
      </c>
      <c r="J56" s="154" t="str">
        <f>TEXT(Tbl_Transactions[[#This Row],[Date]],"MMM")</f>
        <v>Jun</v>
      </c>
    </row>
    <row r="57" spans="1:10" ht="30" customHeight="1" x14ac:dyDescent="0.3">
      <c r="A57" s="148">
        <v>44003</v>
      </c>
      <c r="B57" s="149" t="s">
        <v>113</v>
      </c>
      <c r="C57" s="150">
        <v>27500</v>
      </c>
      <c r="D57" s="151" t="s">
        <v>8</v>
      </c>
      <c r="E57" s="151" t="s">
        <v>113</v>
      </c>
      <c r="F57" s="151"/>
      <c r="G57" s="151" t="s">
        <v>81</v>
      </c>
      <c r="H57" s="152"/>
      <c r="I57" s="153">
        <f>YEAR(Tbl_Transactions[[#This Row],[Date]])</f>
        <v>2020</v>
      </c>
      <c r="J57" s="154" t="str">
        <f>TEXT(Tbl_Transactions[[#This Row],[Date]],"MMM")</f>
        <v>Jun</v>
      </c>
    </row>
    <row r="58" spans="1:10" ht="30" customHeight="1" x14ac:dyDescent="0.3">
      <c r="A58" s="148">
        <v>44009</v>
      </c>
      <c r="B58" s="149" t="s">
        <v>114</v>
      </c>
      <c r="C58" s="150">
        <v>7000</v>
      </c>
      <c r="D58" s="151" t="s">
        <v>8</v>
      </c>
      <c r="E58" s="151" t="s">
        <v>115</v>
      </c>
      <c r="F58" s="151"/>
      <c r="G58" s="151" t="s">
        <v>85</v>
      </c>
      <c r="H58" s="152"/>
      <c r="I58" s="153">
        <f>YEAR(Tbl_Transactions[[#This Row],[Date]])</f>
        <v>2020</v>
      </c>
      <c r="J58" s="154" t="str">
        <f>TEXT(Tbl_Transactions[[#This Row],[Date]],"MMM")</f>
        <v>Jun</v>
      </c>
    </row>
    <row r="59" spans="1:10" ht="30" customHeight="1" x14ac:dyDescent="0.3">
      <c r="A59" s="148">
        <v>44015</v>
      </c>
      <c r="B59" s="149" t="s">
        <v>107</v>
      </c>
      <c r="C59" s="150">
        <v>750</v>
      </c>
      <c r="D59" s="151" t="s">
        <v>13</v>
      </c>
      <c r="E59" s="151" t="s">
        <v>95</v>
      </c>
      <c r="F59" s="151" t="s">
        <v>107</v>
      </c>
      <c r="G59" s="151" t="s">
        <v>81</v>
      </c>
      <c r="H59" s="152"/>
      <c r="I59" s="153">
        <f>YEAR(Tbl_Transactions[[#This Row],[Date]])</f>
        <v>2020</v>
      </c>
      <c r="J59" s="154" t="str">
        <f>TEXT(Tbl_Transactions[[#This Row],[Date]],"MMM")</f>
        <v>Jul</v>
      </c>
    </row>
    <row r="60" spans="1:10" ht="30" customHeight="1" x14ac:dyDescent="0.3">
      <c r="A60" s="148">
        <v>44021</v>
      </c>
      <c r="B60" s="149" t="s">
        <v>129</v>
      </c>
      <c r="C60" s="150">
        <v>-2000</v>
      </c>
      <c r="D60" s="151" t="s">
        <v>121</v>
      </c>
      <c r="E60" s="151" t="s">
        <v>110</v>
      </c>
      <c r="F60" s="151"/>
      <c r="G60" s="151" t="s">
        <v>81</v>
      </c>
      <c r="H60" s="152"/>
      <c r="I60" s="153">
        <f>YEAR(Tbl_Transactions[[#This Row],[Date]])</f>
        <v>2020</v>
      </c>
      <c r="J60" s="154" t="str">
        <f>TEXT(Tbl_Transactions[[#This Row],[Date]],"MMM")</f>
        <v>Jul</v>
      </c>
    </row>
    <row r="61" spans="1:10" ht="30" customHeight="1" x14ac:dyDescent="0.3">
      <c r="A61" s="148">
        <v>44027</v>
      </c>
      <c r="B61" s="149" t="s">
        <v>129</v>
      </c>
      <c r="C61" s="150">
        <v>2000</v>
      </c>
      <c r="D61" s="151" t="s">
        <v>121</v>
      </c>
      <c r="E61" s="151" t="s">
        <v>110</v>
      </c>
      <c r="F61" s="151"/>
      <c r="G61" s="151" t="s">
        <v>82</v>
      </c>
      <c r="H61" s="152"/>
      <c r="I61" s="153">
        <f>YEAR(Tbl_Transactions[[#This Row],[Date]])</f>
        <v>2020</v>
      </c>
      <c r="J61" s="154" t="str">
        <f>TEXT(Tbl_Transactions[[#This Row],[Date]],"MMM")</f>
        <v>Jul</v>
      </c>
    </row>
    <row r="62" spans="1:10" ht="30" customHeight="1" x14ac:dyDescent="0.3">
      <c r="A62" s="148">
        <v>44033</v>
      </c>
      <c r="B62" s="149" t="s">
        <v>117</v>
      </c>
      <c r="C62" s="150">
        <v>350</v>
      </c>
      <c r="D62" s="151" t="s">
        <v>13</v>
      </c>
      <c r="E62" s="151" t="s">
        <v>89</v>
      </c>
      <c r="F62" s="151" t="s">
        <v>98</v>
      </c>
      <c r="G62" s="151" t="s">
        <v>87</v>
      </c>
      <c r="H62" s="152"/>
      <c r="I62" s="153">
        <f>YEAR(Tbl_Transactions[[#This Row],[Date]])</f>
        <v>2020</v>
      </c>
      <c r="J62" s="154" t="str">
        <f>TEXT(Tbl_Transactions[[#This Row],[Date]],"MMM")</f>
        <v>Jul</v>
      </c>
    </row>
    <row r="63" spans="1:10" ht="30" customHeight="1" x14ac:dyDescent="0.3">
      <c r="A63" s="148">
        <v>44039</v>
      </c>
      <c r="B63" s="149" t="s">
        <v>123</v>
      </c>
      <c r="C63" s="150">
        <v>-1980</v>
      </c>
      <c r="D63" s="151" t="s">
        <v>121</v>
      </c>
      <c r="E63" s="151" t="s">
        <v>109</v>
      </c>
      <c r="F63" s="151"/>
      <c r="G63" s="151" t="s">
        <v>81</v>
      </c>
      <c r="H63" s="152"/>
      <c r="I63" s="153">
        <f>YEAR(Tbl_Transactions[[#This Row],[Date]])</f>
        <v>2020</v>
      </c>
      <c r="J63" s="154" t="str">
        <f>TEXT(Tbl_Transactions[[#This Row],[Date]],"MMM")</f>
        <v>Jul</v>
      </c>
    </row>
    <row r="64" spans="1:10" ht="30" customHeight="1" x14ac:dyDescent="0.3">
      <c r="A64" s="148">
        <v>44045</v>
      </c>
      <c r="B64" s="149" t="s">
        <v>123</v>
      </c>
      <c r="C64" s="150">
        <v>1980</v>
      </c>
      <c r="D64" s="151" t="s">
        <v>121</v>
      </c>
      <c r="E64" s="151" t="s">
        <v>109</v>
      </c>
      <c r="F64" s="151"/>
      <c r="G64" s="151" t="s">
        <v>86</v>
      </c>
      <c r="H64" s="152"/>
      <c r="I64" s="153">
        <f>YEAR(Tbl_Transactions[[#This Row],[Date]])</f>
        <v>2020</v>
      </c>
      <c r="J64" s="154" t="str">
        <f>TEXT(Tbl_Transactions[[#This Row],[Date]],"MMM")</f>
        <v>Aug</v>
      </c>
    </row>
    <row r="65" spans="1:10" ht="30" customHeight="1" x14ac:dyDescent="0.3">
      <c r="A65" s="148">
        <v>44051</v>
      </c>
      <c r="B65" s="149" t="s">
        <v>124</v>
      </c>
      <c r="C65" s="150">
        <v>-1980</v>
      </c>
      <c r="D65" s="151" t="s">
        <v>121</v>
      </c>
      <c r="E65" s="151" t="s">
        <v>109</v>
      </c>
      <c r="F65" s="151"/>
      <c r="G65" s="151" t="s">
        <v>85</v>
      </c>
      <c r="H65" s="152"/>
      <c r="I65" s="153">
        <f>YEAR(Tbl_Transactions[[#This Row],[Date]])</f>
        <v>2020</v>
      </c>
      <c r="J65" s="154" t="str">
        <f>TEXT(Tbl_Transactions[[#This Row],[Date]],"MMM")</f>
        <v>Aug</v>
      </c>
    </row>
    <row r="66" spans="1:10" ht="30" customHeight="1" x14ac:dyDescent="0.3">
      <c r="A66" s="148">
        <v>44057</v>
      </c>
      <c r="B66" s="149" t="s">
        <v>124</v>
      </c>
      <c r="C66" s="150">
        <v>1980</v>
      </c>
      <c r="D66" s="151" t="s">
        <v>121</v>
      </c>
      <c r="E66" s="151" t="s">
        <v>109</v>
      </c>
      <c r="F66" s="151"/>
      <c r="G66" s="151" t="s">
        <v>87</v>
      </c>
      <c r="H66" s="152"/>
      <c r="I66" s="153">
        <f>YEAR(Tbl_Transactions[[#This Row],[Date]])</f>
        <v>2020</v>
      </c>
      <c r="J66" s="154" t="str">
        <f>TEXT(Tbl_Transactions[[#This Row],[Date]],"MMM")</f>
        <v>Aug</v>
      </c>
    </row>
    <row r="67" spans="1:10" ht="30" customHeight="1" x14ac:dyDescent="0.3">
      <c r="A67" s="148">
        <v>44063</v>
      </c>
      <c r="B67" s="149" t="s">
        <v>112</v>
      </c>
      <c r="C67" s="150">
        <v>90</v>
      </c>
      <c r="D67" s="151" t="s">
        <v>13</v>
      </c>
      <c r="E67" s="151" t="s">
        <v>92</v>
      </c>
      <c r="F67" s="151" t="s">
        <v>92</v>
      </c>
      <c r="G67" s="151" t="s">
        <v>81</v>
      </c>
      <c r="H67" s="152"/>
      <c r="I67" s="153">
        <f>YEAR(Tbl_Transactions[[#This Row],[Date]])</f>
        <v>2020</v>
      </c>
      <c r="J67" s="154" t="str">
        <f>TEXT(Tbl_Transactions[[#This Row],[Date]],"MMM")</f>
        <v>Aug</v>
      </c>
    </row>
    <row r="68" spans="1:10" ht="30" customHeight="1" x14ac:dyDescent="0.3">
      <c r="A68" s="148">
        <v>44069</v>
      </c>
      <c r="B68" s="149" t="s">
        <v>108</v>
      </c>
      <c r="C68" s="150">
        <v>1650</v>
      </c>
      <c r="D68" s="151" t="s">
        <v>13</v>
      </c>
      <c r="E68" s="151" t="s">
        <v>95</v>
      </c>
      <c r="F68" s="151" t="s">
        <v>108</v>
      </c>
      <c r="G68" s="151" t="s">
        <v>87</v>
      </c>
      <c r="H68" s="152"/>
      <c r="I68" s="153">
        <f>YEAR(Tbl_Transactions[[#This Row],[Date]])</f>
        <v>2020</v>
      </c>
      <c r="J68" s="154" t="str">
        <f>TEXT(Tbl_Transactions[[#This Row],[Date]],"MMM")</f>
        <v>Aug</v>
      </c>
    </row>
    <row r="69" spans="1:10" ht="30" customHeight="1" x14ac:dyDescent="0.3">
      <c r="A69" s="148">
        <v>44075</v>
      </c>
      <c r="B69" s="149" t="s">
        <v>105</v>
      </c>
      <c r="C69" s="150">
        <v>920</v>
      </c>
      <c r="D69" s="151" t="s">
        <v>13</v>
      </c>
      <c r="E69" s="151" t="s">
        <v>95</v>
      </c>
      <c r="F69" s="151" t="s">
        <v>105</v>
      </c>
      <c r="G69" s="151" t="s">
        <v>86</v>
      </c>
      <c r="H69" s="152"/>
      <c r="I69" s="153">
        <f>YEAR(Tbl_Transactions[[#This Row],[Date]])</f>
        <v>2020</v>
      </c>
      <c r="J69" s="154" t="str">
        <f>TEXT(Tbl_Transactions[[#This Row],[Date]],"MMM")</f>
        <v>Sep</v>
      </c>
    </row>
    <row r="70" spans="1:10" ht="30" customHeight="1" x14ac:dyDescent="0.3">
      <c r="A70" s="148">
        <v>44081</v>
      </c>
      <c r="B70" s="149" t="s">
        <v>106</v>
      </c>
      <c r="C70" s="150">
        <v>610</v>
      </c>
      <c r="D70" s="151" t="s">
        <v>13</v>
      </c>
      <c r="E70" s="151" t="s">
        <v>95</v>
      </c>
      <c r="F70" s="151" t="s">
        <v>106</v>
      </c>
      <c r="G70" s="151" t="s">
        <v>81</v>
      </c>
      <c r="H70" s="152"/>
      <c r="I70" s="153">
        <f>YEAR(Tbl_Transactions[[#This Row],[Date]])</f>
        <v>2020</v>
      </c>
      <c r="J70" s="154" t="str">
        <f>TEXT(Tbl_Transactions[[#This Row],[Date]],"MMM")</f>
        <v>Sep</v>
      </c>
    </row>
    <row r="71" spans="1:10" ht="30" customHeight="1" x14ac:dyDescent="0.3">
      <c r="A71" s="148">
        <v>44087</v>
      </c>
      <c r="B71" s="149" t="s">
        <v>113</v>
      </c>
      <c r="C71" s="150">
        <v>30000</v>
      </c>
      <c r="D71" s="151" t="s">
        <v>8</v>
      </c>
      <c r="E71" s="151" t="s">
        <v>113</v>
      </c>
      <c r="F71" s="151"/>
      <c r="G71" s="151" t="s">
        <v>81</v>
      </c>
      <c r="H71" s="152" t="s">
        <v>130</v>
      </c>
      <c r="I71" s="153">
        <f>YEAR(Tbl_Transactions[[#This Row],[Date]])</f>
        <v>2020</v>
      </c>
      <c r="J71" s="154" t="str">
        <f>TEXT(Tbl_Transactions[[#This Row],[Date]],"MMM")</f>
        <v>Sep</v>
      </c>
    </row>
    <row r="72" spans="1:10" ht="30" customHeight="1" x14ac:dyDescent="0.3">
      <c r="A72" s="148">
        <v>44093</v>
      </c>
      <c r="B72" s="149" t="s">
        <v>114</v>
      </c>
      <c r="C72" s="150">
        <v>7000</v>
      </c>
      <c r="D72" s="151" t="s">
        <v>8</v>
      </c>
      <c r="E72" s="151" t="s">
        <v>115</v>
      </c>
      <c r="F72" s="151"/>
      <c r="G72" s="151" t="s">
        <v>85</v>
      </c>
      <c r="H72" s="152"/>
      <c r="I72" s="153">
        <f>YEAR(Tbl_Transactions[[#This Row],[Date]])</f>
        <v>2020</v>
      </c>
      <c r="J72" s="154" t="str">
        <f>TEXT(Tbl_Transactions[[#This Row],[Date]],"MMM")</f>
        <v>Sep</v>
      </c>
    </row>
    <row r="73" spans="1:10" ht="30" customHeight="1" x14ac:dyDescent="0.3">
      <c r="A73" s="148">
        <v>44099</v>
      </c>
      <c r="B73" s="149" t="s">
        <v>107</v>
      </c>
      <c r="C73" s="150">
        <v>750</v>
      </c>
      <c r="D73" s="151" t="s">
        <v>13</v>
      </c>
      <c r="E73" s="151" t="s">
        <v>95</v>
      </c>
      <c r="F73" s="151" t="s">
        <v>107</v>
      </c>
      <c r="G73" s="151" t="s">
        <v>81</v>
      </c>
      <c r="H73" s="152"/>
      <c r="I73" s="153">
        <f>YEAR(Tbl_Transactions[[#This Row],[Date]])</f>
        <v>2020</v>
      </c>
      <c r="J73" s="154" t="str">
        <f>TEXT(Tbl_Transactions[[#This Row],[Date]],"MMM")</f>
        <v>Sep</v>
      </c>
    </row>
    <row r="74" spans="1:10" ht="30" customHeight="1" x14ac:dyDescent="0.3">
      <c r="A74" s="148">
        <v>44105</v>
      </c>
      <c r="B74" s="149" t="s">
        <v>112</v>
      </c>
      <c r="C74" s="150">
        <v>330</v>
      </c>
      <c r="D74" s="151" t="s">
        <v>13</v>
      </c>
      <c r="E74" s="151" t="s">
        <v>92</v>
      </c>
      <c r="F74" s="151" t="s">
        <v>92</v>
      </c>
      <c r="G74" s="151" t="s">
        <v>81</v>
      </c>
      <c r="H74" s="152"/>
      <c r="I74" s="153">
        <f>YEAR(Tbl_Transactions[[#This Row],[Date]])</f>
        <v>2020</v>
      </c>
      <c r="J74" s="154" t="str">
        <f>TEXT(Tbl_Transactions[[#This Row],[Date]],"MMM")</f>
        <v>Oct</v>
      </c>
    </row>
    <row r="75" spans="1:10" ht="30" customHeight="1" x14ac:dyDescent="0.3">
      <c r="A75" s="148">
        <v>44111</v>
      </c>
      <c r="B75" s="149" t="s">
        <v>117</v>
      </c>
      <c r="C75" s="150">
        <v>620</v>
      </c>
      <c r="D75" s="151" t="s">
        <v>13</v>
      </c>
      <c r="E75" s="151" t="s">
        <v>89</v>
      </c>
      <c r="F75" s="151" t="s">
        <v>98</v>
      </c>
      <c r="G75" s="151" t="s">
        <v>87</v>
      </c>
      <c r="H75" s="152"/>
      <c r="I75" s="153">
        <f>YEAR(Tbl_Transactions[[#This Row],[Date]])</f>
        <v>2020</v>
      </c>
      <c r="J75" s="154" t="str">
        <f>TEXT(Tbl_Transactions[[#This Row],[Date]],"MMM")</f>
        <v>Oct</v>
      </c>
    </row>
    <row r="76" spans="1:10" ht="30" customHeight="1" x14ac:dyDescent="0.3">
      <c r="A76" s="148">
        <v>44117</v>
      </c>
      <c r="B76" s="149" t="s">
        <v>118</v>
      </c>
      <c r="C76" s="150">
        <v>200</v>
      </c>
      <c r="D76" s="151" t="s">
        <v>13</v>
      </c>
      <c r="E76" s="151" t="s">
        <v>89</v>
      </c>
      <c r="F76" s="151" t="s">
        <v>97</v>
      </c>
      <c r="G76" s="151" t="s">
        <v>86</v>
      </c>
      <c r="H76" s="152"/>
      <c r="I76" s="153">
        <f>YEAR(Tbl_Transactions[[#This Row],[Date]])</f>
        <v>2020</v>
      </c>
      <c r="J76" s="154" t="str">
        <f>TEXT(Tbl_Transactions[[#This Row],[Date]],"MMM")</f>
        <v>Oct</v>
      </c>
    </row>
    <row r="77" spans="1:10" ht="30" customHeight="1" x14ac:dyDescent="0.3">
      <c r="A77" s="148">
        <v>44123</v>
      </c>
      <c r="B77" s="149" t="s">
        <v>101</v>
      </c>
      <c r="C77" s="150">
        <v>180</v>
      </c>
      <c r="D77" s="151" t="s">
        <v>13</v>
      </c>
      <c r="E77" s="151" t="s">
        <v>90</v>
      </c>
      <c r="F77" s="151" t="s">
        <v>101</v>
      </c>
      <c r="G77" s="151" t="s">
        <v>87</v>
      </c>
      <c r="H77" s="152"/>
      <c r="I77" s="153">
        <f>YEAR(Tbl_Transactions[[#This Row],[Date]])</f>
        <v>2020</v>
      </c>
      <c r="J77" s="154" t="str">
        <f>TEXT(Tbl_Transactions[[#This Row],[Date]],"MMM")</f>
        <v>Oct</v>
      </c>
    </row>
    <row r="78" spans="1:10" ht="30" customHeight="1" x14ac:dyDescent="0.3">
      <c r="A78" s="148">
        <v>44129</v>
      </c>
      <c r="B78" s="149" t="s">
        <v>123</v>
      </c>
      <c r="C78" s="150">
        <v>-7500</v>
      </c>
      <c r="D78" s="151" t="s">
        <v>121</v>
      </c>
      <c r="E78" s="151" t="s">
        <v>109</v>
      </c>
      <c r="F78" s="151"/>
      <c r="G78" s="151" t="s">
        <v>81</v>
      </c>
      <c r="H78" s="152"/>
      <c r="I78" s="153">
        <f>YEAR(Tbl_Transactions[[#This Row],[Date]])</f>
        <v>2020</v>
      </c>
      <c r="J78" s="154" t="str">
        <f>TEXT(Tbl_Transactions[[#This Row],[Date]],"MMM")</f>
        <v>Oct</v>
      </c>
    </row>
    <row r="79" spans="1:10" ht="30" customHeight="1" x14ac:dyDescent="0.3">
      <c r="A79" s="148">
        <v>44135</v>
      </c>
      <c r="B79" s="149" t="s">
        <v>123</v>
      </c>
      <c r="C79" s="150">
        <v>3000</v>
      </c>
      <c r="D79" s="151" t="s">
        <v>121</v>
      </c>
      <c r="E79" s="151" t="s">
        <v>109</v>
      </c>
      <c r="F79" s="151"/>
      <c r="G79" s="151" t="s">
        <v>86</v>
      </c>
      <c r="H79" s="152"/>
      <c r="I79" s="153">
        <f>YEAR(Tbl_Transactions[[#This Row],[Date]])</f>
        <v>2020</v>
      </c>
      <c r="J79" s="154" t="str">
        <f>TEXT(Tbl_Transactions[[#This Row],[Date]],"MMM")</f>
        <v>Oct</v>
      </c>
    </row>
    <row r="80" spans="1:10" ht="30" customHeight="1" x14ac:dyDescent="0.3">
      <c r="A80" s="148">
        <v>44141</v>
      </c>
      <c r="B80" s="149" t="s">
        <v>124</v>
      </c>
      <c r="C80" s="150">
        <v>-2000</v>
      </c>
      <c r="D80" s="151" t="s">
        <v>121</v>
      </c>
      <c r="E80" s="151" t="s">
        <v>109</v>
      </c>
      <c r="F80" s="151"/>
      <c r="G80" s="151" t="s">
        <v>85</v>
      </c>
      <c r="H80" s="152"/>
      <c r="I80" s="153">
        <f>YEAR(Tbl_Transactions[[#This Row],[Date]])</f>
        <v>2020</v>
      </c>
      <c r="J80" s="154" t="str">
        <f>TEXT(Tbl_Transactions[[#This Row],[Date]],"MMM")</f>
        <v>Nov</v>
      </c>
    </row>
    <row r="81" spans="1:10" ht="30" customHeight="1" x14ac:dyDescent="0.3">
      <c r="A81" s="148">
        <v>44147</v>
      </c>
      <c r="B81" s="149" t="s">
        <v>124</v>
      </c>
      <c r="C81" s="150">
        <v>2000</v>
      </c>
      <c r="D81" s="151" t="s">
        <v>121</v>
      </c>
      <c r="E81" s="151" t="s">
        <v>109</v>
      </c>
      <c r="F81" s="151"/>
      <c r="G81" s="151" t="s">
        <v>87</v>
      </c>
      <c r="H81" s="152"/>
      <c r="I81" s="153">
        <f>YEAR(Tbl_Transactions[[#This Row],[Date]])</f>
        <v>2020</v>
      </c>
      <c r="J81" s="154" t="str">
        <f>TEXT(Tbl_Transactions[[#This Row],[Date]],"MMM")</f>
        <v>Nov</v>
      </c>
    </row>
    <row r="82" spans="1:10" ht="30" customHeight="1" x14ac:dyDescent="0.3">
      <c r="A82" s="148">
        <v>44153</v>
      </c>
      <c r="B82" s="149" t="s">
        <v>108</v>
      </c>
      <c r="C82" s="150">
        <v>1300</v>
      </c>
      <c r="D82" s="151" t="s">
        <v>13</v>
      </c>
      <c r="E82" s="151" t="s">
        <v>95</v>
      </c>
      <c r="F82" s="151" t="s">
        <v>108</v>
      </c>
      <c r="G82" s="151" t="s">
        <v>87</v>
      </c>
      <c r="H82" s="152"/>
      <c r="I82" s="153">
        <f>YEAR(Tbl_Transactions[[#This Row],[Date]])</f>
        <v>2020</v>
      </c>
      <c r="J82" s="154" t="str">
        <f>TEXT(Tbl_Transactions[[#This Row],[Date]],"MMM")</f>
        <v>Nov</v>
      </c>
    </row>
    <row r="83" spans="1:10" ht="30" customHeight="1" x14ac:dyDescent="0.3">
      <c r="A83" s="148">
        <v>44159</v>
      </c>
      <c r="B83" s="149" t="s">
        <v>116</v>
      </c>
      <c r="C83" s="150">
        <v>620</v>
      </c>
      <c r="D83" s="151" t="s">
        <v>13</v>
      </c>
      <c r="E83" s="151" t="s">
        <v>93</v>
      </c>
      <c r="F83" s="151" t="s">
        <v>93</v>
      </c>
      <c r="G83" s="151" t="s">
        <v>86</v>
      </c>
      <c r="H83" s="152"/>
      <c r="I83" s="153">
        <f>YEAR(Tbl_Transactions[[#This Row],[Date]])</f>
        <v>2020</v>
      </c>
      <c r="J83" s="154" t="str">
        <f>TEXT(Tbl_Transactions[[#This Row],[Date]],"MMM")</f>
        <v>Nov</v>
      </c>
    </row>
    <row r="84" spans="1:10" ht="30" customHeight="1" x14ac:dyDescent="0.3">
      <c r="A84" s="148">
        <v>44165</v>
      </c>
      <c r="B84" s="149" t="s">
        <v>105</v>
      </c>
      <c r="C84" s="150">
        <v>910</v>
      </c>
      <c r="D84" s="151" t="s">
        <v>13</v>
      </c>
      <c r="E84" s="151" t="s">
        <v>95</v>
      </c>
      <c r="F84" s="151" t="s">
        <v>105</v>
      </c>
      <c r="G84" s="151" t="s">
        <v>86</v>
      </c>
      <c r="H84" s="152"/>
      <c r="I84" s="153">
        <f>YEAR(Tbl_Transactions[[#This Row],[Date]])</f>
        <v>2020</v>
      </c>
      <c r="J84" s="154" t="str">
        <f>TEXT(Tbl_Transactions[[#This Row],[Date]],"MMM")</f>
        <v>Nov</v>
      </c>
    </row>
    <row r="85" spans="1:10" ht="30" customHeight="1" x14ac:dyDescent="0.3">
      <c r="A85" s="148">
        <v>44171</v>
      </c>
      <c r="B85" s="149" t="s">
        <v>126</v>
      </c>
      <c r="C85" s="150">
        <v>2000</v>
      </c>
      <c r="D85" s="151" t="s">
        <v>13</v>
      </c>
      <c r="E85" s="151" t="s">
        <v>95</v>
      </c>
      <c r="F85" s="151" t="s">
        <v>104</v>
      </c>
      <c r="G85" s="151" t="s">
        <v>81</v>
      </c>
      <c r="H85" s="152"/>
      <c r="I85" s="153">
        <f>YEAR(Tbl_Transactions[[#This Row],[Date]])</f>
        <v>2020</v>
      </c>
      <c r="J85" s="154" t="str">
        <f>TEXT(Tbl_Transactions[[#This Row],[Date]],"MMM")</f>
        <v>Dec</v>
      </c>
    </row>
    <row r="86" spans="1:10" ht="30" customHeight="1" x14ac:dyDescent="0.3">
      <c r="A86" s="148">
        <v>44177</v>
      </c>
      <c r="B86" s="149" t="s">
        <v>106</v>
      </c>
      <c r="C86" s="150">
        <v>480</v>
      </c>
      <c r="D86" s="151" t="s">
        <v>13</v>
      </c>
      <c r="E86" s="151" t="s">
        <v>95</v>
      </c>
      <c r="F86" s="151" t="s">
        <v>106</v>
      </c>
      <c r="G86" s="151" t="s">
        <v>81</v>
      </c>
      <c r="H86" s="152"/>
      <c r="I86" s="153">
        <f>YEAR(Tbl_Transactions[[#This Row],[Date]])</f>
        <v>2020</v>
      </c>
      <c r="J86" s="154" t="str">
        <f>TEXT(Tbl_Transactions[[#This Row],[Date]],"MMM")</f>
        <v>Dec</v>
      </c>
    </row>
    <row r="87" spans="1:10" ht="30" customHeight="1" x14ac:dyDescent="0.3">
      <c r="A87" s="148">
        <v>44183</v>
      </c>
      <c r="B87" s="149" t="s">
        <v>113</v>
      </c>
      <c r="C87" s="150">
        <v>30000</v>
      </c>
      <c r="D87" s="151" t="s">
        <v>8</v>
      </c>
      <c r="E87" s="151" t="s">
        <v>113</v>
      </c>
      <c r="F87" s="151"/>
      <c r="G87" s="151" t="s">
        <v>81</v>
      </c>
      <c r="H87" s="152"/>
      <c r="I87" s="153">
        <f>YEAR(Tbl_Transactions[[#This Row],[Date]])</f>
        <v>2020</v>
      </c>
      <c r="J87" s="154" t="str">
        <f>TEXT(Tbl_Transactions[[#This Row],[Date]],"MMM")</f>
        <v>Dec</v>
      </c>
    </row>
    <row r="88" spans="1:10" ht="30" customHeight="1" x14ac:dyDescent="0.3">
      <c r="A88" s="148">
        <v>44189</v>
      </c>
      <c r="B88" s="149" t="s">
        <v>114</v>
      </c>
      <c r="C88" s="150">
        <v>7000</v>
      </c>
      <c r="D88" s="151" t="s">
        <v>8</v>
      </c>
      <c r="E88" s="151" t="s">
        <v>115</v>
      </c>
      <c r="F88" s="151"/>
      <c r="G88" s="151" t="s">
        <v>85</v>
      </c>
      <c r="H88" s="152"/>
      <c r="I88" s="153">
        <f>YEAR(Tbl_Transactions[[#This Row],[Date]])</f>
        <v>2020</v>
      </c>
      <c r="J88" s="154" t="str">
        <f>TEXT(Tbl_Transactions[[#This Row],[Date]],"MMM")</f>
        <v>Dec</v>
      </c>
    </row>
    <row r="89" spans="1:10" ht="30" customHeight="1" x14ac:dyDescent="0.3">
      <c r="A89" s="148">
        <v>44195</v>
      </c>
      <c r="B89" s="149" t="s">
        <v>107</v>
      </c>
      <c r="C89" s="150">
        <v>750</v>
      </c>
      <c r="D89" s="151" t="s">
        <v>13</v>
      </c>
      <c r="E89" s="151" t="s">
        <v>95</v>
      </c>
      <c r="F89" s="151" t="s">
        <v>107</v>
      </c>
      <c r="G89" s="151" t="s">
        <v>81</v>
      </c>
      <c r="H89" s="152"/>
      <c r="I89" s="153">
        <f>YEAR(Tbl_Transactions[[#This Row],[Date]])</f>
        <v>2020</v>
      </c>
      <c r="J89" s="154" t="str">
        <f>TEXT(Tbl_Transactions[[#This Row],[Date]],"MMM")</f>
        <v>Dec</v>
      </c>
    </row>
    <row r="90" spans="1:10" ht="30" customHeight="1" x14ac:dyDescent="0.3">
      <c r="A90" s="148">
        <v>44201</v>
      </c>
      <c r="B90" s="149" t="s">
        <v>112</v>
      </c>
      <c r="C90" s="150">
        <v>165</v>
      </c>
      <c r="D90" s="151" t="s">
        <v>13</v>
      </c>
      <c r="E90" s="151" t="s">
        <v>92</v>
      </c>
      <c r="F90" s="151" t="s">
        <v>92</v>
      </c>
      <c r="G90" s="151" t="s">
        <v>81</v>
      </c>
      <c r="H90" s="152"/>
      <c r="I90" s="153">
        <f>YEAR(Tbl_Transactions[[#This Row],[Date]])</f>
        <v>2021</v>
      </c>
      <c r="J90" s="154" t="str">
        <f>TEXT(Tbl_Transactions[[#This Row],[Date]],"MMM")</f>
        <v>Jan</v>
      </c>
    </row>
    <row r="91" spans="1:10" ht="30" customHeight="1" x14ac:dyDescent="0.3">
      <c r="A91" s="148">
        <v>44207</v>
      </c>
      <c r="B91" s="149" t="s">
        <v>117</v>
      </c>
      <c r="C91" s="150">
        <v>620</v>
      </c>
      <c r="D91" s="151" t="s">
        <v>13</v>
      </c>
      <c r="E91" s="151" t="s">
        <v>89</v>
      </c>
      <c r="F91" s="151" t="s">
        <v>98</v>
      </c>
      <c r="G91" s="151" t="s">
        <v>87</v>
      </c>
      <c r="H91" s="152"/>
      <c r="I91" s="153">
        <f>YEAR(Tbl_Transactions[[#This Row],[Date]])</f>
        <v>2021</v>
      </c>
      <c r="J91" s="154" t="str">
        <f>TEXT(Tbl_Transactions[[#This Row],[Date]],"MMM")</f>
        <v>Jan</v>
      </c>
    </row>
    <row r="92" spans="1:10" ht="30" customHeight="1" x14ac:dyDescent="0.3">
      <c r="A92" s="148">
        <v>44213</v>
      </c>
      <c r="B92" s="149" t="s">
        <v>101</v>
      </c>
      <c r="C92" s="150">
        <v>150</v>
      </c>
      <c r="D92" s="151" t="s">
        <v>13</v>
      </c>
      <c r="E92" s="151" t="s">
        <v>90</v>
      </c>
      <c r="F92" s="151" t="s">
        <v>101</v>
      </c>
      <c r="G92" s="151" t="s">
        <v>87</v>
      </c>
      <c r="H92" s="152"/>
      <c r="I92" s="153">
        <f>YEAR(Tbl_Transactions[[#This Row],[Date]])</f>
        <v>2021</v>
      </c>
      <c r="J92" s="154" t="str">
        <f>TEXT(Tbl_Transactions[[#This Row],[Date]],"MMM")</f>
        <v>Jan</v>
      </c>
    </row>
    <row r="93" spans="1:10" ht="30" customHeight="1" x14ac:dyDescent="0.3">
      <c r="A93" s="148">
        <v>44219</v>
      </c>
      <c r="B93" s="149" t="s">
        <v>123</v>
      </c>
      <c r="C93" s="150">
        <v>-3000</v>
      </c>
      <c r="D93" s="151" t="s">
        <v>121</v>
      </c>
      <c r="E93" s="151" t="s">
        <v>109</v>
      </c>
      <c r="F93" s="151"/>
      <c r="G93" s="151" t="s">
        <v>81</v>
      </c>
      <c r="H93" s="152"/>
      <c r="I93" s="153">
        <f>YEAR(Tbl_Transactions[[#This Row],[Date]])</f>
        <v>2021</v>
      </c>
      <c r="J93" s="154" t="str">
        <f>TEXT(Tbl_Transactions[[#This Row],[Date]],"MMM")</f>
        <v>Jan</v>
      </c>
    </row>
    <row r="94" spans="1:10" ht="30" customHeight="1" x14ac:dyDescent="0.3">
      <c r="A94" s="148">
        <v>44225</v>
      </c>
      <c r="B94" s="149" t="s">
        <v>123</v>
      </c>
      <c r="C94" s="150">
        <v>3000</v>
      </c>
      <c r="D94" s="151" t="s">
        <v>121</v>
      </c>
      <c r="E94" s="151" t="s">
        <v>109</v>
      </c>
      <c r="F94" s="151"/>
      <c r="G94" s="151" t="s">
        <v>86</v>
      </c>
      <c r="H94" s="152"/>
      <c r="I94" s="153">
        <f>YEAR(Tbl_Transactions[[#This Row],[Date]])</f>
        <v>2021</v>
      </c>
      <c r="J94" s="154" t="str">
        <f>TEXT(Tbl_Transactions[[#This Row],[Date]],"MMM")</f>
        <v>Jan</v>
      </c>
    </row>
    <row r="95" spans="1:10" ht="30" customHeight="1" x14ac:dyDescent="0.3">
      <c r="A95" s="148">
        <v>44231</v>
      </c>
      <c r="B95" s="149" t="s">
        <v>124</v>
      </c>
      <c r="C95" s="150">
        <v>-1980</v>
      </c>
      <c r="D95" s="151" t="s">
        <v>121</v>
      </c>
      <c r="E95" s="151" t="s">
        <v>109</v>
      </c>
      <c r="F95" s="151"/>
      <c r="G95" s="151" t="s">
        <v>85</v>
      </c>
      <c r="H95" s="152"/>
      <c r="I95" s="153">
        <f>YEAR(Tbl_Transactions[[#This Row],[Date]])</f>
        <v>2021</v>
      </c>
      <c r="J95" s="154" t="str">
        <f>TEXT(Tbl_Transactions[[#This Row],[Date]],"MMM")</f>
        <v>Feb</v>
      </c>
    </row>
    <row r="96" spans="1:10" ht="30" customHeight="1" x14ac:dyDescent="0.3">
      <c r="A96" s="148">
        <v>44237</v>
      </c>
      <c r="B96" s="149" t="s">
        <v>124</v>
      </c>
      <c r="C96" s="150">
        <v>1980</v>
      </c>
      <c r="D96" s="151" t="s">
        <v>121</v>
      </c>
      <c r="E96" s="151" t="s">
        <v>109</v>
      </c>
      <c r="F96" s="151"/>
      <c r="G96" s="151" t="s">
        <v>87</v>
      </c>
      <c r="H96" s="152"/>
      <c r="I96" s="153">
        <f>YEAR(Tbl_Transactions[[#This Row],[Date]])</f>
        <v>2021</v>
      </c>
      <c r="J96" s="154" t="str">
        <f>TEXT(Tbl_Transactions[[#This Row],[Date]],"MMM")</f>
        <v>Feb</v>
      </c>
    </row>
    <row r="97" spans="1:10" ht="30" customHeight="1" x14ac:dyDescent="0.3">
      <c r="A97" s="148">
        <v>44243</v>
      </c>
      <c r="B97" s="149" t="s">
        <v>112</v>
      </c>
      <c r="C97" s="150">
        <v>180</v>
      </c>
      <c r="D97" s="151" t="s">
        <v>13</v>
      </c>
      <c r="E97" s="151" t="s">
        <v>92</v>
      </c>
      <c r="F97" s="151" t="s">
        <v>92</v>
      </c>
      <c r="G97" s="151" t="s">
        <v>82</v>
      </c>
      <c r="H97" s="152"/>
      <c r="I97" s="153">
        <f>YEAR(Tbl_Transactions[[#This Row],[Date]])</f>
        <v>2021</v>
      </c>
      <c r="J97" s="154" t="str">
        <f>TEXT(Tbl_Transactions[[#This Row],[Date]],"MMM")</f>
        <v>Feb</v>
      </c>
    </row>
    <row r="98" spans="1:10" ht="30" customHeight="1" x14ac:dyDescent="0.3">
      <c r="A98" s="148">
        <v>44249</v>
      </c>
      <c r="B98" s="149" t="s">
        <v>108</v>
      </c>
      <c r="C98" s="150">
        <v>1750</v>
      </c>
      <c r="D98" s="151" t="s">
        <v>13</v>
      </c>
      <c r="E98" s="151" t="s">
        <v>95</v>
      </c>
      <c r="F98" s="151" t="s">
        <v>108</v>
      </c>
      <c r="G98" s="151" t="s">
        <v>87</v>
      </c>
      <c r="H98" s="152"/>
      <c r="I98" s="153">
        <f>YEAR(Tbl_Transactions[[#This Row],[Date]])</f>
        <v>2021</v>
      </c>
      <c r="J98" s="154" t="str">
        <f>TEXT(Tbl_Transactions[[#This Row],[Date]],"MMM")</f>
        <v>Feb</v>
      </c>
    </row>
    <row r="99" spans="1:10" ht="30" customHeight="1" x14ac:dyDescent="0.3">
      <c r="A99" s="148">
        <v>44255</v>
      </c>
      <c r="B99" s="149" t="s">
        <v>105</v>
      </c>
      <c r="C99" s="150">
        <v>900</v>
      </c>
      <c r="D99" s="151" t="s">
        <v>13</v>
      </c>
      <c r="E99" s="151" t="s">
        <v>95</v>
      </c>
      <c r="F99" s="151" t="s">
        <v>105</v>
      </c>
      <c r="G99" s="151" t="s">
        <v>86</v>
      </c>
      <c r="H99" s="152"/>
      <c r="I99" s="153">
        <f>YEAR(Tbl_Transactions[[#This Row],[Date]])</f>
        <v>2021</v>
      </c>
      <c r="J99" s="154" t="str">
        <f>TEXT(Tbl_Transactions[[#This Row],[Date]],"MMM")</f>
        <v>Feb</v>
      </c>
    </row>
    <row r="100" spans="1:10" ht="30" customHeight="1" x14ac:dyDescent="0.3">
      <c r="A100" s="148">
        <v>44261</v>
      </c>
      <c r="B100" s="149" t="s">
        <v>106</v>
      </c>
      <c r="C100" s="150">
        <v>620</v>
      </c>
      <c r="D100" s="151" t="s">
        <v>13</v>
      </c>
      <c r="E100" s="151" t="s">
        <v>95</v>
      </c>
      <c r="F100" s="151" t="s">
        <v>106</v>
      </c>
      <c r="G100" s="151" t="s">
        <v>81</v>
      </c>
      <c r="H100" s="152"/>
      <c r="I100" s="153">
        <f>YEAR(Tbl_Transactions[[#This Row],[Date]])</f>
        <v>2021</v>
      </c>
      <c r="J100" s="154" t="str">
        <f>TEXT(Tbl_Transactions[[#This Row],[Date]],"MMM")</f>
        <v>Mar</v>
      </c>
    </row>
    <row r="101" spans="1:10" ht="30" customHeight="1" x14ac:dyDescent="0.3">
      <c r="A101" s="148">
        <v>44267</v>
      </c>
      <c r="B101" s="149" t="s">
        <v>113</v>
      </c>
      <c r="C101" s="150">
        <v>30000</v>
      </c>
      <c r="D101" s="151" t="s">
        <v>8</v>
      </c>
      <c r="E101" s="151" t="s">
        <v>113</v>
      </c>
      <c r="F101" s="151"/>
      <c r="G101" s="151" t="s">
        <v>81</v>
      </c>
      <c r="H101" s="152"/>
      <c r="I101" s="153">
        <f>YEAR(Tbl_Transactions[[#This Row],[Date]])</f>
        <v>2021</v>
      </c>
      <c r="J101" s="154" t="str">
        <f>TEXT(Tbl_Transactions[[#This Row],[Date]],"MMM")</f>
        <v>Mar</v>
      </c>
    </row>
    <row r="102" spans="1:10" ht="30" customHeight="1" x14ac:dyDescent="0.3">
      <c r="A102" s="148">
        <v>44273</v>
      </c>
      <c r="B102" s="149" t="s">
        <v>114</v>
      </c>
      <c r="C102" s="150">
        <v>7000</v>
      </c>
      <c r="D102" s="151" t="s">
        <v>8</v>
      </c>
      <c r="E102" s="151" t="s">
        <v>115</v>
      </c>
      <c r="F102" s="151"/>
      <c r="G102" s="151" t="s">
        <v>85</v>
      </c>
      <c r="H102" s="152"/>
      <c r="I102" s="153">
        <f>YEAR(Tbl_Transactions[[#This Row],[Date]])</f>
        <v>2021</v>
      </c>
      <c r="J102" s="154" t="str">
        <f>TEXT(Tbl_Transactions[[#This Row],[Date]],"MMM")</f>
        <v>Mar</v>
      </c>
    </row>
    <row r="103" spans="1:10" ht="30" customHeight="1" x14ac:dyDescent="0.3">
      <c r="A103" s="148">
        <v>44279</v>
      </c>
      <c r="B103" s="155" t="s">
        <v>107</v>
      </c>
      <c r="C103" s="156">
        <v>750</v>
      </c>
      <c r="D103" s="157" t="s">
        <v>13</v>
      </c>
      <c r="E103" s="157" t="s">
        <v>95</v>
      </c>
      <c r="F103" s="157" t="s">
        <v>107</v>
      </c>
      <c r="G103" s="157" t="s">
        <v>81</v>
      </c>
      <c r="H103" s="158"/>
      <c r="I103" s="159">
        <f>YEAR(Tbl_Transactions[[#This Row],[Date]])</f>
        <v>2021</v>
      </c>
      <c r="J103" s="160" t="str">
        <f>TEXT(Tbl_Transactions[[#This Row],[Date]],"MMM")</f>
        <v>Mar</v>
      </c>
    </row>
    <row r="104" spans="1:10" ht="30" customHeight="1" x14ac:dyDescent="0.3"/>
    <row r="105" spans="1:10" ht="30" customHeight="1" x14ac:dyDescent="0.3"/>
    <row r="106" spans="1:10" ht="30" customHeight="1" x14ac:dyDescent="0.3"/>
    <row r="107" spans="1:10" ht="30" customHeight="1" x14ac:dyDescent="0.3"/>
    <row r="108" spans="1:10" ht="30" customHeight="1" x14ac:dyDescent="0.3"/>
    <row r="109" spans="1:10" ht="30" customHeight="1" x14ac:dyDescent="0.3"/>
    <row r="110" spans="1:10" ht="30" customHeight="1" x14ac:dyDescent="0.3"/>
    <row r="111" spans="1:10" ht="30" customHeight="1" x14ac:dyDescent="0.3"/>
    <row r="112" spans="1:10"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sheetData>
  <dataConsolidate/>
  <mergeCells count="1">
    <mergeCell ref="A1:J1"/>
  </mergeCells>
  <dataValidations count="4">
    <dataValidation type="list" allowBlank="1" showInputMessage="1" showErrorMessage="1" sqref="D3:D103" xr:uid="{00000000-0002-0000-0100-000000000000}">
      <formula1>"Income, Expense, Transfer"</formula1>
    </dataValidation>
    <dataValidation type="list" allowBlank="1" showInputMessage="1" showErrorMessage="1" sqref="F3:F103" xr:uid="{00000000-0002-0000-0100-000001000000}">
      <formula1>SubCategories</formula1>
    </dataValidation>
    <dataValidation type="list" allowBlank="1" showInputMessage="1" showErrorMessage="1" sqref="G3:G103" xr:uid="{00000000-0002-0000-0100-000002000000}">
      <formula1>ALLACCTS</formula1>
    </dataValidation>
    <dataValidation type="list" allowBlank="1" showInputMessage="1" showErrorMessage="1" sqref="E3:E103" xr:uid="{00000000-0002-0000-0100-000003000000}">
      <formula1>IF($D3="Expense",ExpenseCategories,IF($D3="Income",IncomeCategories,TransferCategories))</formula1>
    </dataValidation>
  </dataValidations>
  <pageMargins left="0.7" right="0.7" top="0.75" bottom="0.75" header="0.3" footer="0.3"/>
  <pageSetup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V64"/>
  <sheetViews>
    <sheetView topLeftCell="AK32" zoomScale="85" zoomScaleNormal="85" workbookViewId="0">
      <selection activeCell="BA5" sqref="BA5:BC5"/>
    </sheetView>
  </sheetViews>
  <sheetFormatPr defaultColWidth="0" defaultRowHeight="14.4" zeroHeight="1" x14ac:dyDescent="0.3"/>
  <cols>
    <col min="1" max="1" width="3.109375" customWidth="1"/>
    <col min="2" max="2" width="9.109375" customWidth="1"/>
    <col min="3" max="4" width="20.77734375" customWidth="1"/>
    <col min="5" max="5" width="21.77734375" customWidth="1"/>
    <col min="6" max="7" width="20.77734375" customWidth="1"/>
    <col min="8" max="8" width="19" customWidth="1"/>
    <col min="9" max="9" width="10.77734375" customWidth="1"/>
    <col min="10" max="10" width="19" customWidth="1"/>
    <col min="11" max="11" width="25.33203125" customWidth="1"/>
    <col min="12" max="12" width="19" customWidth="1"/>
    <col min="13" max="13" width="9.109375" customWidth="1"/>
    <col min="14" max="14" width="7.88671875" customWidth="1"/>
    <col min="15" max="17" width="3.21875" customWidth="1"/>
    <col min="18" max="19" width="9.109375" customWidth="1"/>
    <col min="20" max="20" width="15.109375" customWidth="1"/>
    <col min="21" max="21" width="13.88671875" customWidth="1"/>
    <col min="22" max="24" width="9.109375" customWidth="1"/>
    <col min="25" max="25" width="11.88671875" customWidth="1"/>
    <col min="26" max="29" width="9.109375" customWidth="1"/>
    <col min="30" max="30" width="14.6640625" customWidth="1"/>
    <col min="31" max="31" width="16" customWidth="1"/>
    <col min="32" max="32" width="8.77734375" customWidth="1"/>
    <col min="33" max="33" width="12.21875" customWidth="1"/>
    <col min="34" max="34" width="5.6640625" customWidth="1"/>
    <col min="35" max="35" width="2.88671875" customWidth="1"/>
    <col min="36" max="37" width="9.109375" style="5" customWidth="1"/>
    <col min="38" max="38" width="13.109375" style="5" customWidth="1"/>
    <col min="39" max="39" width="10.21875" style="5" customWidth="1"/>
    <col min="40" max="40" width="14.88671875" style="5" customWidth="1"/>
    <col min="41" max="41" width="11.21875" style="5" customWidth="1"/>
    <col min="42" max="45" width="8.77734375" style="5" customWidth="1"/>
    <col min="46" max="46" width="11.21875" style="5" customWidth="1"/>
    <col min="47" max="47" width="3.21875" style="5" customWidth="1"/>
    <col min="48" max="54" width="9.109375" style="5" customWidth="1"/>
    <col min="55" max="55" width="5.88671875" style="5" customWidth="1"/>
    <col min="56" max="56" width="5.109375" style="5" customWidth="1"/>
    <col min="57" max="59" width="9.109375" style="5" customWidth="1"/>
    <col min="60" max="63" width="14.77734375" style="5" customWidth="1"/>
    <col min="64" max="64" width="13" style="5" customWidth="1"/>
    <col min="65" max="66" width="9.109375" style="5" customWidth="1"/>
    <col min="67" max="67" width="11" style="5" customWidth="1"/>
    <col min="68" max="72" width="13.77734375" style="5" customWidth="1"/>
    <col min="73" max="73" width="9.109375" style="5" customWidth="1"/>
    <col min="74" max="75" width="9.109375" customWidth="1"/>
    <col min="76" max="100" width="0" hidden="1" customWidth="1"/>
    <col min="101" max="16384" width="9.109375" hidden="1"/>
  </cols>
  <sheetData>
    <row r="1" spans="1:75" ht="31.2" thickBot="1" x14ac:dyDescent="0.6">
      <c r="A1" s="5"/>
      <c r="B1" s="170" t="s">
        <v>136</v>
      </c>
      <c r="C1" s="171"/>
      <c r="D1" s="171"/>
      <c r="E1" s="171"/>
      <c r="F1" s="171"/>
      <c r="G1" s="171"/>
      <c r="H1" s="171"/>
      <c r="I1" s="171"/>
      <c r="J1" s="171"/>
      <c r="K1" s="171"/>
      <c r="L1" s="171"/>
      <c r="M1" s="172"/>
      <c r="N1" s="11"/>
      <c r="O1" s="209" t="s">
        <v>59</v>
      </c>
      <c r="P1" s="210"/>
      <c r="Q1" s="210"/>
      <c r="R1" s="210"/>
      <c r="S1" s="210"/>
      <c r="T1" s="210"/>
      <c r="U1" s="210"/>
      <c r="V1" s="210"/>
      <c r="W1" s="210"/>
      <c r="X1" s="210"/>
      <c r="Y1" s="210"/>
      <c r="Z1" s="210"/>
      <c r="AA1" s="210"/>
      <c r="AB1" s="210"/>
      <c r="AC1" s="210"/>
      <c r="AD1" s="210"/>
      <c r="AE1" s="210"/>
      <c r="AF1" s="210"/>
      <c r="AG1" s="210"/>
      <c r="AH1" s="210"/>
      <c r="AI1" s="211"/>
      <c r="AJ1" s="72"/>
      <c r="AK1" s="212" t="s">
        <v>140</v>
      </c>
      <c r="AL1" s="213"/>
      <c r="AM1" s="213"/>
      <c r="AN1" s="213"/>
      <c r="AO1" s="213"/>
      <c r="AP1" s="213"/>
      <c r="AQ1" s="213"/>
      <c r="AR1" s="213"/>
      <c r="AS1" s="213"/>
      <c r="AT1" s="213"/>
      <c r="AU1" s="213"/>
      <c r="AV1" s="213"/>
      <c r="AW1" s="213"/>
      <c r="AX1" s="213"/>
      <c r="AY1" s="213"/>
      <c r="AZ1" s="213"/>
      <c r="BA1" s="213"/>
      <c r="BB1" s="213"/>
      <c r="BC1" s="213"/>
      <c r="BD1" s="214"/>
      <c r="BE1" s="72"/>
      <c r="BF1" s="212" t="s">
        <v>137</v>
      </c>
      <c r="BG1" s="213"/>
      <c r="BH1" s="213"/>
      <c r="BI1" s="213"/>
      <c r="BJ1" s="213"/>
      <c r="BK1" s="213"/>
      <c r="BL1" s="213"/>
      <c r="BM1" s="213"/>
      <c r="BN1" s="213"/>
      <c r="BO1" s="213"/>
      <c r="BP1" s="213"/>
      <c r="BQ1" s="213"/>
      <c r="BR1" s="213"/>
      <c r="BS1" s="213"/>
      <c r="BT1" s="213"/>
      <c r="BU1" s="214"/>
      <c r="BV1" s="5"/>
      <c r="BW1" s="5"/>
    </row>
    <row r="2" spans="1:75" ht="23.4" x14ac:dyDescent="0.3">
      <c r="A2" s="5"/>
      <c r="B2" s="13"/>
      <c r="C2" s="18"/>
      <c r="D2" s="18"/>
      <c r="E2" s="100"/>
      <c r="F2" s="218" t="s">
        <v>36</v>
      </c>
      <c r="G2" s="218"/>
      <c r="H2" s="220">
        <f>IFERROR(D6+G6+K6,"ERROR")</f>
        <v>228645</v>
      </c>
      <c r="I2" s="220"/>
      <c r="J2" s="18"/>
      <c r="K2" s="219" t="s">
        <v>33</v>
      </c>
      <c r="L2" s="219"/>
      <c r="M2" s="15"/>
      <c r="N2" s="11"/>
      <c r="O2" s="25"/>
      <c r="P2" s="26"/>
      <c r="Q2" s="26"/>
      <c r="R2" s="26"/>
      <c r="S2" s="20"/>
      <c r="T2" s="20"/>
      <c r="U2" s="20"/>
      <c r="V2" s="20"/>
      <c r="W2" s="20"/>
      <c r="X2" s="20"/>
      <c r="Y2" s="20"/>
      <c r="Z2" s="20"/>
      <c r="AA2" s="20"/>
      <c r="AB2" s="20"/>
      <c r="AC2" s="20"/>
      <c r="AD2" s="20"/>
      <c r="AE2" s="20"/>
      <c r="AF2" s="20"/>
      <c r="AG2" s="20"/>
      <c r="AH2" s="20"/>
      <c r="AI2" s="27"/>
      <c r="AJ2" s="71"/>
      <c r="AK2" s="25"/>
      <c r="AL2" s="20"/>
      <c r="AM2" s="20"/>
      <c r="AN2" s="20"/>
      <c r="AO2" s="20"/>
      <c r="AP2" s="20"/>
      <c r="AQ2" s="20"/>
      <c r="AR2" s="20"/>
      <c r="AS2" s="20"/>
      <c r="AT2" s="20"/>
      <c r="AU2" s="20"/>
      <c r="AV2" s="20"/>
      <c r="AW2" s="20"/>
      <c r="AX2" s="20"/>
      <c r="AY2" s="20"/>
      <c r="AZ2" s="20"/>
      <c r="BA2" s="20"/>
      <c r="BB2" s="20"/>
      <c r="BC2" s="20"/>
      <c r="BD2" s="27"/>
      <c r="BE2" s="72"/>
      <c r="BF2" s="25"/>
      <c r="BG2" s="20"/>
      <c r="BH2" s="20"/>
      <c r="BI2" s="20"/>
      <c r="BJ2" s="20"/>
      <c r="BK2" s="20"/>
      <c r="BL2" s="20"/>
      <c r="BM2" s="20"/>
      <c r="BN2" s="20"/>
      <c r="BO2" s="20"/>
      <c r="BP2" s="20"/>
      <c r="BQ2" s="20"/>
      <c r="BR2" s="20"/>
      <c r="BS2" s="20"/>
      <c r="BT2" s="20"/>
      <c r="BU2" s="27"/>
      <c r="BV2" s="5"/>
      <c r="BW2" s="5"/>
    </row>
    <row r="3" spans="1:75" ht="21" customHeight="1" x14ac:dyDescent="0.35">
      <c r="A3" s="5"/>
      <c r="B3" s="13"/>
      <c r="C3" s="18"/>
      <c r="D3" s="18"/>
      <c r="E3" s="100"/>
      <c r="F3" s="218"/>
      <c r="G3" s="218"/>
      <c r="H3" s="220"/>
      <c r="I3" s="220"/>
      <c r="J3" s="32"/>
      <c r="K3" s="222">
        <f>MAX(Tbl_Transactions[Date])</f>
        <v>44279</v>
      </c>
      <c r="L3" s="222"/>
      <c r="M3" s="15"/>
      <c r="N3" s="11"/>
      <c r="O3" s="25"/>
      <c r="P3" s="26"/>
      <c r="Q3" s="26"/>
      <c r="R3" s="227" t="s">
        <v>17</v>
      </c>
      <c r="S3" s="20"/>
      <c r="T3" s="20"/>
      <c r="U3" s="20"/>
      <c r="V3" s="20"/>
      <c r="W3" s="20"/>
      <c r="X3" s="20"/>
      <c r="Y3" s="20"/>
      <c r="Z3" s="20"/>
      <c r="AA3" s="20"/>
      <c r="AB3" s="28"/>
      <c r="AC3" s="28"/>
      <c r="AD3" s="11"/>
      <c r="AE3" s="29"/>
      <c r="AF3" s="30"/>
      <c r="AG3" s="30"/>
      <c r="AH3" s="29"/>
      <c r="AI3" s="27"/>
      <c r="AJ3" s="71"/>
      <c r="AK3" s="25"/>
      <c r="AL3" s="31"/>
      <c r="AM3" s="20"/>
      <c r="AN3" s="20"/>
      <c r="AO3" s="20"/>
      <c r="AP3" s="20"/>
      <c r="AQ3" s="20"/>
      <c r="AR3" s="20"/>
      <c r="AS3" s="20"/>
      <c r="AT3" s="20"/>
      <c r="AU3" s="20"/>
      <c r="AV3" s="20"/>
      <c r="AW3" s="20"/>
      <c r="AX3" s="20"/>
      <c r="AY3" s="20"/>
      <c r="AZ3" s="20"/>
      <c r="BA3" s="20"/>
      <c r="BB3" s="20"/>
      <c r="BC3" s="20"/>
      <c r="BD3" s="27"/>
      <c r="BE3" s="72"/>
      <c r="BF3" s="25"/>
      <c r="BG3" s="20"/>
      <c r="BH3" s="20"/>
      <c r="BI3" s="20"/>
      <c r="BJ3" s="20"/>
      <c r="BK3" s="20"/>
      <c r="BL3" s="20"/>
      <c r="BM3" s="20"/>
      <c r="BN3" s="20"/>
      <c r="BO3" s="20"/>
      <c r="BP3" s="20"/>
      <c r="BQ3" s="20"/>
      <c r="BR3" s="20"/>
      <c r="BS3" s="20"/>
      <c r="BT3" s="20"/>
      <c r="BU3" s="27"/>
      <c r="BV3" s="5"/>
      <c r="BW3" s="5"/>
    </row>
    <row r="4" spans="1:75" ht="15" customHeight="1" x14ac:dyDescent="0.3">
      <c r="A4" s="5"/>
      <c r="B4" s="13"/>
      <c r="C4" s="59"/>
      <c r="D4" s="18"/>
      <c r="E4" s="100"/>
      <c r="F4" s="218"/>
      <c r="G4" s="218"/>
      <c r="H4" s="221"/>
      <c r="I4" s="221"/>
      <c r="J4" s="59"/>
      <c r="K4" s="33"/>
      <c r="L4" s="14"/>
      <c r="M4" s="15"/>
      <c r="N4" s="11"/>
      <c r="O4" s="25"/>
      <c r="P4" s="20"/>
      <c r="Q4" s="20"/>
      <c r="R4" s="227"/>
      <c r="S4" s="20"/>
      <c r="T4" s="20"/>
      <c r="U4" s="20"/>
      <c r="V4" s="20"/>
      <c r="W4" s="20"/>
      <c r="X4" s="20"/>
      <c r="Y4" s="20"/>
      <c r="Z4" s="20"/>
      <c r="AA4" s="20"/>
      <c r="AB4" s="20"/>
      <c r="AC4" s="20"/>
      <c r="AD4" s="20"/>
      <c r="AE4" s="20"/>
      <c r="AF4" s="30"/>
      <c r="AG4" s="30"/>
      <c r="AH4" s="20"/>
      <c r="AI4" s="27"/>
      <c r="AJ4" s="71"/>
      <c r="AK4" s="25"/>
      <c r="AL4" s="20"/>
      <c r="AM4" s="20"/>
      <c r="AN4" s="20"/>
      <c r="AO4" s="20"/>
      <c r="AP4" s="20"/>
      <c r="AQ4" s="20"/>
      <c r="AR4" s="20"/>
      <c r="AS4" s="20"/>
      <c r="AT4" s="20"/>
      <c r="AU4" s="20"/>
      <c r="AV4" s="20"/>
      <c r="AW4" s="20"/>
      <c r="AX4" s="20"/>
      <c r="AY4" s="20"/>
      <c r="AZ4" s="20"/>
      <c r="BA4" s="20"/>
      <c r="BB4" s="20"/>
      <c r="BC4" s="20"/>
      <c r="BD4" s="27"/>
      <c r="BE4" s="72"/>
      <c r="BF4" s="25"/>
      <c r="BG4" s="20"/>
      <c r="BH4" s="20"/>
      <c r="BI4" s="20"/>
      <c r="BJ4" s="20"/>
      <c r="BK4" s="20"/>
      <c r="BL4" s="20"/>
      <c r="BM4" s="20"/>
      <c r="BN4" s="20"/>
      <c r="BO4" s="20"/>
      <c r="BP4" s="20"/>
      <c r="BQ4" s="20"/>
      <c r="BR4" s="20"/>
      <c r="BS4" s="20"/>
      <c r="BT4" s="20"/>
      <c r="BU4" s="27"/>
      <c r="BV4" s="5"/>
      <c r="BW4" s="5"/>
    </row>
    <row r="5" spans="1:75" ht="15" customHeight="1" x14ac:dyDescent="0.3">
      <c r="A5" s="5"/>
      <c r="B5" s="13"/>
      <c r="C5" s="14"/>
      <c r="D5" s="14"/>
      <c r="E5" s="14"/>
      <c r="F5" s="59" t="s">
        <v>76</v>
      </c>
      <c r="G5" s="14"/>
      <c r="H5" s="14"/>
      <c r="I5" s="14"/>
      <c r="J5" s="14"/>
      <c r="K5" s="14"/>
      <c r="L5" s="35"/>
      <c r="M5" s="15"/>
      <c r="N5" s="11"/>
      <c r="O5" s="25"/>
      <c r="P5" s="20"/>
      <c r="Q5" s="20"/>
      <c r="R5" s="111"/>
      <c r="S5" s="20"/>
      <c r="T5" s="20"/>
      <c r="U5" s="20"/>
      <c r="V5" s="20"/>
      <c r="W5" s="20"/>
      <c r="X5" s="20"/>
      <c r="Y5" s="20"/>
      <c r="Z5" s="20"/>
      <c r="AA5" s="20"/>
      <c r="AB5" s="20"/>
      <c r="AC5" s="20"/>
      <c r="AD5" s="20"/>
      <c r="AE5" s="20"/>
      <c r="AF5" s="20"/>
      <c r="AG5" s="20"/>
      <c r="AH5" s="20"/>
      <c r="AI5" s="27"/>
      <c r="AJ5" s="71"/>
      <c r="AK5" s="25"/>
      <c r="AL5" s="20"/>
      <c r="AM5" s="20"/>
      <c r="AN5" s="20"/>
      <c r="AO5" s="20"/>
      <c r="AP5" s="20"/>
      <c r="AQ5" s="20"/>
      <c r="AR5" s="20"/>
      <c r="AS5" s="20"/>
      <c r="AT5" s="20"/>
      <c r="AU5" s="20"/>
      <c r="AV5" s="20"/>
      <c r="AW5" s="20"/>
      <c r="AX5" s="20"/>
      <c r="AY5" s="20"/>
      <c r="AZ5" s="20"/>
      <c r="BA5" s="198" t="s">
        <v>67</v>
      </c>
      <c r="BB5" s="198"/>
      <c r="BC5" s="198"/>
      <c r="BD5" s="27"/>
      <c r="BE5" s="72"/>
      <c r="BF5" s="25"/>
      <c r="BG5" s="20"/>
      <c r="BH5" s="20"/>
      <c r="BI5" s="20"/>
      <c r="BJ5" s="20"/>
      <c r="BK5" s="20"/>
      <c r="BL5" s="20"/>
      <c r="BM5" s="20"/>
      <c r="BN5" s="20"/>
      <c r="BO5" s="20"/>
      <c r="BP5" s="20"/>
      <c r="BQ5" s="20"/>
      <c r="BR5" s="20"/>
      <c r="BS5" s="20"/>
      <c r="BT5" s="20"/>
      <c r="BU5" s="27"/>
      <c r="BV5" s="5"/>
      <c r="BW5" s="5"/>
    </row>
    <row r="6" spans="1:75" ht="15" customHeight="1" x14ac:dyDescent="0.4">
      <c r="A6" s="5"/>
      <c r="B6" s="13"/>
      <c r="C6" s="216" t="s">
        <v>15</v>
      </c>
      <c r="D6" s="215">
        <f>IFERROR(SUM($D$10:$D$29),"ERROR")</f>
        <v>223435</v>
      </c>
      <c r="E6" s="83"/>
      <c r="F6" s="217" t="s">
        <v>18</v>
      </c>
      <c r="G6" s="200">
        <f>IFERROR(SUM($G$10:$G$29),"ERROR")</f>
        <v>2655</v>
      </c>
      <c r="H6" s="83"/>
      <c r="I6" s="38"/>
      <c r="J6" s="216" t="s">
        <v>132</v>
      </c>
      <c r="K6" s="215">
        <f>IFERROR(SUM($K$10:$K$29),"ERROR")</f>
        <v>2555</v>
      </c>
      <c r="L6" s="83"/>
      <c r="M6" s="15"/>
      <c r="N6" s="11"/>
      <c r="O6" s="25"/>
      <c r="P6" s="20"/>
      <c r="Q6" s="36"/>
      <c r="R6" s="36"/>
      <c r="S6" s="201" t="s">
        <v>21</v>
      </c>
      <c r="T6" s="201"/>
      <c r="U6" s="199">
        <f>IFERROR(GETPIVOTDATA("Amount",pivot_tables!$J$4),"ERROR")</f>
        <v>254500</v>
      </c>
      <c r="V6" s="199"/>
      <c r="W6" s="223" t="s">
        <v>22</v>
      </c>
      <c r="X6" s="223"/>
      <c r="Y6" s="224">
        <f>IFERROR(GETPIVOTDATA("Amount",pivot_tables!$A$4),"ERROR")</f>
        <v>45575</v>
      </c>
      <c r="Z6" s="224"/>
      <c r="AA6" s="225" t="s">
        <v>23</v>
      </c>
      <c r="AB6" s="225"/>
      <c r="AC6" s="199">
        <f>IFERROR(U6-Y6,"")</f>
        <v>208925</v>
      </c>
      <c r="AD6" s="199"/>
      <c r="AE6" s="226" t="s">
        <v>25</v>
      </c>
      <c r="AF6" s="226"/>
      <c r="AG6" s="199" t="str">
        <f>IF(AB9="",MonthlyBudget,"")</f>
        <v/>
      </c>
      <c r="AH6" s="199"/>
      <c r="AI6" s="27"/>
      <c r="AJ6" s="71"/>
      <c r="AK6" s="25"/>
      <c r="AL6" s="11"/>
      <c r="AM6" s="20"/>
      <c r="AN6" s="20"/>
      <c r="AO6" s="20"/>
      <c r="AP6" s="20"/>
      <c r="AQ6" s="20"/>
      <c r="AR6" s="20"/>
      <c r="AS6" s="20"/>
      <c r="AT6" s="20"/>
      <c r="AU6" s="20"/>
      <c r="AV6" s="20"/>
      <c r="AW6" s="20"/>
      <c r="AX6" s="20"/>
      <c r="AY6" s="20"/>
      <c r="AZ6" s="20"/>
      <c r="BA6" s="198"/>
      <c r="BB6" s="198"/>
      <c r="BC6" s="198"/>
      <c r="BD6" s="27"/>
      <c r="BE6" s="72"/>
      <c r="BF6" s="25"/>
      <c r="BG6" s="20"/>
      <c r="BH6" s="37"/>
      <c r="BI6" s="37"/>
      <c r="BJ6" s="37"/>
      <c r="BK6" s="37"/>
      <c r="BL6" s="37"/>
      <c r="BM6" s="20"/>
      <c r="BN6" s="20"/>
      <c r="BO6" s="20"/>
      <c r="BP6" s="20"/>
      <c r="BQ6" s="20"/>
      <c r="BR6" s="113" t="s">
        <v>64</v>
      </c>
      <c r="BS6" s="114"/>
      <c r="BT6" s="114"/>
      <c r="BU6" s="27"/>
      <c r="BV6" s="5"/>
      <c r="BW6" s="5"/>
    </row>
    <row r="7" spans="1:75" ht="15" customHeight="1" x14ac:dyDescent="0.4">
      <c r="A7" s="5"/>
      <c r="B7" s="13"/>
      <c r="C7" s="216"/>
      <c r="D7" s="215"/>
      <c r="E7" s="93"/>
      <c r="F7" s="217"/>
      <c r="G7" s="200"/>
      <c r="H7" s="83"/>
      <c r="I7" s="38"/>
      <c r="J7" s="216"/>
      <c r="K7" s="215"/>
      <c r="L7" s="99"/>
      <c r="M7" s="15"/>
      <c r="N7" s="11"/>
      <c r="O7" s="25"/>
      <c r="P7" s="20"/>
      <c r="Q7" s="36"/>
      <c r="R7" s="36"/>
      <c r="S7" s="201"/>
      <c r="T7" s="201"/>
      <c r="U7" s="199"/>
      <c r="V7" s="199"/>
      <c r="W7" s="223"/>
      <c r="X7" s="223"/>
      <c r="Y7" s="224"/>
      <c r="Z7" s="224"/>
      <c r="AA7" s="225"/>
      <c r="AB7" s="225"/>
      <c r="AC7" s="199"/>
      <c r="AD7" s="199"/>
      <c r="AE7" s="226"/>
      <c r="AF7" s="226"/>
      <c r="AG7" s="199"/>
      <c r="AH7" s="199"/>
      <c r="AI7" s="27"/>
      <c r="AJ7" s="71"/>
      <c r="AK7" s="39"/>
      <c r="AL7" s="40" t="s">
        <v>34</v>
      </c>
      <c r="AM7" s="11"/>
      <c r="AN7" s="20"/>
      <c r="AO7" s="20"/>
      <c r="AP7" s="20"/>
      <c r="AQ7" s="20"/>
      <c r="AR7" s="20"/>
      <c r="AS7" s="20"/>
      <c r="AT7" s="20"/>
      <c r="AU7" s="20"/>
      <c r="AV7" s="20"/>
      <c r="AW7" s="20"/>
      <c r="AX7" s="31"/>
      <c r="AY7" s="20"/>
      <c r="AZ7" s="20"/>
      <c r="BA7" s="20"/>
      <c r="BB7" s="20"/>
      <c r="BC7" s="20"/>
      <c r="BD7" s="27"/>
      <c r="BE7" s="72"/>
      <c r="BF7" s="25"/>
      <c r="BG7" s="20"/>
      <c r="BH7" s="41"/>
      <c r="BI7" s="41"/>
      <c r="BJ7" s="42"/>
      <c r="BK7" s="42"/>
      <c r="BL7" s="42"/>
      <c r="BM7" s="20"/>
      <c r="BN7" s="20"/>
      <c r="BO7" s="20"/>
      <c r="BP7" s="20"/>
      <c r="BQ7" s="20"/>
      <c r="BR7" s="20"/>
      <c r="BS7" s="20"/>
      <c r="BT7" s="20"/>
      <c r="BU7" s="27"/>
      <c r="BV7" s="5"/>
      <c r="BW7" s="5"/>
    </row>
    <row r="8" spans="1:75" ht="18.75" customHeight="1" x14ac:dyDescent="0.4">
      <c r="A8" s="5"/>
      <c r="B8" s="13"/>
      <c r="C8" s="44"/>
      <c r="D8" s="44"/>
      <c r="E8" s="34"/>
      <c r="F8" s="34"/>
      <c r="G8" s="44"/>
      <c r="H8" s="45"/>
      <c r="I8" s="38"/>
      <c r="J8" s="44"/>
      <c r="K8" s="44"/>
      <c r="L8" s="34"/>
      <c r="M8" s="15"/>
      <c r="N8" s="11"/>
      <c r="O8" s="25"/>
      <c r="P8" s="20"/>
      <c r="Q8" s="20"/>
      <c r="R8" s="11"/>
      <c r="S8" s="11"/>
      <c r="T8" s="11"/>
      <c r="U8" s="20"/>
      <c r="V8" s="11"/>
      <c r="W8" s="11"/>
      <c r="X8" s="11"/>
      <c r="Y8" s="11"/>
      <c r="Z8" s="20"/>
      <c r="AA8" s="20"/>
      <c r="AB8" s="5"/>
      <c r="AC8" s="5"/>
      <c r="AD8" s="5"/>
      <c r="AE8" s="5"/>
      <c r="AF8" s="5"/>
      <c r="AG8" s="5"/>
      <c r="AH8" s="20"/>
      <c r="AI8" s="27"/>
      <c r="AJ8" s="71"/>
      <c r="AK8" s="25"/>
      <c r="AL8" s="20"/>
      <c r="AM8" s="43"/>
      <c r="AN8" s="20"/>
      <c r="AO8" s="20"/>
      <c r="AP8" s="20"/>
      <c r="AQ8" s="20"/>
      <c r="AR8" s="20"/>
      <c r="AS8" s="20"/>
      <c r="AT8" s="20"/>
      <c r="AU8" s="20"/>
      <c r="AV8" s="20"/>
      <c r="AW8" s="20"/>
      <c r="AX8" s="20"/>
      <c r="AY8" s="20"/>
      <c r="AZ8" s="20"/>
      <c r="BA8" s="20"/>
      <c r="BB8" s="20"/>
      <c r="BC8" s="20"/>
      <c r="BD8" s="27"/>
      <c r="BE8" s="72"/>
      <c r="BF8" s="25"/>
      <c r="BG8" s="20"/>
      <c r="BH8" s="41"/>
      <c r="BI8" s="41"/>
      <c r="BJ8" s="42"/>
      <c r="BK8" s="42"/>
      <c r="BL8" s="42"/>
      <c r="BM8" s="20"/>
      <c r="BN8" s="20"/>
      <c r="BO8" s="41"/>
      <c r="BP8" s="41"/>
      <c r="BQ8" s="42"/>
      <c r="BR8" s="42"/>
      <c r="BS8" s="42"/>
      <c r="BT8" s="42"/>
      <c r="BU8" s="27"/>
      <c r="BV8" s="5"/>
      <c r="BW8" s="5"/>
    </row>
    <row r="9" spans="1:75" ht="18.75" customHeight="1" x14ac:dyDescent="0.35">
      <c r="A9" s="5"/>
      <c r="B9" s="13"/>
      <c r="C9" s="33" t="s">
        <v>50</v>
      </c>
      <c r="D9" s="81" t="s">
        <v>58</v>
      </c>
      <c r="E9" s="49"/>
      <c r="F9" s="33" t="s">
        <v>50</v>
      </c>
      <c r="G9" s="81" t="s">
        <v>58</v>
      </c>
      <c r="H9" s="14"/>
      <c r="I9" s="14"/>
      <c r="J9" s="33" t="s">
        <v>50</v>
      </c>
      <c r="K9" s="81" t="s">
        <v>58</v>
      </c>
      <c r="L9" s="49"/>
      <c r="M9" s="15"/>
      <c r="N9" s="11"/>
      <c r="O9" s="25"/>
      <c r="P9" s="20"/>
      <c r="Q9" s="20"/>
      <c r="R9" s="40" t="s">
        <v>19</v>
      </c>
      <c r="S9" s="46"/>
      <c r="T9" s="47"/>
      <c r="U9" s="46"/>
      <c r="V9" s="40" t="s">
        <v>26</v>
      </c>
      <c r="W9" s="20"/>
      <c r="X9" s="20"/>
      <c r="Y9" s="20"/>
      <c r="Z9" s="20"/>
      <c r="AA9" s="12"/>
      <c r="AB9" s="193" t="str">
        <f>IFERROR(IF(OR(pivot_tables!$B$3="(All)",pivot_tables!$B$3="(Multiple Items)",pivot_tables!$B$4="(All)",pivot_tables!B4="(Multiple Items)"),"Please choose only one month above to compare against budget",""),"")</f>
        <v>Please choose only one month above to compare against budget</v>
      </c>
      <c r="AC9" s="193"/>
      <c r="AD9" s="193"/>
      <c r="AE9" s="193"/>
      <c r="AF9" s="193"/>
      <c r="AG9" s="193"/>
      <c r="AH9" s="20"/>
      <c r="AI9" s="27"/>
      <c r="AJ9" s="71"/>
      <c r="AK9" s="25"/>
      <c r="AL9" s="20"/>
      <c r="AM9" s="20"/>
      <c r="AN9" s="20"/>
      <c r="AO9" s="20"/>
      <c r="AP9" s="20"/>
      <c r="AQ9" s="20"/>
      <c r="AR9" s="20"/>
      <c r="AS9" s="20"/>
      <c r="AT9" s="20"/>
      <c r="AU9" s="20"/>
      <c r="AV9" s="20"/>
      <c r="AW9" s="20"/>
      <c r="AX9" s="20"/>
      <c r="AY9" s="20"/>
      <c r="AZ9" s="20"/>
      <c r="BA9" s="20"/>
      <c r="BB9" s="20"/>
      <c r="BC9" s="20"/>
      <c r="BD9" s="27"/>
      <c r="BE9" s="72"/>
      <c r="BF9" s="25"/>
      <c r="BG9" s="20"/>
      <c r="BH9" s="41"/>
      <c r="BI9" s="41"/>
      <c r="BJ9" s="42"/>
      <c r="BK9" s="42"/>
      <c r="BL9" s="42"/>
      <c r="BM9" s="20"/>
      <c r="BN9" s="20"/>
      <c r="BO9" s="41"/>
      <c r="BP9" s="41"/>
      <c r="BQ9" s="42"/>
      <c r="BR9" s="42"/>
      <c r="BS9" s="42"/>
      <c r="BT9" s="42"/>
      <c r="BU9" s="27"/>
      <c r="BV9" s="5"/>
      <c r="BW9" s="5"/>
    </row>
    <row r="10" spans="1:75" ht="18.75" customHeight="1" x14ac:dyDescent="0.35">
      <c r="A10" s="5"/>
      <c r="B10" s="13"/>
      <c r="C10" s="87" t="str">
        <f>IFERROR(IF(ISBLANK(INDEX(T_BANK_ACCTS[ACCOUNT NAME],ROW(C10)-ROW($C$9))),"",INDEX(T_BANK_ACCTS[ACCOUNT NAME],ROW(C10)-ROW($C$9))),"")</f>
        <v>Indian Bank</v>
      </c>
      <c r="D10" s="88">
        <f>IFERROR(IF(LEN(C10)=0,"",SUMIF(T_BANK_ACCTS[ACCOUNT NAME],'REPORTING SUMMARY'!C10,T_BANK_ACCTS[STARTING BALANCE])+SUMIFS(Tbl_Transactions[Amount],Tbl_Transactions[Account],'REPORTING SUMMARY'!C10,Tbl_Transactions[Type],"Income")-SUMIFS(Tbl_Transactions[Amount],Tbl_Transactions[Account],'REPORTING SUMMARY'!C10,Tbl_Transactions[Type],"Expense")+SUMIFS(Tbl_Transactions[Amount],Tbl_Transactions[Account],'REPORTING SUMMARY'!C10,Tbl_Transactions[Type],"Transfer")),"")</f>
        <v>146335</v>
      </c>
      <c r="E10" s="86"/>
      <c r="F10" s="87" t="str">
        <f>IFERROR(IF(ISBLANK(INDEX(T_CASH_ACCTS[ACCOUNT NAME],ROW(F10)-ROW($F$9))),"",INDEX(T_CASH_ACCTS[ACCOUNT NAME],ROW(F10)-ROW($F$9))),"")</f>
        <v>WALLET</v>
      </c>
      <c r="G10" s="88">
        <f>IFERROR(IF(LEN(F10)=0,"",SUMIF(T_CASH_ACCTS[ACCOUNT NAME],'REPORTING SUMMARY'!F10,T_CASH_ACCTS[STARTING BALANCE])
+SUMIFS(Tbl_Transactions[Amount],Tbl_Transactions[Account],'REPORTING SUMMARY'!F10,Tbl_Transactions[Type],"Income")-SUMIFS(Tbl_Transactions[Amount],Tbl_Transactions[Account],'REPORTING SUMMARY'!F10,Tbl_Transactions[Type],"Expense")+SUMIFS(Tbl_Transactions[Amount],Tbl_Transactions[Account],'REPORTING SUMMARY'!F10,Tbl_Transactions[Type],"Transfer")),"")</f>
        <v>2655</v>
      </c>
      <c r="H10" s="51"/>
      <c r="I10" s="51"/>
      <c r="J10" s="87" t="str">
        <f>IFERROR(IF(ISBLANK(INDEX(T_CREDIT_ACCTS[ACCOUNT NAME],ROW(J10)-ROW($J$9))),"",INDEX(T_CREDIT_ACCTS[ACCOUNT NAME],ROW(J10)-ROW($J$9))),"")</f>
        <v>State Bank of India CC</v>
      </c>
      <c r="K10" s="88">
        <f>IFERROR(IF(LEN(J10)=0,"",SUMIF(T_CREDIT_ACCTS[ACCOUNT NAME],'REPORTING SUMMARY'!J10,T_CREDIT_ACCTS[STARTING BALANCE])
+SUMIFS(Tbl_Transactions[Amount],Tbl_Transactions[Account],'REPORTING SUMMARY'!J10,Tbl_Transactions[Type],"Income")-SUMIFS(Tbl_Transactions[Amount],Tbl_Transactions[Account],'REPORTING SUMMARY'!J10,Tbl_Transactions[Type],"Expense")+SUMIFS(Tbl_Transactions[Amount],Tbl_Transactions[Account],'REPORTING SUMMARY'!J10,Tbl_Transactions[Type],"Transfer")),"")</f>
        <v>6310</v>
      </c>
      <c r="L10" s="202"/>
      <c r="M10" s="15"/>
      <c r="N10" s="11"/>
      <c r="O10" s="25"/>
      <c r="P10" s="20"/>
      <c r="Q10" s="20"/>
      <c r="R10" s="20"/>
      <c r="S10" s="20"/>
      <c r="T10" s="20"/>
      <c r="U10" s="20"/>
      <c r="V10" s="20"/>
      <c r="W10" s="20"/>
      <c r="X10" s="20"/>
      <c r="Y10" s="20"/>
      <c r="Z10" s="20"/>
      <c r="AA10" s="20"/>
      <c r="AB10" s="197" t="s">
        <v>24</v>
      </c>
      <c r="AC10" s="197"/>
      <c r="AD10" s="197"/>
      <c r="AE10" s="197"/>
      <c r="AF10" s="48" t="str">
        <f>IF($AB$9="",IF($AG$51&lt;0,"YES","No"),"")</f>
        <v/>
      </c>
      <c r="AH10" s="20"/>
      <c r="AI10" s="27"/>
      <c r="AJ10" s="71"/>
      <c r="AK10" s="25"/>
      <c r="AL10" s="20"/>
      <c r="AM10" s="20"/>
      <c r="AN10" s="20"/>
      <c r="AO10" s="20"/>
      <c r="AP10" s="20"/>
      <c r="AQ10" s="20"/>
      <c r="AR10" s="20"/>
      <c r="AS10" s="20"/>
      <c r="AT10" s="20"/>
      <c r="AU10" s="20"/>
      <c r="AV10" s="20"/>
      <c r="AW10" s="20"/>
      <c r="AX10" s="20"/>
      <c r="AY10" s="20"/>
      <c r="AZ10" s="20"/>
      <c r="BA10" s="20"/>
      <c r="BB10" s="20"/>
      <c r="BC10" s="20"/>
      <c r="BD10" s="27"/>
      <c r="BE10" s="72"/>
      <c r="BF10" s="25"/>
      <c r="BG10" s="20"/>
      <c r="BH10" s="41"/>
      <c r="BI10" s="50"/>
      <c r="BJ10" s="42"/>
      <c r="BK10" s="42"/>
      <c r="BL10" s="42"/>
      <c r="BM10" s="20"/>
      <c r="BN10" s="20"/>
      <c r="BO10" s="41"/>
      <c r="BP10" s="41"/>
      <c r="BQ10" s="42"/>
      <c r="BR10" s="42"/>
      <c r="BS10" s="42"/>
      <c r="BT10" s="42"/>
      <c r="BU10" s="27"/>
      <c r="BV10" s="5"/>
      <c r="BW10" s="5"/>
    </row>
    <row r="11" spans="1:75" ht="15" customHeight="1" x14ac:dyDescent="0.35">
      <c r="A11" s="5"/>
      <c r="B11" s="13"/>
      <c r="C11" s="89" t="str">
        <f>IFERROR(IF(ISBLANK(INDEX(T_BANK_ACCTS[ACCOUNT NAME],ROW(C11)-ROW($C$9))),"",INDEX(T_BANK_ACCTS[ACCOUNT NAME],ROW(C11)-ROW($C$9))),"")</f>
        <v>Indian Overseas Bank</v>
      </c>
      <c r="D11" s="90">
        <f>IFERROR(IF(LEN(C11)=0,"",SUMIF(T_BANK_ACCTS[ACCOUNT NAME],'REPORTING SUMMARY'!C11,T_BANK_ACCTS[STARTING BALANCE])+SUMIFS(Tbl_Transactions[Amount],Tbl_Transactions[Account],'REPORTING SUMMARY'!C11,Tbl_Transactions[Type],"Income")-SUMIFS(Tbl_Transactions[Amount],Tbl_Transactions[Account],'REPORTING SUMMARY'!C11,Tbl_Transactions[Type],"Expense")+SUMIFS(Tbl_Transactions[Amount],Tbl_Transactions[Account],'REPORTING SUMMARY'!C11,Tbl_Transactions[Type],"Transfer")),"")</f>
        <v>43580</v>
      </c>
      <c r="E11" s="86"/>
      <c r="F11" s="89" t="str">
        <f>IFERROR(IF(ISBLANK(INDEX(T_CASH_ACCTS[ACCOUNT NAME],ROW(F11)-ROW($F$9))),"",INDEX(T_CASH_ACCTS[ACCOUNT NAME],ROW(F11)-ROW($F$9))),"")</f>
        <v/>
      </c>
      <c r="G11" s="90" t="str">
        <f>IFERROR(IF(LEN(F11)=0,"",SUMIF(T_CASH_ACCTS[ACCOUNT NAME],'REPORTING SUMMARY'!F11,T_CASH_ACCTS[STARTING BALANCE])
+SUMIFS(Tbl_Transactions[Amount],Tbl_Transactions[Account],'REPORTING SUMMARY'!F11,Tbl_Transactions[Type],"Income")-SUMIFS(Tbl_Transactions[Amount],Tbl_Transactions[Account],'REPORTING SUMMARY'!F11,Tbl_Transactions[Type],"Expense")+SUMIFS(Tbl_Transactions[Amount],Tbl_Transactions[Account],'REPORTING SUMMARY'!F11,Tbl_Transactions[Type],"Transfer")),"")</f>
        <v/>
      </c>
      <c r="H11" s="51"/>
      <c r="I11" s="51"/>
      <c r="J11" s="89" t="str">
        <f>IFERROR(IF(ISBLANK(INDEX(T_CREDIT_ACCTS[ACCOUNT NAME],ROW(J11)-ROW($J$9))),"",INDEX(T_CREDIT_ACCTS[ACCOUNT NAME],ROW(J11)-ROW($J$9))),"")</f>
        <v>ICICI CC</v>
      </c>
      <c r="K11" s="90">
        <f>IFERROR(IF(LEN(J11)=0,"",SUMIF(T_CREDIT_ACCTS[ACCOUNT NAME],'REPORTING SUMMARY'!J11,T_CREDIT_ACCTS[STARTING BALANCE])
+SUMIFS(Tbl_Transactions[Amount],Tbl_Transactions[Account],'REPORTING SUMMARY'!J11,Tbl_Transactions[Type],"Income")-SUMIFS(Tbl_Transactions[Amount],Tbl_Transactions[Account],'REPORTING SUMMARY'!J11,Tbl_Transactions[Type],"Expense")+SUMIFS(Tbl_Transactions[Amount],Tbl_Transactions[Account],'REPORTING SUMMARY'!J11,Tbl_Transactions[Type],"Transfer")),"")</f>
        <v>-3755</v>
      </c>
      <c r="L11" s="202"/>
      <c r="M11" s="15"/>
      <c r="N11" s="11"/>
      <c r="O11" s="25"/>
      <c r="P11" s="20"/>
      <c r="Q11" s="20"/>
      <c r="R11" s="20"/>
      <c r="S11" s="20"/>
      <c r="T11" s="20"/>
      <c r="U11" s="20"/>
      <c r="V11" s="20"/>
      <c r="W11" s="20"/>
      <c r="X11" s="20"/>
      <c r="Y11" s="20"/>
      <c r="Z11" s="20"/>
      <c r="AA11" s="20"/>
      <c r="AB11" s="194" t="s">
        <v>4</v>
      </c>
      <c r="AC11" s="195"/>
      <c r="AD11" s="52" t="s">
        <v>7</v>
      </c>
      <c r="AE11" s="52" t="s">
        <v>13</v>
      </c>
      <c r="AF11" s="195" t="s">
        <v>41</v>
      </c>
      <c r="AG11" s="196"/>
      <c r="AH11" s="20"/>
      <c r="AI11" s="27"/>
      <c r="AJ11" s="71"/>
      <c r="AK11" s="25"/>
      <c r="AL11" s="20"/>
      <c r="AM11" s="20"/>
      <c r="AN11" s="20"/>
      <c r="AO11" s="20"/>
      <c r="AP11" s="20"/>
      <c r="AQ11" s="20"/>
      <c r="AR11" s="20"/>
      <c r="AS11" s="20"/>
      <c r="AT11" s="20"/>
      <c r="AU11" s="20"/>
      <c r="AV11" s="20"/>
      <c r="AW11" s="20"/>
      <c r="AX11" s="20"/>
      <c r="AY11" s="20"/>
      <c r="AZ11" s="20"/>
      <c r="BA11" s="20"/>
      <c r="BB11" s="20"/>
      <c r="BC11" s="20"/>
      <c r="BD11" s="27"/>
      <c r="BE11" s="72"/>
      <c r="BF11" s="25"/>
      <c r="BG11" s="20"/>
      <c r="BH11" s="41"/>
      <c r="BI11" s="50"/>
      <c r="BJ11" s="42"/>
      <c r="BK11" s="42"/>
      <c r="BL11" s="42"/>
      <c r="BM11" s="20"/>
      <c r="BN11" s="20"/>
      <c r="BO11" s="41"/>
      <c r="BP11" s="50"/>
      <c r="BQ11" s="42"/>
      <c r="BR11" s="42"/>
      <c r="BS11" s="42"/>
      <c r="BT11" s="42"/>
      <c r="BU11" s="27"/>
      <c r="BV11" s="5"/>
      <c r="BW11" s="5"/>
    </row>
    <row r="12" spans="1:75" ht="18.75" customHeight="1" x14ac:dyDescent="0.35">
      <c r="A12" s="5"/>
      <c r="B12" s="13"/>
      <c r="C12" s="89" t="str">
        <f>IFERROR(IF(ISBLANK(INDEX(T_BANK_ACCTS[ACCOUNT NAME],ROW(C12)-ROW($C$9))),"",INDEX(T_BANK_ACCTS[ACCOUNT NAME],ROW(C12)-ROW($C$9))),"")</f>
        <v>HDFC Bank</v>
      </c>
      <c r="D12" s="90">
        <f>IFERROR(IF(LEN(C12)=0,"",SUMIF(T_BANK_ACCTS[ACCOUNT NAME],'REPORTING SUMMARY'!C12,T_BANK_ACCTS[STARTING BALANCE])+SUMIFS(Tbl_Transactions[Amount],Tbl_Transactions[Account],'REPORTING SUMMARY'!C12,Tbl_Transactions[Type],"Income")-SUMIFS(Tbl_Transactions[Amount],Tbl_Transactions[Account],'REPORTING SUMMARY'!C12,Tbl_Transactions[Type],"Expense")+SUMIFS(Tbl_Transactions[Amount],Tbl_Transactions[Account],'REPORTING SUMMARY'!C12,Tbl_Transactions[Type],"Transfer")),"")</f>
        <v>33520</v>
      </c>
      <c r="E12" s="86"/>
      <c r="F12" s="89" t="str">
        <f>IFERROR(IF(ISBLANK(INDEX(T_CASH_ACCTS[ACCOUNT NAME],ROW(F12)-ROW($F$9))),"",INDEX(T_CASH_ACCTS[ACCOUNT NAME],ROW(F12)-ROW($F$9))),"")</f>
        <v/>
      </c>
      <c r="G12" s="90" t="str">
        <f>IFERROR(IF(LEN(F12)=0,"",SUMIF(T_CASH_ACCTS[ACCOUNT NAME],'REPORTING SUMMARY'!F12,T_CASH_ACCTS[STARTING BALANCE])
+SUMIFS(Tbl_Transactions[Amount],Tbl_Transactions[Account],'REPORTING SUMMARY'!F12,Tbl_Transactions[Type],"Income")-SUMIFS(Tbl_Transactions[Amount],Tbl_Transactions[Account],'REPORTING SUMMARY'!F12,Tbl_Transactions[Type],"Expense")+SUMIFS(Tbl_Transactions[Amount],Tbl_Transactions[Account],'REPORTING SUMMARY'!F12,Tbl_Transactions[Type],"Transfer")),"")</f>
        <v/>
      </c>
      <c r="H12" s="53"/>
      <c r="I12" s="53"/>
      <c r="J12" s="89" t="str">
        <f>IFERROR(IF(ISBLANK(INDEX(T_CREDIT_ACCTS[ACCOUNT NAME],ROW(J12)-ROW($J$9))),"",INDEX(T_CREDIT_ACCTS[ACCOUNT NAME],ROW(J12)-ROW($J$9))),"")</f>
        <v/>
      </c>
      <c r="K12" s="90" t="str">
        <f>IFERROR(IF(LEN(J12)=0,"",SUMIF(T_CREDIT_ACCTS[ACCOUNT NAME],'REPORTING SUMMARY'!J12,T_CREDIT_ACCTS[STARTING BALANCE])
+SUMIFS(Tbl_Transactions[Amount],Tbl_Transactions[Account],'REPORTING SUMMARY'!J12,Tbl_Transactions[Type],"Income")-SUMIFS(Tbl_Transactions[Amount],Tbl_Transactions[Account],'REPORTING SUMMARY'!J12,Tbl_Transactions[Type],"Expense")+SUMIFS(Tbl_Transactions[Amount],Tbl_Transactions[Account],'REPORTING SUMMARY'!J12,Tbl_Transactions[Type],"Transfer")),"")</f>
        <v/>
      </c>
      <c r="L12" s="202"/>
      <c r="M12" s="15"/>
      <c r="N12" s="11"/>
      <c r="O12" s="25"/>
      <c r="P12" s="20"/>
      <c r="Q12" s="20"/>
      <c r="R12" s="20"/>
      <c r="S12" s="20"/>
      <c r="T12" s="20"/>
      <c r="U12" s="20"/>
      <c r="V12" s="20"/>
      <c r="W12" s="20"/>
      <c r="X12" s="20"/>
      <c r="Y12" s="20"/>
      <c r="Z12" s="20"/>
      <c r="AA12" s="20"/>
      <c r="AB12" s="180" t="str">
        <f t="shared" ref="AB12:AB49" si="0">IFERROR(IF(ISBLANK(INDEX(CategoriesBudget,ROW(AB12)-ROW($AB$11),1)),"",INDEX(CategoriesBudget,ROW(AB12)-ROW($AB$11),1)),"")</f>
        <v>Car</v>
      </c>
      <c r="AC12" s="181"/>
      <c r="AD12" s="75">
        <f t="shared" ref="AD12:AD41" si="1">IF(AB12="","",INDEX(CategoriesBudget,ROW(AB12)-ROW($AB$11),2))</f>
        <v>750</v>
      </c>
      <c r="AE12" s="75" t="str">
        <f>IF(AB12="","",IF($AB$9="",IFERROR(GETPIVOTDATA("Amount",pivot_tables!$A$4,"Category",'REPORTING SUMMARY'!$AB12),0),""))</f>
        <v/>
      </c>
      <c r="AF12" s="178" t="str">
        <f>IFERROR(AD12-AE12,"")</f>
        <v/>
      </c>
      <c r="AG12" s="179"/>
      <c r="AH12" s="20"/>
      <c r="AI12" s="27"/>
      <c r="AJ12" s="71"/>
      <c r="AK12" s="25"/>
      <c r="AL12" s="20"/>
      <c r="AM12" s="20"/>
      <c r="AN12" s="20"/>
      <c r="AO12" s="20"/>
      <c r="AP12" s="20"/>
      <c r="AQ12" s="20"/>
      <c r="AR12" s="20"/>
      <c r="AS12" s="20"/>
      <c r="AT12" s="20"/>
      <c r="AU12" s="20"/>
      <c r="AV12" s="20"/>
      <c r="AW12" s="20"/>
      <c r="AX12" s="20"/>
      <c r="AY12" s="20"/>
      <c r="AZ12" s="20"/>
      <c r="BA12" s="20"/>
      <c r="BB12" s="20"/>
      <c r="BC12" s="20"/>
      <c r="BD12" s="27"/>
      <c r="BE12" s="72"/>
      <c r="BF12" s="25"/>
      <c r="BG12" s="11"/>
      <c r="BH12" s="41"/>
      <c r="BI12" s="50"/>
      <c r="BJ12" s="42"/>
      <c r="BK12" s="42"/>
      <c r="BL12" s="42"/>
      <c r="BM12" s="20"/>
      <c r="BN12" s="20"/>
      <c r="BO12" s="41"/>
      <c r="BP12" s="50"/>
      <c r="BQ12" s="42"/>
      <c r="BR12" s="42"/>
      <c r="BS12" s="42"/>
      <c r="BT12" s="42"/>
      <c r="BU12" s="27"/>
      <c r="BV12" s="5"/>
      <c r="BW12" s="5"/>
    </row>
    <row r="13" spans="1:75" ht="15" customHeight="1" x14ac:dyDescent="0.35">
      <c r="A13" s="5"/>
      <c r="B13" s="13"/>
      <c r="C13" s="89" t="str">
        <f>IFERROR(IF(ISBLANK(INDEX(T_BANK_ACCTS[ACCOUNT NAME],ROW(C13)-ROW($C$9))),"",INDEX(T_BANK_ACCTS[ACCOUNT NAME],ROW(C13)-ROW($C$9))),"")</f>
        <v/>
      </c>
      <c r="D13" s="90" t="str">
        <f>IFERROR(IF(LEN(C13)=0,"",SUMIF(T_BANK_ACCTS[ACCOUNT NAME],'REPORTING SUMMARY'!C13,T_BANK_ACCTS[STARTING BALANCE])+SUMIFS(Tbl_Transactions[Amount],Tbl_Transactions[Account],'REPORTING SUMMARY'!C13,Tbl_Transactions[Type],"Income")-SUMIFS(Tbl_Transactions[Amount],Tbl_Transactions[Account],'REPORTING SUMMARY'!C13,Tbl_Transactions[Type],"Expense")+SUMIFS(Tbl_Transactions[Amount],Tbl_Transactions[Account],'REPORTING SUMMARY'!C13,Tbl_Transactions[Type],"Transfer")),"")</f>
        <v/>
      </c>
      <c r="E13" s="86"/>
      <c r="F13" s="89" t="str">
        <f>IFERROR(IF(ISBLANK(INDEX(T_CASH_ACCTS[ACCOUNT NAME],ROW(F13)-ROW($F$9))),"",INDEX(T_CASH_ACCTS[ACCOUNT NAME],ROW(F13)-ROW($F$9))),"")</f>
        <v/>
      </c>
      <c r="G13" s="90" t="str">
        <f>IFERROR(IF(LEN(F13)=0,"",SUMIF(T_CASH_ACCTS[ACCOUNT NAME],'REPORTING SUMMARY'!F13,T_CASH_ACCTS[STARTING BALANCE])
+SUMIFS(Tbl_Transactions[Amount],Tbl_Transactions[Account],'REPORTING SUMMARY'!F13,Tbl_Transactions[Type],"Income")-SUMIFS(Tbl_Transactions[Amount],Tbl_Transactions[Account],'REPORTING SUMMARY'!F13,Tbl_Transactions[Type],"Expense")+SUMIFS(Tbl_Transactions[Amount],Tbl_Transactions[Account],'REPORTING SUMMARY'!F13,Tbl_Transactions[Type],"Transfer")),"")</f>
        <v/>
      </c>
      <c r="H13" s="51"/>
      <c r="I13" s="51"/>
      <c r="J13" s="89" t="str">
        <f>IFERROR(IF(ISBLANK(INDEX(T_CREDIT_ACCTS[ACCOUNT NAME],ROW(J13)-ROW($J$9))),"",INDEX(T_CREDIT_ACCTS[ACCOUNT NAME],ROW(J13)-ROW($J$9))),"")</f>
        <v/>
      </c>
      <c r="K13" s="90" t="str">
        <f>IFERROR(IF(LEN(J13)=0,"",SUMIF(T_CREDIT_ACCTS[ACCOUNT NAME],'REPORTING SUMMARY'!J13,T_CREDIT_ACCTS[STARTING BALANCE])
+SUMIFS(Tbl_Transactions[Amount],Tbl_Transactions[Account],'REPORTING SUMMARY'!J13,Tbl_Transactions[Type],"Income")-SUMIFS(Tbl_Transactions[Amount],Tbl_Transactions[Account],'REPORTING SUMMARY'!J13,Tbl_Transactions[Type],"Expense")+SUMIFS(Tbl_Transactions[Amount],Tbl_Transactions[Account],'REPORTING SUMMARY'!J13,Tbl_Transactions[Type],"Transfer")),"")</f>
        <v/>
      </c>
      <c r="L13" s="202"/>
      <c r="M13" s="15"/>
      <c r="N13" s="11"/>
      <c r="O13" s="25"/>
      <c r="P13" s="20"/>
      <c r="Q13" s="20"/>
      <c r="R13" s="20"/>
      <c r="S13" s="20"/>
      <c r="T13" s="20"/>
      <c r="U13" s="20"/>
      <c r="V13" s="20"/>
      <c r="W13" s="20"/>
      <c r="X13" s="20"/>
      <c r="Y13" s="20"/>
      <c r="Z13" s="20"/>
      <c r="AA13" s="20"/>
      <c r="AB13" s="180" t="str">
        <f t="shared" si="0"/>
        <v>Dining</v>
      </c>
      <c r="AC13" s="181"/>
      <c r="AD13" s="75">
        <f t="shared" si="1"/>
        <v>750</v>
      </c>
      <c r="AE13" s="82" t="str">
        <f>IF(AB13="","",IF($AB$9="",IFERROR(GETPIVOTDATA("Amount",pivot_tables!$A$4,"Category",'REPORTING SUMMARY'!$AB13),0),""))</f>
        <v/>
      </c>
      <c r="AF13" s="178" t="str">
        <f t="shared" ref="AF13:AF19" si="2">IFERROR(AD13-AE13,"")</f>
        <v/>
      </c>
      <c r="AG13" s="179"/>
      <c r="AH13" s="20"/>
      <c r="AI13" s="27"/>
      <c r="AJ13" s="71"/>
      <c r="AK13" s="25"/>
      <c r="AL13" s="20"/>
      <c r="AM13" s="20"/>
      <c r="AN13" s="20"/>
      <c r="AO13" s="20"/>
      <c r="AP13" s="20"/>
      <c r="AQ13" s="20"/>
      <c r="AR13" s="20"/>
      <c r="AS13" s="20"/>
      <c r="AT13" s="20"/>
      <c r="AU13" s="20"/>
      <c r="AV13" s="20"/>
      <c r="AW13" s="20"/>
      <c r="AX13" s="20"/>
      <c r="AY13" s="20"/>
      <c r="AZ13" s="20"/>
      <c r="BA13" s="20"/>
      <c r="BB13" s="20"/>
      <c r="BC13" s="20"/>
      <c r="BD13" s="27"/>
      <c r="BE13" s="72"/>
      <c r="BF13" s="25"/>
      <c r="BG13" s="11"/>
      <c r="BH13" s="41"/>
      <c r="BI13" s="50"/>
      <c r="BJ13" s="42"/>
      <c r="BK13" s="42"/>
      <c r="BL13" s="42"/>
      <c r="BM13" s="20"/>
      <c r="BN13" s="20"/>
      <c r="BO13" s="41"/>
      <c r="BP13" s="50"/>
      <c r="BQ13" s="42"/>
      <c r="BR13" s="42"/>
      <c r="BS13" s="42"/>
      <c r="BT13" s="42"/>
      <c r="BU13" s="27"/>
      <c r="BV13" s="5"/>
      <c r="BW13" s="5"/>
    </row>
    <row r="14" spans="1:75" ht="18.75" customHeight="1" x14ac:dyDescent="0.35">
      <c r="A14" s="5"/>
      <c r="B14" s="13"/>
      <c r="C14" s="89" t="str">
        <f>IFERROR(IF(ISBLANK(INDEX(T_BANK_ACCTS[ACCOUNT NAME],ROW(C14)-ROW($C$9))),"",INDEX(T_BANK_ACCTS[ACCOUNT NAME],ROW(C14)-ROW($C$9))),"")</f>
        <v/>
      </c>
      <c r="D14" s="90" t="str">
        <f>IFERROR(IF(LEN(C14)=0,"",SUMIF(T_BANK_ACCTS[ACCOUNT NAME],'REPORTING SUMMARY'!C14,T_BANK_ACCTS[STARTING BALANCE])+SUMIFS(Tbl_Transactions[Amount],Tbl_Transactions[Account],'REPORTING SUMMARY'!C14,Tbl_Transactions[Type],"Income")-SUMIFS(Tbl_Transactions[Amount],Tbl_Transactions[Account],'REPORTING SUMMARY'!C14,Tbl_Transactions[Type],"Expense")+SUMIFS(Tbl_Transactions[Amount],Tbl_Transactions[Account],'REPORTING SUMMARY'!C14,Tbl_Transactions[Type],"Transfer")),"")</f>
        <v/>
      </c>
      <c r="E14" s="86"/>
      <c r="F14" s="89" t="str">
        <f>IFERROR(IF(ISBLANK(INDEX(T_CASH_ACCTS[ACCOUNT NAME],ROW(F14)-ROW($F$9))),"",INDEX(T_CASH_ACCTS[ACCOUNT NAME],ROW(F14)-ROW($F$9))),"")</f>
        <v/>
      </c>
      <c r="G14" s="90" t="str">
        <f>IFERROR(IF(LEN(F14)=0,"",SUMIF(T_CASH_ACCTS[ACCOUNT NAME],'REPORTING SUMMARY'!F14,T_CASH_ACCTS[STARTING BALANCE])
+SUMIFS(Tbl_Transactions[Amount],Tbl_Transactions[Account],'REPORTING SUMMARY'!F14,Tbl_Transactions[Type],"Income")-SUMIFS(Tbl_Transactions[Amount],Tbl_Transactions[Account],'REPORTING SUMMARY'!F14,Tbl_Transactions[Type],"Expense")+SUMIFS(Tbl_Transactions[Amount],Tbl_Transactions[Account],'REPORTING SUMMARY'!F14,Tbl_Transactions[Type],"Transfer")),"")</f>
        <v/>
      </c>
      <c r="H14" s="51"/>
      <c r="I14" s="51"/>
      <c r="J14" s="89" t="str">
        <f>IFERROR(IF(ISBLANK(INDEX(T_CREDIT_ACCTS[ACCOUNT NAME],ROW(J14)-ROW($J$9))),"",INDEX(T_CREDIT_ACCTS[ACCOUNT NAME],ROW(J14)-ROW($J$9))),"")</f>
        <v/>
      </c>
      <c r="K14" s="90" t="str">
        <f>IFERROR(IF(LEN(J14)=0,"",SUMIF(T_CREDIT_ACCTS[ACCOUNT NAME],'REPORTING SUMMARY'!J14,T_CREDIT_ACCTS[STARTING BALANCE])
+SUMIFS(Tbl_Transactions[Amount],Tbl_Transactions[Account],'REPORTING SUMMARY'!J14,Tbl_Transactions[Type],"Income")-SUMIFS(Tbl_Transactions[Amount],Tbl_Transactions[Account],'REPORTING SUMMARY'!J14,Tbl_Transactions[Type],"Expense")+SUMIFS(Tbl_Transactions[Amount],Tbl_Transactions[Account],'REPORTING SUMMARY'!J14,Tbl_Transactions[Type],"Transfer")),"")</f>
        <v/>
      </c>
      <c r="L14" s="202"/>
      <c r="M14" s="15"/>
      <c r="N14" s="11"/>
      <c r="O14" s="25"/>
      <c r="P14" s="20"/>
      <c r="Q14" s="20"/>
      <c r="R14" s="20"/>
      <c r="S14" s="20"/>
      <c r="T14" s="20"/>
      <c r="U14" s="20"/>
      <c r="V14" s="20"/>
      <c r="W14" s="20"/>
      <c r="X14" s="20"/>
      <c r="Y14" s="20"/>
      <c r="Z14" s="20"/>
      <c r="AA14" s="20"/>
      <c r="AB14" s="180" t="str">
        <f t="shared" si="0"/>
        <v>Entertainment</v>
      </c>
      <c r="AC14" s="181"/>
      <c r="AD14" s="75">
        <f t="shared" si="1"/>
        <v>800</v>
      </c>
      <c r="AE14" s="82" t="str">
        <f>IF(AB14="","",IF($AB$9="",IFERROR(GETPIVOTDATA("Amount",pivot_tables!$A$4,"Category",'REPORTING SUMMARY'!$AB14),0),""))</f>
        <v/>
      </c>
      <c r="AF14" s="178" t="str">
        <f t="shared" si="2"/>
        <v/>
      </c>
      <c r="AG14" s="179"/>
      <c r="AH14" s="20"/>
      <c r="AI14" s="27"/>
      <c r="AJ14" s="71"/>
      <c r="AK14" s="25"/>
      <c r="AL14" s="20"/>
      <c r="AM14" s="20"/>
      <c r="AN14" s="20"/>
      <c r="AO14" s="20"/>
      <c r="AP14" s="20"/>
      <c r="AQ14" s="20"/>
      <c r="AR14" s="20"/>
      <c r="AS14" s="20"/>
      <c r="AT14" s="20"/>
      <c r="AU14" s="20"/>
      <c r="AV14" s="20"/>
      <c r="AW14" s="20"/>
      <c r="AX14" s="20"/>
      <c r="AY14" s="20"/>
      <c r="AZ14" s="20"/>
      <c r="BA14" s="20"/>
      <c r="BB14" s="20"/>
      <c r="BC14" s="20"/>
      <c r="BD14" s="27"/>
      <c r="BE14" s="72"/>
      <c r="BF14" s="25"/>
      <c r="BG14" s="20"/>
      <c r="BH14" s="41"/>
      <c r="BI14" s="50"/>
      <c r="BJ14" s="42"/>
      <c r="BK14" s="42"/>
      <c r="BL14" s="42"/>
      <c r="BM14" s="20"/>
      <c r="BN14" s="20"/>
      <c r="BO14" s="41"/>
      <c r="BP14" s="50"/>
      <c r="BQ14" s="42"/>
      <c r="BR14" s="42"/>
      <c r="BS14" s="42"/>
      <c r="BT14" s="42"/>
      <c r="BU14" s="27"/>
      <c r="BV14" s="5"/>
      <c r="BW14" s="5"/>
    </row>
    <row r="15" spans="1:75" ht="18" x14ac:dyDescent="0.35">
      <c r="A15" s="5"/>
      <c r="B15" s="13"/>
      <c r="C15" s="89" t="str">
        <f>IFERROR(IF(ISBLANK(INDEX(T_BANK_ACCTS[ACCOUNT NAME],ROW(C15)-ROW($C$9))),"",INDEX(T_BANK_ACCTS[ACCOUNT NAME],ROW(C15)-ROW($C$9))),"")</f>
        <v/>
      </c>
      <c r="D15" s="90" t="str">
        <f>IFERROR(IF(LEN(C15)=0,"",SUMIF(T_BANK_ACCTS[ACCOUNT NAME],'REPORTING SUMMARY'!C15,T_BANK_ACCTS[STARTING BALANCE])+SUMIFS(Tbl_Transactions[Amount],Tbl_Transactions[Account],'REPORTING SUMMARY'!C15,Tbl_Transactions[Type],"Income")-SUMIFS(Tbl_Transactions[Amount],Tbl_Transactions[Account],'REPORTING SUMMARY'!C15,Tbl_Transactions[Type],"Expense")+SUMIFS(Tbl_Transactions[Amount],Tbl_Transactions[Account],'REPORTING SUMMARY'!C15,Tbl_Transactions[Type],"Transfer")),"")</f>
        <v/>
      </c>
      <c r="E15" s="86"/>
      <c r="F15" s="89" t="str">
        <f>IFERROR(IF(ISBLANK(INDEX(T_CASH_ACCTS[ACCOUNT NAME],ROW(F15)-ROW($F$9))),"",INDEX(T_CASH_ACCTS[ACCOUNT NAME],ROW(F15)-ROW($F$9))),"")</f>
        <v/>
      </c>
      <c r="G15" s="90" t="str">
        <f>IFERROR(IF(LEN(F15)=0,"",SUMIF(T_CASH_ACCTS[ACCOUNT NAME],'REPORTING SUMMARY'!F15,T_CASH_ACCTS[STARTING BALANCE])
+SUMIFS(Tbl_Transactions[Amount],Tbl_Transactions[Account],'REPORTING SUMMARY'!F15,Tbl_Transactions[Type],"Income")-SUMIFS(Tbl_Transactions[Amount],Tbl_Transactions[Account],'REPORTING SUMMARY'!F15,Tbl_Transactions[Type],"Expense")+SUMIFS(Tbl_Transactions[Amount],Tbl_Transactions[Account],'REPORTING SUMMARY'!F15,Tbl_Transactions[Type],"Transfer")),"")</f>
        <v/>
      </c>
      <c r="H15" s="51"/>
      <c r="I15" s="51"/>
      <c r="J15" s="89" t="str">
        <f>IFERROR(IF(ISBLANK(INDEX(T_CREDIT_ACCTS[ACCOUNT NAME],ROW(J15)-ROW($J$9))),"",INDEX(T_CREDIT_ACCTS[ACCOUNT NAME],ROW(J15)-ROW($J$9))),"")</f>
        <v/>
      </c>
      <c r="K15" s="90" t="str">
        <f>IFERROR(IF(LEN(J15)=0,"",SUMIF(T_CREDIT_ACCTS[ACCOUNT NAME],'REPORTING SUMMARY'!J15,T_CREDIT_ACCTS[STARTING BALANCE])
+SUMIFS(Tbl_Transactions[Amount],Tbl_Transactions[Account],'REPORTING SUMMARY'!J15,Tbl_Transactions[Type],"Income")-SUMIFS(Tbl_Transactions[Amount],Tbl_Transactions[Account],'REPORTING SUMMARY'!J15,Tbl_Transactions[Type],"Expense")+SUMIFS(Tbl_Transactions[Amount],Tbl_Transactions[Account],'REPORTING SUMMARY'!J15,Tbl_Transactions[Type],"Transfer")),"")</f>
        <v/>
      </c>
      <c r="L15" s="202"/>
      <c r="M15" s="15"/>
      <c r="N15" s="11"/>
      <c r="O15" s="25"/>
      <c r="P15" s="20"/>
      <c r="Q15" s="20"/>
      <c r="R15" s="20"/>
      <c r="S15" s="20"/>
      <c r="T15" s="20"/>
      <c r="U15" s="20"/>
      <c r="V15" s="20"/>
      <c r="W15" s="20"/>
      <c r="X15" s="20"/>
      <c r="Y15" s="20"/>
      <c r="Z15" s="20"/>
      <c r="AA15" s="20"/>
      <c r="AB15" s="180" t="str">
        <f t="shared" si="0"/>
        <v>Groceries</v>
      </c>
      <c r="AC15" s="181"/>
      <c r="AD15" s="75">
        <f t="shared" si="1"/>
        <v>1200</v>
      </c>
      <c r="AE15" s="82" t="str">
        <f>IF(AB15="","",IF($AB$9="",IFERROR(GETPIVOTDATA("Amount",pivot_tables!$A$4,"Category",'REPORTING SUMMARY'!$AB15),0),""))</f>
        <v/>
      </c>
      <c r="AF15" s="178" t="str">
        <f t="shared" si="2"/>
        <v/>
      </c>
      <c r="AG15" s="179"/>
      <c r="AH15" s="20"/>
      <c r="AI15" s="27"/>
      <c r="AJ15" s="71"/>
      <c r="AK15" s="25"/>
      <c r="AL15" s="20"/>
      <c r="AM15" s="20"/>
      <c r="AN15" s="20"/>
      <c r="AO15" s="20"/>
      <c r="AP15" s="20"/>
      <c r="AQ15" s="20"/>
      <c r="AR15" s="20"/>
      <c r="AS15" s="20"/>
      <c r="AT15" s="20"/>
      <c r="AU15" s="20"/>
      <c r="AV15" s="20"/>
      <c r="AW15" s="20"/>
      <c r="AX15" s="20"/>
      <c r="AY15" s="20"/>
      <c r="AZ15" s="20"/>
      <c r="BA15" s="20"/>
      <c r="BB15" s="20"/>
      <c r="BC15" s="20"/>
      <c r="BD15" s="27"/>
      <c r="BE15" s="72"/>
      <c r="BF15" s="25"/>
      <c r="BG15" s="11"/>
      <c r="BH15" s="41"/>
      <c r="BI15" s="11"/>
      <c r="BJ15" s="42"/>
      <c r="BK15" s="11"/>
      <c r="BL15" s="42"/>
      <c r="BM15" s="20"/>
      <c r="BN15" s="20"/>
      <c r="BO15" s="41"/>
      <c r="BP15" s="50"/>
      <c r="BQ15" s="42"/>
      <c r="BR15" s="42"/>
      <c r="BS15" s="42"/>
      <c r="BT15" s="42"/>
      <c r="BU15" s="27"/>
      <c r="BV15" s="5"/>
      <c r="BW15" s="5"/>
    </row>
    <row r="16" spans="1:75" ht="18.75" customHeight="1" x14ac:dyDescent="0.35">
      <c r="A16" s="5"/>
      <c r="B16" s="13"/>
      <c r="C16" s="89" t="str">
        <f>IFERROR(IF(ISBLANK(INDEX(T_BANK_ACCTS[ACCOUNT NAME],ROW(C16)-ROW($C$9))),"",INDEX(T_BANK_ACCTS[ACCOUNT NAME],ROW(C16)-ROW($C$9))),"")</f>
        <v/>
      </c>
      <c r="D16" s="90" t="str">
        <f>IFERROR(IF(LEN(C16)=0,"",SUMIF(T_BANK_ACCTS[ACCOUNT NAME],'REPORTING SUMMARY'!C16,T_BANK_ACCTS[STARTING BALANCE])+SUMIFS(Tbl_Transactions[Amount],Tbl_Transactions[Account],'REPORTING SUMMARY'!C16,Tbl_Transactions[Type],"Income")-SUMIFS(Tbl_Transactions[Amount],Tbl_Transactions[Account],'REPORTING SUMMARY'!C16,Tbl_Transactions[Type],"Expense")+SUMIFS(Tbl_Transactions[Amount],Tbl_Transactions[Account],'REPORTING SUMMARY'!C16,Tbl_Transactions[Type],"Transfer")),"")</f>
        <v/>
      </c>
      <c r="E16" s="86"/>
      <c r="F16" s="89" t="str">
        <f>IFERROR(IF(ISBLANK(INDEX(T_CASH_ACCTS[ACCOUNT NAME],ROW(F16)-ROW($F$9))),"",INDEX(T_CASH_ACCTS[ACCOUNT NAME],ROW(F16)-ROW($F$9))),"")</f>
        <v/>
      </c>
      <c r="G16" s="90" t="str">
        <f>IFERROR(IF(LEN(F16)=0,"",SUMIF(T_CASH_ACCTS[ACCOUNT NAME],'REPORTING SUMMARY'!F16,T_CASH_ACCTS[STARTING BALANCE])
+SUMIFS(Tbl_Transactions[Amount],Tbl_Transactions[Account],'REPORTING SUMMARY'!F16,Tbl_Transactions[Type],"Income")-SUMIFS(Tbl_Transactions[Amount],Tbl_Transactions[Account],'REPORTING SUMMARY'!F16,Tbl_Transactions[Type],"Expense")+SUMIFS(Tbl_Transactions[Amount],Tbl_Transactions[Account],'REPORTING SUMMARY'!F16,Tbl_Transactions[Type],"Transfer")),"")</f>
        <v/>
      </c>
      <c r="H16" s="51"/>
      <c r="I16" s="51"/>
      <c r="J16" s="89" t="str">
        <f>IFERROR(IF(ISBLANK(INDEX(T_CREDIT_ACCTS[ACCOUNT NAME],ROW(J16)-ROW($J$9))),"",INDEX(T_CREDIT_ACCTS[ACCOUNT NAME],ROW(J16)-ROW($J$9))),"")</f>
        <v/>
      </c>
      <c r="K16" s="90" t="str">
        <f>IFERROR(IF(LEN(J16)=0,"",SUMIF(T_CREDIT_ACCTS[ACCOUNT NAME],'REPORTING SUMMARY'!J16,T_CREDIT_ACCTS[STARTING BALANCE])
+SUMIFS(Tbl_Transactions[Amount],Tbl_Transactions[Account],'REPORTING SUMMARY'!J16,Tbl_Transactions[Type],"Income")-SUMIFS(Tbl_Transactions[Amount],Tbl_Transactions[Account],'REPORTING SUMMARY'!J16,Tbl_Transactions[Type],"Expense")+SUMIFS(Tbl_Transactions[Amount],Tbl_Transactions[Account],'REPORTING SUMMARY'!J16,Tbl_Transactions[Type],"Transfer")),"")</f>
        <v/>
      </c>
      <c r="L16" s="202"/>
      <c r="M16" s="15"/>
      <c r="N16" s="11"/>
      <c r="O16" s="25"/>
      <c r="P16" s="20"/>
      <c r="Q16" s="20"/>
      <c r="R16" s="20"/>
      <c r="S16" s="20"/>
      <c r="T16" s="20"/>
      <c r="U16" s="20"/>
      <c r="V16" s="20"/>
      <c r="W16" s="20"/>
      <c r="X16" s="20"/>
      <c r="Y16" s="20"/>
      <c r="Z16" s="20"/>
      <c r="AA16" s="20"/>
      <c r="AB16" s="180" t="str">
        <f t="shared" si="0"/>
        <v>Medical</v>
      </c>
      <c r="AC16" s="181"/>
      <c r="AD16" s="75">
        <f t="shared" si="1"/>
        <v>850</v>
      </c>
      <c r="AE16" s="82" t="str">
        <f>IF(AB16="","",IF($AB$9="",IFERROR(GETPIVOTDATA("Amount",pivot_tables!$A$4,"Category",'REPORTING SUMMARY'!$AB16),0),""))</f>
        <v/>
      </c>
      <c r="AF16" s="178" t="str">
        <f t="shared" si="2"/>
        <v/>
      </c>
      <c r="AG16" s="179"/>
      <c r="AH16" s="20"/>
      <c r="AI16" s="27"/>
      <c r="AJ16" s="71"/>
      <c r="AK16" s="25"/>
      <c r="AL16" s="20"/>
      <c r="AM16" s="20"/>
      <c r="AN16" s="20"/>
      <c r="AO16" s="20"/>
      <c r="AP16" s="20"/>
      <c r="AQ16" s="20"/>
      <c r="AR16" s="20"/>
      <c r="AS16" s="20"/>
      <c r="AT16" s="20"/>
      <c r="AU16" s="20"/>
      <c r="AV16" s="20"/>
      <c r="AW16" s="20"/>
      <c r="AX16" s="20"/>
      <c r="AY16" s="20"/>
      <c r="AZ16" s="20"/>
      <c r="BA16" s="20"/>
      <c r="BB16" s="20"/>
      <c r="BC16" s="20"/>
      <c r="BD16" s="27"/>
      <c r="BE16" s="72"/>
      <c r="BF16" s="25"/>
      <c r="BG16" s="31"/>
      <c r="BH16" s="41"/>
      <c r="BI16" s="11"/>
      <c r="BJ16" s="42"/>
      <c r="BK16" s="42"/>
      <c r="BL16" s="42"/>
      <c r="BM16" s="20"/>
      <c r="BN16" s="20"/>
      <c r="BO16" s="41"/>
      <c r="BP16" s="50"/>
      <c r="BQ16" s="42"/>
      <c r="BR16" s="42"/>
      <c r="BS16" s="42"/>
      <c r="BT16" s="42"/>
      <c r="BU16" s="27"/>
      <c r="BV16" s="5"/>
      <c r="BW16" s="5"/>
    </row>
    <row r="17" spans="1:75" ht="15" customHeight="1" x14ac:dyDescent="0.35">
      <c r="A17" s="5"/>
      <c r="B17" s="13"/>
      <c r="C17" s="89" t="str">
        <f>IFERROR(IF(ISBLANK(INDEX(T_BANK_ACCTS[ACCOUNT NAME],ROW(C17)-ROW($C$9))),"",INDEX(T_BANK_ACCTS[ACCOUNT NAME],ROW(C17)-ROW($C$9))),"")</f>
        <v/>
      </c>
      <c r="D17" s="90" t="str">
        <f>IFERROR(IF(LEN(C17)=0,"",SUMIF(T_BANK_ACCTS[ACCOUNT NAME],'REPORTING SUMMARY'!C17,T_BANK_ACCTS[STARTING BALANCE])+SUMIFS(Tbl_Transactions[Amount],Tbl_Transactions[Account],'REPORTING SUMMARY'!C17,Tbl_Transactions[Type],"Income")-SUMIFS(Tbl_Transactions[Amount],Tbl_Transactions[Account],'REPORTING SUMMARY'!C17,Tbl_Transactions[Type],"Expense")+SUMIFS(Tbl_Transactions[Amount],Tbl_Transactions[Account],'REPORTING SUMMARY'!C17,Tbl_Transactions[Type],"Transfer")),"")</f>
        <v/>
      </c>
      <c r="E17" s="86"/>
      <c r="F17" s="89" t="str">
        <f>IFERROR(IF(ISBLANK(INDEX(T_CASH_ACCTS[ACCOUNT NAME],ROW(F17)-ROW($F$9))),"",INDEX(T_CASH_ACCTS[ACCOUNT NAME],ROW(F17)-ROW($F$9))),"")</f>
        <v/>
      </c>
      <c r="G17" s="90" t="str">
        <f>IFERROR(IF(LEN(F17)=0,"",SUMIF(T_CASH_ACCTS[ACCOUNT NAME],'REPORTING SUMMARY'!F17,T_CASH_ACCTS[STARTING BALANCE])
+SUMIFS(Tbl_Transactions[Amount],Tbl_Transactions[Account],'REPORTING SUMMARY'!F17,Tbl_Transactions[Type],"Income")-SUMIFS(Tbl_Transactions[Amount],Tbl_Transactions[Account],'REPORTING SUMMARY'!F17,Tbl_Transactions[Type],"Expense")+SUMIFS(Tbl_Transactions[Amount],Tbl_Transactions[Account],'REPORTING SUMMARY'!F17,Tbl_Transactions[Type],"Transfer")),"")</f>
        <v/>
      </c>
      <c r="H17" s="51"/>
      <c r="I17" s="51"/>
      <c r="J17" s="89" t="str">
        <f>IFERROR(IF(ISBLANK(INDEX(T_CREDIT_ACCTS[ACCOUNT NAME],ROW(J17)-ROW($J$9))),"",INDEX(T_CREDIT_ACCTS[ACCOUNT NAME],ROW(J17)-ROW($J$9))),"")</f>
        <v/>
      </c>
      <c r="K17" s="90" t="str">
        <f>IFERROR(IF(LEN(J17)=0,"",SUMIF(T_CREDIT_ACCTS[ACCOUNT NAME],'REPORTING SUMMARY'!J17,T_CREDIT_ACCTS[STARTING BALANCE])
+SUMIFS(Tbl_Transactions[Amount],Tbl_Transactions[Account],'REPORTING SUMMARY'!J17,Tbl_Transactions[Type],"Income")-SUMIFS(Tbl_Transactions[Amount],Tbl_Transactions[Account],'REPORTING SUMMARY'!J17,Tbl_Transactions[Type],"Expense")+SUMIFS(Tbl_Transactions[Amount],Tbl_Transactions[Account],'REPORTING SUMMARY'!J17,Tbl_Transactions[Type],"Transfer")),"")</f>
        <v/>
      </c>
      <c r="L17" s="202"/>
      <c r="M17" s="15"/>
      <c r="N17" s="11"/>
      <c r="O17" s="25"/>
      <c r="P17" s="20"/>
      <c r="Q17" s="20"/>
      <c r="R17" s="20"/>
      <c r="S17" s="20"/>
      <c r="T17" s="20"/>
      <c r="U17" s="20"/>
      <c r="V17" s="20"/>
      <c r="W17" s="20"/>
      <c r="X17" s="20"/>
      <c r="Y17" s="20"/>
      <c r="Z17" s="20"/>
      <c r="AA17" s="20"/>
      <c r="AB17" s="180" t="str">
        <f t="shared" si="0"/>
        <v>Household</v>
      </c>
      <c r="AC17" s="181"/>
      <c r="AD17" s="75">
        <f t="shared" si="1"/>
        <v>600</v>
      </c>
      <c r="AE17" s="82" t="str">
        <f>IF(AB17="","",IF($AB$9="",IFERROR(GETPIVOTDATA("Amount",pivot_tables!$A$4,"Category",'REPORTING SUMMARY'!$AB17),0),""))</f>
        <v/>
      </c>
      <c r="AF17" s="178" t="str">
        <f t="shared" si="2"/>
        <v/>
      </c>
      <c r="AG17" s="179"/>
      <c r="AH17" s="20"/>
      <c r="AI17" s="27"/>
      <c r="AJ17" s="71"/>
      <c r="AK17" s="25"/>
      <c r="AL17" s="20"/>
      <c r="AM17" s="20"/>
      <c r="AN17" s="20"/>
      <c r="AO17" s="20"/>
      <c r="AP17" s="20"/>
      <c r="AQ17" s="20"/>
      <c r="AR17" s="20"/>
      <c r="AS17" s="20"/>
      <c r="AT17" s="20"/>
      <c r="AU17" s="20"/>
      <c r="AV17" s="20"/>
      <c r="AW17" s="20"/>
      <c r="AX17" s="20"/>
      <c r="AY17" s="20"/>
      <c r="AZ17" s="20"/>
      <c r="BA17" s="20"/>
      <c r="BB17" s="20"/>
      <c r="BC17" s="20"/>
      <c r="BD17" s="27"/>
      <c r="BE17" s="72"/>
      <c r="BF17" s="137" t="s">
        <v>68</v>
      </c>
      <c r="BG17" s="31"/>
      <c r="BH17" s="41"/>
      <c r="BI17" s="11"/>
      <c r="BJ17" s="42"/>
      <c r="BK17" s="42"/>
      <c r="BL17" s="42"/>
      <c r="BM17" s="20"/>
      <c r="BN17" s="20"/>
      <c r="BO17" s="41"/>
      <c r="BP17" s="50"/>
      <c r="BQ17" s="42"/>
      <c r="BR17" s="42"/>
      <c r="BS17" s="42"/>
      <c r="BT17" s="42"/>
      <c r="BU17" s="27"/>
      <c r="BV17" s="5"/>
      <c r="BW17" s="5"/>
    </row>
    <row r="18" spans="1:75" ht="15" customHeight="1" x14ac:dyDescent="0.35">
      <c r="A18" s="5"/>
      <c r="B18" s="13"/>
      <c r="C18" s="89" t="str">
        <f>IFERROR(IF(ISBLANK(INDEX(T_BANK_ACCTS[ACCOUNT NAME],ROW(C18)-ROW($C$9))),"",INDEX(T_BANK_ACCTS[ACCOUNT NAME],ROW(C18)-ROW($C$9))),"")</f>
        <v/>
      </c>
      <c r="D18" s="90" t="str">
        <f>IFERROR(IF(LEN(C18)=0,"",SUMIF(T_BANK_ACCTS[ACCOUNT NAME],'REPORTING SUMMARY'!C18,T_BANK_ACCTS[STARTING BALANCE])+SUMIFS(Tbl_Transactions[Amount],Tbl_Transactions[Account],'REPORTING SUMMARY'!C18,Tbl_Transactions[Type],"Income")-SUMIFS(Tbl_Transactions[Amount],Tbl_Transactions[Account],'REPORTING SUMMARY'!C18,Tbl_Transactions[Type],"Expense")+SUMIFS(Tbl_Transactions[Amount],Tbl_Transactions[Account],'REPORTING SUMMARY'!C18,Tbl_Transactions[Type],"Transfer")),"")</f>
        <v/>
      </c>
      <c r="E18" s="86"/>
      <c r="F18" s="89" t="str">
        <f>IFERROR(IF(ISBLANK(INDEX(T_CASH_ACCTS[ACCOUNT NAME],ROW(F18)-ROW($F$9))),"",INDEX(T_CASH_ACCTS[ACCOUNT NAME],ROW(F18)-ROW($F$9))),"")</f>
        <v/>
      </c>
      <c r="G18" s="90" t="str">
        <f>IFERROR(IF(LEN(F18)=0,"",SUMIF(T_CASH_ACCTS[ACCOUNT NAME],'REPORTING SUMMARY'!F18,T_CASH_ACCTS[STARTING BALANCE])
+SUMIFS(Tbl_Transactions[Amount],Tbl_Transactions[Account],'REPORTING SUMMARY'!F18,Tbl_Transactions[Type],"Income")-SUMIFS(Tbl_Transactions[Amount],Tbl_Transactions[Account],'REPORTING SUMMARY'!F18,Tbl_Transactions[Type],"Expense")+SUMIFS(Tbl_Transactions[Amount],Tbl_Transactions[Account],'REPORTING SUMMARY'!F18,Tbl_Transactions[Type],"Transfer")),"")</f>
        <v/>
      </c>
      <c r="H18" s="51"/>
      <c r="I18" s="51"/>
      <c r="J18" s="89" t="str">
        <f>IFERROR(IF(ISBLANK(INDEX(T_CREDIT_ACCTS[ACCOUNT NAME],ROW(J18)-ROW($J$9))),"",INDEX(T_CREDIT_ACCTS[ACCOUNT NAME],ROW(J18)-ROW($J$9))),"")</f>
        <v/>
      </c>
      <c r="K18" s="90" t="str">
        <f>IFERROR(IF(LEN(J18)=0,"",SUMIF(T_CREDIT_ACCTS[ACCOUNT NAME],'REPORTING SUMMARY'!J18,T_CREDIT_ACCTS[STARTING BALANCE])
+SUMIFS(Tbl_Transactions[Amount],Tbl_Transactions[Account],'REPORTING SUMMARY'!J18,Tbl_Transactions[Type],"Income")-SUMIFS(Tbl_Transactions[Amount],Tbl_Transactions[Account],'REPORTING SUMMARY'!J18,Tbl_Transactions[Type],"Expense")+SUMIFS(Tbl_Transactions[Amount],Tbl_Transactions[Account],'REPORTING SUMMARY'!J18,Tbl_Transactions[Type],"Transfer")),"")</f>
        <v/>
      </c>
      <c r="L18" s="202"/>
      <c r="M18" s="15"/>
      <c r="N18" s="11"/>
      <c r="O18" s="25"/>
      <c r="P18" s="20"/>
      <c r="Q18" s="20"/>
      <c r="R18" s="20"/>
      <c r="S18" s="20"/>
      <c r="T18" s="20"/>
      <c r="U18" s="20"/>
      <c r="V18" s="20"/>
      <c r="W18" s="20"/>
      <c r="X18" s="20"/>
      <c r="Y18" s="20"/>
      <c r="Z18" s="20"/>
      <c r="AA18" s="20"/>
      <c r="AB18" s="180" t="str">
        <f t="shared" si="0"/>
        <v>Utilities</v>
      </c>
      <c r="AC18" s="181"/>
      <c r="AD18" s="75">
        <f t="shared" si="1"/>
        <v>2500</v>
      </c>
      <c r="AE18" s="82" t="str">
        <f>IF(AB18="","",IF($AB$9="",IFERROR(GETPIVOTDATA("Amount",pivot_tables!$A$4,"Category",'REPORTING SUMMARY'!$AB18),0),""))</f>
        <v/>
      </c>
      <c r="AF18" s="178" t="str">
        <f t="shared" si="2"/>
        <v/>
      </c>
      <c r="AG18" s="179"/>
      <c r="AH18" s="20"/>
      <c r="AI18" s="27"/>
      <c r="AJ18" s="71"/>
      <c r="AK18" s="25"/>
      <c r="AL18" s="20"/>
      <c r="AM18" s="20"/>
      <c r="AN18" s="20"/>
      <c r="AO18" s="20"/>
      <c r="AP18" s="20"/>
      <c r="AQ18" s="20"/>
      <c r="AR18" s="20"/>
      <c r="AS18" s="20"/>
      <c r="AT18" s="20"/>
      <c r="AU18" s="20"/>
      <c r="AV18" s="20"/>
      <c r="AW18" s="20"/>
      <c r="AX18" s="20"/>
      <c r="AY18" s="20"/>
      <c r="AZ18" s="20"/>
      <c r="BA18" s="20"/>
      <c r="BB18" s="20"/>
      <c r="BC18" s="20"/>
      <c r="BD18" s="27"/>
      <c r="BE18" s="72"/>
      <c r="BF18" s="13"/>
      <c r="BG18" s="14"/>
      <c r="BH18" s="54"/>
      <c r="BI18" s="55"/>
      <c r="BJ18" s="56"/>
      <c r="BK18" s="56"/>
      <c r="BL18" s="56"/>
      <c r="BM18" s="14"/>
      <c r="BN18" s="14"/>
      <c r="BO18" s="54"/>
      <c r="BP18" s="55"/>
      <c r="BQ18" s="56"/>
      <c r="BR18" s="56"/>
      <c r="BS18" s="56"/>
      <c r="BT18" s="56"/>
      <c r="BU18" s="15"/>
      <c r="BV18" s="5"/>
      <c r="BW18" s="5"/>
    </row>
    <row r="19" spans="1:75" ht="15" customHeight="1" x14ac:dyDescent="0.35">
      <c r="A19" s="5"/>
      <c r="B19" s="13"/>
      <c r="C19" s="89" t="str">
        <f>IFERROR(IF(ISBLANK(INDEX(T_BANK_ACCTS[ACCOUNT NAME],ROW(C19)-ROW($C$9))),"",INDEX(T_BANK_ACCTS[ACCOUNT NAME],ROW(C19)-ROW($C$9))),"")</f>
        <v/>
      </c>
      <c r="D19" s="90" t="str">
        <f>IFERROR(IF(LEN(C19)=0,"",SUMIF(T_BANK_ACCTS[ACCOUNT NAME],'REPORTING SUMMARY'!C19,T_BANK_ACCTS[STARTING BALANCE])+SUMIFS(Tbl_Transactions[Amount],Tbl_Transactions[Account],'REPORTING SUMMARY'!C19,Tbl_Transactions[Type],"Income")-SUMIFS(Tbl_Transactions[Amount],Tbl_Transactions[Account],'REPORTING SUMMARY'!C19,Tbl_Transactions[Type],"Expense")+SUMIFS(Tbl_Transactions[Amount],Tbl_Transactions[Account],'REPORTING SUMMARY'!C19,Tbl_Transactions[Type],"Transfer")),"")</f>
        <v/>
      </c>
      <c r="E19" s="86"/>
      <c r="F19" s="89" t="str">
        <f>IFERROR(IF(ISBLANK(INDEX(T_CASH_ACCTS[ACCOUNT NAME],ROW(F19)-ROW($F$9))),"",INDEX(T_CASH_ACCTS[ACCOUNT NAME],ROW(F19)-ROW($F$9))),"")</f>
        <v/>
      </c>
      <c r="G19" s="90" t="str">
        <f>IFERROR(IF(LEN(F19)=0,"",SUMIF(T_CASH_ACCTS[ACCOUNT NAME],'REPORTING SUMMARY'!F19,T_CASH_ACCTS[STARTING BALANCE])
+SUMIFS(Tbl_Transactions[Amount],Tbl_Transactions[Account],'REPORTING SUMMARY'!F19,Tbl_Transactions[Type],"Income")-SUMIFS(Tbl_Transactions[Amount],Tbl_Transactions[Account],'REPORTING SUMMARY'!F19,Tbl_Transactions[Type],"Expense")+SUMIFS(Tbl_Transactions[Amount],Tbl_Transactions[Account],'REPORTING SUMMARY'!F19,Tbl_Transactions[Type],"Transfer")),"")</f>
        <v/>
      </c>
      <c r="H19" s="51"/>
      <c r="I19" s="51"/>
      <c r="J19" s="89" t="str">
        <f>IFERROR(IF(ISBLANK(INDEX(T_CREDIT_ACCTS[ACCOUNT NAME],ROW(J19)-ROW($J$9))),"",INDEX(T_CREDIT_ACCTS[ACCOUNT NAME],ROW(J19)-ROW($J$9))),"")</f>
        <v/>
      </c>
      <c r="K19" s="90" t="str">
        <f>IFERROR(IF(LEN(J19)=0,"",SUMIF(T_CREDIT_ACCTS[ACCOUNT NAME],'REPORTING SUMMARY'!J19,T_CREDIT_ACCTS[STARTING BALANCE])
+SUMIFS(Tbl_Transactions[Amount],Tbl_Transactions[Account],'REPORTING SUMMARY'!J19,Tbl_Transactions[Type],"Income")-SUMIFS(Tbl_Transactions[Amount],Tbl_Transactions[Account],'REPORTING SUMMARY'!J19,Tbl_Transactions[Type],"Expense")+SUMIFS(Tbl_Transactions[Amount],Tbl_Transactions[Account],'REPORTING SUMMARY'!J19,Tbl_Transactions[Type],"Transfer")),"")</f>
        <v/>
      </c>
      <c r="L19" s="202"/>
      <c r="M19" s="15"/>
      <c r="N19" s="11"/>
      <c r="O19" s="25"/>
      <c r="P19" s="20"/>
      <c r="Q19" s="20"/>
      <c r="R19" s="20"/>
      <c r="S19" s="20"/>
      <c r="T19" s="20"/>
      <c r="U19" s="20"/>
      <c r="V19" s="20"/>
      <c r="W19" s="20"/>
      <c r="X19" s="20"/>
      <c r="Y19" s="20"/>
      <c r="Z19" s="20"/>
      <c r="AA19" s="20"/>
      <c r="AB19" s="180" t="str">
        <f t="shared" si="0"/>
        <v>Miscellaneous</v>
      </c>
      <c r="AC19" s="181"/>
      <c r="AD19" s="75">
        <f t="shared" si="1"/>
        <v>1500</v>
      </c>
      <c r="AE19" s="82" t="str">
        <f>IF(AB19="","",IF($AB$9="",IFERROR(GETPIVOTDATA("Amount",pivot_tables!$A$4,"Category",'REPORTING SUMMARY'!$AB19),0),""))</f>
        <v/>
      </c>
      <c r="AF19" s="178" t="str">
        <f t="shared" si="2"/>
        <v/>
      </c>
      <c r="AG19" s="179"/>
      <c r="AH19" s="20"/>
      <c r="AI19" s="27"/>
      <c r="AJ19" s="71"/>
      <c r="AK19" s="25"/>
      <c r="AL19" s="20"/>
      <c r="AM19" s="20"/>
      <c r="AN19" s="20"/>
      <c r="AO19" s="20"/>
      <c r="AP19" s="20"/>
      <c r="AQ19" s="20"/>
      <c r="AR19" s="20"/>
      <c r="AS19" s="20"/>
      <c r="AT19" s="20"/>
      <c r="AU19" s="20"/>
      <c r="AV19" s="20"/>
      <c r="AW19" s="20"/>
      <c r="AX19" s="20"/>
      <c r="AY19" s="20"/>
      <c r="AZ19" s="20"/>
      <c r="BA19" s="20"/>
      <c r="BB19" s="20"/>
      <c r="BC19" s="20"/>
      <c r="BD19" s="27"/>
      <c r="BE19" s="72"/>
      <c r="BF19" s="13"/>
      <c r="BG19" s="14"/>
      <c r="BH19" s="57"/>
      <c r="BI19" s="58"/>
      <c r="BJ19" s="14"/>
      <c r="BK19" s="14"/>
      <c r="BL19" s="14"/>
      <c r="BM19" s="14"/>
      <c r="BN19" s="14"/>
      <c r="BO19" s="14"/>
      <c r="BP19" s="14"/>
      <c r="BQ19" s="14"/>
      <c r="BR19" s="14"/>
      <c r="BS19" s="14"/>
      <c r="BT19" s="14"/>
      <c r="BU19" s="15"/>
      <c r="BV19" s="5"/>
      <c r="BW19" s="5"/>
    </row>
    <row r="20" spans="1:75" ht="15" customHeight="1" x14ac:dyDescent="0.3">
      <c r="A20" s="5"/>
      <c r="B20" s="13"/>
      <c r="C20" s="94" t="str">
        <f>IFERROR(IF(ISBLANK(INDEX(T_BANK_ACCTS[ACCOUNT NAME],ROW(C20)-ROW($C$9))),"",INDEX(T_BANK_ACCTS[ACCOUNT NAME],ROW(C20)-ROW($C$9))),"")</f>
        <v/>
      </c>
      <c r="D20" s="95" t="str">
        <f>IFERROR(IF(LEN(C20)=0,"",SUMIF(T_BANK_ACCTS[ACCOUNT NAME],'REPORTING SUMMARY'!C20,T_BANK_ACCTS[STARTING BALANCE])+SUMIFS(Tbl_Transactions[Amount],Tbl_Transactions[Account],'REPORTING SUMMARY'!C20,Tbl_Transactions[Type],"Income")-SUMIFS(Tbl_Transactions[Amount],Tbl_Transactions[Account],'REPORTING SUMMARY'!C20,Tbl_Transactions[Type],"Expense")+SUMIFS(Tbl_Transactions[Amount],Tbl_Transactions[Account],'REPORTING SUMMARY'!C20,Tbl_Transactions[Type],"Transfer")),"")</f>
        <v/>
      </c>
      <c r="E20" s="14"/>
      <c r="F20" s="94" t="str">
        <f>IFERROR(IF(ISBLANK(INDEX(T_CASH_ACCTS[ACCOUNT NAME],ROW(F20)-ROW($F$9))),"",INDEX(T_CASH_ACCTS[ACCOUNT NAME],ROW(F20)-ROW($F$9))),"")</f>
        <v/>
      </c>
      <c r="G20" s="95" t="str">
        <f>IFERROR(IF(LEN(F20)=0,"",SUMIF(T_CASH_ACCTS[ACCOUNT NAME],'REPORTING SUMMARY'!F20,T_CASH_ACCTS[STARTING BALANCE])
+SUMIFS(Tbl_Transactions[Amount],Tbl_Transactions[Account],'REPORTING SUMMARY'!F20,Tbl_Transactions[Type],"Income")-SUMIFS(Tbl_Transactions[Amount],Tbl_Transactions[Account],'REPORTING SUMMARY'!F20,Tbl_Transactions[Type],"Expense")+SUMIFS(Tbl_Transactions[Amount],Tbl_Transactions[Account],'REPORTING SUMMARY'!F20,Tbl_Transactions[Type],"Transfer")),"")</f>
        <v/>
      </c>
      <c r="H20" s="14"/>
      <c r="I20" s="14"/>
      <c r="J20" s="89" t="str">
        <f>IFERROR(IF(ISBLANK(INDEX(T_CREDIT_ACCTS[ACCOUNT NAME],ROW(J20)-ROW($J$9))),"",INDEX(T_CREDIT_ACCTS[ACCOUNT NAME],ROW(J20)-ROW($J$9))),"")</f>
        <v/>
      </c>
      <c r="K20" s="90" t="str">
        <f>IFERROR(IF(LEN(J20)=0,"",SUMIF(T_CREDIT_ACCTS[ACCOUNT NAME],'REPORTING SUMMARY'!J20,T_CREDIT_ACCTS[STARTING BALANCE])
+SUMIFS(Tbl_Transactions[Amount],Tbl_Transactions[Account],'REPORTING SUMMARY'!J20,Tbl_Transactions[Type],"Income")-SUMIFS(Tbl_Transactions[Amount],Tbl_Transactions[Account],'REPORTING SUMMARY'!J20,Tbl_Transactions[Type],"Expense")+SUMIFS(Tbl_Transactions[Amount],Tbl_Transactions[Account],'REPORTING SUMMARY'!J20,Tbl_Transactions[Type],"Transfer")),"")</f>
        <v/>
      </c>
      <c r="L20" s="14"/>
      <c r="M20" s="15"/>
      <c r="N20" s="11"/>
      <c r="O20" s="25"/>
      <c r="P20" s="20"/>
      <c r="Q20" s="20"/>
      <c r="R20" s="20"/>
      <c r="S20" s="20"/>
      <c r="T20" s="20"/>
      <c r="U20" s="20"/>
      <c r="V20" s="20"/>
      <c r="W20" s="20"/>
      <c r="X20" s="20"/>
      <c r="Y20" s="20"/>
      <c r="Z20" s="20"/>
      <c r="AA20" s="20"/>
      <c r="AB20" s="180" t="str">
        <f t="shared" si="0"/>
        <v>Other T</v>
      </c>
      <c r="AC20" s="181"/>
      <c r="AD20" s="82">
        <f t="shared" si="1"/>
        <v>500</v>
      </c>
      <c r="AE20" s="82" t="str">
        <f>IF(AB20="","",IF($AB$9="",IFERROR(GETPIVOTDATA("Amount",pivot_tables!$A$4,"Category",'REPORTING SUMMARY'!$AB20),0),""))</f>
        <v/>
      </c>
      <c r="AF20" s="178" t="str">
        <f t="shared" ref="AF20:AF41" si="3">IFERROR(AD20-AE20,"")</f>
        <v/>
      </c>
      <c r="AG20" s="179"/>
      <c r="AH20" s="20"/>
      <c r="AI20" s="27"/>
      <c r="AJ20" s="71"/>
      <c r="AK20" s="25"/>
      <c r="AL20" s="20"/>
      <c r="AM20" s="20"/>
      <c r="AN20" s="20"/>
      <c r="AO20" s="20"/>
      <c r="AP20" s="20"/>
      <c r="AQ20" s="20"/>
      <c r="AR20" s="20"/>
      <c r="AS20" s="20"/>
      <c r="AT20" s="20"/>
      <c r="AU20" s="20"/>
      <c r="AV20" s="20"/>
      <c r="AW20" s="20"/>
      <c r="AX20" s="20"/>
      <c r="AY20" s="20"/>
      <c r="AZ20" s="20"/>
      <c r="BA20" s="20"/>
      <c r="BB20" s="20"/>
      <c r="BC20" s="20"/>
      <c r="BD20" s="27"/>
      <c r="BE20" s="72"/>
      <c r="BF20" s="13"/>
      <c r="BG20" s="14"/>
      <c r="BH20" s="57"/>
      <c r="BI20" s="14"/>
      <c r="BJ20" s="14"/>
      <c r="BK20" s="14"/>
      <c r="BL20" s="14"/>
      <c r="BM20" s="14"/>
      <c r="BN20" s="14"/>
      <c r="BO20" s="14"/>
      <c r="BP20" s="14"/>
      <c r="BQ20" s="14"/>
      <c r="BR20" s="14"/>
      <c r="BS20" s="14"/>
      <c r="BT20" s="14"/>
      <c r="BU20" s="15"/>
      <c r="BV20" s="5"/>
      <c r="BW20" s="5"/>
    </row>
    <row r="21" spans="1:75" ht="15" customHeight="1" x14ac:dyDescent="0.3">
      <c r="A21" s="5"/>
      <c r="B21" s="13"/>
      <c r="C21" s="96" t="str">
        <f>IFERROR(IF(ISBLANK(INDEX(T_BANK_ACCTS[ACCOUNT NAME],ROW(C21)-ROW($C$9))),"",INDEX(T_BANK_ACCTS[ACCOUNT NAME],ROW(C21)-ROW($C$9))),"")</f>
        <v/>
      </c>
      <c r="D21" s="95" t="str">
        <f>IFERROR(IF(LEN(C21)=0,"",SUMIF(T_BANK_ACCTS[ACCOUNT NAME],'REPORTING SUMMARY'!C21,T_BANK_ACCTS[STARTING BALANCE])+SUMIFS(Tbl_Transactions[Amount],Tbl_Transactions[Account],'REPORTING SUMMARY'!C21,Tbl_Transactions[Type],"Income")-SUMIFS(Tbl_Transactions[Amount],Tbl_Transactions[Account],'REPORTING SUMMARY'!C21,Tbl_Transactions[Type],"Expense")+SUMIFS(Tbl_Transactions[Amount],Tbl_Transactions[Account],'REPORTING SUMMARY'!C21,Tbl_Transactions[Type],"Transfer")),"")</f>
        <v/>
      </c>
      <c r="E21" s="18"/>
      <c r="F21" s="94" t="str">
        <f>IFERROR(IF(ISBLANK(INDEX(T_CASH_ACCTS[ACCOUNT NAME],ROW(F21)-ROW($F$9))),"",INDEX(T_CASH_ACCTS[ACCOUNT NAME],ROW(F21)-ROW($F$9))),"")</f>
        <v/>
      </c>
      <c r="G21" s="95" t="str">
        <f>IFERROR(IF(LEN(F21)=0,"",SUMIF(T_CASH_ACCTS[ACCOUNT NAME],'REPORTING SUMMARY'!F21,T_CASH_ACCTS[STARTING BALANCE])
+SUMIFS(Tbl_Transactions[Amount],Tbl_Transactions[Account],'REPORTING SUMMARY'!F21,Tbl_Transactions[Type],"Income")-SUMIFS(Tbl_Transactions[Amount],Tbl_Transactions[Account],'REPORTING SUMMARY'!F21,Tbl_Transactions[Type],"Expense")+SUMIFS(Tbl_Transactions[Amount],Tbl_Transactions[Account],'REPORTING SUMMARY'!F21,Tbl_Transactions[Type],"Transfer")),"")</f>
        <v/>
      </c>
      <c r="H21" s="14"/>
      <c r="I21" s="14"/>
      <c r="J21" s="89" t="str">
        <f>IFERROR(IF(ISBLANK(INDEX(T_CREDIT_ACCTS[ACCOUNT NAME],ROW(J21)-ROW($J$9))),"",INDEX(T_CREDIT_ACCTS[ACCOUNT NAME],ROW(J21)-ROW($J$9))),"")</f>
        <v/>
      </c>
      <c r="K21" s="90" t="str">
        <f>IFERROR(IF(LEN(J21)=0,"",SUMIF(T_CREDIT_ACCTS[ACCOUNT NAME],'REPORTING SUMMARY'!J21,T_CREDIT_ACCTS[STARTING BALANCE])
+SUMIFS(Tbl_Transactions[Amount],Tbl_Transactions[Account],'REPORTING SUMMARY'!J21,Tbl_Transactions[Type],"Income")-SUMIFS(Tbl_Transactions[Amount],Tbl_Transactions[Account],'REPORTING SUMMARY'!J21,Tbl_Transactions[Type],"Expense")+SUMIFS(Tbl_Transactions[Amount],Tbl_Transactions[Account],'REPORTING SUMMARY'!J21,Tbl_Transactions[Type],"Transfer")),"")</f>
        <v/>
      </c>
      <c r="L21" s="14"/>
      <c r="M21" s="15"/>
      <c r="N21" s="11"/>
      <c r="O21" s="25"/>
      <c r="P21" s="20"/>
      <c r="Q21" s="20"/>
      <c r="R21" s="20"/>
      <c r="S21" s="20"/>
      <c r="T21" s="20"/>
      <c r="U21" s="20"/>
      <c r="V21" s="20"/>
      <c r="W21" s="20"/>
      <c r="X21" s="20"/>
      <c r="Y21" s="20"/>
      <c r="Z21" s="20"/>
      <c r="AA21" s="20"/>
      <c r="AB21" s="180" t="str">
        <f t="shared" si="0"/>
        <v/>
      </c>
      <c r="AC21" s="181"/>
      <c r="AD21" s="82" t="str">
        <f t="shared" si="1"/>
        <v/>
      </c>
      <c r="AE21" s="82" t="str">
        <f>IF(AB21="","",IF($AB$9="",IFERROR(GETPIVOTDATA("Amount",pivot_tables!$A$4,"Category",'REPORTING SUMMARY'!$AB21),0),""))</f>
        <v/>
      </c>
      <c r="AF21" s="178" t="str">
        <f t="shared" si="3"/>
        <v/>
      </c>
      <c r="AG21" s="179"/>
      <c r="AH21" s="20"/>
      <c r="AI21" s="27"/>
      <c r="AJ21" s="71"/>
      <c r="AK21" s="25"/>
      <c r="AL21" s="20"/>
      <c r="AM21" s="20"/>
      <c r="AN21" s="20"/>
      <c r="AO21" s="20"/>
      <c r="AP21" s="20"/>
      <c r="AQ21" s="20"/>
      <c r="AR21" s="20"/>
      <c r="AS21" s="20"/>
      <c r="AT21" s="20"/>
      <c r="AU21" s="20"/>
      <c r="AV21" s="20"/>
      <c r="AW21" s="20"/>
      <c r="AX21" s="20"/>
      <c r="AY21" s="20"/>
      <c r="AZ21" s="20"/>
      <c r="BA21" s="20"/>
      <c r="BB21" s="20"/>
      <c r="BC21" s="20"/>
      <c r="BD21" s="27"/>
      <c r="BE21" s="72"/>
      <c r="BF21" s="13"/>
      <c r="BG21" s="14"/>
      <c r="BH21" s="19"/>
      <c r="BI21" s="14"/>
      <c r="BJ21" s="14"/>
      <c r="BK21" s="19"/>
      <c r="BL21" s="14"/>
      <c r="BM21" s="14"/>
      <c r="BN21" s="14"/>
      <c r="BO21" s="14"/>
      <c r="BP21" s="14"/>
      <c r="BQ21" s="14"/>
      <c r="BR21" s="14"/>
      <c r="BS21" s="14"/>
      <c r="BT21" s="14"/>
      <c r="BU21" s="15"/>
      <c r="BV21" s="5"/>
      <c r="BW21" s="5"/>
    </row>
    <row r="22" spans="1:75" ht="18" x14ac:dyDescent="0.3">
      <c r="A22" s="5"/>
      <c r="B22" s="13"/>
      <c r="C22" s="94" t="str">
        <f>IFERROR(IF(ISBLANK(INDEX(T_BANK_ACCTS[ACCOUNT NAME],ROW(C22)-ROW($C$9))),"",INDEX(T_BANK_ACCTS[ACCOUNT NAME],ROW(C22)-ROW($C$9))),"")</f>
        <v/>
      </c>
      <c r="D22" s="95" t="str">
        <f>IFERROR(IF(LEN(C22)=0,"",SUMIF(T_BANK_ACCTS[ACCOUNT NAME],'REPORTING SUMMARY'!C22,T_BANK_ACCTS[STARTING BALANCE])+SUMIFS(Tbl_Transactions[Amount],Tbl_Transactions[Account],'REPORTING SUMMARY'!C22,Tbl_Transactions[Type],"Income")-SUMIFS(Tbl_Transactions[Amount],Tbl_Transactions[Account],'REPORTING SUMMARY'!C22,Tbl_Transactions[Type],"Expense")+SUMIFS(Tbl_Transactions[Amount],Tbl_Transactions[Account],'REPORTING SUMMARY'!C22,Tbl_Transactions[Type],"Transfer")),"")</f>
        <v/>
      </c>
      <c r="E22" s="14"/>
      <c r="F22" s="94" t="str">
        <f>IFERROR(IF(ISBLANK(INDEX(T_CASH_ACCTS[ACCOUNT NAME],ROW(F22)-ROW($F$9))),"",INDEX(T_CASH_ACCTS[ACCOUNT NAME],ROW(F22)-ROW($F$9))),"")</f>
        <v/>
      </c>
      <c r="G22" s="95" t="str">
        <f>IFERROR(IF(LEN(F22)=0,"",SUMIF(T_CASH_ACCTS[ACCOUNT NAME],'REPORTING SUMMARY'!F22,T_CASH_ACCTS[STARTING BALANCE])
+SUMIFS(Tbl_Transactions[Amount],Tbl_Transactions[Account],'REPORTING SUMMARY'!F22,Tbl_Transactions[Type],"Income")-SUMIFS(Tbl_Transactions[Amount],Tbl_Transactions[Account],'REPORTING SUMMARY'!F22,Tbl_Transactions[Type],"Expense")+SUMIFS(Tbl_Transactions[Amount],Tbl_Transactions[Account],'REPORTING SUMMARY'!F22,Tbl_Transactions[Type],"Transfer")),"")</f>
        <v/>
      </c>
      <c r="H22" s="14"/>
      <c r="I22" s="14"/>
      <c r="J22" s="89" t="str">
        <f>IFERROR(IF(ISBLANK(INDEX(T_CREDIT_ACCTS[ACCOUNT NAME],ROW(J22)-ROW($J$9))),"",INDEX(T_CREDIT_ACCTS[ACCOUNT NAME],ROW(J22)-ROW($J$9))),"")</f>
        <v/>
      </c>
      <c r="K22" s="90" t="str">
        <f>IFERROR(IF(LEN(J22)=0,"",SUMIF(T_CREDIT_ACCTS[ACCOUNT NAME],'REPORTING SUMMARY'!J22,T_CREDIT_ACCTS[STARTING BALANCE])
+SUMIFS(Tbl_Transactions[Amount],Tbl_Transactions[Account],'REPORTING SUMMARY'!J22,Tbl_Transactions[Type],"Income")-SUMIFS(Tbl_Transactions[Amount],Tbl_Transactions[Account],'REPORTING SUMMARY'!J22,Tbl_Transactions[Type],"Expense")+SUMIFS(Tbl_Transactions[Amount],Tbl_Transactions[Account],'REPORTING SUMMARY'!J22,Tbl_Transactions[Type],"Transfer")),"")</f>
        <v/>
      </c>
      <c r="L22" s="14"/>
      <c r="M22" s="15"/>
      <c r="N22" s="11"/>
      <c r="O22" s="25"/>
      <c r="P22" s="60"/>
      <c r="Q22" s="20"/>
      <c r="R22" s="20"/>
      <c r="S22" s="20"/>
      <c r="T22" s="20"/>
      <c r="U22" s="20"/>
      <c r="V22" s="20"/>
      <c r="W22" s="20"/>
      <c r="X22" s="20"/>
      <c r="Y22" s="20"/>
      <c r="Z22" s="20"/>
      <c r="AA22" s="20"/>
      <c r="AB22" s="180" t="str">
        <f t="shared" si="0"/>
        <v/>
      </c>
      <c r="AC22" s="181"/>
      <c r="AD22" s="82" t="str">
        <f t="shared" si="1"/>
        <v/>
      </c>
      <c r="AE22" s="82" t="str">
        <f>IF(AB22="","",IF($AB$9="",IFERROR(GETPIVOTDATA("Amount",pivot_tables!$A$4,"Category",'REPORTING SUMMARY'!$AB22),0),""))</f>
        <v/>
      </c>
      <c r="AF22" s="178" t="str">
        <f t="shared" si="3"/>
        <v/>
      </c>
      <c r="AG22" s="179"/>
      <c r="AH22" s="20"/>
      <c r="AI22" s="27"/>
      <c r="AJ22" s="71"/>
      <c r="AK22" s="25"/>
      <c r="AL22" s="20"/>
      <c r="AM22" s="20"/>
      <c r="AN22" s="20"/>
      <c r="AO22" s="20"/>
      <c r="AP22" s="20"/>
      <c r="AQ22" s="20"/>
      <c r="AR22" s="20"/>
      <c r="AS22" s="20"/>
      <c r="AT22" s="20"/>
      <c r="AU22" s="20"/>
      <c r="AV22" s="20"/>
      <c r="AW22" s="20"/>
      <c r="AX22" s="20"/>
      <c r="AY22" s="20"/>
      <c r="AZ22" s="20"/>
      <c r="BA22" s="20"/>
      <c r="BB22" s="20"/>
      <c r="BC22" s="20"/>
      <c r="BD22" s="27"/>
      <c r="BE22" s="72"/>
      <c r="BF22" s="13"/>
      <c r="BG22" s="14"/>
      <c r="BH22" s="61"/>
      <c r="BI22" s="14"/>
      <c r="BJ22" s="14"/>
      <c r="BK22" s="61"/>
      <c r="BL22" s="14"/>
      <c r="BM22" s="14"/>
      <c r="BN22" s="14"/>
      <c r="BO22" s="14"/>
      <c r="BP22" s="14"/>
      <c r="BQ22" s="14"/>
      <c r="BR22" s="14"/>
      <c r="BS22" s="14"/>
      <c r="BT22" s="14"/>
      <c r="BU22" s="15"/>
      <c r="BV22" s="5"/>
      <c r="BW22" s="5"/>
    </row>
    <row r="23" spans="1:75" ht="15.75" customHeight="1" x14ac:dyDescent="0.3">
      <c r="A23" s="5"/>
      <c r="B23" s="13"/>
      <c r="C23" s="94" t="str">
        <f>IFERROR(IF(ISBLANK(INDEX(T_BANK_ACCTS[ACCOUNT NAME],ROW(C23)-ROW($C$9))),"",INDEX(T_BANK_ACCTS[ACCOUNT NAME],ROW(C23)-ROW($C$9))),"")</f>
        <v/>
      </c>
      <c r="D23" s="95" t="str">
        <f>IFERROR(IF(LEN(C23)=0,"",SUMIF(T_BANK_ACCTS[ACCOUNT NAME],'REPORTING SUMMARY'!C23,T_BANK_ACCTS[STARTING BALANCE])+SUMIFS(Tbl_Transactions[Amount],Tbl_Transactions[Account],'REPORTING SUMMARY'!C23,Tbl_Transactions[Type],"Income")-SUMIFS(Tbl_Transactions[Amount],Tbl_Transactions[Account],'REPORTING SUMMARY'!C23,Tbl_Transactions[Type],"Expense")+SUMIFS(Tbl_Transactions[Amount],Tbl_Transactions[Account],'REPORTING SUMMARY'!C23,Tbl_Transactions[Type],"Transfer")),"")</f>
        <v/>
      </c>
      <c r="E23" s="14"/>
      <c r="F23" s="94" t="str">
        <f>IFERROR(IF(ISBLANK(INDEX(T_CASH_ACCTS[ACCOUNT NAME],ROW(F23)-ROW($F$9))),"",INDEX(T_CASH_ACCTS[ACCOUNT NAME],ROW(F23)-ROW($F$9))),"")</f>
        <v/>
      </c>
      <c r="G23" s="95" t="str">
        <f>IFERROR(IF(LEN(F23)=0,"",SUMIF(T_CASH_ACCTS[ACCOUNT NAME],'REPORTING SUMMARY'!F23,T_CASH_ACCTS[STARTING BALANCE])
+SUMIFS(Tbl_Transactions[Amount],Tbl_Transactions[Account],'REPORTING SUMMARY'!F23,Tbl_Transactions[Type],"Income")-SUMIFS(Tbl_Transactions[Amount],Tbl_Transactions[Account],'REPORTING SUMMARY'!F23,Tbl_Transactions[Type],"Expense")+SUMIFS(Tbl_Transactions[Amount],Tbl_Transactions[Account],'REPORTING SUMMARY'!F23,Tbl_Transactions[Type],"Transfer")),"")</f>
        <v/>
      </c>
      <c r="H23" s="14"/>
      <c r="I23" s="14"/>
      <c r="J23" s="89" t="str">
        <f>IFERROR(IF(ISBLANK(INDEX(T_CREDIT_ACCTS[ACCOUNT NAME],ROW(J23)-ROW($J$9))),"",INDEX(T_CREDIT_ACCTS[ACCOUNT NAME],ROW(J23)-ROW($J$9))),"")</f>
        <v/>
      </c>
      <c r="K23" s="90" t="str">
        <f>IFERROR(IF(LEN(J23)=0,"",SUMIF(T_CREDIT_ACCTS[ACCOUNT NAME],'REPORTING SUMMARY'!J23,T_CREDIT_ACCTS[STARTING BALANCE])
+SUMIFS(Tbl_Transactions[Amount],Tbl_Transactions[Account],'REPORTING SUMMARY'!J23,Tbl_Transactions[Type],"Income")-SUMIFS(Tbl_Transactions[Amount],Tbl_Transactions[Account],'REPORTING SUMMARY'!J23,Tbl_Transactions[Type],"Expense")+SUMIFS(Tbl_Transactions[Amount],Tbl_Transactions[Account],'REPORTING SUMMARY'!J23,Tbl_Transactions[Type],"Transfer")),"")</f>
        <v/>
      </c>
      <c r="L23" s="14"/>
      <c r="M23" s="15"/>
      <c r="N23" s="11"/>
      <c r="O23" s="25"/>
      <c r="P23" s="20"/>
      <c r="Q23" s="20"/>
      <c r="R23" s="20"/>
      <c r="S23" s="20"/>
      <c r="T23" s="20"/>
      <c r="U23" s="20"/>
      <c r="V23" s="20"/>
      <c r="W23" s="20"/>
      <c r="X23" s="20"/>
      <c r="Y23" s="20"/>
      <c r="Z23" s="20"/>
      <c r="AA23" s="20"/>
      <c r="AB23" s="180" t="str">
        <f t="shared" si="0"/>
        <v/>
      </c>
      <c r="AC23" s="181"/>
      <c r="AD23" s="82" t="str">
        <f t="shared" si="1"/>
        <v/>
      </c>
      <c r="AE23" s="82" t="str">
        <f>IF(AB23="","",IF($AB$9="",IFERROR(GETPIVOTDATA("Amount",pivot_tables!$A$4,"Category",'REPORTING SUMMARY'!$AB23),0),""))</f>
        <v/>
      </c>
      <c r="AF23" s="178" t="str">
        <f t="shared" si="3"/>
        <v/>
      </c>
      <c r="AG23" s="179"/>
      <c r="AH23" s="20"/>
      <c r="AI23" s="27"/>
      <c r="AJ23" s="71"/>
      <c r="AK23" s="25"/>
      <c r="AL23" s="20"/>
      <c r="AM23" s="20"/>
      <c r="AN23" s="20"/>
      <c r="AO23" s="20"/>
      <c r="AP23" s="20"/>
      <c r="AQ23" s="20"/>
      <c r="AR23" s="20"/>
      <c r="AS23" s="20"/>
      <c r="AT23" s="20"/>
      <c r="AU23" s="20"/>
      <c r="AV23" s="20"/>
      <c r="AW23" s="20"/>
      <c r="AX23" s="63"/>
      <c r="AY23" s="63"/>
      <c r="AZ23" s="63"/>
      <c r="BA23" s="63"/>
      <c r="BB23" s="63"/>
      <c r="BC23" s="63"/>
      <c r="BD23" s="64"/>
      <c r="BE23" s="73"/>
      <c r="BF23" s="65"/>
      <c r="BG23" s="66"/>
      <c r="BH23" s="67"/>
      <c r="BI23" s="66"/>
      <c r="BJ23" s="66"/>
      <c r="BK23" s="67"/>
      <c r="BL23" s="66"/>
      <c r="BM23" s="66"/>
      <c r="BN23" s="66"/>
      <c r="BO23" s="14"/>
      <c r="BP23" s="14"/>
      <c r="BQ23" s="14"/>
      <c r="BR23" s="14"/>
      <c r="BS23" s="14"/>
      <c r="BT23" s="14"/>
      <c r="BU23" s="15"/>
      <c r="BV23" s="5"/>
      <c r="BW23" s="5"/>
    </row>
    <row r="24" spans="1:75" ht="15" customHeight="1" x14ac:dyDescent="0.3">
      <c r="A24" s="5"/>
      <c r="B24" s="13"/>
      <c r="C24" s="94" t="str">
        <f>IFERROR(IF(ISBLANK(INDEX(T_BANK_ACCTS[ACCOUNT NAME],ROW(C24)-ROW($C$9))),"",INDEX(T_BANK_ACCTS[ACCOUNT NAME],ROW(C24)-ROW($C$9))),"")</f>
        <v/>
      </c>
      <c r="D24" s="95" t="str">
        <f>IFERROR(IF(LEN(C24)=0,"",SUMIF(T_BANK_ACCTS[ACCOUNT NAME],'REPORTING SUMMARY'!C24,T_BANK_ACCTS[STARTING BALANCE])+SUMIFS(Tbl_Transactions[Amount],Tbl_Transactions[Account],'REPORTING SUMMARY'!C24,Tbl_Transactions[Type],"Income")-SUMIFS(Tbl_Transactions[Amount],Tbl_Transactions[Account],'REPORTING SUMMARY'!C24,Tbl_Transactions[Type],"Expense")+SUMIFS(Tbl_Transactions[Amount],Tbl_Transactions[Account],'REPORTING SUMMARY'!C24,Tbl_Transactions[Type],"Transfer")),"")</f>
        <v/>
      </c>
      <c r="E24" s="14"/>
      <c r="F24" s="94" t="str">
        <f>IFERROR(IF(ISBLANK(INDEX(T_CASH_ACCTS[ACCOUNT NAME],ROW(F24)-ROW($F$9))),"",INDEX(T_CASH_ACCTS[ACCOUNT NAME],ROW(F24)-ROW($F$9))),"")</f>
        <v/>
      </c>
      <c r="G24" s="95" t="str">
        <f>IFERROR(IF(LEN(F24)=0,"",SUMIF(T_CASH_ACCTS[ACCOUNT NAME],'REPORTING SUMMARY'!F24,T_CASH_ACCTS[STARTING BALANCE])
+SUMIFS(Tbl_Transactions[Amount],Tbl_Transactions[Account],'REPORTING SUMMARY'!F24,Tbl_Transactions[Type],"Income")-SUMIFS(Tbl_Transactions[Amount],Tbl_Transactions[Account],'REPORTING SUMMARY'!F24,Tbl_Transactions[Type],"Expense")+SUMIFS(Tbl_Transactions[Amount],Tbl_Transactions[Account],'REPORTING SUMMARY'!F24,Tbl_Transactions[Type],"Transfer")),"")</f>
        <v/>
      </c>
      <c r="H24" s="14"/>
      <c r="I24" s="14"/>
      <c r="J24" s="89" t="str">
        <f>IFERROR(IF(ISBLANK(INDEX(T_CREDIT_ACCTS[ACCOUNT NAME],ROW(J24)-ROW($J$9))),"",INDEX(T_CREDIT_ACCTS[ACCOUNT NAME],ROW(J24)-ROW($J$9))),"")</f>
        <v/>
      </c>
      <c r="K24" s="90" t="str">
        <f>IFERROR(IF(LEN(J24)=0,"",SUMIF(T_CREDIT_ACCTS[ACCOUNT NAME],'REPORTING SUMMARY'!J24,T_CREDIT_ACCTS[STARTING BALANCE])
+SUMIFS(Tbl_Transactions[Amount],Tbl_Transactions[Account],'REPORTING SUMMARY'!J24,Tbl_Transactions[Type],"Income")-SUMIFS(Tbl_Transactions[Amount],Tbl_Transactions[Account],'REPORTING SUMMARY'!J24,Tbl_Transactions[Type],"Expense")+SUMIFS(Tbl_Transactions[Amount],Tbl_Transactions[Account],'REPORTING SUMMARY'!J24,Tbl_Transactions[Type],"Transfer")),"")</f>
        <v/>
      </c>
      <c r="L24" s="14"/>
      <c r="M24" s="15"/>
      <c r="N24" s="11"/>
      <c r="O24" s="173" t="s">
        <v>66</v>
      </c>
      <c r="P24" s="174"/>
      <c r="Q24" s="174"/>
      <c r="R24" s="174"/>
      <c r="S24" s="174"/>
      <c r="T24" s="174"/>
      <c r="U24" s="174"/>
      <c r="V24" s="174"/>
      <c r="W24" s="174"/>
      <c r="X24" s="174"/>
      <c r="Y24" s="174"/>
      <c r="Z24" s="174"/>
      <c r="AA24" s="175"/>
      <c r="AB24" s="180" t="str">
        <f t="shared" si="0"/>
        <v/>
      </c>
      <c r="AC24" s="181"/>
      <c r="AD24" s="82" t="str">
        <f t="shared" si="1"/>
        <v/>
      </c>
      <c r="AE24" s="82" t="str">
        <f>IF(AB24="","",IF($AB$9="",IFERROR(GETPIVOTDATA("Amount",pivot_tables!$A$4,"Category",'REPORTING SUMMARY'!$AB24),0),""))</f>
        <v/>
      </c>
      <c r="AF24" s="178" t="str">
        <f t="shared" si="3"/>
        <v/>
      </c>
      <c r="AG24" s="179"/>
      <c r="AH24" s="20"/>
      <c r="AI24" s="27"/>
      <c r="AJ24" s="71"/>
      <c r="AK24" s="25"/>
      <c r="AL24" s="20"/>
      <c r="AM24" s="20"/>
      <c r="AN24" s="20"/>
      <c r="AO24" s="20"/>
      <c r="AP24" s="20"/>
      <c r="AQ24" s="20"/>
      <c r="AR24" s="20"/>
      <c r="AS24" s="20"/>
      <c r="AT24" s="20"/>
      <c r="AU24" s="20"/>
      <c r="AV24" s="20"/>
      <c r="AW24" s="20"/>
      <c r="AX24" s="20"/>
      <c r="AY24" s="20"/>
      <c r="AZ24" s="20"/>
      <c r="BA24" s="20"/>
      <c r="BB24" s="20"/>
      <c r="BC24" s="20"/>
      <c r="BD24" s="27"/>
      <c r="BE24" s="72"/>
      <c r="BF24" s="13"/>
      <c r="BG24" s="14"/>
      <c r="BH24" s="14"/>
      <c r="BI24" s="14"/>
      <c r="BJ24" s="14"/>
      <c r="BK24" s="14"/>
      <c r="BL24" s="14"/>
      <c r="BM24" s="14"/>
      <c r="BN24" s="14"/>
      <c r="BO24" s="14"/>
      <c r="BP24" s="14"/>
      <c r="BQ24" s="14"/>
      <c r="BR24" s="14"/>
      <c r="BS24" s="14"/>
      <c r="BT24" s="14"/>
      <c r="BU24" s="15"/>
      <c r="BV24" s="5"/>
      <c r="BW24" s="5"/>
    </row>
    <row r="25" spans="1:75" ht="15" customHeight="1" x14ac:dyDescent="0.35">
      <c r="A25" s="5"/>
      <c r="B25" s="13"/>
      <c r="C25" s="94" t="str">
        <f>IFERROR(IF(ISBLANK(INDEX(T_BANK_ACCTS[ACCOUNT NAME],ROW(C25)-ROW($C$9))),"",INDEX(T_BANK_ACCTS[ACCOUNT NAME],ROW(C25)-ROW($C$9))),"")</f>
        <v/>
      </c>
      <c r="D25" s="95" t="str">
        <f>IFERROR(IF(LEN(C25)=0,"",SUMIF(T_BANK_ACCTS[ACCOUNT NAME],'REPORTING SUMMARY'!C25,T_BANK_ACCTS[STARTING BALANCE])+SUMIFS(Tbl_Transactions[Amount],Tbl_Transactions[Account],'REPORTING SUMMARY'!C25,Tbl_Transactions[Type],"Income")-SUMIFS(Tbl_Transactions[Amount],Tbl_Transactions[Account],'REPORTING SUMMARY'!C25,Tbl_Transactions[Type],"Expense")+SUMIFS(Tbl_Transactions[Amount],Tbl_Transactions[Account],'REPORTING SUMMARY'!C25,Tbl_Transactions[Type],"Transfer")),"")</f>
        <v/>
      </c>
      <c r="E25" s="14"/>
      <c r="F25" s="94" t="str">
        <f>IFERROR(IF(ISBLANK(INDEX(T_CASH_ACCTS[ACCOUNT NAME],ROW(F25)-ROW($F$9))),"",INDEX(T_CASH_ACCTS[ACCOUNT NAME],ROW(F25)-ROW($F$9))),"")</f>
        <v/>
      </c>
      <c r="G25" s="95" t="str">
        <f>IFERROR(IF(LEN(F25)=0,"",SUMIF(T_CASH_ACCTS[ACCOUNT NAME],'REPORTING SUMMARY'!F25,T_CASH_ACCTS[STARTING BALANCE])
+SUMIFS(Tbl_Transactions[Amount],Tbl_Transactions[Account],'REPORTING SUMMARY'!F25,Tbl_Transactions[Type],"Income")-SUMIFS(Tbl_Transactions[Amount],Tbl_Transactions[Account],'REPORTING SUMMARY'!F25,Tbl_Transactions[Type],"Expense")+SUMIFS(Tbl_Transactions[Amount],Tbl_Transactions[Account],'REPORTING SUMMARY'!F25,Tbl_Transactions[Type],"Transfer")),"")</f>
        <v/>
      </c>
      <c r="H25" s="14"/>
      <c r="I25" s="14"/>
      <c r="J25" s="89" t="str">
        <f>IFERROR(IF(ISBLANK(INDEX(T_CREDIT_ACCTS[ACCOUNT NAME],ROW(J25)-ROW($J$9))),"",INDEX(T_CREDIT_ACCTS[ACCOUNT NAME],ROW(J25)-ROW($J$9))),"")</f>
        <v/>
      </c>
      <c r="K25" s="90" t="str">
        <f>IFERROR(IF(LEN(J25)=0,"",SUMIF(T_CREDIT_ACCTS[ACCOUNT NAME],'REPORTING SUMMARY'!J25,T_CREDIT_ACCTS[STARTING BALANCE])
+SUMIFS(Tbl_Transactions[Amount],Tbl_Transactions[Account],'REPORTING SUMMARY'!J25,Tbl_Transactions[Type],"Income")-SUMIFS(Tbl_Transactions[Amount],Tbl_Transactions[Account],'REPORTING SUMMARY'!J25,Tbl_Transactions[Type],"Expense")+SUMIFS(Tbl_Transactions[Amount],Tbl_Transactions[Account],'REPORTING SUMMARY'!J25,Tbl_Transactions[Type],"Transfer")),"")</f>
        <v/>
      </c>
      <c r="L25" s="14"/>
      <c r="M25" s="15"/>
      <c r="N25" s="11"/>
      <c r="O25" s="25"/>
      <c r="P25" s="20"/>
      <c r="Q25" s="20"/>
      <c r="R25" s="20"/>
      <c r="S25" s="20"/>
      <c r="T25" s="20"/>
      <c r="U25" s="20"/>
      <c r="V25" s="20"/>
      <c r="W25" s="20"/>
      <c r="X25" s="20"/>
      <c r="Y25" s="20"/>
      <c r="Z25" s="20"/>
      <c r="AA25" s="20"/>
      <c r="AB25" s="180" t="str">
        <f t="shared" si="0"/>
        <v/>
      </c>
      <c r="AC25" s="181"/>
      <c r="AD25" s="82" t="str">
        <f t="shared" si="1"/>
        <v/>
      </c>
      <c r="AE25" s="82" t="str">
        <f>IF(AB25="","",IF($AB$9="",IFERROR(GETPIVOTDATA("Amount",pivot_tables!$A$4,"Category",'REPORTING SUMMARY'!$AB25),0),""))</f>
        <v/>
      </c>
      <c r="AF25" s="178" t="str">
        <f t="shared" si="3"/>
        <v/>
      </c>
      <c r="AG25" s="179"/>
      <c r="AH25" s="20"/>
      <c r="AI25" s="27"/>
      <c r="AJ25" s="72"/>
      <c r="AK25" s="39"/>
      <c r="AL25" s="20"/>
      <c r="AM25" s="20"/>
      <c r="AN25" s="20"/>
      <c r="AO25" s="20"/>
      <c r="AP25" s="20"/>
      <c r="AQ25" s="20"/>
      <c r="AR25" s="20"/>
      <c r="AS25" s="20"/>
      <c r="AT25" s="20"/>
      <c r="AU25" s="20"/>
      <c r="AV25" s="20"/>
      <c r="AW25" s="20"/>
      <c r="AX25" s="20"/>
      <c r="AY25" s="20"/>
      <c r="AZ25" s="20"/>
      <c r="BA25" s="20"/>
      <c r="BB25" s="20"/>
      <c r="BC25" s="20"/>
      <c r="BD25" s="27"/>
      <c r="BE25" s="72"/>
      <c r="BF25" s="13"/>
      <c r="BG25" s="14"/>
      <c r="BH25" s="192"/>
      <c r="BI25" s="192"/>
      <c r="BJ25" s="192"/>
      <c r="BK25" s="192"/>
      <c r="BL25" s="192"/>
      <c r="BM25" s="192"/>
      <c r="BN25" s="14"/>
      <c r="BO25" s="14"/>
      <c r="BP25" s="14"/>
      <c r="BQ25" s="14"/>
      <c r="BR25" s="14"/>
      <c r="BS25" s="14"/>
      <c r="BT25" s="14"/>
      <c r="BU25" s="15"/>
      <c r="BV25" s="5"/>
      <c r="BW25" s="5"/>
    </row>
    <row r="26" spans="1:75" ht="30" customHeight="1" x14ac:dyDescent="0.3">
      <c r="A26" s="5"/>
      <c r="B26" s="13"/>
      <c r="C26" s="94" t="str">
        <f>IFERROR(IF(ISBLANK(INDEX(T_BANK_ACCTS[ACCOUNT NAME],ROW(C26)-ROW($C$9))),"",INDEX(T_BANK_ACCTS[ACCOUNT NAME],ROW(C26)-ROW($C$9))),"")</f>
        <v/>
      </c>
      <c r="D26" s="95" t="str">
        <f>IFERROR(IF(LEN(C26)=0,"",SUMIF(T_BANK_ACCTS[ACCOUNT NAME],'REPORTING SUMMARY'!C26,T_BANK_ACCTS[STARTING BALANCE])+SUMIFS(Tbl_Transactions[Amount],Tbl_Transactions[Account],'REPORTING SUMMARY'!C26,Tbl_Transactions[Type],"Income")-SUMIFS(Tbl_Transactions[Amount],Tbl_Transactions[Account],'REPORTING SUMMARY'!C26,Tbl_Transactions[Type],"Expense")+SUMIFS(Tbl_Transactions[Amount],Tbl_Transactions[Account],'REPORTING SUMMARY'!C26,Tbl_Transactions[Type],"Transfer")),"")</f>
        <v/>
      </c>
      <c r="E26" s="14"/>
      <c r="F26" s="94" t="str">
        <f>IFERROR(IF(ISBLANK(INDEX(T_CASH_ACCTS[ACCOUNT NAME],ROW(F26)-ROW($F$9))),"",INDEX(T_CASH_ACCTS[ACCOUNT NAME],ROW(F26)-ROW($F$9))),"")</f>
        <v/>
      </c>
      <c r="G26" s="95" t="str">
        <f>IFERROR(IF(LEN(F26)=0,"",SUMIF(T_CASH_ACCTS[ACCOUNT NAME],'REPORTING SUMMARY'!F26,T_CASH_ACCTS[STARTING BALANCE])
+SUMIFS(Tbl_Transactions[Amount],Tbl_Transactions[Account],'REPORTING SUMMARY'!F26,Tbl_Transactions[Type],"Income")-SUMIFS(Tbl_Transactions[Amount],Tbl_Transactions[Account],'REPORTING SUMMARY'!F26,Tbl_Transactions[Type],"Expense")+SUMIFS(Tbl_Transactions[Amount],Tbl_Transactions[Account],'REPORTING SUMMARY'!F26,Tbl_Transactions[Type],"Transfer")),"")</f>
        <v/>
      </c>
      <c r="H26" s="14"/>
      <c r="I26" s="14"/>
      <c r="J26" s="89" t="str">
        <f>IFERROR(IF(ISBLANK(INDEX(T_CREDIT_ACCTS[ACCOUNT NAME],ROW(J26)-ROW($J$9))),"",INDEX(T_CREDIT_ACCTS[ACCOUNT NAME],ROW(J26)-ROW($J$9))),"")</f>
        <v/>
      </c>
      <c r="K26" s="90" t="str">
        <f>IFERROR(IF(LEN(J26)=0,"",SUMIF(T_CREDIT_ACCTS[ACCOUNT NAME],'REPORTING SUMMARY'!J26,T_CREDIT_ACCTS[STARTING BALANCE])
+SUMIFS(Tbl_Transactions[Amount],Tbl_Transactions[Account],'REPORTING SUMMARY'!J26,Tbl_Transactions[Type],"Income")-SUMIFS(Tbl_Transactions[Amount],Tbl_Transactions[Account],'REPORTING SUMMARY'!J26,Tbl_Transactions[Type],"Expense")+SUMIFS(Tbl_Transactions[Amount],Tbl_Transactions[Account],'REPORTING SUMMARY'!J26,Tbl_Transactions[Type],"Transfer")),"")</f>
        <v/>
      </c>
      <c r="L26" s="14"/>
      <c r="M26" s="15"/>
      <c r="N26" s="11"/>
      <c r="O26" s="25"/>
      <c r="P26" s="20"/>
      <c r="Q26" s="20"/>
      <c r="R26" s="20"/>
      <c r="S26" s="20"/>
      <c r="T26" s="20"/>
      <c r="U26" s="11"/>
      <c r="V26" s="20"/>
      <c r="W26" s="20"/>
      <c r="X26" s="20"/>
      <c r="Y26" s="20"/>
      <c r="Z26" s="20"/>
      <c r="AA26" s="20"/>
      <c r="AB26" s="180" t="str">
        <f t="shared" si="0"/>
        <v/>
      </c>
      <c r="AC26" s="181"/>
      <c r="AD26" s="82" t="str">
        <f t="shared" si="1"/>
        <v/>
      </c>
      <c r="AE26" s="82" t="str">
        <f>IF(AB26="","",IF($AB$9="",IFERROR(GETPIVOTDATA("Amount",pivot_tables!$A$4,"Category",'REPORTING SUMMARY'!$AB26),0),""))</f>
        <v/>
      </c>
      <c r="AF26" s="178" t="str">
        <f t="shared" si="3"/>
        <v/>
      </c>
      <c r="AG26" s="179"/>
      <c r="AH26" s="20"/>
      <c r="AI26" s="27"/>
      <c r="AJ26" s="72"/>
      <c r="AK26" s="25"/>
      <c r="AL26" s="20"/>
      <c r="AM26" s="20"/>
      <c r="AN26" s="20"/>
      <c r="AO26" s="20"/>
      <c r="AP26" s="20"/>
      <c r="AQ26" s="20"/>
      <c r="AR26" s="20"/>
      <c r="AS26" s="20"/>
      <c r="AT26" s="20"/>
      <c r="AU26" s="20"/>
      <c r="AV26" s="20"/>
      <c r="AW26" s="20"/>
      <c r="AX26" s="20"/>
      <c r="AY26" s="20"/>
      <c r="AZ26" s="20"/>
      <c r="BA26" s="20"/>
      <c r="BB26" s="20"/>
      <c r="BC26" s="20"/>
      <c r="BD26" s="27"/>
      <c r="BE26" s="72"/>
      <c r="BF26" s="13"/>
      <c r="BG26" s="14"/>
      <c r="BH26" s="186"/>
      <c r="BI26" s="186"/>
      <c r="BJ26" s="186"/>
      <c r="BK26" s="186"/>
      <c r="BL26" s="186"/>
      <c r="BM26" s="186"/>
      <c r="BN26" s="14"/>
      <c r="BO26" s="14"/>
      <c r="BP26" s="14"/>
      <c r="BQ26" s="14"/>
      <c r="BR26" s="14"/>
      <c r="BS26" s="14"/>
      <c r="BT26" s="14"/>
      <c r="BU26" s="15"/>
      <c r="BV26" s="5"/>
      <c r="BW26" s="5"/>
    </row>
    <row r="27" spans="1:75" ht="15" customHeight="1" thickBot="1" x14ac:dyDescent="0.35">
      <c r="A27" s="5"/>
      <c r="B27" s="13"/>
      <c r="C27" s="94" t="str">
        <f>IFERROR(IF(ISBLANK(INDEX(T_BANK_ACCTS[ACCOUNT NAME],ROW(C27)-ROW($C$9))),"",INDEX(T_BANK_ACCTS[ACCOUNT NAME],ROW(C27)-ROW($C$9))),"")</f>
        <v/>
      </c>
      <c r="D27" s="95" t="str">
        <f>IFERROR(IF(LEN(C27)=0,"",SUMIF(T_BANK_ACCTS[ACCOUNT NAME],'REPORTING SUMMARY'!C27,T_BANK_ACCTS[STARTING BALANCE])+SUMIFS(Tbl_Transactions[Amount],Tbl_Transactions[Account],'REPORTING SUMMARY'!C27,Tbl_Transactions[Type],"Income")-SUMIFS(Tbl_Transactions[Amount],Tbl_Transactions[Account],'REPORTING SUMMARY'!C27,Tbl_Transactions[Type],"Expense")+SUMIFS(Tbl_Transactions[Amount],Tbl_Transactions[Account],'REPORTING SUMMARY'!C27,Tbl_Transactions[Type],"Transfer")),"")</f>
        <v/>
      </c>
      <c r="E27" s="14"/>
      <c r="F27" s="94" t="str">
        <f>IFERROR(IF(ISBLANK(INDEX(T_CASH_ACCTS[ACCOUNT NAME],ROW(F27)-ROW($F$9))),"",INDEX(T_CASH_ACCTS[ACCOUNT NAME],ROW(F27)-ROW($F$9))),"")</f>
        <v/>
      </c>
      <c r="G27" s="95" t="str">
        <f>IFERROR(IF(LEN(F27)=0,"",SUMIF(T_CASH_ACCTS[ACCOUNT NAME],'REPORTING SUMMARY'!F27,T_CASH_ACCTS[STARTING BALANCE])
+SUMIFS(Tbl_Transactions[Amount],Tbl_Transactions[Account],'REPORTING SUMMARY'!F27,Tbl_Transactions[Type],"Income")-SUMIFS(Tbl_Transactions[Amount],Tbl_Transactions[Account],'REPORTING SUMMARY'!F27,Tbl_Transactions[Type],"Expense")+SUMIFS(Tbl_Transactions[Amount],Tbl_Transactions[Account],'REPORTING SUMMARY'!F27,Tbl_Transactions[Type],"Transfer")),"")</f>
        <v/>
      </c>
      <c r="H27" s="14"/>
      <c r="I27" s="14"/>
      <c r="J27" s="89" t="str">
        <f>IFERROR(IF(ISBLANK(INDEX(T_CREDIT_ACCTS[ACCOUNT NAME],ROW(J27)-ROW($J$9))),"",INDEX(T_CREDIT_ACCTS[ACCOUNT NAME],ROW(J27)-ROW($J$9))),"")</f>
        <v/>
      </c>
      <c r="K27" s="90" t="str">
        <f>IFERROR(IF(LEN(J27)=0,"",SUMIF(T_CREDIT_ACCTS[ACCOUNT NAME],'REPORTING SUMMARY'!J27,T_CREDIT_ACCTS[STARTING BALANCE])
+SUMIFS(Tbl_Transactions[Amount],Tbl_Transactions[Account],'REPORTING SUMMARY'!J27,Tbl_Transactions[Type],"Income")-SUMIFS(Tbl_Transactions[Amount],Tbl_Transactions[Account],'REPORTING SUMMARY'!J27,Tbl_Transactions[Type],"Expense")+SUMIFS(Tbl_Transactions[Amount],Tbl_Transactions[Account],'REPORTING SUMMARY'!J27,Tbl_Transactions[Type],"Transfer")),"")</f>
        <v/>
      </c>
      <c r="L27" s="14"/>
      <c r="M27" s="15"/>
      <c r="N27" s="11"/>
      <c r="O27" s="13"/>
      <c r="P27" s="14"/>
      <c r="Q27" s="14"/>
      <c r="R27" s="14"/>
      <c r="S27" s="14"/>
      <c r="T27" s="14"/>
      <c r="U27" s="58"/>
      <c r="V27" s="14"/>
      <c r="W27" s="14"/>
      <c r="X27" s="14"/>
      <c r="Y27" s="14"/>
      <c r="Z27" s="14"/>
      <c r="AA27" s="14"/>
      <c r="AB27" s="180" t="str">
        <f t="shared" si="0"/>
        <v/>
      </c>
      <c r="AC27" s="181"/>
      <c r="AD27" s="82" t="str">
        <f t="shared" si="1"/>
        <v/>
      </c>
      <c r="AE27" s="82" t="str">
        <f>IF(AB27="","",IF($AB$9="",IFERROR(GETPIVOTDATA("Amount",pivot_tables!$A$4,"Category",'REPORTING SUMMARY'!$AB27),0),""))</f>
        <v/>
      </c>
      <c r="AF27" s="178" t="str">
        <f t="shared" si="3"/>
        <v/>
      </c>
      <c r="AG27" s="179"/>
      <c r="AH27" s="20"/>
      <c r="AI27" s="27"/>
      <c r="AJ27" s="72"/>
      <c r="AK27" s="25"/>
      <c r="AL27" s="20"/>
      <c r="AM27" s="20"/>
      <c r="AN27" s="20"/>
      <c r="AO27" s="20"/>
      <c r="AP27" s="20"/>
      <c r="AQ27" s="20"/>
      <c r="AR27" s="20"/>
      <c r="AS27" s="20"/>
      <c r="AT27" s="20"/>
      <c r="AU27" s="20"/>
      <c r="AV27" s="20"/>
      <c r="AW27" s="20"/>
      <c r="AX27" s="20"/>
      <c r="AY27" s="20"/>
      <c r="AZ27" s="20"/>
      <c r="BA27" s="20"/>
      <c r="BB27" s="20"/>
      <c r="BC27" s="20"/>
      <c r="BD27" s="27"/>
      <c r="BE27" s="72"/>
      <c r="BF27" s="13"/>
      <c r="BG27" s="14"/>
      <c r="BH27" s="14"/>
      <c r="BI27" s="14"/>
      <c r="BJ27" s="14"/>
      <c r="BK27" s="14"/>
      <c r="BL27" s="14"/>
      <c r="BM27" s="14"/>
      <c r="BN27" s="14"/>
      <c r="BO27" s="14"/>
      <c r="BP27" s="14"/>
      <c r="BQ27" s="14"/>
      <c r="BR27" s="14"/>
      <c r="BS27" s="14"/>
      <c r="BT27" s="14"/>
      <c r="BU27" s="15"/>
      <c r="BV27" s="5"/>
      <c r="BW27" s="5"/>
    </row>
    <row r="28" spans="1:75" ht="20.25" customHeight="1" thickBot="1" x14ac:dyDescent="0.35">
      <c r="A28" s="5"/>
      <c r="B28" s="13"/>
      <c r="C28" s="94" t="str">
        <f>IFERROR(IF(ISBLANK(INDEX(T_BANK_ACCTS[ACCOUNT NAME],ROW(C28)-ROW($C$9))),"",INDEX(T_BANK_ACCTS[ACCOUNT NAME],ROW(C28)-ROW($C$9))),"")</f>
        <v/>
      </c>
      <c r="D28" s="95" t="str">
        <f>IFERROR(IF(LEN(C28)=0,"",SUMIF(T_BANK_ACCTS[ACCOUNT NAME],'REPORTING SUMMARY'!C28,T_BANK_ACCTS[STARTING BALANCE])+SUMIFS(Tbl_Transactions[Amount],Tbl_Transactions[Account],'REPORTING SUMMARY'!C28,Tbl_Transactions[Type],"Income")-SUMIFS(Tbl_Transactions[Amount],Tbl_Transactions[Account],'REPORTING SUMMARY'!C28,Tbl_Transactions[Type],"Expense")+SUMIFS(Tbl_Transactions[Amount],Tbl_Transactions[Account],'REPORTING SUMMARY'!C28,Tbl_Transactions[Type],"Transfer")),"")</f>
        <v/>
      </c>
      <c r="E28" s="14"/>
      <c r="F28" s="94" t="str">
        <f>IFERROR(IF(ISBLANK(INDEX(T_CASH_ACCTS[ACCOUNT NAME],ROW(F28)-ROW($F$9))),"",INDEX(T_CASH_ACCTS[ACCOUNT NAME],ROW(F28)-ROW($F$9))),"")</f>
        <v/>
      </c>
      <c r="G28" s="95" t="str">
        <f>IFERROR(IF(LEN(F28)=0,"",SUMIF(T_CASH_ACCTS[ACCOUNT NAME],'REPORTING SUMMARY'!F28,T_CASH_ACCTS[STARTING BALANCE])
+SUMIFS(Tbl_Transactions[Amount],Tbl_Transactions[Account],'REPORTING SUMMARY'!F28,Tbl_Transactions[Type],"Income")-SUMIFS(Tbl_Transactions[Amount],Tbl_Transactions[Account],'REPORTING SUMMARY'!F28,Tbl_Transactions[Type],"Expense")+SUMIFS(Tbl_Transactions[Amount],Tbl_Transactions[Account],'REPORTING SUMMARY'!F28,Tbl_Transactions[Type],"Transfer")),"")</f>
        <v/>
      </c>
      <c r="H28" s="14"/>
      <c r="I28" s="14"/>
      <c r="J28" s="89" t="str">
        <f>IFERROR(IF(ISBLANK(INDEX(T_CREDIT_ACCTS[ACCOUNT NAME],ROW(J28)-ROW($J$9))),"",INDEX(T_CREDIT_ACCTS[ACCOUNT NAME],ROW(J28)-ROW($J$9))),"")</f>
        <v/>
      </c>
      <c r="K28" s="90" t="str">
        <f>IFERROR(IF(LEN(J28)=0,"",SUMIF(T_CREDIT_ACCTS[ACCOUNT NAME],'REPORTING SUMMARY'!J28,T_CREDIT_ACCTS[STARTING BALANCE])
+SUMIFS(Tbl_Transactions[Amount],Tbl_Transactions[Account],'REPORTING SUMMARY'!J28,Tbl_Transactions[Type],"Income")-SUMIFS(Tbl_Transactions[Amount],Tbl_Transactions[Account],'REPORTING SUMMARY'!J28,Tbl_Transactions[Type],"Expense")+SUMIFS(Tbl_Transactions[Amount],Tbl_Transactions[Account],'REPORTING SUMMARY'!J28,Tbl_Transactions[Type],"Transfer")),"")</f>
        <v/>
      </c>
      <c r="L28" s="14"/>
      <c r="M28" s="15"/>
      <c r="N28" s="11"/>
      <c r="O28" s="13"/>
      <c r="P28" s="14"/>
      <c r="Q28" s="14"/>
      <c r="R28" s="14"/>
      <c r="S28" s="14"/>
      <c r="T28" s="14"/>
      <c r="V28" s="14"/>
      <c r="W28" s="14"/>
      <c r="X28" s="68"/>
      <c r="Y28" s="14"/>
      <c r="Z28" s="14"/>
      <c r="AA28" s="14"/>
      <c r="AB28" s="180" t="str">
        <f t="shared" si="0"/>
        <v/>
      </c>
      <c r="AC28" s="181"/>
      <c r="AD28" s="82" t="str">
        <f t="shared" si="1"/>
        <v/>
      </c>
      <c r="AE28" s="82" t="str">
        <f>IF(AB28="","",IF($AB$9="",IFERROR(GETPIVOTDATA("Amount",pivot_tables!$A$4,"Category",'REPORTING SUMMARY'!$AB28),0),""))</f>
        <v/>
      </c>
      <c r="AF28" s="178" t="str">
        <f t="shared" si="3"/>
        <v/>
      </c>
      <c r="AG28" s="179"/>
      <c r="AH28" s="20"/>
      <c r="AI28" s="27"/>
      <c r="AJ28" s="72"/>
      <c r="AK28" s="135" t="s">
        <v>35</v>
      </c>
      <c r="AL28" s="136"/>
      <c r="AM28" s="136"/>
      <c r="AN28" s="136"/>
      <c r="AO28" s="136"/>
      <c r="AP28" s="136"/>
      <c r="AQ28" s="136"/>
      <c r="AR28" s="136"/>
      <c r="AS28" s="136"/>
      <c r="AT28" s="136"/>
      <c r="AU28" s="136"/>
      <c r="AV28" s="136"/>
      <c r="AW28" s="136"/>
      <c r="AX28" s="176"/>
      <c r="AY28" s="176"/>
      <c r="AZ28" s="176"/>
      <c r="BA28" s="176"/>
      <c r="BB28" s="176"/>
      <c r="BC28" s="176"/>
      <c r="BD28" s="177"/>
      <c r="BE28" s="72"/>
      <c r="BF28" s="13"/>
      <c r="BG28" s="14"/>
      <c r="BH28" s="14"/>
      <c r="BI28" s="14"/>
      <c r="BJ28" s="14"/>
      <c r="BK28" s="14"/>
      <c r="BL28" s="14"/>
      <c r="BM28" s="14"/>
      <c r="BN28" s="14"/>
      <c r="BO28" s="14"/>
      <c r="BP28" s="14"/>
      <c r="BQ28" s="14"/>
      <c r="BR28" s="14"/>
      <c r="BS28" s="14"/>
      <c r="BT28" s="14"/>
      <c r="BU28" s="15"/>
      <c r="BV28" s="5"/>
      <c r="BW28" s="5"/>
    </row>
    <row r="29" spans="1:75" ht="15" customHeight="1" x14ac:dyDescent="0.35">
      <c r="A29" s="5"/>
      <c r="B29" s="13"/>
      <c r="C29" s="97" t="str">
        <f>IFERROR(IF(ISBLANK(INDEX(T_BANK_ACCTS[ACCOUNT NAME],ROW(C29)-ROW($C$9))),"",INDEX(T_BANK_ACCTS[ACCOUNT NAME],ROW(C29)-ROW($C$9))),"")</f>
        <v/>
      </c>
      <c r="D29" s="98" t="str">
        <f>IFERROR(IF(LEN(C29)=0,"",SUMIF(T_BANK_ACCTS[ACCOUNT NAME],'REPORTING SUMMARY'!C29,T_BANK_ACCTS[STARTING BALANCE])+SUMIFS(Tbl_Transactions[Amount],Tbl_Transactions[Account],'REPORTING SUMMARY'!C29,Tbl_Transactions[Type],"Income")-SUMIFS(Tbl_Transactions[Amount],Tbl_Transactions[Account],'REPORTING SUMMARY'!C29,Tbl_Transactions[Type],"Expense")+SUMIFS(Tbl_Transactions[Amount],Tbl_Transactions[Account],'REPORTING SUMMARY'!C29,Tbl_Transactions[Type],"Transfer")),"")</f>
        <v/>
      </c>
      <c r="E29" s="14"/>
      <c r="F29" s="97" t="str">
        <f>IFERROR(IF(ISBLANK(INDEX(T_CASH_ACCTS[ACCOUNT NAME],ROW(F29)-ROW($F$9))),"",INDEX(T_CASH_ACCTS[ACCOUNT NAME],ROW(F29)-ROW($F$9))),"")</f>
        <v/>
      </c>
      <c r="G29" s="98" t="str">
        <f>IFERROR(IF(LEN(F29)=0,"",SUMIF(T_CASH_ACCTS[ACCOUNT NAME],'REPORTING SUMMARY'!F29,T_CASH_ACCTS[STARTING BALANCE])
+SUMIFS(Tbl_Transactions[Amount],Tbl_Transactions[Account],'REPORTING SUMMARY'!F29,Tbl_Transactions[Type],"Income")-SUMIFS(Tbl_Transactions[Amount],Tbl_Transactions[Account],'REPORTING SUMMARY'!F29,Tbl_Transactions[Type],"Expense")+SUMIFS(Tbl_Transactions[Amount],Tbl_Transactions[Account],'REPORTING SUMMARY'!F29,Tbl_Transactions[Type],"Transfer")),"")</f>
        <v/>
      </c>
      <c r="H29" s="14"/>
      <c r="I29" s="14"/>
      <c r="J29" s="91" t="str">
        <f>IFERROR(IF(ISBLANK(INDEX(T_CREDIT_ACCTS[ACCOUNT NAME],ROW(J29)-ROW($J$9))),"",INDEX(T_CREDIT_ACCTS[ACCOUNT NAME],ROW(J29)-ROW($J$9))),"")</f>
        <v/>
      </c>
      <c r="K29" s="92" t="str">
        <f>IFERROR(IF(LEN(J29)=0,"",SUMIF(T_CREDIT_ACCTS[ACCOUNT NAME],'REPORTING SUMMARY'!J29,T_CREDIT_ACCTS[STARTING BALANCE])
+SUMIFS(Tbl_Transactions[Amount],Tbl_Transactions[Account],'REPORTING SUMMARY'!J29,Tbl_Transactions[Type],"Income")-SUMIFS(Tbl_Transactions[Amount],Tbl_Transactions[Account],'REPORTING SUMMARY'!J29,Tbl_Transactions[Type],"Expense")+SUMIFS(Tbl_Transactions[Amount],Tbl_Transactions[Account],'REPORTING SUMMARY'!J29,Tbl_Transactions[Type],"Transfer")),"")</f>
        <v/>
      </c>
      <c r="L29" s="14"/>
      <c r="M29" s="15"/>
      <c r="N29" s="11"/>
      <c r="O29" s="13"/>
      <c r="P29" s="18"/>
      <c r="Q29" s="18"/>
      <c r="R29" s="18"/>
      <c r="S29" s="18"/>
      <c r="T29" s="14"/>
      <c r="U29" s="14"/>
      <c r="V29" s="14"/>
      <c r="W29" s="14"/>
      <c r="X29" s="14"/>
      <c r="Y29" s="14"/>
      <c r="Z29" s="14"/>
      <c r="AA29" s="14"/>
      <c r="AB29" s="180" t="str">
        <f t="shared" si="0"/>
        <v/>
      </c>
      <c r="AC29" s="181"/>
      <c r="AD29" s="82" t="str">
        <f t="shared" si="1"/>
        <v/>
      </c>
      <c r="AE29" s="82" t="str">
        <f>IF(AB29="","",IF($AB$9="",IFERROR(GETPIVOTDATA("Amount",pivot_tables!$A$4,"Category",'REPORTING SUMMARY'!$AB29),0),""))</f>
        <v/>
      </c>
      <c r="AF29" s="178" t="str">
        <f t="shared" si="3"/>
        <v/>
      </c>
      <c r="AG29" s="179"/>
      <c r="AH29" s="11"/>
      <c r="AI29" s="27"/>
      <c r="AJ29" s="72"/>
      <c r="AK29" s="13"/>
      <c r="AL29" s="69"/>
      <c r="AM29" s="14"/>
      <c r="AN29" s="14"/>
      <c r="AO29" s="14"/>
      <c r="AP29" s="14"/>
      <c r="AQ29" s="14"/>
      <c r="AR29" s="14"/>
      <c r="AS29" s="14"/>
      <c r="AT29" s="14"/>
      <c r="AU29" s="14"/>
      <c r="AV29" s="14"/>
      <c r="AW29" s="14"/>
      <c r="AX29" s="14"/>
      <c r="AY29" s="14"/>
      <c r="AZ29" s="14"/>
      <c r="BA29" s="14"/>
      <c r="BB29" s="14"/>
      <c r="BC29" s="14"/>
      <c r="BD29" s="15"/>
      <c r="BE29" s="72"/>
      <c r="BF29" s="13"/>
      <c r="BG29" s="14"/>
      <c r="BH29" s="14"/>
      <c r="BI29" s="14"/>
      <c r="BJ29" s="14"/>
      <c r="BK29" s="14"/>
      <c r="BL29" s="14"/>
      <c r="BM29" s="14"/>
      <c r="BN29" s="14"/>
      <c r="BO29" s="14"/>
      <c r="BP29" s="14"/>
      <c r="BQ29" s="14"/>
      <c r="BR29" s="14"/>
      <c r="BS29" s="14"/>
      <c r="BT29" s="14"/>
      <c r="BU29" s="15"/>
      <c r="BV29" s="5"/>
      <c r="BW29" s="5"/>
    </row>
    <row r="30" spans="1:75" ht="15" customHeight="1" x14ac:dyDescent="0.3">
      <c r="A30" s="5"/>
      <c r="B30" s="13"/>
      <c r="C30" s="14"/>
      <c r="D30" s="14"/>
      <c r="E30" s="14"/>
      <c r="F30" s="14"/>
      <c r="G30" s="14"/>
      <c r="H30" s="14"/>
      <c r="I30" s="14"/>
      <c r="J30" s="14"/>
      <c r="K30" s="14"/>
      <c r="L30" s="14"/>
      <c r="M30" s="15"/>
      <c r="N30" s="11"/>
      <c r="O30" s="13"/>
      <c r="P30" s="14"/>
      <c r="Q30" s="14"/>
      <c r="R30" s="14"/>
      <c r="S30" s="14"/>
      <c r="T30" s="14"/>
      <c r="U30" s="14"/>
      <c r="V30" s="14"/>
      <c r="W30" s="14"/>
      <c r="X30" s="14"/>
      <c r="Y30" s="14"/>
      <c r="Z30" s="14"/>
      <c r="AA30" s="14"/>
      <c r="AB30" s="180" t="str">
        <f t="shared" si="0"/>
        <v/>
      </c>
      <c r="AC30" s="181"/>
      <c r="AD30" s="82" t="str">
        <f t="shared" si="1"/>
        <v/>
      </c>
      <c r="AE30" s="82" t="str">
        <f>IF(AB30="","",IF($AB$9="",IFERROR(GETPIVOTDATA("Amount",pivot_tables!$A$4,"Category",'REPORTING SUMMARY'!$AB30),0),""))</f>
        <v/>
      </c>
      <c r="AF30" s="178" t="str">
        <f t="shared" si="3"/>
        <v/>
      </c>
      <c r="AG30" s="179"/>
      <c r="AH30" s="20"/>
      <c r="AI30" s="27"/>
      <c r="AJ30" s="72"/>
      <c r="AK30" s="13"/>
      <c r="AL30" s="14"/>
      <c r="AM30" s="14"/>
      <c r="AN30" s="14"/>
      <c r="AO30" s="14"/>
      <c r="AP30" s="14"/>
      <c r="AQ30" s="14"/>
      <c r="AR30" s="14"/>
      <c r="AS30" s="14"/>
      <c r="AT30" s="14"/>
      <c r="AU30" s="14"/>
      <c r="AV30" s="14"/>
      <c r="AW30" s="14"/>
      <c r="AX30" s="14"/>
      <c r="AY30" s="14"/>
      <c r="AZ30" s="14"/>
      <c r="BA30" s="14"/>
      <c r="BB30" s="14"/>
      <c r="BC30" s="14"/>
      <c r="BD30" s="15"/>
      <c r="BE30" s="72"/>
      <c r="BF30" s="13"/>
      <c r="BG30" s="14"/>
      <c r="BH30" s="14"/>
      <c r="BI30" s="14"/>
      <c r="BJ30" s="14"/>
      <c r="BK30" s="14"/>
      <c r="BL30" s="14"/>
      <c r="BM30" s="14"/>
      <c r="BN30" s="14"/>
      <c r="BO30" s="14"/>
      <c r="BP30" s="14"/>
      <c r="BQ30" s="14"/>
      <c r="BR30" s="14"/>
      <c r="BS30" s="14"/>
      <c r="BT30" s="14"/>
      <c r="BU30" s="15"/>
      <c r="BV30" s="5"/>
      <c r="BW30" s="5"/>
    </row>
    <row r="31" spans="1:75" ht="18.75" customHeight="1" x14ac:dyDescent="0.3">
      <c r="A31" s="5"/>
      <c r="B31" s="25"/>
      <c r="C31" s="5"/>
      <c r="D31" s="184" t="s">
        <v>63</v>
      </c>
      <c r="E31" s="185"/>
      <c r="F31" s="187" t="s">
        <v>81</v>
      </c>
      <c r="G31" s="188"/>
      <c r="H31" s="128" t="s">
        <v>61</v>
      </c>
      <c r="I31" s="5"/>
      <c r="J31" s="5"/>
      <c r="K31" s="5"/>
      <c r="L31" s="5"/>
      <c r="M31" s="27"/>
      <c r="N31" s="11"/>
      <c r="O31" s="13"/>
      <c r="P31" s="14"/>
      <c r="Q31" s="14"/>
      <c r="R31" s="14"/>
      <c r="S31" s="14"/>
      <c r="T31" s="14"/>
      <c r="U31" s="14"/>
      <c r="V31" s="14"/>
      <c r="W31" s="14"/>
      <c r="X31" s="14"/>
      <c r="Y31" s="14"/>
      <c r="Z31" s="14"/>
      <c r="AA31" s="14"/>
      <c r="AB31" s="180" t="str">
        <f t="shared" si="0"/>
        <v/>
      </c>
      <c r="AC31" s="181"/>
      <c r="AD31" s="82" t="str">
        <f t="shared" si="1"/>
        <v/>
      </c>
      <c r="AE31" s="82" t="str">
        <f>IF(AB31="","",IF($AB$9="",IFERROR(GETPIVOTDATA("Amount",pivot_tables!$A$4,"Category",'REPORTING SUMMARY'!$AB31),0),""))</f>
        <v/>
      </c>
      <c r="AF31" s="178" t="str">
        <f t="shared" si="3"/>
        <v/>
      </c>
      <c r="AG31" s="179"/>
      <c r="AH31" s="20"/>
      <c r="AI31" s="27"/>
      <c r="AJ31" s="72"/>
      <c r="AK31" s="13"/>
      <c r="AL31" s="14"/>
      <c r="AM31" s="14"/>
      <c r="AN31" s="14"/>
      <c r="AO31" s="14"/>
      <c r="AP31" s="14"/>
      <c r="AQ31" s="14"/>
      <c r="AR31" s="14"/>
      <c r="AS31" s="14"/>
      <c r="AT31" s="14"/>
      <c r="AU31" s="14"/>
      <c r="AV31" s="14"/>
      <c r="AW31" s="14"/>
      <c r="AX31" s="14"/>
      <c r="AY31" s="14"/>
      <c r="AZ31" s="14"/>
      <c r="BA31" s="14"/>
      <c r="BB31" s="14"/>
      <c r="BC31" s="14"/>
      <c r="BD31" s="15"/>
      <c r="BE31" s="72"/>
      <c r="BF31" s="13"/>
      <c r="BG31" s="14"/>
      <c r="BH31" s="14"/>
      <c r="BI31" s="14"/>
      <c r="BJ31" s="14"/>
      <c r="BK31" s="14"/>
      <c r="BL31" s="14"/>
      <c r="BM31" s="14"/>
      <c r="BN31" s="14"/>
      <c r="BO31" s="14"/>
      <c r="BP31" s="14"/>
      <c r="BQ31" s="14"/>
      <c r="BR31" s="14"/>
      <c r="BS31" s="14"/>
      <c r="BT31" s="14"/>
      <c r="BU31" s="15"/>
      <c r="BV31" s="5"/>
      <c r="BW31" s="5"/>
    </row>
    <row r="32" spans="1:75" ht="18" x14ac:dyDescent="0.3">
      <c r="A32" s="5"/>
      <c r="B32" s="25"/>
      <c r="C32" s="5"/>
      <c r="D32" s="184"/>
      <c r="E32" s="185"/>
      <c r="F32" s="189"/>
      <c r="G32" s="190"/>
      <c r="H32" s="129" t="str">
        <f>IFERROR(INDEX(Monthly_Summary_Table!$X$4:$X$93,MATCH(F31,Monthly_Summary_Table!$W$4:$W$93,0)),"ERROR")</f>
        <v>BANK</v>
      </c>
      <c r="I32" s="5"/>
      <c r="J32" s="5"/>
      <c r="K32" s="5"/>
      <c r="L32" s="5"/>
      <c r="M32" s="27"/>
      <c r="N32" s="11"/>
      <c r="O32" s="13"/>
      <c r="P32" s="14"/>
      <c r="Q32" s="14"/>
      <c r="R32" s="14"/>
      <c r="S32" s="14"/>
      <c r="T32" s="14"/>
      <c r="U32" s="14"/>
      <c r="V32" s="18"/>
      <c r="W32" s="14"/>
      <c r="X32" s="14"/>
      <c r="Y32" s="14"/>
      <c r="Z32" s="14"/>
      <c r="AA32" s="14"/>
      <c r="AB32" s="180" t="str">
        <f t="shared" si="0"/>
        <v/>
      </c>
      <c r="AC32" s="181"/>
      <c r="AD32" s="82" t="str">
        <f t="shared" si="1"/>
        <v/>
      </c>
      <c r="AE32" s="82" t="str">
        <f>IF(AB32="","",IF($AB$9="",IFERROR(GETPIVOTDATA("Amount",pivot_tables!$A$4,"Category",'REPORTING SUMMARY'!$AB32),0),""))</f>
        <v/>
      </c>
      <c r="AF32" s="178" t="str">
        <f t="shared" si="3"/>
        <v/>
      </c>
      <c r="AG32" s="179"/>
      <c r="AH32" s="20"/>
      <c r="AI32" s="27"/>
      <c r="AJ32" s="72"/>
      <c r="AK32" s="13"/>
      <c r="AL32" s="14"/>
      <c r="AM32" s="14"/>
      <c r="AN32" s="14"/>
      <c r="AO32" s="14"/>
      <c r="AP32" s="14"/>
      <c r="AQ32" s="14"/>
      <c r="AR32" s="14"/>
      <c r="AS32" s="14"/>
      <c r="AT32" s="14"/>
      <c r="AU32" s="14"/>
      <c r="AV32" s="14"/>
      <c r="AW32" s="14"/>
      <c r="AX32" s="14"/>
      <c r="AY32" s="14"/>
      <c r="AZ32" s="14"/>
      <c r="BA32" s="14"/>
      <c r="BB32" s="14"/>
      <c r="BC32" s="14"/>
      <c r="BD32" s="15"/>
      <c r="BE32" s="72"/>
      <c r="BF32" s="13"/>
      <c r="BG32" s="14"/>
      <c r="BH32" s="14"/>
      <c r="BI32" s="14"/>
      <c r="BJ32" s="14"/>
      <c r="BK32" s="14"/>
      <c r="BL32" s="14"/>
      <c r="BM32" s="14"/>
      <c r="BN32" s="14"/>
      <c r="BO32" s="14"/>
      <c r="BP32" s="14"/>
      <c r="BQ32" s="14"/>
      <c r="BR32" s="14"/>
      <c r="BS32" s="14"/>
      <c r="BT32" s="14"/>
      <c r="BU32" s="15"/>
      <c r="BV32" s="5"/>
      <c r="BW32" s="5"/>
    </row>
    <row r="33" spans="1:75" ht="20.399999999999999" x14ac:dyDescent="0.35">
      <c r="A33" s="5"/>
      <c r="B33" s="25"/>
      <c r="C33" s="5"/>
      <c r="D33" s="5"/>
      <c r="E33" s="5"/>
      <c r="F33" s="117"/>
      <c r="G33" s="130"/>
      <c r="H33" s="117"/>
      <c r="I33" s="5"/>
      <c r="J33" s="130" t="s">
        <v>74</v>
      </c>
      <c r="K33" s="5"/>
      <c r="L33" s="5"/>
      <c r="M33" s="27"/>
      <c r="N33" s="11"/>
      <c r="O33" s="13"/>
      <c r="P33" s="14"/>
      <c r="Q33" s="18"/>
      <c r="R33" s="70"/>
      <c r="S33" s="70"/>
      <c r="T33" s="70"/>
      <c r="U33" s="14"/>
      <c r="V33" s="14"/>
      <c r="W33" s="14"/>
      <c r="X33" s="14"/>
      <c r="Y33" s="14"/>
      <c r="Z33" s="14"/>
      <c r="AA33" s="14"/>
      <c r="AB33" s="180" t="str">
        <f t="shared" si="0"/>
        <v/>
      </c>
      <c r="AC33" s="181"/>
      <c r="AD33" s="82" t="str">
        <f t="shared" si="1"/>
        <v/>
      </c>
      <c r="AE33" s="82" t="str">
        <f>IF(AB33="","",IF($AB$9="",IFERROR(GETPIVOTDATA("Amount",pivot_tables!$A$4,"Category",'REPORTING SUMMARY'!$AB33),0),""))</f>
        <v/>
      </c>
      <c r="AF33" s="178" t="str">
        <f t="shared" si="3"/>
        <v/>
      </c>
      <c r="AG33" s="179"/>
      <c r="AH33" s="20"/>
      <c r="AI33" s="27"/>
      <c r="AJ33" s="72"/>
      <c r="AK33" s="13"/>
      <c r="AL33" s="14"/>
      <c r="AM33" s="14"/>
      <c r="AN33" s="14"/>
      <c r="AO33" s="14"/>
      <c r="AP33" s="14"/>
      <c r="AQ33" s="14"/>
      <c r="AR33" s="14"/>
      <c r="AS33" s="14"/>
      <c r="AT33" s="14"/>
      <c r="AU33" s="14"/>
      <c r="AV33" s="14"/>
      <c r="AW33" s="14"/>
      <c r="AX33" s="14"/>
      <c r="AY33" s="14"/>
      <c r="AZ33" s="14"/>
      <c r="BA33" s="14"/>
      <c r="BB33" s="14"/>
      <c r="BC33" s="14"/>
      <c r="BD33" s="15"/>
      <c r="BE33" s="72"/>
      <c r="BF33" s="13"/>
      <c r="BG33" s="14"/>
      <c r="BH33" s="14"/>
      <c r="BI33" s="14"/>
      <c r="BJ33" s="14"/>
      <c r="BK33" s="14"/>
      <c r="BL33" s="14"/>
      <c r="BM33" s="14"/>
      <c r="BN33" s="14"/>
      <c r="BO33" s="14"/>
      <c r="BP33" s="14"/>
      <c r="BQ33" s="14"/>
      <c r="BR33" s="14"/>
      <c r="BS33" s="14"/>
      <c r="BT33" s="14"/>
      <c r="BU33" s="15"/>
      <c r="BV33" s="5"/>
      <c r="BW33" s="5"/>
    </row>
    <row r="34" spans="1:75" ht="15" customHeight="1" x14ac:dyDescent="0.3">
      <c r="A34" s="5"/>
      <c r="B34" s="25"/>
      <c r="C34" s="131" t="s">
        <v>75</v>
      </c>
      <c r="D34" s="5"/>
      <c r="E34" s="5"/>
      <c r="F34" s="5"/>
      <c r="G34" s="117"/>
      <c r="H34" s="117"/>
      <c r="I34" s="5"/>
      <c r="J34" s="5"/>
      <c r="K34" s="5"/>
      <c r="L34" s="5"/>
      <c r="M34" s="27"/>
      <c r="N34" s="11"/>
      <c r="O34" s="13"/>
      <c r="P34" s="14"/>
      <c r="Q34" s="14"/>
      <c r="R34" s="14"/>
      <c r="S34" s="14"/>
      <c r="T34" s="14"/>
      <c r="U34" s="14"/>
      <c r="V34" s="14"/>
      <c r="W34" s="14"/>
      <c r="X34" s="14"/>
      <c r="Y34" s="14"/>
      <c r="Z34" s="14"/>
      <c r="AA34" s="14"/>
      <c r="AB34" s="180" t="str">
        <f t="shared" si="0"/>
        <v/>
      </c>
      <c r="AC34" s="181"/>
      <c r="AD34" s="82" t="str">
        <f t="shared" si="1"/>
        <v/>
      </c>
      <c r="AE34" s="82" t="str">
        <f>IF(AB34="","",IF($AB$9="",IFERROR(GETPIVOTDATA("Amount",pivot_tables!$A$4,"Category",'REPORTING SUMMARY'!$AB34),0),""))</f>
        <v/>
      </c>
      <c r="AF34" s="178" t="str">
        <f t="shared" si="3"/>
        <v/>
      </c>
      <c r="AG34" s="179"/>
      <c r="AH34" s="20"/>
      <c r="AI34" s="27"/>
      <c r="AJ34" s="72"/>
      <c r="AK34" s="13"/>
      <c r="AL34" s="14"/>
      <c r="AM34" s="14"/>
      <c r="AN34" s="14"/>
      <c r="AO34" s="14"/>
      <c r="AP34" s="14"/>
      <c r="AQ34" s="14"/>
      <c r="AR34" s="14"/>
      <c r="AS34" s="14"/>
      <c r="AT34" s="14"/>
      <c r="AU34" s="14"/>
      <c r="AV34" s="14"/>
      <c r="AW34" s="14"/>
      <c r="AX34" s="14"/>
      <c r="AY34" s="14"/>
      <c r="AZ34" s="14"/>
      <c r="BA34" s="14"/>
      <c r="BB34" s="14"/>
      <c r="BC34" s="14"/>
      <c r="BD34" s="15"/>
      <c r="BE34" s="72"/>
      <c r="BF34" s="13"/>
      <c r="BG34" s="14"/>
      <c r="BH34" s="14"/>
      <c r="BI34" s="14"/>
      <c r="BJ34" s="14"/>
      <c r="BK34" s="14"/>
      <c r="BL34" s="14"/>
      <c r="BM34" s="14"/>
      <c r="BN34" s="14"/>
      <c r="BO34" s="14"/>
      <c r="BP34" s="14"/>
      <c r="BQ34" s="14"/>
      <c r="BR34" s="14"/>
      <c r="BS34" s="14"/>
      <c r="BT34" s="14"/>
      <c r="BU34" s="15"/>
      <c r="BV34" s="5"/>
      <c r="BW34" s="5"/>
    </row>
    <row r="35" spans="1:75" ht="15" customHeight="1" x14ac:dyDescent="0.35">
      <c r="A35" s="5"/>
      <c r="B35" s="25"/>
      <c r="C35" s="5"/>
      <c r="D35" s="132"/>
      <c r="E35" s="118"/>
      <c r="F35" s="117"/>
      <c r="G35" s="117"/>
      <c r="H35" s="117"/>
      <c r="I35" s="5"/>
      <c r="J35" s="5"/>
      <c r="K35" s="5"/>
      <c r="L35" s="5"/>
      <c r="M35" s="27"/>
      <c r="N35" s="11"/>
      <c r="O35" s="13"/>
      <c r="P35" s="14"/>
      <c r="Q35" s="14"/>
      <c r="R35" s="14"/>
      <c r="S35" s="14"/>
      <c r="T35" s="14"/>
      <c r="U35" s="14"/>
      <c r="V35" s="14"/>
      <c r="W35" s="14"/>
      <c r="X35" s="14"/>
      <c r="Y35" s="14"/>
      <c r="Z35" s="14"/>
      <c r="AA35" s="14"/>
      <c r="AB35" s="180" t="str">
        <f t="shared" si="0"/>
        <v/>
      </c>
      <c r="AC35" s="181"/>
      <c r="AD35" s="82" t="str">
        <f t="shared" si="1"/>
        <v/>
      </c>
      <c r="AE35" s="82" t="str">
        <f>IF(AB35="","",IF($AB$9="",IFERROR(GETPIVOTDATA("Amount",pivot_tables!$A$4,"Category",'REPORTING SUMMARY'!$AB35),0),""))</f>
        <v/>
      </c>
      <c r="AF35" s="178" t="str">
        <f t="shared" si="3"/>
        <v/>
      </c>
      <c r="AG35" s="179"/>
      <c r="AH35" s="20"/>
      <c r="AI35" s="27"/>
      <c r="AJ35" s="72"/>
      <c r="AK35" s="13"/>
      <c r="AL35" s="14"/>
      <c r="AM35" s="14"/>
      <c r="AN35" s="14"/>
      <c r="AO35" s="14"/>
      <c r="AP35" s="14"/>
      <c r="AQ35" s="14"/>
      <c r="AR35" s="14"/>
      <c r="AS35" s="14"/>
      <c r="AT35" s="14"/>
      <c r="AU35" s="14"/>
      <c r="AV35" s="14"/>
      <c r="AW35" s="14"/>
      <c r="AX35" s="14"/>
      <c r="AY35" s="14"/>
      <c r="AZ35" s="14"/>
      <c r="BA35" s="14"/>
      <c r="BB35" s="14"/>
      <c r="BC35" s="14"/>
      <c r="BD35" s="15"/>
      <c r="BE35" s="72"/>
      <c r="BF35" s="13"/>
      <c r="BG35" s="14"/>
      <c r="BH35" s="14"/>
      <c r="BI35" s="14"/>
      <c r="BJ35" s="14"/>
      <c r="BK35" s="14"/>
      <c r="BL35" s="14"/>
      <c r="BM35" s="14"/>
      <c r="BN35" s="14"/>
      <c r="BO35" s="14"/>
      <c r="BP35" s="14"/>
      <c r="BQ35" s="14"/>
      <c r="BR35" s="14"/>
      <c r="BS35" s="14"/>
      <c r="BT35" s="14"/>
      <c r="BU35" s="15"/>
      <c r="BV35" s="5"/>
      <c r="BW35" s="5"/>
    </row>
    <row r="36" spans="1:75" ht="15" customHeight="1" x14ac:dyDescent="0.35">
      <c r="A36" s="5"/>
      <c r="B36" s="25"/>
      <c r="C36" s="118" t="s">
        <v>40</v>
      </c>
      <c r="D36" s="118" t="s">
        <v>39</v>
      </c>
      <c r="E36" s="119"/>
      <c r="F36" s="120"/>
      <c r="G36" s="117"/>
      <c r="H36" s="117"/>
      <c r="I36" s="5"/>
      <c r="J36" s="5"/>
      <c r="K36" s="5"/>
      <c r="L36" s="5"/>
      <c r="M36" s="27"/>
      <c r="N36" s="11"/>
      <c r="O36" s="13"/>
      <c r="P36" s="14"/>
      <c r="Q36" s="14"/>
      <c r="R36" s="14"/>
      <c r="S36" s="14"/>
      <c r="T36" s="14"/>
      <c r="U36" s="14"/>
      <c r="V36" s="14"/>
      <c r="W36" s="14"/>
      <c r="X36" s="14"/>
      <c r="Y36" s="14"/>
      <c r="Z36" s="14"/>
      <c r="AA36" s="14"/>
      <c r="AB36" s="180" t="str">
        <f t="shared" si="0"/>
        <v/>
      </c>
      <c r="AC36" s="181"/>
      <c r="AD36" s="82" t="str">
        <f t="shared" si="1"/>
        <v/>
      </c>
      <c r="AE36" s="82" t="str">
        <f>IF(AB36="","",IF($AB$9="",IFERROR(GETPIVOTDATA("Amount",pivot_tables!$A$4,"Category",'REPORTING SUMMARY'!$AB36),0),""))</f>
        <v/>
      </c>
      <c r="AF36" s="178" t="str">
        <f t="shared" si="3"/>
        <v/>
      </c>
      <c r="AG36" s="179"/>
      <c r="AH36" s="20"/>
      <c r="AI36" s="27"/>
      <c r="AJ36" s="72"/>
      <c r="AK36" s="13"/>
      <c r="AL36" s="14"/>
      <c r="AM36" s="14"/>
      <c r="AN36" s="14"/>
      <c r="AO36" s="14"/>
      <c r="AP36" s="14"/>
      <c r="AQ36" s="14"/>
      <c r="AR36" s="14"/>
      <c r="AS36" s="14"/>
      <c r="AT36" s="14"/>
      <c r="AU36" s="14"/>
      <c r="AV36" s="14"/>
      <c r="AW36" s="14"/>
      <c r="AX36" s="14"/>
      <c r="AY36" s="14"/>
      <c r="AZ36" s="14"/>
      <c r="BA36" s="14"/>
      <c r="BB36" s="14"/>
      <c r="BC36" s="14"/>
      <c r="BD36" s="15"/>
      <c r="BE36" s="72"/>
      <c r="BF36" s="13"/>
      <c r="BG36" s="14"/>
      <c r="BH36" s="14"/>
      <c r="BI36" s="14"/>
      <c r="BJ36" s="14"/>
      <c r="BK36" s="14"/>
      <c r="BL36" s="14"/>
      <c r="BM36" s="14"/>
      <c r="BN36" s="14"/>
      <c r="BO36" s="14"/>
      <c r="BP36" s="14"/>
      <c r="BQ36" s="14"/>
      <c r="BR36" s="14"/>
      <c r="BS36" s="14"/>
      <c r="BT36" s="14"/>
      <c r="BU36" s="15"/>
      <c r="BV36" s="5"/>
      <c r="BW36" s="5"/>
    </row>
    <row r="37" spans="1:75" ht="15" customHeight="1" x14ac:dyDescent="0.3">
      <c r="A37" s="5"/>
      <c r="B37" s="25"/>
      <c r="C37" s="138"/>
      <c r="D37" s="138"/>
      <c r="E37" s="117"/>
      <c r="F37" s="117"/>
      <c r="G37" s="117"/>
      <c r="H37" s="117"/>
      <c r="I37" s="5"/>
      <c r="J37" s="5"/>
      <c r="K37" s="5"/>
      <c r="L37" s="5"/>
      <c r="M37" s="27"/>
      <c r="N37" s="11"/>
      <c r="O37" s="13"/>
      <c r="P37" s="14"/>
      <c r="Q37" s="14"/>
      <c r="R37" s="14"/>
      <c r="S37" s="14"/>
      <c r="T37" s="14"/>
      <c r="U37" s="14"/>
      <c r="V37" s="14"/>
      <c r="W37" s="14"/>
      <c r="X37" s="14"/>
      <c r="Y37" s="14"/>
      <c r="Z37" s="14"/>
      <c r="AA37" s="14"/>
      <c r="AB37" s="180" t="str">
        <f t="shared" si="0"/>
        <v/>
      </c>
      <c r="AC37" s="181"/>
      <c r="AD37" s="82" t="str">
        <f t="shared" si="1"/>
        <v/>
      </c>
      <c r="AE37" s="82" t="str">
        <f>IF(AB37="","",IF($AB$9="",IFERROR(GETPIVOTDATA("Amount",pivot_tables!$A$4,"Category",'REPORTING SUMMARY'!$AB37),0),""))</f>
        <v/>
      </c>
      <c r="AF37" s="178" t="str">
        <f t="shared" si="3"/>
        <v/>
      </c>
      <c r="AG37" s="179"/>
      <c r="AH37" s="20"/>
      <c r="AI37" s="27"/>
      <c r="AJ37" s="72"/>
      <c r="AK37" s="13"/>
      <c r="AL37" s="14"/>
      <c r="AM37" s="14"/>
      <c r="AN37" s="14"/>
      <c r="AO37" s="14"/>
      <c r="AP37" s="14"/>
      <c r="AQ37" s="14"/>
      <c r="AR37" s="14"/>
      <c r="AS37" s="14"/>
      <c r="AT37" s="14"/>
      <c r="AU37" s="14"/>
      <c r="AV37" s="14"/>
      <c r="AW37" s="14"/>
      <c r="AX37" s="14"/>
      <c r="AY37" s="14"/>
      <c r="AZ37" s="14"/>
      <c r="BA37" s="14"/>
      <c r="BB37" s="14"/>
      <c r="BC37" s="14"/>
      <c r="BD37" s="15"/>
      <c r="BE37" s="72"/>
      <c r="BF37" s="13"/>
      <c r="BG37" s="14"/>
      <c r="BH37" s="14"/>
      <c r="BI37" s="14"/>
      <c r="BJ37" s="14"/>
      <c r="BK37" s="14"/>
      <c r="BL37" s="14"/>
      <c r="BM37" s="14"/>
      <c r="BN37" s="14"/>
      <c r="BO37" s="14"/>
      <c r="BP37" s="14"/>
      <c r="BQ37" s="14"/>
      <c r="BR37" s="14"/>
      <c r="BS37" s="14"/>
      <c r="BT37" s="14"/>
      <c r="BU37" s="15"/>
      <c r="BV37" s="5"/>
      <c r="BW37" s="5"/>
    </row>
    <row r="38" spans="1:75" ht="15" customHeight="1" x14ac:dyDescent="0.3">
      <c r="A38" s="5"/>
      <c r="B38" s="25"/>
      <c r="C38" s="121" t="str">
        <f>IF(OR(C37=0,D37=0),"Please enter both Begin and End dates",IF(D37&lt;C37,"End Date is earlier than Start Date. Please correct.",""))</f>
        <v>Please enter both Begin and End dates</v>
      </c>
      <c r="D38" s="5"/>
      <c r="E38" s="117"/>
      <c r="F38" s="117"/>
      <c r="G38" s="117"/>
      <c r="H38" s="117"/>
      <c r="I38" s="5"/>
      <c r="J38" s="5"/>
      <c r="K38" s="5"/>
      <c r="L38" s="5"/>
      <c r="M38" s="27"/>
      <c r="N38" s="11"/>
      <c r="O38" s="13"/>
      <c r="P38" s="14"/>
      <c r="Q38" s="14"/>
      <c r="R38" s="14"/>
      <c r="S38" s="14"/>
      <c r="T38" s="14"/>
      <c r="U38" s="14"/>
      <c r="V38" s="14"/>
      <c r="W38" s="14"/>
      <c r="X38" s="14"/>
      <c r="Y38" s="14"/>
      <c r="Z38" s="14"/>
      <c r="AA38" s="14"/>
      <c r="AB38" s="180" t="str">
        <f t="shared" si="0"/>
        <v/>
      </c>
      <c r="AC38" s="181"/>
      <c r="AD38" s="82" t="str">
        <f t="shared" si="1"/>
        <v/>
      </c>
      <c r="AE38" s="82" t="str">
        <f>IF(AB38="","",IF($AB$9="",IFERROR(GETPIVOTDATA("Amount",pivot_tables!$A$4,"Category",'REPORTING SUMMARY'!$AB38),0),""))</f>
        <v/>
      </c>
      <c r="AF38" s="178" t="str">
        <f t="shared" si="3"/>
        <v/>
      </c>
      <c r="AG38" s="179"/>
      <c r="AH38" s="20"/>
      <c r="AI38" s="27"/>
      <c r="AJ38" s="72"/>
      <c r="AK38" s="13"/>
      <c r="AL38" s="14"/>
      <c r="AM38" s="14"/>
      <c r="AN38" s="14"/>
      <c r="AO38" s="14"/>
      <c r="AP38" s="14"/>
      <c r="AQ38" s="14"/>
      <c r="AR38" s="14"/>
      <c r="AS38" s="14"/>
      <c r="AT38" s="14"/>
      <c r="AU38" s="14"/>
      <c r="AV38" s="14"/>
      <c r="AW38" s="14"/>
      <c r="AX38" s="14"/>
      <c r="AY38" s="14"/>
      <c r="AZ38" s="14"/>
      <c r="BA38" s="14"/>
      <c r="BB38" s="14"/>
      <c r="BC38" s="14"/>
      <c r="BD38" s="15"/>
      <c r="BE38" s="72"/>
      <c r="BF38" s="13"/>
      <c r="BG38" s="14"/>
      <c r="BH38" s="14"/>
      <c r="BI38" s="14"/>
      <c r="BJ38" s="14"/>
      <c r="BK38" s="14"/>
      <c r="BL38" s="14"/>
      <c r="BM38" s="14"/>
      <c r="BN38" s="14"/>
      <c r="BO38" s="14"/>
      <c r="BP38" s="14"/>
      <c r="BQ38" s="14"/>
      <c r="BR38" s="14"/>
      <c r="BS38" s="14"/>
      <c r="BT38" s="14"/>
      <c r="BU38" s="15"/>
      <c r="BV38" s="5"/>
      <c r="BW38" s="5"/>
    </row>
    <row r="39" spans="1:75" ht="15" customHeight="1" x14ac:dyDescent="0.3">
      <c r="A39" s="5"/>
      <c r="B39" s="25"/>
      <c r="C39" s="5"/>
      <c r="D39" s="117"/>
      <c r="E39" s="117"/>
      <c r="F39" s="117"/>
      <c r="G39" s="117"/>
      <c r="H39" s="117"/>
      <c r="I39" s="5"/>
      <c r="J39" s="5"/>
      <c r="K39" s="5"/>
      <c r="L39" s="5"/>
      <c r="M39" s="27"/>
      <c r="N39" s="11"/>
      <c r="O39" s="13"/>
      <c r="P39" s="14"/>
      <c r="Q39" s="14"/>
      <c r="R39" s="14"/>
      <c r="S39" s="14"/>
      <c r="T39" s="14"/>
      <c r="U39" s="14"/>
      <c r="V39" s="14"/>
      <c r="W39" s="14"/>
      <c r="X39" s="14"/>
      <c r="Y39" s="14"/>
      <c r="Z39" s="14"/>
      <c r="AA39" s="14"/>
      <c r="AB39" s="180" t="str">
        <f t="shared" si="0"/>
        <v/>
      </c>
      <c r="AC39" s="181"/>
      <c r="AD39" s="82" t="str">
        <f t="shared" si="1"/>
        <v/>
      </c>
      <c r="AE39" s="82" t="str">
        <f>IF(AB39="","",IF($AB$9="",IFERROR(GETPIVOTDATA("Amount",pivot_tables!$A$4,"Category",'REPORTING SUMMARY'!$AB39),0),""))</f>
        <v/>
      </c>
      <c r="AF39" s="178" t="str">
        <f t="shared" si="3"/>
        <v/>
      </c>
      <c r="AG39" s="179"/>
      <c r="AH39" s="20"/>
      <c r="AI39" s="27"/>
      <c r="AJ39" s="72"/>
      <c r="AK39" s="13"/>
      <c r="AL39" s="14"/>
      <c r="AM39" s="14"/>
      <c r="AN39" s="14"/>
      <c r="AO39" s="14"/>
      <c r="AP39" s="14"/>
      <c r="AQ39" s="14"/>
      <c r="AR39" s="14"/>
      <c r="AS39" s="14"/>
      <c r="AT39" s="14"/>
      <c r="AU39" s="14"/>
      <c r="AV39" s="14"/>
      <c r="AW39" s="14"/>
      <c r="AX39" s="14"/>
      <c r="AY39" s="14"/>
      <c r="AZ39" s="14"/>
      <c r="BA39" s="14"/>
      <c r="BB39" s="14"/>
      <c r="BC39" s="14"/>
      <c r="BD39" s="15"/>
      <c r="BE39" s="72"/>
      <c r="BF39" s="13"/>
      <c r="BG39" s="14"/>
      <c r="BH39" s="14"/>
      <c r="BI39" s="14"/>
      <c r="BJ39" s="14"/>
      <c r="BK39" s="14"/>
      <c r="BL39" s="14"/>
      <c r="BM39" s="14"/>
      <c r="BN39" s="14"/>
      <c r="BO39" s="14"/>
      <c r="BP39" s="14"/>
      <c r="BQ39" s="14"/>
      <c r="BR39" s="14"/>
      <c r="BS39" s="14"/>
      <c r="BT39" s="14"/>
      <c r="BU39" s="15"/>
      <c r="BV39" s="5"/>
      <c r="BW39" s="5"/>
    </row>
    <row r="40" spans="1:75" ht="15" customHeight="1" x14ac:dyDescent="0.3">
      <c r="A40" s="5"/>
      <c r="B40" s="25"/>
      <c r="C40" s="191" t="s">
        <v>37</v>
      </c>
      <c r="D40" s="183">
        <f>IFERROR(SUMIFS(Tbl_Transactions[Amount],Tbl_Transactions[Account],$F$31,Tbl_Transactions[Date],"&lt;"&amp;$C$37,Tbl_Transactions[Type],"Transfer")-SUMIFS(Tbl_Transactions[Amount],Tbl_Transactions[Account],'REPORTING SUMMARY'!$F$31,Tbl_Transactions[Date],"&lt;"&amp;$C$37,Tbl_Transactions[Type],"Expense")+SUMIFS(Tbl_Transactions[Amount],Tbl_Transactions[Account],'REPORTING SUMMARY'!$F$31,Tbl_Transactions[Date],"&lt;"&amp;$C$37,Tbl_Transactions[Type],"Income")+
IF($H$32="BANK",SUMIF(T_BANK_ACCTS[ACCOUNT NAME],$F$31,T_BANK_ACCTS[STARTING BALANCE]),IF($H$32="CREDIT",SUMIF(T_CREDIT_ACCTS[ACCOUNT NAME],$F$31,T_CREDIT_ACCTS[STARTING BALANCE]),IF($H$32="CASH",SUMIF(T_CASH_ACCTS[ACCOUNT NAME],$F$31,T_CASH_ACCTS[STARTING BALANCE])))),"")</f>
        <v>17500</v>
      </c>
      <c r="E40" s="117"/>
      <c r="F40" s="117"/>
      <c r="G40" s="117"/>
      <c r="H40" s="117"/>
      <c r="I40" s="5"/>
      <c r="J40" s="5"/>
      <c r="K40" s="5"/>
      <c r="L40" s="5"/>
      <c r="M40" s="27"/>
      <c r="N40" s="11"/>
      <c r="O40" s="13"/>
      <c r="P40" s="14"/>
      <c r="Q40" s="14"/>
      <c r="R40" s="14"/>
      <c r="S40" s="14"/>
      <c r="T40" s="14"/>
      <c r="U40" s="14"/>
      <c r="V40" s="14"/>
      <c r="W40" s="14"/>
      <c r="X40" s="14"/>
      <c r="Y40" s="14"/>
      <c r="Z40" s="14"/>
      <c r="AA40" s="14"/>
      <c r="AB40" s="180" t="str">
        <f t="shared" si="0"/>
        <v/>
      </c>
      <c r="AC40" s="181"/>
      <c r="AD40" s="82" t="str">
        <f t="shared" si="1"/>
        <v/>
      </c>
      <c r="AE40" s="82" t="str">
        <f>IF(AB40="","",IF($AB$9="",IFERROR(GETPIVOTDATA("Amount",pivot_tables!$A$4,"Category",'REPORTING SUMMARY'!$AB40),0),""))</f>
        <v/>
      </c>
      <c r="AF40" s="178" t="str">
        <f t="shared" si="3"/>
        <v/>
      </c>
      <c r="AG40" s="179"/>
      <c r="AH40" s="20"/>
      <c r="AI40" s="27"/>
      <c r="AJ40" s="72"/>
      <c r="AK40" s="13"/>
      <c r="AL40" s="14"/>
      <c r="AM40" s="14"/>
      <c r="AN40" s="14"/>
      <c r="AO40" s="14"/>
      <c r="AP40" s="14"/>
      <c r="AQ40" s="14"/>
      <c r="AR40" s="14"/>
      <c r="AS40" s="14"/>
      <c r="AT40" s="14"/>
      <c r="AU40" s="14"/>
      <c r="AV40" s="14"/>
      <c r="AW40" s="14"/>
      <c r="AX40" s="14"/>
      <c r="AY40" s="14"/>
      <c r="AZ40" s="14"/>
      <c r="BA40" s="14"/>
      <c r="BB40" s="14"/>
      <c r="BC40" s="14"/>
      <c r="BD40" s="15"/>
      <c r="BE40" s="72"/>
      <c r="BF40" s="13"/>
      <c r="BG40" s="14"/>
      <c r="BH40" s="14"/>
      <c r="BI40" s="14"/>
      <c r="BJ40" s="14"/>
      <c r="BK40" s="14"/>
      <c r="BL40" s="14"/>
      <c r="BM40" s="14"/>
      <c r="BN40" s="14"/>
      <c r="BO40" s="14"/>
      <c r="BP40" s="14"/>
      <c r="BQ40" s="14"/>
      <c r="BR40" s="14"/>
      <c r="BS40" s="14"/>
      <c r="BT40" s="14"/>
      <c r="BU40" s="15"/>
      <c r="BV40" s="5"/>
      <c r="BW40" s="5"/>
    </row>
    <row r="41" spans="1:75" ht="15" customHeight="1" x14ac:dyDescent="0.3">
      <c r="A41" s="5"/>
      <c r="B41" s="25"/>
      <c r="C41" s="191"/>
      <c r="D41" s="183"/>
      <c r="E41" s="117"/>
      <c r="F41" s="117"/>
      <c r="G41" s="117"/>
      <c r="H41" s="117"/>
      <c r="I41" s="5"/>
      <c r="J41" s="5"/>
      <c r="K41" s="5"/>
      <c r="L41" s="5"/>
      <c r="M41" s="27"/>
      <c r="N41" s="11"/>
      <c r="O41" s="13"/>
      <c r="P41" s="14"/>
      <c r="Q41" s="14"/>
      <c r="R41" s="14"/>
      <c r="S41" s="14"/>
      <c r="T41" s="14"/>
      <c r="U41" s="14"/>
      <c r="V41" s="14"/>
      <c r="W41" s="14"/>
      <c r="X41" s="14"/>
      <c r="Y41" s="14"/>
      <c r="Z41" s="14"/>
      <c r="AA41" s="14"/>
      <c r="AB41" s="180" t="str">
        <f t="shared" si="0"/>
        <v/>
      </c>
      <c r="AC41" s="181"/>
      <c r="AD41" s="82" t="str">
        <f t="shared" si="1"/>
        <v/>
      </c>
      <c r="AE41" s="82" t="str">
        <f>IF(AB41="","",IF($AB$9="",IFERROR(GETPIVOTDATA("Amount",pivot_tables!$A$4,"Category",'REPORTING SUMMARY'!$AB41),0),""))</f>
        <v/>
      </c>
      <c r="AF41" s="178" t="str">
        <f t="shared" si="3"/>
        <v/>
      </c>
      <c r="AG41" s="179"/>
      <c r="AH41" s="20"/>
      <c r="AI41" s="27"/>
      <c r="AJ41" s="72"/>
      <c r="AK41" s="13"/>
      <c r="AL41" s="14"/>
      <c r="AM41" s="14"/>
      <c r="AN41" s="14"/>
      <c r="AO41" s="14"/>
      <c r="AP41" s="14"/>
      <c r="AQ41" s="14"/>
      <c r="AR41" s="14"/>
      <c r="AS41" s="14"/>
      <c r="AT41" s="14"/>
      <c r="AU41" s="14"/>
      <c r="AV41" s="14"/>
      <c r="AW41" s="14"/>
      <c r="AX41" s="14"/>
      <c r="AY41" s="14"/>
      <c r="AZ41" s="14"/>
      <c r="BA41" s="14"/>
      <c r="BB41" s="14"/>
      <c r="BC41" s="14"/>
      <c r="BD41" s="15"/>
      <c r="BE41" s="72"/>
      <c r="BF41" s="13"/>
      <c r="BG41" s="14"/>
      <c r="BH41" s="14"/>
      <c r="BI41" s="14"/>
      <c r="BJ41" s="14"/>
      <c r="BK41" s="14"/>
      <c r="BL41" s="14"/>
      <c r="BM41" s="14"/>
      <c r="BN41" s="14"/>
      <c r="BO41" s="14"/>
      <c r="BP41" s="14"/>
      <c r="BQ41" s="14"/>
      <c r="BR41" s="14"/>
      <c r="BS41" s="14"/>
      <c r="BT41" s="14"/>
      <c r="BU41" s="15"/>
      <c r="BV41" s="5"/>
      <c r="BW41" s="5"/>
    </row>
    <row r="42" spans="1:75" ht="15" customHeight="1" x14ac:dyDescent="0.3">
      <c r="A42" s="5"/>
      <c r="B42" s="25"/>
      <c r="C42" s="182" t="s">
        <v>13</v>
      </c>
      <c r="D42" s="183">
        <f>IFERROR(SUMIFS(Tbl_Transactions[Amount],Tbl_Transactions[Account],$F$31,Tbl_Transactions[Date],"&gt;="&amp;$C37,Tbl_Transactions[Date],"&lt;="&amp;$D37,Tbl_Transactions[Type],"Expense"),"")</f>
        <v>0</v>
      </c>
      <c r="E42" s="117"/>
      <c r="F42" s="117"/>
      <c r="G42" s="117"/>
      <c r="H42" s="117"/>
      <c r="I42" s="5"/>
      <c r="J42" s="5"/>
      <c r="K42" s="5"/>
      <c r="L42" s="5"/>
      <c r="M42" s="27"/>
      <c r="N42" s="11"/>
      <c r="O42" s="13"/>
      <c r="P42" s="14"/>
      <c r="Q42" s="14"/>
      <c r="R42" s="14"/>
      <c r="S42" s="14"/>
      <c r="T42" s="14"/>
      <c r="U42" s="14"/>
      <c r="V42" s="14"/>
      <c r="W42" s="14"/>
      <c r="X42" s="14"/>
      <c r="Y42" s="14"/>
      <c r="Z42" s="14"/>
      <c r="AA42" s="14"/>
      <c r="AB42" s="180" t="str">
        <f t="shared" si="0"/>
        <v/>
      </c>
      <c r="AC42" s="181"/>
      <c r="AD42" s="82" t="str">
        <f t="shared" ref="AD42:AD49" si="4">IF(AB42="","",INDEX(CategoriesBudget,ROW(AB42)-ROW($AB$11),2))</f>
        <v/>
      </c>
      <c r="AE42" s="82" t="str">
        <f>IF(AB42="","",IF($AB$9="",IFERROR(GETPIVOTDATA("Amount",pivot_tables!$A$4,"Category",'REPORTING SUMMARY'!$AB42),0),""))</f>
        <v/>
      </c>
      <c r="AF42" s="178" t="str">
        <f t="shared" ref="AF42:AF49" si="5">IFERROR(AD42-AE42,"")</f>
        <v/>
      </c>
      <c r="AG42" s="179"/>
      <c r="AH42" s="20"/>
      <c r="AI42" s="27"/>
      <c r="AJ42" s="72"/>
      <c r="AK42" s="13"/>
      <c r="AL42" s="14"/>
      <c r="AM42" s="14"/>
      <c r="AN42" s="14"/>
      <c r="AO42" s="14"/>
      <c r="AP42" s="14"/>
      <c r="AQ42" s="14"/>
      <c r="AR42" s="14"/>
      <c r="AS42" s="14"/>
      <c r="AT42" s="14"/>
      <c r="AU42" s="14"/>
      <c r="AV42" s="14"/>
      <c r="AW42" s="14"/>
      <c r="AX42" s="14"/>
      <c r="AY42" s="14"/>
      <c r="AZ42" s="14"/>
      <c r="BA42" s="14"/>
      <c r="BB42" s="14"/>
      <c r="BC42" s="14"/>
      <c r="BD42" s="15"/>
      <c r="BE42" s="72"/>
      <c r="BF42" s="13"/>
      <c r="BG42" s="14"/>
      <c r="BH42" s="14"/>
      <c r="BI42" s="14"/>
      <c r="BJ42" s="14"/>
      <c r="BK42" s="14"/>
      <c r="BL42" s="14"/>
      <c r="BM42" s="14"/>
      <c r="BN42" s="14"/>
      <c r="BO42" s="14"/>
      <c r="BP42" s="14"/>
      <c r="BQ42" s="14"/>
      <c r="BR42" s="14"/>
      <c r="BS42" s="14"/>
      <c r="BT42" s="14"/>
      <c r="BU42" s="15"/>
      <c r="BV42" s="5"/>
      <c r="BW42" s="5"/>
    </row>
    <row r="43" spans="1:75" ht="15" customHeight="1" x14ac:dyDescent="0.3">
      <c r="A43" s="5"/>
      <c r="B43" s="25"/>
      <c r="C43" s="182"/>
      <c r="D43" s="183"/>
      <c r="E43" s="117"/>
      <c r="F43" s="117"/>
      <c r="G43" s="117"/>
      <c r="H43" s="117"/>
      <c r="I43" s="5"/>
      <c r="J43" s="5"/>
      <c r="K43" s="5"/>
      <c r="L43" s="5"/>
      <c r="M43" s="27"/>
      <c r="N43" s="11"/>
      <c r="O43" s="13"/>
      <c r="P43" s="14"/>
      <c r="Q43" s="14"/>
      <c r="R43" s="14"/>
      <c r="S43" s="14"/>
      <c r="T43" s="14"/>
      <c r="U43" s="14"/>
      <c r="V43" s="14"/>
      <c r="W43" s="14"/>
      <c r="X43" s="14"/>
      <c r="Y43" s="14"/>
      <c r="Z43" s="14"/>
      <c r="AA43" s="14"/>
      <c r="AB43" s="180" t="str">
        <f t="shared" si="0"/>
        <v/>
      </c>
      <c r="AC43" s="181"/>
      <c r="AD43" s="82" t="str">
        <f t="shared" si="4"/>
        <v/>
      </c>
      <c r="AE43" s="82" t="str">
        <f>IF(AB43="","",IF($AB$9="",IFERROR(GETPIVOTDATA("Amount",pivot_tables!$A$4,"Category",'REPORTING SUMMARY'!$AB43),0),""))</f>
        <v/>
      </c>
      <c r="AF43" s="178" t="str">
        <f t="shared" si="5"/>
        <v/>
      </c>
      <c r="AG43" s="179"/>
      <c r="AH43" s="20"/>
      <c r="AI43" s="27"/>
      <c r="AJ43" s="72"/>
      <c r="AK43" s="13"/>
      <c r="AL43" s="14"/>
      <c r="AM43" s="14"/>
      <c r="AN43" s="14"/>
      <c r="AO43" s="14"/>
      <c r="AP43" s="14"/>
      <c r="AQ43" s="14"/>
      <c r="AR43" s="14"/>
      <c r="AS43" s="14"/>
      <c r="AT43" s="14"/>
      <c r="AU43" s="14"/>
      <c r="AV43" s="14"/>
      <c r="AW43" s="14"/>
      <c r="AX43" s="14"/>
      <c r="AY43" s="14"/>
      <c r="AZ43" s="14"/>
      <c r="BA43" s="14"/>
      <c r="BB43" s="14"/>
      <c r="BC43" s="14"/>
      <c r="BD43" s="15"/>
      <c r="BE43" s="72"/>
      <c r="BF43" s="13"/>
      <c r="BG43" s="14"/>
      <c r="BH43" s="14"/>
      <c r="BI43" s="14"/>
      <c r="BJ43" s="14"/>
      <c r="BK43" s="14"/>
      <c r="BL43" s="14"/>
      <c r="BM43" s="14"/>
      <c r="BN43" s="14"/>
      <c r="BO43" s="14"/>
      <c r="BP43" s="14"/>
      <c r="BQ43" s="14"/>
      <c r="BR43" s="14"/>
      <c r="BS43" s="14"/>
      <c r="BT43" s="14"/>
      <c r="BU43" s="15"/>
      <c r="BV43" s="5"/>
      <c r="BW43" s="5"/>
    </row>
    <row r="44" spans="1:75" ht="15" customHeight="1" x14ac:dyDescent="0.3">
      <c r="A44" s="5"/>
      <c r="B44" s="25"/>
      <c r="C44" s="182" t="s">
        <v>8</v>
      </c>
      <c r="D44" s="183">
        <f>IFERROR(SUMIFS(Tbl_Transactions[Amount],Tbl_Transactions[Account],$F$31,Tbl_Transactions[Date],"&gt;="&amp;$C37,Tbl_Transactions[Date],"&lt;="&amp;$D37,Tbl_Transactions[Type],"Income"),"")</f>
        <v>0</v>
      </c>
      <c r="E44" s="122"/>
      <c r="F44" s="122"/>
      <c r="G44" s="122"/>
      <c r="H44" s="117"/>
      <c r="I44" s="5"/>
      <c r="J44" s="5"/>
      <c r="K44" s="5"/>
      <c r="L44" s="5"/>
      <c r="M44" s="27"/>
      <c r="N44" s="11"/>
      <c r="O44" s="13"/>
      <c r="P44" s="14"/>
      <c r="Q44" s="14"/>
      <c r="R44" s="14"/>
      <c r="S44" s="14"/>
      <c r="T44" s="14"/>
      <c r="U44" s="14"/>
      <c r="V44" s="14"/>
      <c r="W44" s="14"/>
      <c r="X44" s="14"/>
      <c r="Y44" s="14"/>
      <c r="Z44" s="14"/>
      <c r="AA44" s="14"/>
      <c r="AB44" s="180" t="str">
        <f t="shared" si="0"/>
        <v/>
      </c>
      <c r="AC44" s="181"/>
      <c r="AD44" s="82" t="str">
        <f t="shared" si="4"/>
        <v/>
      </c>
      <c r="AE44" s="82" t="str">
        <f>IF(AB44="","",IF($AB$9="",IFERROR(GETPIVOTDATA("Amount",pivot_tables!$A$4,"Category",'REPORTING SUMMARY'!$AB44),0),""))</f>
        <v/>
      </c>
      <c r="AF44" s="178" t="str">
        <f t="shared" si="5"/>
        <v/>
      </c>
      <c r="AG44" s="179"/>
      <c r="AH44" s="20"/>
      <c r="AI44" s="27"/>
      <c r="AJ44" s="72"/>
      <c r="AK44" s="13"/>
      <c r="AL44" s="14"/>
      <c r="AM44" s="14"/>
      <c r="AN44" s="14"/>
      <c r="AO44" s="14"/>
      <c r="AP44" s="14"/>
      <c r="AQ44" s="14"/>
      <c r="AR44" s="14"/>
      <c r="AS44" s="14"/>
      <c r="AT44" s="14"/>
      <c r="AU44" s="14"/>
      <c r="AV44" s="14"/>
      <c r="AW44" s="14"/>
      <c r="AX44" s="14"/>
      <c r="AY44" s="14"/>
      <c r="AZ44" s="14"/>
      <c r="BA44" s="14"/>
      <c r="BB44" s="14"/>
      <c r="BC44" s="14"/>
      <c r="BD44" s="15"/>
      <c r="BE44" s="72"/>
      <c r="BF44" s="13"/>
      <c r="BG44" s="14"/>
      <c r="BH44" s="14"/>
      <c r="BI44" s="14"/>
      <c r="BJ44" s="14"/>
      <c r="BK44" s="14"/>
      <c r="BL44" s="14"/>
      <c r="BM44" s="14"/>
      <c r="BN44" s="14"/>
      <c r="BO44" s="14"/>
      <c r="BP44" s="14"/>
      <c r="BQ44" s="14"/>
      <c r="BR44" s="14"/>
      <c r="BS44" s="14"/>
      <c r="BT44" s="14"/>
      <c r="BU44" s="15"/>
      <c r="BV44" s="5"/>
      <c r="BW44" s="5"/>
    </row>
    <row r="45" spans="1:75" ht="15" customHeight="1" x14ac:dyDescent="0.3">
      <c r="A45" s="5"/>
      <c r="B45" s="25"/>
      <c r="C45" s="182"/>
      <c r="D45" s="183"/>
      <c r="E45" s="117"/>
      <c r="F45" s="117"/>
      <c r="G45" s="117"/>
      <c r="H45" s="117"/>
      <c r="I45" s="5"/>
      <c r="J45" s="5"/>
      <c r="K45" s="5"/>
      <c r="L45" s="5"/>
      <c r="M45" s="27"/>
      <c r="N45" s="11"/>
      <c r="O45" s="13"/>
      <c r="P45" s="14"/>
      <c r="Q45" s="14"/>
      <c r="R45" s="14"/>
      <c r="S45" s="14"/>
      <c r="T45" s="14"/>
      <c r="U45" s="14"/>
      <c r="V45" s="14"/>
      <c r="W45" s="14"/>
      <c r="X45" s="14"/>
      <c r="Y45" s="14"/>
      <c r="Z45" s="14"/>
      <c r="AA45" s="14"/>
      <c r="AB45" s="180" t="str">
        <f t="shared" si="0"/>
        <v/>
      </c>
      <c r="AC45" s="181"/>
      <c r="AD45" s="82" t="str">
        <f t="shared" si="4"/>
        <v/>
      </c>
      <c r="AE45" s="82" t="str">
        <f>IF(AB45="","",IF($AB$9="",IFERROR(GETPIVOTDATA("Amount",pivot_tables!$A$4,"Category",'REPORTING SUMMARY'!$AB45),0),""))</f>
        <v/>
      </c>
      <c r="AF45" s="178" t="str">
        <f t="shared" si="5"/>
        <v/>
      </c>
      <c r="AG45" s="179"/>
      <c r="AH45" s="20"/>
      <c r="AI45" s="27"/>
      <c r="AJ45" s="72"/>
      <c r="AK45" s="13"/>
      <c r="AL45" s="14"/>
      <c r="AM45" s="14"/>
      <c r="AN45" s="14"/>
      <c r="AO45" s="14"/>
      <c r="AP45" s="14"/>
      <c r="AQ45" s="14"/>
      <c r="AR45" s="14"/>
      <c r="AS45" s="14"/>
      <c r="AT45" s="14"/>
      <c r="AU45" s="14"/>
      <c r="AV45" s="14"/>
      <c r="AW45" s="14"/>
      <c r="AX45" s="14"/>
      <c r="AY45" s="14"/>
      <c r="AZ45" s="14"/>
      <c r="BA45" s="14"/>
      <c r="BB45" s="14"/>
      <c r="BC45" s="14"/>
      <c r="BD45" s="15"/>
      <c r="BE45" s="72"/>
      <c r="BF45" s="13"/>
      <c r="BG45" s="14"/>
      <c r="BH45" s="14"/>
      <c r="BI45" s="14"/>
      <c r="BJ45" s="14"/>
      <c r="BK45" s="14"/>
      <c r="BL45" s="14"/>
      <c r="BM45" s="14"/>
      <c r="BN45" s="14"/>
      <c r="BO45" s="14"/>
      <c r="BP45" s="14"/>
      <c r="BQ45" s="14"/>
      <c r="BR45" s="14"/>
      <c r="BS45" s="14"/>
      <c r="BT45" s="14"/>
      <c r="BU45" s="15"/>
      <c r="BV45" s="5"/>
      <c r="BW45" s="5"/>
    </row>
    <row r="46" spans="1:75" ht="15" customHeight="1" x14ac:dyDescent="0.3">
      <c r="A46" s="5"/>
      <c r="B46" s="25"/>
      <c r="C46" s="182" t="s">
        <v>20</v>
      </c>
      <c r="D46" s="183">
        <f>IFERROR(SUMIFS(Tbl_Transactions[Amount],Tbl_Transactions[Account],$F$31,Tbl_Transactions[Date],"&gt;="&amp;$C37,Tbl_Transactions[Date],"&lt;="&amp;$D37,Tbl_Transactions[Type],"Transfer"),"")</f>
        <v>0</v>
      </c>
      <c r="E46" s="117"/>
      <c r="F46" s="117"/>
      <c r="G46" s="37"/>
      <c r="H46" s="117"/>
      <c r="I46" s="5"/>
      <c r="J46" s="5"/>
      <c r="K46" s="5"/>
      <c r="L46" s="5"/>
      <c r="M46" s="27"/>
      <c r="N46" s="11"/>
      <c r="O46" s="13"/>
      <c r="P46" s="14"/>
      <c r="Q46" s="14"/>
      <c r="R46" s="14"/>
      <c r="S46" s="14"/>
      <c r="T46" s="14"/>
      <c r="U46" s="14"/>
      <c r="V46" s="14"/>
      <c r="W46" s="14"/>
      <c r="X46" s="14"/>
      <c r="Y46" s="14"/>
      <c r="Z46" s="14"/>
      <c r="AA46" s="14"/>
      <c r="AB46" s="180" t="str">
        <f t="shared" si="0"/>
        <v/>
      </c>
      <c r="AC46" s="181"/>
      <c r="AD46" s="82" t="str">
        <f t="shared" si="4"/>
        <v/>
      </c>
      <c r="AE46" s="82" t="str">
        <f>IF(AB46="","",IF($AB$9="",IFERROR(GETPIVOTDATA("Amount",pivot_tables!$A$4,"Category",'REPORTING SUMMARY'!$AB46),0),""))</f>
        <v/>
      </c>
      <c r="AF46" s="178" t="str">
        <f t="shared" si="5"/>
        <v/>
      </c>
      <c r="AG46" s="179"/>
      <c r="AH46" s="20"/>
      <c r="AI46" s="27"/>
      <c r="AJ46" s="72"/>
      <c r="AK46" s="13"/>
      <c r="AL46" s="14"/>
      <c r="AM46" s="14"/>
      <c r="AN46" s="14"/>
      <c r="AO46" s="14"/>
      <c r="AP46" s="14"/>
      <c r="AQ46" s="14"/>
      <c r="AR46" s="14"/>
      <c r="AS46" s="14"/>
      <c r="AT46" s="14"/>
      <c r="AU46" s="14"/>
      <c r="AV46" s="14"/>
      <c r="AW46" s="14"/>
      <c r="AX46" s="14"/>
      <c r="AY46" s="14"/>
      <c r="AZ46" s="14"/>
      <c r="BA46" s="14"/>
      <c r="BB46" s="14"/>
      <c r="BC46" s="14"/>
      <c r="BD46" s="15"/>
      <c r="BE46" s="72"/>
      <c r="BF46" s="13"/>
      <c r="BG46" s="14"/>
      <c r="BH46" s="14"/>
      <c r="BI46" s="14"/>
      <c r="BJ46" s="14"/>
      <c r="BK46" s="14"/>
      <c r="BL46" s="14"/>
      <c r="BM46" s="14"/>
      <c r="BN46" s="14"/>
      <c r="BO46" s="14"/>
      <c r="BP46" s="14"/>
      <c r="BQ46" s="14"/>
      <c r="BR46" s="14"/>
      <c r="BS46" s="14"/>
      <c r="BT46" s="14"/>
      <c r="BU46" s="15"/>
      <c r="BV46" s="5"/>
      <c r="BW46" s="5"/>
    </row>
    <row r="47" spans="1:75" ht="15" customHeight="1" x14ac:dyDescent="0.3">
      <c r="A47" s="5"/>
      <c r="B47" s="25"/>
      <c r="C47" s="182"/>
      <c r="D47" s="183"/>
      <c r="E47" s="117"/>
      <c r="F47" s="117"/>
      <c r="G47" s="123"/>
      <c r="H47" s="117"/>
      <c r="I47" s="5"/>
      <c r="J47" s="5"/>
      <c r="K47" s="5"/>
      <c r="L47" s="5"/>
      <c r="M47" s="27"/>
      <c r="N47" s="11"/>
      <c r="O47" s="13"/>
      <c r="P47" s="14"/>
      <c r="Q47" s="14"/>
      <c r="R47" s="14"/>
      <c r="S47" s="14"/>
      <c r="T47" s="14"/>
      <c r="U47" s="14"/>
      <c r="V47" s="14"/>
      <c r="W47" s="14"/>
      <c r="X47" s="14"/>
      <c r="Y47" s="14"/>
      <c r="Z47" s="14"/>
      <c r="AA47" s="14"/>
      <c r="AB47" s="180" t="str">
        <f t="shared" si="0"/>
        <v/>
      </c>
      <c r="AC47" s="181"/>
      <c r="AD47" s="82" t="str">
        <f t="shared" si="4"/>
        <v/>
      </c>
      <c r="AE47" s="82" t="str">
        <f>IF(AB47="","",IF($AB$9="",IFERROR(GETPIVOTDATA("Amount",pivot_tables!$A$4,"Category",'REPORTING SUMMARY'!$AB47),0),""))</f>
        <v/>
      </c>
      <c r="AF47" s="178" t="str">
        <f t="shared" si="5"/>
        <v/>
      </c>
      <c r="AG47" s="179"/>
      <c r="AH47" s="20"/>
      <c r="AI47" s="27"/>
      <c r="AJ47" s="72"/>
      <c r="AK47" s="13"/>
      <c r="AL47" s="14"/>
      <c r="AM47" s="14"/>
      <c r="AN47" s="14"/>
      <c r="AO47" s="14"/>
      <c r="AP47" s="14"/>
      <c r="AQ47" s="14"/>
      <c r="AR47" s="14"/>
      <c r="AS47" s="14"/>
      <c r="AT47" s="14"/>
      <c r="AU47" s="14"/>
      <c r="AV47" s="14"/>
      <c r="AW47" s="14"/>
      <c r="AX47" s="14"/>
      <c r="AY47" s="14"/>
      <c r="AZ47" s="14"/>
      <c r="BA47" s="14"/>
      <c r="BB47" s="14"/>
      <c r="BC47" s="14"/>
      <c r="BD47" s="15"/>
      <c r="BE47" s="72"/>
      <c r="BF47" s="13"/>
      <c r="BG47" s="14"/>
      <c r="BH47" s="14"/>
      <c r="BI47" s="14"/>
      <c r="BJ47" s="14"/>
      <c r="BK47" s="14"/>
      <c r="BL47" s="14"/>
      <c r="BM47" s="14"/>
      <c r="BN47" s="14"/>
      <c r="BO47" s="14"/>
      <c r="BP47" s="14"/>
      <c r="BQ47" s="14"/>
      <c r="BR47" s="14"/>
      <c r="BS47" s="14"/>
      <c r="BT47" s="14"/>
      <c r="BU47" s="15"/>
      <c r="BV47" s="5"/>
      <c r="BW47" s="5"/>
    </row>
    <row r="48" spans="1:75" ht="15" customHeight="1" x14ac:dyDescent="0.3">
      <c r="A48" s="5"/>
      <c r="B48" s="25"/>
      <c r="C48" s="182" t="s">
        <v>32</v>
      </c>
      <c r="D48" s="183">
        <f>IFERROR(SUMIFS(Tbl_Transactions[Amount],Tbl_Transactions[Account],$F$31,Tbl_Transactions[Date],"&lt;="&amp;$D37,Tbl_Transactions[Type],"Transfer")-SUMIFS(Tbl_Transactions[Amount],Tbl_Transactions[Account],'REPORTING SUMMARY'!$F$31,Tbl_Transactions[Date],"&lt;="&amp;$D37,Tbl_Transactions[Type],"Expense")+SUMIFS(Tbl_Transactions[Amount],Tbl_Transactions[Account],'REPORTING SUMMARY'!$F$31,Tbl_Transactions[Date],"&lt;="&amp;$D37,Tbl_Transactions[Type],"Income")
+IF($H$32="BANK",SUMIF(T_BANK_ACCTS[ACCOUNT NAME],$F$31,T_BANK_ACCTS[STARTING BALANCE]),IF($H$32="CREDIT",SUMIF(T_CREDIT_ACCTS[ACCOUNT NAME],$F$31,T_CREDIT_ACCTS[STARTING BALANCE]),IF($H$32="CASH",SUMIF(T_CASH_ACCTS[ACCOUNT NAME],$F$31,T_CASH_ACCTS[STARTING BALANCE])))),"")</f>
        <v>17500</v>
      </c>
      <c r="E48" s="117"/>
      <c r="F48" s="117"/>
      <c r="G48" s="117"/>
      <c r="H48" s="117"/>
      <c r="I48" s="5"/>
      <c r="J48" s="5"/>
      <c r="K48" s="5"/>
      <c r="L48" s="5"/>
      <c r="M48" s="27"/>
      <c r="N48" s="11"/>
      <c r="O48" s="13"/>
      <c r="P48" s="14"/>
      <c r="Q48" s="14"/>
      <c r="R48" s="14"/>
      <c r="S48" s="14"/>
      <c r="T48" s="14"/>
      <c r="U48" s="14"/>
      <c r="V48" s="14"/>
      <c r="W48" s="14"/>
      <c r="X48" s="14"/>
      <c r="Y48" s="14"/>
      <c r="Z48" s="14"/>
      <c r="AA48" s="14"/>
      <c r="AB48" s="180" t="str">
        <f t="shared" si="0"/>
        <v/>
      </c>
      <c r="AC48" s="181"/>
      <c r="AD48" s="82" t="str">
        <f t="shared" si="4"/>
        <v/>
      </c>
      <c r="AE48" s="82" t="str">
        <f>IF(AB48="","",IF($AB$9="",IFERROR(GETPIVOTDATA("Amount",pivot_tables!$A$4,"Category",'REPORTING SUMMARY'!$AB48),0),""))</f>
        <v/>
      </c>
      <c r="AF48" s="178" t="str">
        <f t="shared" si="5"/>
        <v/>
      </c>
      <c r="AG48" s="179"/>
      <c r="AH48" s="20"/>
      <c r="AI48" s="27"/>
      <c r="AJ48" s="72"/>
      <c r="AK48" s="13"/>
      <c r="AL48" s="14"/>
      <c r="AM48" s="14"/>
      <c r="AN48" s="14"/>
      <c r="AO48" s="14"/>
      <c r="AP48" s="14"/>
      <c r="AQ48" s="14"/>
      <c r="AR48" s="14"/>
      <c r="AS48" s="14"/>
      <c r="AT48" s="14"/>
      <c r="AU48" s="14"/>
      <c r="AV48" s="14"/>
      <c r="AW48" s="14"/>
      <c r="AX48" s="14"/>
      <c r="AY48" s="14"/>
      <c r="AZ48" s="14"/>
      <c r="BA48" s="14"/>
      <c r="BB48" s="14"/>
      <c r="BC48" s="14"/>
      <c r="BD48" s="15"/>
      <c r="BE48" s="72"/>
      <c r="BF48" s="13"/>
      <c r="BG48" s="14"/>
      <c r="BH48" s="14"/>
      <c r="BI48" s="14"/>
      <c r="BJ48" s="14"/>
      <c r="BK48" s="14"/>
      <c r="BL48" s="14"/>
      <c r="BM48" s="14"/>
      <c r="BN48" s="14"/>
      <c r="BO48" s="14"/>
      <c r="BP48" s="14"/>
      <c r="BQ48" s="14"/>
      <c r="BR48" s="14"/>
      <c r="BS48" s="14"/>
      <c r="BT48" s="14"/>
      <c r="BU48" s="15"/>
      <c r="BV48" s="5"/>
      <c r="BW48" s="5"/>
    </row>
    <row r="49" spans="1:75" ht="15" customHeight="1" x14ac:dyDescent="0.3">
      <c r="A49" s="5"/>
      <c r="B49" s="25"/>
      <c r="C49" s="182"/>
      <c r="D49" s="183"/>
      <c r="E49" s="117"/>
      <c r="F49" s="117"/>
      <c r="G49" s="117"/>
      <c r="H49" s="117"/>
      <c r="I49" s="5"/>
      <c r="J49" s="5"/>
      <c r="K49" s="5"/>
      <c r="L49" s="5"/>
      <c r="M49" s="27"/>
      <c r="N49" s="11"/>
      <c r="O49" s="13"/>
      <c r="P49" s="14"/>
      <c r="Q49" s="14"/>
      <c r="R49" s="14"/>
      <c r="S49" s="14"/>
      <c r="T49" s="14"/>
      <c r="U49" s="14"/>
      <c r="V49" s="14"/>
      <c r="W49" s="14"/>
      <c r="X49" s="14"/>
      <c r="Y49" s="14"/>
      <c r="Z49" s="14"/>
      <c r="AA49" s="14"/>
      <c r="AB49" s="180" t="str">
        <f t="shared" si="0"/>
        <v/>
      </c>
      <c r="AC49" s="181"/>
      <c r="AD49" s="82" t="str">
        <f t="shared" si="4"/>
        <v/>
      </c>
      <c r="AE49" s="82" t="str">
        <f>IF(AB49="","",IF($AB$9="",IFERROR(GETPIVOTDATA("Amount",pivot_tables!$A$4,"Category",'REPORTING SUMMARY'!$AB49),0),""))</f>
        <v/>
      </c>
      <c r="AF49" s="178" t="str">
        <f t="shared" si="5"/>
        <v/>
      </c>
      <c r="AG49" s="179"/>
      <c r="AH49" s="20"/>
      <c r="AI49" s="27"/>
      <c r="AJ49" s="72"/>
      <c r="AK49" s="13"/>
      <c r="AL49" s="14"/>
      <c r="AM49" s="14"/>
      <c r="AN49" s="14"/>
      <c r="AO49" s="14"/>
      <c r="AP49" s="14"/>
      <c r="AQ49" s="14"/>
      <c r="AR49" s="14"/>
      <c r="AS49" s="14"/>
      <c r="AT49" s="14"/>
      <c r="AU49" s="14"/>
      <c r="AV49" s="14"/>
      <c r="AW49" s="14"/>
      <c r="AX49" s="14"/>
      <c r="AY49" s="14"/>
      <c r="AZ49" s="14"/>
      <c r="BA49" s="14"/>
      <c r="BB49" s="14"/>
      <c r="BC49" s="14"/>
      <c r="BD49" s="15"/>
      <c r="BE49" s="72"/>
      <c r="BF49" s="13"/>
      <c r="BG49" s="14"/>
      <c r="BH49" s="14"/>
      <c r="BI49" s="14"/>
      <c r="BJ49" s="14"/>
      <c r="BK49" s="14"/>
      <c r="BL49" s="14"/>
      <c r="BM49" s="14"/>
      <c r="BN49" s="14"/>
      <c r="BO49" s="14"/>
      <c r="BP49" s="14"/>
      <c r="BQ49" s="14"/>
      <c r="BR49" s="14"/>
      <c r="BS49" s="14"/>
      <c r="BT49" s="14"/>
      <c r="BU49" s="15"/>
      <c r="BV49" s="5"/>
      <c r="BW49" s="5"/>
    </row>
    <row r="50" spans="1:75" x14ac:dyDescent="0.3">
      <c r="A50" s="5"/>
      <c r="B50" s="25"/>
      <c r="C50" s="133" t="s">
        <v>38</v>
      </c>
      <c r="D50" s="117"/>
      <c r="E50" s="117"/>
      <c r="F50" s="117"/>
      <c r="G50" s="37"/>
      <c r="H50" s="37"/>
      <c r="I50" s="5"/>
      <c r="J50" s="5"/>
      <c r="K50" s="5"/>
      <c r="L50" s="5"/>
      <c r="M50" s="27"/>
      <c r="N50" s="11"/>
      <c r="O50" s="13"/>
      <c r="P50" s="14"/>
      <c r="Q50" s="14"/>
      <c r="R50" s="14"/>
      <c r="S50" s="14"/>
      <c r="T50" s="14"/>
      <c r="U50" s="14"/>
      <c r="V50" s="14"/>
      <c r="W50" s="14"/>
      <c r="X50" s="14"/>
      <c r="Y50" s="14"/>
      <c r="Z50" s="14"/>
      <c r="AA50" s="14"/>
      <c r="AB50" s="207" t="str">
        <f>IF($AD$50="","","OTHER CATEGORIES")</f>
        <v/>
      </c>
      <c r="AC50" s="208"/>
      <c r="AD50" s="127" t="str">
        <f>IFERROR(IF($AD$51-SUM($AD$12:$AD$49)=0,"",$AD$51-SUM($AD$12:$AD$49)),"")</f>
        <v/>
      </c>
      <c r="AE50" s="126" t="str">
        <f>IFERROR(IF($AE$51-SUM($AE$12:$AE$49)=0,"",$AE$51-SUM($AE$12:$AE$49)),"")</f>
        <v/>
      </c>
      <c r="AF50" s="205" t="str">
        <f>IF($AB$9="",IFERROR($AD$50-$AE$50,""),"")</f>
        <v/>
      </c>
      <c r="AG50" s="206"/>
      <c r="AH50" s="20"/>
      <c r="AI50" s="27"/>
      <c r="AJ50" s="72"/>
      <c r="AK50" s="13"/>
      <c r="AL50" s="14"/>
      <c r="AM50" s="14"/>
      <c r="AN50" s="14"/>
      <c r="AO50" s="14"/>
      <c r="AP50" s="14"/>
      <c r="AQ50" s="14"/>
      <c r="AR50" s="14"/>
      <c r="AS50" s="14"/>
      <c r="AT50" s="14"/>
      <c r="AU50" s="14"/>
      <c r="AV50" s="14"/>
      <c r="AW50" s="14"/>
      <c r="AX50" s="14"/>
      <c r="AY50" s="14"/>
      <c r="AZ50" s="14"/>
      <c r="BA50" s="14"/>
      <c r="BB50" s="14"/>
      <c r="BC50" s="14"/>
      <c r="BD50" s="15"/>
      <c r="BE50" s="72"/>
      <c r="BF50" s="13"/>
      <c r="BG50" s="14"/>
      <c r="BH50" s="14"/>
      <c r="BI50" s="14"/>
      <c r="BJ50" s="14"/>
      <c r="BK50" s="14"/>
      <c r="BL50" s="14"/>
      <c r="BM50" s="14"/>
      <c r="BN50" s="14"/>
      <c r="BO50" s="14"/>
      <c r="BP50" s="14"/>
      <c r="BQ50" s="14"/>
      <c r="BR50" s="14"/>
      <c r="BS50" s="14"/>
      <c r="BT50" s="14"/>
      <c r="BU50" s="15"/>
      <c r="BV50" s="5"/>
      <c r="BW50" s="5"/>
    </row>
    <row r="51" spans="1:75" x14ac:dyDescent="0.3">
      <c r="A51" s="5"/>
      <c r="B51" s="25"/>
      <c r="C51" s="117"/>
      <c r="D51" s="117"/>
      <c r="E51" s="117"/>
      <c r="F51" s="117"/>
      <c r="G51" s="117"/>
      <c r="H51" s="117"/>
      <c r="I51" s="117"/>
      <c r="J51" s="117"/>
      <c r="K51" s="117"/>
      <c r="L51" s="117"/>
      <c r="M51" s="27"/>
      <c r="N51" s="11"/>
      <c r="O51" s="13"/>
      <c r="P51" s="14"/>
      <c r="Q51" s="14"/>
      <c r="R51" s="14"/>
      <c r="S51" s="14"/>
      <c r="T51" s="14"/>
      <c r="U51" s="14"/>
      <c r="V51" s="14"/>
      <c r="W51" s="14"/>
      <c r="X51" s="14"/>
      <c r="Y51" s="14"/>
      <c r="Z51" s="14"/>
      <c r="AA51" s="14"/>
      <c r="AB51" s="203" t="s">
        <v>14</v>
      </c>
      <c r="AC51" s="204"/>
      <c r="AD51" s="77" t="str">
        <f>IFERROR($AG$6,"ERROR")</f>
        <v/>
      </c>
      <c r="AE51" s="77" t="str">
        <f>IF($AB$9="",$Y$6,"")</f>
        <v/>
      </c>
      <c r="AF51" s="62"/>
      <c r="AG51" s="76" t="str">
        <f>IF($AB$9="",AD51-AE51,"")</f>
        <v/>
      </c>
      <c r="AH51" s="20"/>
      <c r="AI51" s="27"/>
      <c r="AJ51" s="72"/>
      <c r="AK51" s="13"/>
      <c r="AL51" s="14"/>
      <c r="AM51" s="14"/>
      <c r="AN51" s="14"/>
      <c r="AO51" s="14"/>
      <c r="AP51" s="14"/>
      <c r="AQ51" s="14"/>
      <c r="AR51" s="14"/>
      <c r="AS51" s="14"/>
      <c r="AT51" s="14"/>
      <c r="AU51" s="14"/>
      <c r="AV51" s="14"/>
      <c r="AW51" s="14"/>
      <c r="AX51" s="14"/>
      <c r="AY51" s="14"/>
      <c r="AZ51" s="14"/>
      <c r="BA51" s="14"/>
      <c r="BB51" s="14"/>
      <c r="BC51" s="14"/>
      <c r="BD51" s="15"/>
      <c r="BE51" s="72"/>
      <c r="BF51" s="13"/>
      <c r="BG51" s="14"/>
      <c r="BH51" s="14"/>
      <c r="BI51" s="14"/>
      <c r="BJ51" s="14"/>
      <c r="BK51" s="14"/>
      <c r="BL51" s="14"/>
      <c r="BM51" s="14"/>
      <c r="BN51" s="14"/>
      <c r="BO51" s="14"/>
      <c r="BP51" s="14"/>
      <c r="BQ51" s="14"/>
      <c r="BR51" s="14"/>
      <c r="BS51" s="14"/>
      <c r="BT51" s="14"/>
      <c r="BU51" s="15"/>
      <c r="BV51" s="5"/>
      <c r="BW51" s="5"/>
    </row>
    <row r="52" spans="1:75" ht="15" thickBot="1" x14ac:dyDescent="0.35">
      <c r="A52" s="5"/>
      <c r="B52" s="25"/>
      <c r="C52" s="124"/>
      <c r="D52" s="117"/>
      <c r="E52" s="20"/>
      <c r="F52" s="20"/>
      <c r="G52" s="20"/>
      <c r="H52" s="20"/>
      <c r="I52" s="20"/>
      <c r="J52" s="20"/>
      <c r="K52" s="20"/>
      <c r="L52" s="20"/>
      <c r="M52" s="27"/>
      <c r="N52" s="11"/>
      <c r="O52" s="21"/>
      <c r="P52" s="22"/>
      <c r="Q52" s="22"/>
      <c r="R52" s="22"/>
      <c r="S52" s="22"/>
      <c r="T52" s="22"/>
      <c r="U52" s="22"/>
      <c r="V52" s="22"/>
      <c r="W52" s="22"/>
      <c r="X52" s="22"/>
      <c r="Y52" s="22"/>
      <c r="Z52" s="22"/>
      <c r="AA52" s="22"/>
      <c r="AB52" s="115"/>
      <c r="AC52" s="115"/>
      <c r="AD52" s="115"/>
      <c r="AE52" s="115"/>
      <c r="AF52" s="115"/>
      <c r="AG52" s="115"/>
      <c r="AH52" s="115"/>
      <c r="AI52" s="116"/>
      <c r="AJ52" s="72"/>
      <c r="AK52" s="21"/>
      <c r="AL52" s="22"/>
      <c r="AM52" s="22"/>
      <c r="AN52" s="22"/>
      <c r="AO52" s="22"/>
      <c r="AP52" s="22"/>
      <c r="AQ52" s="22"/>
      <c r="AR52" s="22"/>
      <c r="AS52" s="22"/>
      <c r="AT52" s="22"/>
      <c r="AU52" s="22"/>
      <c r="AV52" s="22"/>
      <c r="AW52" s="22"/>
      <c r="AX52" s="22"/>
      <c r="AY52" s="22"/>
      <c r="AZ52" s="22"/>
      <c r="BA52" s="22"/>
      <c r="BB52" s="22"/>
      <c r="BC52" s="22"/>
      <c r="BD52" s="23"/>
      <c r="BE52" s="72"/>
      <c r="BF52" s="21"/>
      <c r="BG52" s="22"/>
      <c r="BH52" s="22"/>
      <c r="BI52" s="22"/>
      <c r="BJ52" s="22"/>
      <c r="BK52" s="22"/>
      <c r="BL52" s="22"/>
      <c r="BM52" s="22"/>
      <c r="BN52" s="22"/>
      <c r="BO52" s="22"/>
      <c r="BP52" s="22"/>
      <c r="BQ52" s="22"/>
      <c r="BR52" s="22"/>
      <c r="BS52" s="22"/>
      <c r="BT52" s="22"/>
      <c r="BU52" s="23"/>
      <c r="BV52" s="5"/>
      <c r="BW52" s="5"/>
    </row>
    <row r="53" spans="1:75" ht="15" thickBot="1" x14ac:dyDescent="0.35">
      <c r="A53" s="5"/>
      <c r="B53" s="125"/>
      <c r="C53" s="134"/>
      <c r="D53" s="134"/>
      <c r="E53" s="115"/>
      <c r="F53" s="115"/>
      <c r="G53" s="115"/>
      <c r="H53" s="115"/>
      <c r="I53" s="115"/>
      <c r="J53" s="115"/>
      <c r="K53" s="115"/>
      <c r="L53" s="115"/>
      <c r="M53" s="116"/>
      <c r="N53" s="11"/>
      <c r="O53" s="20"/>
      <c r="P53" s="20"/>
      <c r="Q53" s="20"/>
      <c r="R53" s="20"/>
      <c r="S53" s="20"/>
      <c r="T53" s="20"/>
      <c r="U53" s="20"/>
      <c r="V53" s="20"/>
      <c r="W53" s="20"/>
      <c r="X53" s="20"/>
      <c r="Y53" s="20"/>
      <c r="Z53" s="20"/>
      <c r="AA53" s="20"/>
      <c r="AB53" s="20"/>
      <c r="AC53" s="20"/>
      <c r="AD53" s="20"/>
      <c r="AE53" s="20"/>
      <c r="AF53" s="20"/>
      <c r="AG53" s="20"/>
      <c r="AH53" s="20"/>
      <c r="AI53" s="20"/>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5"/>
      <c r="BW53" s="5"/>
    </row>
    <row r="54" spans="1:75" x14ac:dyDescent="0.3">
      <c r="A54" s="5"/>
      <c r="B54" s="11"/>
      <c r="C54" s="20"/>
      <c r="D54" s="20"/>
      <c r="E54" s="11"/>
      <c r="F54" s="11"/>
      <c r="G54" s="11"/>
      <c r="H54" s="11"/>
      <c r="I54" s="11"/>
      <c r="J54" s="11"/>
      <c r="K54" s="11"/>
      <c r="L54" s="11"/>
      <c r="M54" s="11"/>
      <c r="N54" s="11"/>
      <c r="O54" s="20"/>
      <c r="P54" s="20"/>
      <c r="Q54" s="20"/>
      <c r="R54" s="20"/>
      <c r="S54" s="20"/>
      <c r="T54" s="20"/>
      <c r="U54" s="20"/>
      <c r="V54" s="20"/>
      <c r="W54" s="20"/>
      <c r="X54" s="20"/>
      <c r="Y54" s="20"/>
      <c r="Z54" s="20"/>
      <c r="AA54" s="20"/>
      <c r="AB54" s="20"/>
      <c r="AC54" s="20"/>
      <c r="AD54" s="20"/>
      <c r="AE54" s="20"/>
      <c r="AF54" s="20"/>
      <c r="AG54" s="20"/>
      <c r="AH54" s="20"/>
      <c r="AI54" s="20"/>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5"/>
      <c r="BW54" s="5"/>
    </row>
    <row r="55" spans="1:75" x14ac:dyDescent="0.3">
      <c r="A55" s="5"/>
      <c r="B55" s="11"/>
      <c r="C55" s="20"/>
      <c r="D55" s="20"/>
      <c r="E55" s="11"/>
      <c r="F55" s="11"/>
      <c r="G55" s="11"/>
      <c r="H55" s="11"/>
      <c r="I55" s="11"/>
      <c r="J55" s="11"/>
      <c r="K55" s="11"/>
      <c r="L55" s="11"/>
      <c r="M55" s="11"/>
      <c r="N55" s="11"/>
      <c r="O55" s="20"/>
      <c r="P55" s="20"/>
      <c r="Q55" s="20"/>
      <c r="R55" s="20"/>
      <c r="S55" s="20"/>
      <c r="T55" s="20"/>
      <c r="U55" s="20"/>
      <c r="V55" s="20"/>
      <c r="W55" s="20"/>
      <c r="X55" s="20"/>
      <c r="Y55" s="20"/>
      <c r="Z55" s="20"/>
      <c r="AA55" s="20"/>
      <c r="AB55" s="20"/>
      <c r="AC55" s="20"/>
      <c r="AD55" s="20"/>
      <c r="AE55" s="20"/>
      <c r="AF55" s="20"/>
      <c r="AG55" s="20"/>
      <c r="AH55" s="20"/>
      <c r="AI55" s="20"/>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5"/>
      <c r="BW55" s="5"/>
    </row>
    <row r="56" spans="1:75" x14ac:dyDescent="0.3">
      <c r="A56" s="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5"/>
      <c r="BW56" s="5"/>
    </row>
    <row r="57" spans="1:75" hidden="1" x14ac:dyDescent="0.3">
      <c r="A57" s="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row>
    <row r="58" spans="1:75" hidden="1" x14ac:dyDescent="0.3">
      <c r="A58" s="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row>
    <row r="59" spans="1:75" x14ac:dyDescent="0.3">
      <c r="A59" s="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5"/>
      <c r="BW59" s="5"/>
    </row>
    <row r="60" spans="1:75" x14ac:dyDescent="0.3">
      <c r="A60" s="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5"/>
      <c r="BW60" s="5"/>
    </row>
    <row r="61" spans="1:75" x14ac:dyDescent="0.3">
      <c r="A61" s="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5"/>
      <c r="BW61" s="5"/>
    </row>
    <row r="62" spans="1:75" hidden="1" x14ac:dyDescent="0.3">
      <c r="B62" s="11"/>
      <c r="C62" s="11"/>
      <c r="D62" s="11"/>
      <c r="E62" s="11"/>
      <c r="F62" s="11"/>
      <c r="G62" s="11"/>
      <c r="H62" s="11"/>
      <c r="I62" s="11"/>
      <c r="J62" s="11"/>
      <c r="K62" s="11"/>
      <c r="L62" s="11"/>
      <c r="M62" s="11"/>
    </row>
    <row r="63" spans="1:75" hidden="1" x14ac:dyDescent="0.3">
      <c r="C63" s="11"/>
      <c r="D63" s="11"/>
    </row>
    <row r="64" spans="1:75" hidden="1" x14ac:dyDescent="0.3">
      <c r="C64" s="11"/>
      <c r="D64" s="11"/>
    </row>
  </sheetData>
  <sheetProtection formatCells="0" formatColumns="0" formatRows="0"/>
  <dataConsolidate/>
  <mergeCells count="134">
    <mergeCell ref="AX28:AZ28"/>
    <mergeCell ref="O1:AI1"/>
    <mergeCell ref="BF1:BU1"/>
    <mergeCell ref="D6:D7"/>
    <mergeCell ref="K6:K7"/>
    <mergeCell ref="J6:J7"/>
    <mergeCell ref="F6:F7"/>
    <mergeCell ref="C6:C7"/>
    <mergeCell ref="F2:G4"/>
    <mergeCell ref="K2:L2"/>
    <mergeCell ref="H2:I4"/>
    <mergeCell ref="K3:L3"/>
    <mergeCell ref="BA6:BC6"/>
    <mergeCell ref="W6:X7"/>
    <mergeCell ref="Y6:Z7"/>
    <mergeCell ref="AA6:AB7"/>
    <mergeCell ref="AC6:AD7"/>
    <mergeCell ref="AE6:AF7"/>
    <mergeCell ref="AG6:AH7"/>
    <mergeCell ref="R3:R4"/>
    <mergeCell ref="AK1:BD1"/>
    <mergeCell ref="AF13:AG13"/>
    <mergeCell ref="AF14:AG14"/>
    <mergeCell ref="L10:L11"/>
    <mergeCell ref="L12:L13"/>
    <mergeCell ref="AB51:AC51"/>
    <mergeCell ref="AB19:AC19"/>
    <mergeCell ref="L14:L15"/>
    <mergeCell ref="L16:L17"/>
    <mergeCell ref="L18:L19"/>
    <mergeCell ref="AF42:AG42"/>
    <mergeCell ref="AF43:AG43"/>
    <mergeCell ref="AF50:AG50"/>
    <mergeCell ref="AB50:AC50"/>
    <mergeCell ref="AF47:AG47"/>
    <mergeCell ref="AF48:AG48"/>
    <mergeCell ref="AF49:AG49"/>
    <mergeCell ref="AF44:AG44"/>
    <mergeCell ref="AF45:AG45"/>
    <mergeCell ref="AF46:AG46"/>
    <mergeCell ref="BH25:BI25"/>
    <mergeCell ref="BJ25:BK25"/>
    <mergeCell ref="BL25:BM25"/>
    <mergeCell ref="AB9:AG9"/>
    <mergeCell ref="AB11:AC11"/>
    <mergeCell ref="AB12:AC12"/>
    <mergeCell ref="AF11:AG11"/>
    <mergeCell ref="AF12:AG12"/>
    <mergeCell ref="AB22:AC22"/>
    <mergeCell ref="AB23:AC23"/>
    <mergeCell ref="AB24:AC24"/>
    <mergeCell ref="AB25:AC25"/>
    <mergeCell ref="AB10:AE10"/>
    <mergeCell ref="AF16:AG16"/>
    <mergeCell ref="AF17:AG17"/>
    <mergeCell ref="AF21:AG21"/>
    <mergeCell ref="AB16:AC16"/>
    <mergeCell ref="AB17:AC17"/>
    <mergeCell ref="AB18:AC18"/>
    <mergeCell ref="AF15:AG15"/>
    <mergeCell ref="AB20:AC20"/>
    <mergeCell ref="AB13:AC13"/>
    <mergeCell ref="AB14:AC14"/>
    <mergeCell ref="AB15:AC15"/>
    <mergeCell ref="BL26:BM26"/>
    <mergeCell ref="BJ26:BK26"/>
    <mergeCell ref="BH26:BI26"/>
    <mergeCell ref="AF18:AG18"/>
    <mergeCell ref="AF19:AG19"/>
    <mergeCell ref="AF20:AG20"/>
    <mergeCell ref="AB21:AC21"/>
    <mergeCell ref="F31:G32"/>
    <mergeCell ref="C40:C41"/>
    <mergeCell ref="D40:D41"/>
    <mergeCell ref="AB26:AC26"/>
    <mergeCell ref="AB27:AC27"/>
    <mergeCell ref="AB28:AC28"/>
    <mergeCell ref="AB29:AC29"/>
    <mergeCell ref="AB30:AC30"/>
    <mergeCell ref="AF22:AG22"/>
    <mergeCell ref="AF23:AG23"/>
    <mergeCell ref="AF24:AG24"/>
    <mergeCell ref="AF25:AG25"/>
    <mergeCell ref="AF26:AG26"/>
    <mergeCell ref="AF27:AG27"/>
    <mergeCell ref="AF28:AG28"/>
    <mergeCell ref="AF29:AG29"/>
    <mergeCell ref="AF30:AG30"/>
    <mergeCell ref="C48:C49"/>
    <mergeCell ref="D48:D49"/>
    <mergeCell ref="C42:C43"/>
    <mergeCell ref="D42:D43"/>
    <mergeCell ref="C44:C45"/>
    <mergeCell ref="D44:D45"/>
    <mergeCell ref="C46:C47"/>
    <mergeCell ref="D46:D47"/>
    <mergeCell ref="AB31:AC31"/>
    <mergeCell ref="AB32:AC32"/>
    <mergeCell ref="AB33:AC33"/>
    <mergeCell ref="AB34:AC34"/>
    <mergeCell ref="AB35:AC35"/>
    <mergeCell ref="D31:E32"/>
    <mergeCell ref="AB42:AC42"/>
    <mergeCell ref="AB43:AC43"/>
    <mergeCell ref="AB47:AC47"/>
    <mergeCell ref="AB48:AC48"/>
    <mergeCell ref="AB49:AC49"/>
    <mergeCell ref="AB44:AC44"/>
    <mergeCell ref="AB45:AC45"/>
    <mergeCell ref="AB46:AC46"/>
    <mergeCell ref="B1:M1"/>
    <mergeCell ref="O24:AA24"/>
    <mergeCell ref="BA28:BD28"/>
    <mergeCell ref="AF37:AG37"/>
    <mergeCell ref="AF38:AG38"/>
    <mergeCell ref="AF39:AG39"/>
    <mergeCell ref="AF40:AG40"/>
    <mergeCell ref="AF41:AG41"/>
    <mergeCell ref="AB41:AC41"/>
    <mergeCell ref="AF31:AG31"/>
    <mergeCell ref="AF32:AG32"/>
    <mergeCell ref="AF33:AG33"/>
    <mergeCell ref="AF34:AG34"/>
    <mergeCell ref="AF35:AG35"/>
    <mergeCell ref="AF36:AG36"/>
    <mergeCell ref="AB36:AC36"/>
    <mergeCell ref="AB37:AC37"/>
    <mergeCell ref="AB38:AC38"/>
    <mergeCell ref="AB39:AC39"/>
    <mergeCell ref="AB40:AC40"/>
    <mergeCell ref="BA5:BC5"/>
    <mergeCell ref="U6:V7"/>
    <mergeCell ref="G6:G7"/>
    <mergeCell ref="S6:T7"/>
  </mergeCells>
  <conditionalFormatting sqref="AF10">
    <cfRule type="cellIs" dxfId="70" priority="9" operator="equal">
      <formula>"YES"</formula>
    </cfRule>
    <cfRule type="cellIs" dxfId="69" priority="10" operator="equal">
      <formula>"NO"</formula>
    </cfRule>
  </conditionalFormatting>
  <conditionalFormatting sqref="AB12:AG50">
    <cfRule type="expression" dxfId="68" priority="21">
      <formula>$AF12&lt;0</formula>
    </cfRule>
  </conditionalFormatting>
  <conditionalFormatting sqref="D10:D29 G10:G29 K10:K29">
    <cfRule type="cellIs" dxfId="67" priority="5" operator="greaterThan">
      <formula>0</formula>
    </cfRule>
    <cfRule type="cellIs" dxfId="66" priority="6" operator="lessThan">
      <formula>0</formula>
    </cfRule>
  </conditionalFormatting>
  <conditionalFormatting sqref="D6 G6 K6 H2">
    <cfRule type="cellIs" dxfId="65" priority="7" operator="lessThan">
      <formula>0</formula>
    </cfRule>
    <cfRule type="cellIs" dxfId="64" priority="8" operator="greaterThan">
      <formula>0</formula>
    </cfRule>
  </conditionalFormatting>
  <conditionalFormatting sqref="AB11:AG51">
    <cfRule type="expression" dxfId="63" priority="1">
      <formula>$AB$9&lt;&gt;""</formula>
    </cfRule>
  </conditionalFormatting>
  <dataValidations disablePrompts="1" count="1">
    <dataValidation type="list" allowBlank="1" showInputMessage="1" showErrorMessage="1" sqref="F31:G32" xr:uid="{00000000-0002-0000-0200-000000000000}">
      <formula1>ALLACCTS</formula1>
    </dataValidation>
  </dataValidations>
  <pageMargins left="0.7" right="0.7" top="0.75" bottom="0.75" header="0.3" footer="0.3"/>
  <pageSetup scale="56" orientation="landscape" horizontalDpi="4294967292" r:id="rId1"/>
  <headerFooter>
    <oddFooter>&amp;LPersonal Finance Manager&amp;Cby indzara&amp;Rwww.indzara.blogspot.com</oddFooter>
  </headerFooter>
  <drawing r:id="rId2"/>
  <extLst>
    <ext xmlns:x14="http://schemas.microsoft.com/office/spreadsheetml/2009/9/main" uri="{78C0D931-6437-407d-A8EE-F0AAD7539E65}">
      <x14:conditionalFormattings>
        <x14:conditionalFormatting xmlns:xm="http://schemas.microsoft.com/office/excel/2006/main">
          <x14:cfRule type="iconSet" priority="11" id="{2C54C650-029F-453E-9EE3-8B647D65DB1D}">
            <x14:iconSet iconSet="3Triangles" custom="1">
              <x14:cfvo type="percent">
                <xm:f>0</xm:f>
              </x14:cfvo>
              <x14:cfvo type="num">
                <xm:f>0</xm:f>
              </x14:cfvo>
              <x14:cfvo type="num" gte="0">
                <xm:f>0</xm:f>
              </x14:cfvo>
              <x14:cfIcon iconSet="3Triangles" iconId="0"/>
              <x14:cfIcon iconSet="3Triangles" iconId="1"/>
              <x14:cfIcon iconSet="3Triangles" iconId="2"/>
            </x14:iconSet>
          </x14:cfRule>
          <xm:sqref>AG51</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X123"/>
  <sheetViews>
    <sheetView topLeftCell="K1" workbookViewId="0">
      <selection activeCell="F31" sqref="F31:G32"/>
    </sheetView>
  </sheetViews>
  <sheetFormatPr defaultRowHeight="14.4" x14ac:dyDescent="0.3"/>
  <cols>
    <col min="2" max="8" width="17.77734375" customWidth="1"/>
    <col min="9" max="9" width="23.33203125" customWidth="1"/>
    <col min="10" max="10" width="17.77734375" customWidth="1"/>
    <col min="11" max="11" width="16.109375" customWidth="1"/>
    <col min="12" max="12" width="20.109375" customWidth="1"/>
    <col min="13" max="13" width="16.77734375" customWidth="1"/>
    <col min="14" max="14" width="14.77734375" customWidth="1"/>
    <col min="15" max="15" width="18" customWidth="1"/>
    <col min="20" max="20" width="15.88671875" customWidth="1"/>
    <col min="23" max="23" width="24.109375" customWidth="1"/>
    <col min="24" max="24" width="15.109375" customWidth="1"/>
  </cols>
  <sheetData>
    <row r="2" spans="2:24" x14ac:dyDescent="0.3">
      <c r="E2" s="74"/>
      <c r="S2" s="145"/>
      <c r="T2" s="145" t="s">
        <v>80</v>
      </c>
      <c r="X2" s="109">
        <f>MATCH("",$W$4:$W$93,0)-1</f>
        <v>6</v>
      </c>
    </row>
    <row r="3" spans="2:24" x14ac:dyDescent="0.3">
      <c r="B3" s="6" t="s">
        <v>0</v>
      </c>
      <c r="C3" s="6" t="s">
        <v>30</v>
      </c>
      <c r="D3" s="6" t="s">
        <v>31</v>
      </c>
      <c r="E3" s="7" t="s">
        <v>8</v>
      </c>
      <c r="F3" s="7" t="s">
        <v>13</v>
      </c>
      <c r="G3" s="8" t="s">
        <v>27</v>
      </c>
      <c r="H3" s="8" t="s">
        <v>7</v>
      </c>
      <c r="I3" s="8" t="s">
        <v>28</v>
      </c>
      <c r="J3" s="8" t="s">
        <v>29</v>
      </c>
      <c r="K3" t="s">
        <v>69</v>
      </c>
      <c r="L3" t="s">
        <v>70</v>
      </c>
      <c r="M3" t="s">
        <v>71</v>
      </c>
      <c r="N3" t="s">
        <v>72</v>
      </c>
      <c r="O3" t="s">
        <v>73</v>
      </c>
      <c r="T3" s="85" t="s">
        <v>52</v>
      </c>
      <c r="U3" t="s">
        <v>55</v>
      </c>
      <c r="V3" t="s">
        <v>56</v>
      </c>
      <c r="W3" t="s">
        <v>57</v>
      </c>
      <c r="X3" t="s">
        <v>61</v>
      </c>
    </row>
    <row r="4" spans="2:24" x14ac:dyDescent="0.3">
      <c r="B4" s="9">
        <f>IFERROR(IF(EOMONTH(MAX(Tbl_Transactions[Date]),ROW($B$4)-ROW($B4))&lt;MIN(Tbl_Transactions[Date]),"",EOMONTH(MAX(Tbl_Transactions[Date]),ROW($B$4)-ROW($B4))),"")</f>
        <v>44286</v>
      </c>
      <c r="C4" s="10">
        <f>IFERROR(YEAR(Table3[[#This Row],[Date]]),"")</f>
        <v>2021</v>
      </c>
      <c r="D4" s="10" t="str">
        <f>IFERROR(TEXT(Table3[[#This Row],[Date]],"mmm"),"")</f>
        <v>Mar</v>
      </c>
      <c r="E4" s="78">
        <f>IF(LEN(B4)=0,"",SUMIFS(Tbl_Transactions[Amount],Tbl_Transactions[Type],"Income",Tbl_Transactions[Date],"&lt;="&amp;Monthly_Summary_Table!$B4,Tbl_Transactions[Date],"&gt;"&amp;EOMONTH(Monthly_Summary_Table!$B4,-1)))</f>
        <v>37000</v>
      </c>
      <c r="F4" s="78">
        <f>IF(LEN(B4)=0,"",SUMIFS(Tbl_Transactions[Amount],Tbl_Transactions[Type],"Expense",Tbl_Transactions[Date],"&lt;="&amp;Monthly_Summary_Table!$B4,Tbl_Transactions[Date],"&gt;"&amp;EOMONTH(Monthly_Summary_Table!$B4,-1)))</f>
        <v>1370</v>
      </c>
      <c r="G4" s="78">
        <f>IFERROR(Table3[[#This Row],[Income]]-Table3[[#This Row],[Expense]],"")</f>
        <v>35630</v>
      </c>
      <c r="H4" s="78">
        <f xml:space="preserve"> IF(LEN(Table3[[#This Row],[Date]])=0,"",MonthlyBudget)</f>
        <v>9450</v>
      </c>
      <c r="I4" s="79">
        <f>IF(LEN(Table3[[#This Row],[Date]])=0,"",SUM(G4:$G$123))</f>
        <v>208925</v>
      </c>
      <c r="J4" s="79">
        <f>IF(LEN(Table3[[#This Row],[Date]])=0,"",Table3[[#This Row],[Cumulative Savings]]+Starting_Worth)</f>
        <v>235125</v>
      </c>
      <c r="K4" s="79">
        <f>IF(LEN(B4)=0,"",SUMIFS(Tbl_Transactions[Amount],Tbl_Transactions[Account],I_CHOSEN_ACCT,Tbl_Transactions[Type],"Income",Tbl_Transactions[Date],"&lt;="&amp;Monthly_Summary_Table!$B4,Tbl_Transactions[Date],"&gt;"&amp;EOMONTH(Monthly_Summary_Table!$B4,-1)))</f>
        <v>30000</v>
      </c>
      <c r="L4" s="79">
        <f>IF(LEN(B4)=0,"",SUMIFS(Tbl_Transactions[Amount],Tbl_Transactions[Account],I_CHOSEN_ACCT,Tbl_Transactions[Type],"Expense",Tbl_Transactions[Date],"&lt;="&amp;Monthly_Summary_Table!$B4,Tbl_Transactions[Date],"&gt;"&amp;EOMONTH(Monthly_Summary_Table!$B4,-1)))</f>
        <v>1370</v>
      </c>
      <c r="M4" s="79">
        <f>IF(LEN(B4)=0,"",SUMIFS(Tbl_Transactions[Amount],Tbl_Transactions[Account],I_CHOSEN_ACCT,Tbl_Transactions[Type],"Transfer",Tbl_Transactions[Date],"&lt;="&amp;Monthly_Summary_Table!$B4,Tbl_Transactions[Date],"&gt;"&amp;EOMONTH(Monthly_Summary_Table!$B4,-1)))</f>
        <v>0</v>
      </c>
      <c r="N4" s="79">
        <f>IFERROR(Table3[[#This Row],[ACCT INCOME]]-Table3[[#This Row],[ACCT EXPENSE]]+Table3[[#This Row],[ACCT TRANSFERS]],"")</f>
        <v>28630</v>
      </c>
      <c r="O4" s="79">
        <f>IF(LEN(Table3[[#This Row],[Date]])=0,"",SUM(N4:$N$123)+IF(I_CHOSEN_ACCTTYPE="BANK",INDEX(T_BANK_ACCTS[STARTING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146335</v>
      </c>
      <c r="S4" t="s">
        <v>54</v>
      </c>
      <c r="T4" s="84" t="str">
        <f>IFERROR(IF(INDEX(T_BANK_ACCTS[ACCOUNT NAME],ROW(T4)-ROW($T$3))=0," ",INDEX(T_BANK_ACCTS[ACCOUNT NAME],ROW(T4)-ROW($T$3)))," ")</f>
        <v>Indian Bank</v>
      </c>
      <c r="U4">
        <f t="shared" ref="U4:U35" si="0">IF(T4=" "," ",ROW(T4)-ROW($T$3))</f>
        <v>1</v>
      </c>
      <c r="V4">
        <f t="shared" ref="V4:V35" si="1">IFERROR(SMALL($U$4:$U$93,ROW(V4)-ROW($V$3)),"")</f>
        <v>1</v>
      </c>
      <c r="W4" t="str">
        <f>IFERROR(INDEX($T$4:$T$93,V4),"")</f>
        <v>Indian Bank</v>
      </c>
      <c r="X4" t="str">
        <f>IFERROR(INDEX($S$4:$S$93,V4),"")</f>
        <v>BANK</v>
      </c>
    </row>
    <row r="5" spans="2:24" x14ac:dyDescent="0.3">
      <c r="B5" s="9">
        <f>IFERROR(IF(EOMONTH(MAX(Tbl_Transactions[Date]),ROW($B$4)-ROW($B5))&lt;MIN(Tbl_Transactions[Date]),"",EOMONTH(MAX(Tbl_Transactions[Date]),ROW($B$4)-ROW($B5))),"")</f>
        <v>44255</v>
      </c>
      <c r="C5" s="10">
        <f>IFERROR(YEAR(Table3[[#This Row],[Date]]),"")</f>
        <v>2021</v>
      </c>
      <c r="D5" s="10" t="str">
        <f>IFERROR(TEXT(Table3[[#This Row],[Date]],"mmm"),"")</f>
        <v>Feb</v>
      </c>
      <c r="E5" s="78">
        <f>IF(LEN(B5)=0,"",SUMIFS(Tbl_Transactions[Amount],Tbl_Transactions[Type],"Income",Tbl_Transactions[Date],"&lt;="&amp;Monthly_Summary_Table!$B5,Tbl_Transactions[Date],"&gt;"&amp;EOMONTH(Monthly_Summary_Table!$B5,-1)))</f>
        <v>0</v>
      </c>
      <c r="F5" s="78">
        <f>IF(LEN(B5)=0,"",SUMIFS(Tbl_Transactions[Amount],Tbl_Transactions[Type],"Expense",Tbl_Transactions[Date],"&lt;="&amp;Monthly_Summary_Table!$B5,Tbl_Transactions[Date],"&gt;"&amp;EOMONTH(Monthly_Summary_Table!$B5,-1)))</f>
        <v>2830</v>
      </c>
      <c r="G5" s="78">
        <f>IFERROR(Table3[[#This Row],[Income]]-Table3[[#This Row],[Expense]],"")</f>
        <v>-2830</v>
      </c>
      <c r="H5" s="78">
        <f xml:space="preserve"> IF(LEN(Table3[[#This Row],[Date]])=0,"",MonthlyBudget)</f>
        <v>9450</v>
      </c>
      <c r="I5" s="79">
        <f>IF(LEN(Table3[[#This Row],[Date]])=0,"",SUM(G5:$G$123))</f>
        <v>173295</v>
      </c>
      <c r="J5" s="79">
        <f>IF(LEN(Table3[[#This Row],[Date]])=0,"",Table3[[#This Row],[Cumulative Savings]]+Starting_Worth)</f>
        <v>199495</v>
      </c>
      <c r="K5" s="79">
        <f>IF(LEN(B5)=0,"",SUMIFS(Tbl_Transactions[Amount],Tbl_Transactions[Account],I_CHOSEN_ACCT,Tbl_Transactions[Type],"Income",Tbl_Transactions[Date],"&lt;="&amp;Monthly_Summary_Table!$B5,Tbl_Transactions[Date],"&gt;"&amp;EOMONTH(Monthly_Summary_Table!$B5,-1)))</f>
        <v>0</v>
      </c>
      <c r="L5" s="79">
        <f>IF(LEN(B5)=0,"",SUMIFS(Tbl_Transactions[Amount],Tbl_Transactions[Account],I_CHOSEN_ACCT,Tbl_Transactions[Type],"Expense",Tbl_Transactions[Date],"&lt;="&amp;Monthly_Summary_Table!$B5,Tbl_Transactions[Date],"&gt;"&amp;EOMONTH(Monthly_Summary_Table!$B5,-1)))</f>
        <v>0</v>
      </c>
      <c r="M5" s="79">
        <f>IF(LEN(B5)=0,"",SUMIFS(Tbl_Transactions[Amount],Tbl_Transactions[Account],I_CHOSEN_ACCT,Tbl_Transactions[Type],"Transfer",Tbl_Transactions[Date],"&lt;="&amp;Monthly_Summary_Table!$B5,Tbl_Transactions[Date],"&gt;"&amp;EOMONTH(Monthly_Summary_Table!$B5,-1)))</f>
        <v>0</v>
      </c>
      <c r="N5" s="79">
        <f>IFERROR(Table3[[#This Row],[ACCT INCOME]]-Table3[[#This Row],[ACCT EXPENSE]]+Table3[[#This Row],[ACCT TRANSFERS]],"")</f>
        <v>0</v>
      </c>
      <c r="O5" s="79">
        <f>IF(LEN(Table3[[#This Row],[Date]])=0,"",SUM(N5:$N$123)+IF(I_CHOSEN_ACCTTYPE="BANK",INDEX(T_BANK_ACCTS[STARTING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117705</v>
      </c>
      <c r="S5" t="s">
        <v>54</v>
      </c>
      <c r="T5" s="84" t="str">
        <f>IFERROR(IF(INDEX(T_BANK_ACCTS[ACCOUNT NAME],ROW(T5)-ROW($T$3))=0," ",INDEX(T_BANK_ACCTS[ACCOUNT NAME],ROW(T5)-ROW($T$3)))," ")</f>
        <v>Indian Overseas Bank</v>
      </c>
      <c r="U5">
        <f t="shared" si="0"/>
        <v>2</v>
      </c>
      <c r="V5">
        <f t="shared" si="1"/>
        <v>2</v>
      </c>
      <c r="W5" t="str">
        <f t="shared" ref="W5:W68" si="2">IFERROR(INDEX($T$4:$T$93,V5),"")</f>
        <v>Indian Overseas Bank</v>
      </c>
      <c r="X5" t="str">
        <f t="shared" ref="X5:X68" si="3">IFERROR(INDEX($S$4:$S$93,V5),"")</f>
        <v>BANK</v>
      </c>
    </row>
    <row r="6" spans="2:24" x14ac:dyDescent="0.3">
      <c r="B6" s="9">
        <f>IFERROR(IF(EOMONTH(MAX(Tbl_Transactions[Date]),ROW($B$4)-ROW($B6))&lt;MIN(Tbl_Transactions[Date]),"",EOMONTH(MAX(Tbl_Transactions[Date]),ROW($B$4)-ROW($B6))),"")</f>
        <v>44227</v>
      </c>
      <c r="C6" s="10">
        <f>IFERROR(YEAR(Table3[[#This Row],[Date]]),"")</f>
        <v>2021</v>
      </c>
      <c r="D6" s="10" t="str">
        <f>IFERROR(TEXT(Table3[[#This Row],[Date]],"mmm"),"")</f>
        <v>Jan</v>
      </c>
      <c r="E6" s="78">
        <f>IF(LEN(B6)=0,"",SUMIFS(Tbl_Transactions[Amount],Tbl_Transactions[Type],"Income",Tbl_Transactions[Date],"&lt;="&amp;Monthly_Summary_Table!$B6,Tbl_Transactions[Date],"&gt;"&amp;EOMONTH(Monthly_Summary_Table!$B6,-1)))</f>
        <v>0</v>
      </c>
      <c r="F6" s="78">
        <f>IF(LEN(B6)=0,"",SUMIFS(Tbl_Transactions[Amount],Tbl_Transactions[Type],"Expense",Tbl_Transactions[Date],"&lt;="&amp;Monthly_Summary_Table!$B6,Tbl_Transactions[Date],"&gt;"&amp;EOMONTH(Monthly_Summary_Table!$B6,-1)))</f>
        <v>935</v>
      </c>
      <c r="G6" s="78">
        <f>IFERROR(Table3[[#This Row],[Income]]-Table3[[#This Row],[Expense]],"")</f>
        <v>-935</v>
      </c>
      <c r="H6" s="78">
        <f xml:space="preserve"> IF(LEN(Table3[[#This Row],[Date]])=0,"",MonthlyBudget)</f>
        <v>9450</v>
      </c>
      <c r="I6" s="79">
        <f>IF(LEN(Table3[[#This Row],[Date]])=0,"",SUM(G6:$G$123))</f>
        <v>176125</v>
      </c>
      <c r="J6" s="79">
        <f>IF(LEN(Table3[[#This Row],[Date]])=0,"",Table3[[#This Row],[Cumulative Savings]]+Starting_Worth)</f>
        <v>202325</v>
      </c>
      <c r="K6" s="79">
        <f>IF(LEN(B6)=0,"",SUMIFS(Tbl_Transactions[Amount],Tbl_Transactions[Account],I_CHOSEN_ACCT,Tbl_Transactions[Type],"Income",Tbl_Transactions[Date],"&lt;="&amp;Monthly_Summary_Table!$B6,Tbl_Transactions[Date],"&gt;"&amp;EOMONTH(Monthly_Summary_Table!$B6,-1)))</f>
        <v>0</v>
      </c>
      <c r="L6" s="79">
        <f>IF(LEN(B6)=0,"",SUMIFS(Tbl_Transactions[Amount],Tbl_Transactions[Account],I_CHOSEN_ACCT,Tbl_Transactions[Type],"Expense",Tbl_Transactions[Date],"&lt;="&amp;Monthly_Summary_Table!$B6,Tbl_Transactions[Date],"&gt;"&amp;EOMONTH(Monthly_Summary_Table!$B6,-1)))</f>
        <v>165</v>
      </c>
      <c r="M6" s="79">
        <f>IF(LEN(B6)=0,"",SUMIFS(Tbl_Transactions[Amount],Tbl_Transactions[Account],I_CHOSEN_ACCT,Tbl_Transactions[Type],"Transfer",Tbl_Transactions[Date],"&lt;="&amp;Monthly_Summary_Table!$B6,Tbl_Transactions[Date],"&gt;"&amp;EOMONTH(Monthly_Summary_Table!$B6,-1)))</f>
        <v>-3000</v>
      </c>
      <c r="N6" s="79">
        <f>IFERROR(Table3[[#This Row],[ACCT INCOME]]-Table3[[#This Row],[ACCT EXPENSE]]+Table3[[#This Row],[ACCT TRANSFERS]],"")</f>
        <v>-3165</v>
      </c>
      <c r="O6" s="79">
        <f>IF(LEN(Table3[[#This Row],[Date]])=0,"",SUM(N6:$N$123)+IF(I_CHOSEN_ACCTTYPE="BANK",INDEX(T_BANK_ACCTS[STARTING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117705</v>
      </c>
      <c r="S6" t="s">
        <v>54</v>
      </c>
      <c r="T6" s="84" t="str">
        <f>IFERROR(IF(INDEX(T_BANK_ACCTS[ACCOUNT NAME],ROW(T6)-ROW($T$3))=0," ",INDEX(T_BANK_ACCTS[ACCOUNT NAME],ROW(T6)-ROW($T$3)))," ")</f>
        <v>HDFC Bank</v>
      </c>
      <c r="U6">
        <f t="shared" si="0"/>
        <v>3</v>
      </c>
      <c r="V6">
        <f t="shared" si="1"/>
        <v>3</v>
      </c>
      <c r="W6" t="str">
        <f t="shared" si="2"/>
        <v>HDFC Bank</v>
      </c>
      <c r="X6" t="str">
        <f t="shared" si="3"/>
        <v>BANK</v>
      </c>
    </row>
    <row r="7" spans="2:24" x14ac:dyDescent="0.3">
      <c r="B7" s="9">
        <f>IFERROR(IF(EOMONTH(MAX(Tbl_Transactions[Date]),ROW($B$4)-ROW($B7))&lt;MIN(Tbl_Transactions[Date]),"",EOMONTH(MAX(Tbl_Transactions[Date]),ROW($B$4)-ROW($B7))),"")</f>
        <v>44196</v>
      </c>
      <c r="C7" s="10">
        <f>IFERROR(YEAR(Table3[[#This Row],[Date]]),"")</f>
        <v>2020</v>
      </c>
      <c r="D7" s="10" t="str">
        <f>IFERROR(TEXT(Table3[[#This Row],[Date]],"mmm"),"")</f>
        <v>Dec</v>
      </c>
      <c r="E7" s="78">
        <f>IF(LEN(B7)=0,"",SUMIFS(Tbl_Transactions[Amount],Tbl_Transactions[Type],"Income",Tbl_Transactions[Date],"&lt;="&amp;Monthly_Summary_Table!$B7,Tbl_Transactions[Date],"&gt;"&amp;EOMONTH(Monthly_Summary_Table!$B7,-1)))</f>
        <v>37000</v>
      </c>
      <c r="F7" s="78">
        <f>IF(LEN(B7)=0,"",SUMIFS(Tbl_Transactions[Amount],Tbl_Transactions[Type],"Expense",Tbl_Transactions[Date],"&lt;="&amp;Monthly_Summary_Table!$B7,Tbl_Transactions[Date],"&gt;"&amp;EOMONTH(Monthly_Summary_Table!$B7,-1)))</f>
        <v>3230</v>
      </c>
      <c r="G7" s="78">
        <f>IFERROR(Table3[[#This Row],[Income]]-Table3[[#This Row],[Expense]],"")</f>
        <v>33770</v>
      </c>
      <c r="H7" s="78">
        <f xml:space="preserve"> IF(LEN(Table3[[#This Row],[Date]])=0,"",MonthlyBudget)</f>
        <v>9450</v>
      </c>
      <c r="I7" s="79">
        <f>IF(LEN(Table3[[#This Row],[Date]])=0,"",SUM(G7:$G$123))</f>
        <v>177060</v>
      </c>
      <c r="J7" s="79">
        <f>IF(LEN(Table3[[#This Row],[Date]])=0,"",Table3[[#This Row],[Cumulative Savings]]+Starting_Worth)</f>
        <v>203260</v>
      </c>
      <c r="K7" s="79">
        <f>IF(LEN(B7)=0,"",SUMIFS(Tbl_Transactions[Amount],Tbl_Transactions[Account],I_CHOSEN_ACCT,Tbl_Transactions[Type],"Income",Tbl_Transactions[Date],"&lt;="&amp;Monthly_Summary_Table!$B7,Tbl_Transactions[Date],"&gt;"&amp;EOMONTH(Monthly_Summary_Table!$B7,-1)))</f>
        <v>30000</v>
      </c>
      <c r="L7" s="79">
        <f>IF(LEN(B7)=0,"",SUMIFS(Tbl_Transactions[Amount],Tbl_Transactions[Account],I_CHOSEN_ACCT,Tbl_Transactions[Type],"Expense",Tbl_Transactions[Date],"&lt;="&amp;Monthly_Summary_Table!$B7,Tbl_Transactions[Date],"&gt;"&amp;EOMONTH(Monthly_Summary_Table!$B7,-1)))</f>
        <v>3230</v>
      </c>
      <c r="M7" s="79">
        <f>IF(LEN(B7)=0,"",SUMIFS(Tbl_Transactions[Amount],Tbl_Transactions[Account],I_CHOSEN_ACCT,Tbl_Transactions[Type],"Transfer",Tbl_Transactions[Date],"&lt;="&amp;Monthly_Summary_Table!$B7,Tbl_Transactions[Date],"&gt;"&amp;EOMONTH(Monthly_Summary_Table!$B7,-1)))</f>
        <v>0</v>
      </c>
      <c r="N7" s="79">
        <f>IFERROR(Table3[[#This Row],[ACCT INCOME]]-Table3[[#This Row],[ACCT EXPENSE]]+Table3[[#This Row],[ACCT TRANSFERS]],"")</f>
        <v>26770</v>
      </c>
      <c r="O7" s="79">
        <f>IF(LEN(Table3[[#This Row],[Date]])=0,"",SUM(N7:$N$123)+IF(I_CHOSEN_ACCTTYPE="BANK",INDEX(T_BANK_ACCTS[STARTING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120870</v>
      </c>
      <c r="S7" t="s">
        <v>54</v>
      </c>
      <c r="T7" s="84" t="str">
        <f>IFERROR(IF(INDEX(T_BANK_ACCTS[ACCOUNT NAME],ROW(T7)-ROW($T$3))=0," ",INDEX(T_BANK_ACCTS[ACCOUNT NAME],ROW(T7)-ROW($T$3)))," ")</f>
        <v xml:space="preserve"> </v>
      </c>
      <c r="U7" t="str">
        <f t="shared" si="0"/>
        <v xml:space="preserve"> </v>
      </c>
      <c r="V7">
        <f t="shared" si="1"/>
        <v>31</v>
      </c>
      <c r="W7" t="str">
        <f t="shared" si="2"/>
        <v>State Bank of India CC</v>
      </c>
      <c r="X7" t="str">
        <f t="shared" si="3"/>
        <v>CREDIT</v>
      </c>
    </row>
    <row r="8" spans="2:24" x14ac:dyDescent="0.3">
      <c r="B8" s="9">
        <f>IFERROR(IF(EOMONTH(MAX(Tbl_Transactions[Date]),ROW($B$4)-ROW($B8))&lt;MIN(Tbl_Transactions[Date]),"",EOMONTH(MAX(Tbl_Transactions[Date]),ROW($B$4)-ROW($B8))),"")</f>
        <v>44165</v>
      </c>
      <c r="C8" s="10">
        <f>IFERROR(YEAR(Table3[[#This Row],[Date]]),"")</f>
        <v>2020</v>
      </c>
      <c r="D8" s="10" t="str">
        <f>IFERROR(TEXT(Table3[[#This Row],[Date]],"mmm"),"")</f>
        <v>Nov</v>
      </c>
      <c r="E8" s="78">
        <f>IF(LEN(B8)=0,"",SUMIFS(Tbl_Transactions[Amount],Tbl_Transactions[Type],"Income",Tbl_Transactions[Date],"&lt;="&amp;Monthly_Summary_Table!$B8,Tbl_Transactions[Date],"&gt;"&amp;EOMONTH(Monthly_Summary_Table!$B8,-1)))</f>
        <v>0</v>
      </c>
      <c r="F8" s="78">
        <f>IF(LEN(B8)=0,"",SUMIFS(Tbl_Transactions[Amount],Tbl_Transactions[Type],"Expense",Tbl_Transactions[Date],"&lt;="&amp;Monthly_Summary_Table!$B8,Tbl_Transactions[Date],"&gt;"&amp;EOMONTH(Monthly_Summary_Table!$B8,-1)))</f>
        <v>2830</v>
      </c>
      <c r="G8" s="78">
        <f>IFERROR(Table3[[#This Row],[Income]]-Table3[[#This Row],[Expense]],"")</f>
        <v>-2830</v>
      </c>
      <c r="H8" s="78">
        <f xml:space="preserve"> IF(LEN(Table3[[#This Row],[Date]])=0,"",MonthlyBudget)</f>
        <v>9450</v>
      </c>
      <c r="I8" s="79">
        <f>IF(LEN(Table3[[#This Row],[Date]])=0,"",SUM(G8:$G$123))</f>
        <v>143290</v>
      </c>
      <c r="J8" s="79">
        <f>IF(LEN(Table3[[#This Row],[Date]])=0,"",Table3[[#This Row],[Cumulative Savings]]+Starting_Worth)</f>
        <v>169490</v>
      </c>
      <c r="K8" s="79">
        <f>IF(LEN(B8)=0,"",SUMIFS(Tbl_Transactions[Amount],Tbl_Transactions[Account],I_CHOSEN_ACCT,Tbl_Transactions[Type],"Income",Tbl_Transactions[Date],"&lt;="&amp;Monthly_Summary_Table!$B8,Tbl_Transactions[Date],"&gt;"&amp;EOMONTH(Monthly_Summary_Table!$B8,-1)))</f>
        <v>0</v>
      </c>
      <c r="L8" s="79">
        <f>IF(LEN(B8)=0,"",SUMIFS(Tbl_Transactions[Amount],Tbl_Transactions[Account],I_CHOSEN_ACCT,Tbl_Transactions[Type],"Expense",Tbl_Transactions[Date],"&lt;="&amp;Monthly_Summary_Table!$B8,Tbl_Transactions[Date],"&gt;"&amp;EOMONTH(Monthly_Summary_Table!$B8,-1)))</f>
        <v>0</v>
      </c>
      <c r="M8" s="79">
        <f>IF(LEN(B8)=0,"",SUMIFS(Tbl_Transactions[Amount],Tbl_Transactions[Account],I_CHOSEN_ACCT,Tbl_Transactions[Type],"Transfer",Tbl_Transactions[Date],"&lt;="&amp;Monthly_Summary_Table!$B8,Tbl_Transactions[Date],"&gt;"&amp;EOMONTH(Monthly_Summary_Table!$B8,-1)))</f>
        <v>0</v>
      </c>
      <c r="N8" s="79">
        <f>IFERROR(Table3[[#This Row],[ACCT INCOME]]-Table3[[#This Row],[ACCT EXPENSE]]+Table3[[#This Row],[ACCT TRANSFERS]],"")</f>
        <v>0</v>
      </c>
      <c r="O8" s="79">
        <f>IF(LEN(Table3[[#This Row],[Date]])=0,"",SUM(N8:$N$123)+IF(I_CHOSEN_ACCTTYPE="BANK",INDEX(T_BANK_ACCTS[STARTING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94100</v>
      </c>
      <c r="S8" t="s">
        <v>54</v>
      </c>
      <c r="T8" s="84" t="str">
        <f>IFERROR(IF(INDEX(T_BANK_ACCTS[ACCOUNT NAME],ROW(T8)-ROW($T$3))=0," ",INDEX(T_BANK_ACCTS[ACCOUNT NAME],ROW(T8)-ROW($T$3)))," ")</f>
        <v xml:space="preserve"> </v>
      </c>
      <c r="U8" t="str">
        <f t="shared" si="0"/>
        <v xml:space="preserve"> </v>
      </c>
      <c r="V8">
        <f t="shared" si="1"/>
        <v>32</v>
      </c>
      <c r="W8" t="str">
        <f t="shared" si="2"/>
        <v>ICICI CC</v>
      </c>
      <c r="X8" t="str">
        <f t="shared" si="3"/>
        <v>CREDIT</v>
      </c>
    </row>
    <row r="9" spans="2:24" x14ac:dyDescent="0.3">
      <c r="B9" s="9">
        <f>IFERROR(IF(EOMONTH(MAX(Tbl_Transactions[Date]),ROW($B$4)-ROW($B9))&lt;MIN(Tbl_Transactions[Date]),"",EOMONTH(MAX(Tbl_Transactions[Date]),ROW($B$4)-ROW($B9))),"")</f>
        <v>44135</v>
      </c>
      <c r="C9" s="10">
        <f>IFERROR(YEAR(Table3[[#This Row],[Date]]),"")</f>
        <v>2020</v>
      </c>
      <c r="D9" s="10" t="str">
        <f>IFERROR(TEXT(Table3[[#This Row],[Date]],"mmm"),"")</f>
        <v>Oct</v>
      </c>
      <c r="E9" s="78">
        <f>IF(LEN(B9)=0,"",SUMIFS(Tbl_Transactions[Amount],Tbl_Transactions[Type],"Income",Tbl_Transactions[Date],"&lt;="&amp;Monthly_Summary_Table!$B9,Tbl_Transactions[Date],"&gt;"&amp;EOMONTH(Monthly_Summary_Table!$B9,-1)))</f>
        <v>0</v>
      </c>
      <c r="F9" s="78">
        <f>IF(LEN(B9)=0,"",SUMIFS(Tbl_Transactions[Amount],Tbl_Transactions[Type],"Expense",Tbl_Transactions[Date],"&lt;="&amp;Monthly_Summary_Table!$B9,Tbl_Transactions[Date],"&gt;"&amp;EOMONTH(Monthly_Summary_Table!$B9,-1)))</f>
        <v>1330</v>
      </c>
      <c r="G9" s="78">
        <f>IFERROR(Table3[[#This Row],[Income]]-Table3[[#This Row],[Expense]],"")</f>
        <v>-1330</v>
      </c>
      <c r="H9" s="78">
        <f xml:space="preserve"> IF(LEN(Table3[[#This Row],[Date]])=0,"",MonthlyBudget)</f>
        <v>9450</v>
      </c>
      <c r="I9" s="79">
        <f>IF(LEN(Table3[[#This Row],[Date]])=0,"",SUM(G9:$G$123))</f>
        <v>146120</v>
      </c>
      <c r="J9" s="79">
        <f>IF(LEN(Table3[[#This Row],[Date]])=0,"",Table3[[#This Row],[Cumulative Savings]]+Starting_Worth)</f>
        <v>172320</v>
      </c>
      <c r="K9" s="79">
        <f>IF(LEN(B9)=0,"",SUMIFS(Tbl_Transactions[Amount],Tbl_Transactions[Account],I_CHOSEN_ACCT,Tbl_Transactions[Type],"Income",Tbl_Transactions[Date],"&lt;="&amp;Monthly_Summary_Table!$B9,Tbl_Transactions[Date],"&gt;"&amp;EOMONTH(Monthly_Summary_Table!$B9,-1)))</f>
        <v>0</v>
      </c>
      <c r="L9" s="79">
        <f>IF(LEN(B9)=0,"",SUMIFS(Tbl_Transactions[Amount],Tbl_Transactions[Account],I_CHOSEN_ACCT,Tbl_Transactions[Type],"Expense",Tbl_Transactions[Date],"&lt;="&amp;Monthly_Summary_Table!$B9,Tbl_Transactions[Date],"&gt;"&amp;EOMONTH(Monthly_Summary_Table!$B9,-1)))</f>
        <v>330</v>
      </c>
      <c r="M9" s="79">
        <f>IF(LEN(B9)=0,"",SUMIFS(Tbl_Transactions[Amount],Tbl_Transactions[Account],I_CHOSEN_ACCT,Tbl_Transactions[Type],"Transfer",Tbl_Transactions[Date],"&lt;="&amp;Monthly_Summary_Table!$B9,Tbl_Transactions[Date],"&gt;"&amp;EOMONTH(Monthly_Summary_Table!$B9,-1)))</f>
        <v>-7500</v>
      </c>
      <c r="N9" s="79">
        <f>IFERROR(Table3[[#This Row],[ACCT INCOME]]-Table3[[#This Row],[ACCT EXPENSE]]+Table3[[#This Row],[ACCT TRANSFERS]],"")</f>
        <v>-7830</v>
      </c>
      <c r="O9" s="79">
        <f>IF(LEN(Table3[[#This Row],[Date]])=0,"",SUM(N9:$N$123)+IF(I_CHOSEN_ACCTTYPE="BANK",INDEX(T_BANK_ACCTS[STARTING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94100</v>
      </c>
      <c r="S9" t="s">
        <v>54</v>
      </c>
      <c r="T9" s="84" t="str">
        <f>IFERROR(IF(INDEX(T_BANK_ACCTS[ACCOUNT NAME],ROW(T9)-ROW($T$3))=0," ",INDEX(T_BANK_ACCTS[ACCOUNT NAME],ROW(T9)-ROW($T$3)))," ")</f>
        <v xml:space="preserve"> </v>
      </c>
      <c r="U9" t="str">
        <f t="shared" si="0"/>
        <v xml:space="preserve"> </v>
      </c>
      <c r="V9">
        <f t="shared" si="1"/>
        <v>61</v>
      </c>
      <c r="W9" t="str">
        <f t="shared" si="2"/>
        <v>WALLET</v>
      </c>
      <c r="X9" t="str">
        <f t="shared" si="3"/>
        <v>CASH</v>
      </c>
    </row>
    <row r="10" spans="2:24" x14ac:dyDescent="0.3">
      <c r="B10" s="9">
        <f>IFERROR(IF(EOMONTH(MAX(Tbl_Transactions[Date]),ROW($B$4)-ROW($B10))&lt;MIN(Tbl_Transactions[Date]),"",EOMONTH(MAX(Tbl_Transactions[Date]),ROW($B$4)-ROW($B10))),"")</f>
        <v>44104</v>
      </c>
      <c r="C10" s="10">
        <f>IFERROR(YEAR(Table3[[#This Row],[Date]]),"")</f>
        <v>2020</v>
      </c>
      <c r="D10" s="10" t="str">
        <f>IFERROR(TEXT(Table3[[#This Row],[Date]],"mmm"),"")</f>
        <v>Sep</v>
      </c>
      <c r="E10" s="78">
        <f>IF(LEN(B10)=0,"",SUMIFS(Tbl_Transactions[Amount],Tbl_Transactions[Type],"Income",Tbl_Transactions[Date],"&lt;="&amp;Monthly_Summary_Table!$B10,Tbl_Transactions[Date],"&gt;"&amp;EOMONTH(Monthly_Summary_Table!$B10,-1)))</f>
        <v>37000</v>
      </c>
      <c r="F10" s="78">
        <f>IF(LEN(B10)=0,"",SUMIFS(Tbl_Transactions[Amount],Tbl_Transactions[Type],"Expense",Tbl_Transactions[Date],"&lt;="&amp;Monthly_Summary_Table!$B10,Tbl_Transactions[Date],"&gt;"&amp;EOMONTH(Monthly_Summary_Table!$B10,-1)))</f>
        <v>2280</v>
      </c>
      <c r="G10" s="78">
        <f>IFERROR(Table3[[#This Row],[Income]]-Table3[[#This Row],[Expense]],"")</f>
        <v>34720</v>
      </c>
      <c r="H10" s="78">
        <f xml:space="preserve"> IF(LEN(Table3[[#This Row],[Date]])=0,"",MonthlyBudget)</f>
        <v>9450</v>
      </c>
      <c r="I10" s="79">
        <f>IF(LEN(Table3[[#This Row],[Date]])=0,"",SUM(G10:$G$123))</f>
        <v>147450</v>
      </c>
      <c r="J10" s="79">
        <f>IF(LEN(Table3[[#This Row],[Date]])=0,"",Table3[[#This Row],[Cumulative Savings]]+Starting_Worth)</f>
        <v>173650</v>
      </c>
      <c r="K10" s="79">
        <f>IF(LEN(B10)=0,"",SUMIFS(Tbl_Transactions[Amount],Tbl_Transactions[Account],I_CHOSEN_ACCT,Tbl_Transactions[Type],"Income",Tbl_Transactions[Date],"&lt;="&amp;Monthly_Summary_Table!$B10,Tbl_Transactions[Date],"&gt;"&amp;EOMONTH(Monthly_Summary_Table!$B10,-1)))</f>
        <v>30000</v>
      </c>
      <c r="L10" s="79">
        <f>IF(LEN(B10)=0,"",SUMIFS(Tbl_Transactions[Amount],Tbl_Transactions[Account],I_CHOSEN_ACCT,Tbl_Transactions[Type],"Expense",Tbl_Transactions[Date],"&lt;="&amp;Monthly_Summary_Table!$B10,Tbl_Transactions[Date],"&gt;"&amp;EOMONTH(Monthly_Summary_Table!$B10,-1)))</f>
        <v>1360</v>
      </c>
      <c r="M10" s="79">
        <f>IF(LEN(B10)=0,"",SUMIFS(Tbl_Transactions[Amount],Tbl_Transactions[Account],I_CHOSEN_ACCT,Tbl_Transactions[Type],"Transfer",Tbl_Transactions[Date],"&lt;="&amp;Monthly_Summary_Table!$B10,Tbl_Transactions[Date],"&gt;"&amp;EOMONTH(Monthly_Summary_Table!$B10,-1)))</f>
        <v>0</v>
      </c>
      <c r="N10" s="79">
        <f>IFERROR(Table3[[#This Row],[ACCT INCOME]]-Table3[[#This Row],[ACCT EXPENSE]]+Table3[[#This Row],[ACCT TRANSFERS]],"")</f>
        <v>28640</v>
      </c>
      <c r="O10" s="79">
        <f>IF(LEN(Table3[[#This Row],[Date]])=0,"",SUM(N10:$N$123)+IF(I_CHOSEN_ACCTTYPE="BANK",INDEX(T_BANK_ACCTS[STARTING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101930</v>
      </c>
      <c r="S10" t="s">
        <v>54</v>
      </c>
      <c r="T10" s="84" t="str">
        <f>IFERROR(IF(INDEX(T_BANK_ACCTS[ACCOUNT NAME],ROW(T10)-ROW($T$3))=0," ",INDEX(T_BANK_ACCTS[ACCOUNT NAME],ROW(T10)-ROW($T$3)))," ")</f>
        <v xml:space="preserve"> </v>
      </c>
      <c r="U10" t="str">
        <f t="shared" si="0"/>
        <v xml:space="preserve"> </v>
      </c>
      <c r="V10" t="str">
        <f t="shared" si="1"/>
        <v/>
      </c>
      <c r="W10" t="str">
        <f t="shared" si="2"/>
        <v/>
      </c>
      <c r="X10" t="str">
        <f t="shared" si="3"/>
        <v/>
      </c>
    </row>
    <row r="11" spans="2:24" x14ac:dyDescent="0.3">
      <c r="B11" s="9">
        <f>IFERROR(IF(EOMONTH(MAX(Tbl_Transactions[Date]),ROW($B$4)-ROW($B11))&lt;MIN(Tbl_Transactions[Date]),"",EOMONTH(MAX(Tbl_Transactions[Date]),ROW($B$4)-ROW($B11))),"")</f>
        <v>44074</v>
      </c>
      <c r="C11" s="10">
        <f>IFERROR(YEAR(Table3[[#This Row],[Date]]),"")</f>
        <v>2020</v>
      </c>
      <c r="D11" s="10" t="str">
        <f>IFERROR(TEXT(Table3[[#This Row],[Date]],"mmm"),"")</f>
        <v>Aug</v>
      </c>
      <c r="E11" s="78">
        <f>IF(LEN(B11)=0,"",SUMIFS(Tbl_Transactions[Amount],Tbl_Transactions[Type],"Income",Tbl_Transactions[Date],"&lt;="&amp;Monthly_Summary_Table!$B11,Tbl_Transactions[Date],"&gt;"&amp;EOMONTH(Monthly_Summary_Table!$B11,-1)))</f>
        <v>0</v>
      </c>
      <c r="F11" s="78">
        <f>IF(LEN(B11)=0,"",SUMIFS(Tbl_Transactions[Amount],Tbl_Transactions[Type],"Expense",Tbl_Transactions[Date],"&lt;="&amp;Monthly_Summary_Table!$B11,Tbl_Transactions[Date],"&gt;"&amp;EOMONTH(Monthly_Summary_Table!$B11,-1)))</f>
        <v>1740</v>
      </c>
      <c r="G11" s="78">
        <f>IFERROR(Table3[[#This Row],[Income]]-Table3[[#This Row],[Expense]],"")</f>
        <v>-1740</v>
      </c>
      <c r="H11" s="78">
        <f xml:space="preserve"> IF(LEN(Table3[[#This Row],[Date]])=0,"",MonthlyBudget)</f>
        <v>9450</v>
      </c>
      <c r="I11" s="79">
        <f>IF(LEN(Table3[[#This Row],[Date]])=0,"",SUM(G11:$G$123))</f>
        <v>112730</v>
      </c>
      <c r="J11" s="79">
        <f>IF(LEN(Table3[[#This Row],[Date]])=0,"",Table3[[#This Row],[Cumulative Savings]]+Starting_Worth)</f>
        <v>138930</v>
      </c>
      <c r="K11" s="79">
        <f>IF(LEN(B11)=0,"",SUMIFS(Tbl_Transactions[Amount],Tbl_Transactions[Account],I_CHOSEN_ACCT,Tbl_Transactions[Type],"Income",Tbl_Transactions[Date],"&lt;="&amp;Monthly_Summary_Table!$B11,Tbl_Transactions[Date],"&gt;"&amp;EOMONTH(Monthly_Summary_Table!$B11,-1)))</f>
        <v>0</v>
      </c>
      <c r="L11" s="79">
        <f>IF(LEN(B11)=0,"",SUMIFS(Tbl_Transactions[Amount],Tbl_Transactions[Account],I_CHOSEN_ACCT,Tbl_Transactions[Type],"Expense",Tbl_Transactions[Date],"&lt;="&amp;Monthly_Summary_Table!$B11,Tbl_Transactions[Date],"&gt;"&amp;EOMONTH(Monthly_Summary_Table!$B11,-1)))</f>
        <v>90</v>
      </c>
      <c r="M11" s="79">
        <f>IF(LEN(B11)=0,"",SUMIFS(Tbl_Transactions[Amount],Tbl_Transactions[Account],I_CHOSEN_ACCT,Tbl_Transactions[Type],"Transfer",Tbl_Transactions[Date],"&lt;="&amp;Monthly_Summary_Table!$B11,Tbl_Transactions[Date],"&gt;"&amp;EOMONTH(Monthly_Summary_Table!$B11,-1)))</f>
        <v>0</v>
      </c>
      <c r="N11" s="79">
        <f>IFERROR(Table3[[#This Row],[ACCT INCOME]]-Table3[[#This Row],[ACCT EXPENSE]]+Table3[[#This Row],[ACCT TRANSFERS]],"")</f>
        <v>-90</v>
      </c>
      <c r="O11" s="79">
        <f>IF(LEN(Table3[[#This Row],[Date]])=0,"",SUM(N11:$N$123)+IF(I_CHOSEN_ACCTTYPE="BANK",INDEX(T_BANK_ACCTS[STARTING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73290</v>
      </c>
      <c r="S11" t="s">
        <v>54</v>
      </c>
      <c r="T11" s="84" t="str">
        <f>IFERROR(IF(INDEX(T_BANK_ACCTS[ACCOUNT NAME],ROW(T11)-ROW($T$3))=0," ",INDEX(T_BANK_ACCTS[ACCOUNT NAME],ROW(T11)-ROW($T$3)))," ")</f>
        <v xml:space="preserve"> </v>
      </c>
      <c r="U11" t="str">
        <f t="shared" si="0"/>
        <v xml:space="preserve"> </v>
      </c>
      <c r="V11" t="str">
        <f t="shared" si="1"/>
        <v/>
      </c>
      <c r="W11" t="str">
        <f t="shared" si="2"/>
        <v/>
      </c>
      <c r="X11" t="str">
        <f t="shared" si="3"/>
        <v/>
      </c>
    </row>
    <row r="12" spans="2:24" x14ac:dyDescent="0.3">
      <c r="B12" s="9">
        <f>IFERROR(IF(EOMONTH(MAX(Tbl_Transactions[Date]),ROW($B$4)-ROW($B12))&lt;MIN(Tbl_Transactions[Date]),"",EOMONTH(MAX(Tbl_Transactions[Date]),ROW($B$4)-ROW($B12))),"")</f>
        <v>44043</v>
      </c>
      <c r="C12" s="10">
        <f>IFERROR(YEAR(Table3[[#This Row],[Date]]),"")</f>
        <v>2020</v>
      </c>
      <c r="D12" s="10" t="str">
        <f>IFERROR(TEXT(Table3[[#This Row],[Date]],"mmm"),"")</f>
        <v>Jul</v>
      </c>
      <c r="E12" s="78">
        <f>IF(LEN(B12)=0,"",SUMIFS(Tbl_Transactions[Amount],Tbl_Transactions[Type],"Income",Tbl_Transactions[Date],"&lt;="&amp;Monthly_Summary_Table!$B12,Tbl_Transactions[Date],"&gt;"&amp;EOMONTH(Monthly_Summary_Table!$B12,-1)))</f>
        <v>0</v>
      </c>
      <c r="F12" s="78">
        <f>IF(LEN(B12)=0,"",SUMIFS(Tbl_Transactions[Amount],Tbl_Transactions[Type],"Expense",Tbl_Transactions[Date],"&lt;="&amp;Monthly_Summary_Table!$B12,Tbl_Transactions[Date],"&gt;"&amp;EOMONTH(Monthly_Summary_Table!$B12,-1)))</f>
        <v>1100</v>
      </c>
      <c r="G12" s="78">
        <f>IFERROR(Table3[[#This Row],[Income]]-Table3[[#This Row],[Expense]],"")</f>
        <v>-1100</v>
      </c>
      <c r="H12" s="78">
        <f xml:space="preserve"> IF(LEN(Table3[[#This Row],[Date]])=0,"",MonthlyBudget)</f>
        <v>9450</v>
      </c>
      <c r="I12" s="79">
        <f>IF(LEN(Table3[[#This Row],[Date]])=0,"",SUM(G12:$G$123))</f>
        <v>114470</v>
      </c>
      <c r="J12" s="79">
        <f>IF(LEN(Table3[[#This Row],[Date]])=0,"",Table3[[#This Row],[Cumulative Savings]]+Starting_Worth)</f>
        <v>140670</v>
      </c>
      <c r="K12" s="79">
        <f>IF(LEN(B12)=0,"",SUMIFS(Tbl_Transactions[Amount],Tbl_Transactions[Account],I_CHOSEN_ACCT,Tbl_Transactions[Type],"Income",Tbl_Transactions[Date],"&lt;="&amp;Monthly_Summary_Table!$B12,Tbl_Transactions[Date],"&gt;"&amp;EOMONTH(Monthly_Summary_Table!$B12,-1)))</f>
        <v>0</v>
      </c>
      <c r="L12" s="79">
        <f>IF(LEN(B12)=0,"",SUMIFS(Tbl_Transactions[Amount],Tbl_Transactions[Account],I_CHOSEN_ACCT,Tbl_Transactions[Type],"Expense",Tbl_Transactions[Date],"&lt;="&amp;Monthly_Summary_Table!$B12,Tbl_Transactions[Date],"&gt;"&amp;EOMONTH(Monthly_Summary_Table!$B12,-1)))</f>
        <v>750</v>
      </c>
      <c r="M12" s="79">
        <f>IF(LEN(B12)=0,"",SUMIFS(Tbl_Transactions[Amount],Tbl_Transactions[Account],I_CHOSEN_ACCT,Tbl_Transactions[Type],"Transfer",Tbl_Transactions[Date],"&lt;="&amp;Monthly_Summary_Table!$B12,Tbl_Transactions[Date],"&gt;"&amp;EOMONTH(Monthly_Summary_Table!$B12,-1)))</f>
        <v>-3980</v>
      </c>
      <c r="N12" s="79">
        <f>IFERROR(Table3[[#This Row],[ACCT INCOME]]-Table3[[#This Row],[ACCT EXPENSE]]+Table3[[#This Row],[ACCT TRANSFERS]],"")</f>
        <v>-4730</v>
      </c>
      <c r="O12" s="79">
        <f>IF(LEN(Table3[[#This Row],[Date]])=0,"",SUM(N12:$N$123)+IF(I_CHOSEN_ACCTTYPE="BANK",INDEX(T_BANK_ACCTS[STARTING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73380</v>
      </c>
      <c r="S12" t="s">
        <v>54</v>
      </c>
      <c r="T12" s="84" t="str">
        <f>IFERROR(IF(INDEX(T_BANK_ACCTS[ACCOUNT NAME],ROW(T12)-ROW($T$3))=0," ",INDEX(T_BANK_ACCTS[ACCOUNT NAME],ROW(T12)-ROW($T$3)))," ")</f>
        <v xml:space="preserve"> </v>
      </c>
      <c r="U12" t="str">
        <f t="shared" si="0"/>
        <v xml:space="preserve"> </v>
      </c>
      <c r="V12" t="str">
        <f t="shared" si="1"/>
        <v/>
      </c>
      <c r="W12" t="str">
        <f t="shared" si="2"/>
        <v/>
      </c>
      <c r="X12" t="str">
        <f t="shared" si="3"/>
        <v/>
      </c>
    </row>
    <row r="13" spans="2:24" x14ac:dyDescent="0.3">
      <c r="B13" s="9">
        <f>IFERROR(IF(EOMONTH(MAX(Tbl_Transactions[Date]),ROW($B$4)-ROW($B13))&lt;MIN(Tbl_Transactions[Date]),"",EOMONTH(MAX(Tbl_Transactions[Date]),ROW($B$4)-ROW($B13))),"")</f>
        <v>44012</v>
      </c>
      <c r="C13" s="10">
        <f>IFERROR(YEAR(Table3[[#This Row],[Date]]),"")</f>
        <v>2020</v>
      </c>
      <c r="D13" s="10" t="str">
        <f>IFERROR(TEXT(Table3[[#This Row],[Date]],"mmm"),"")</f>
        <v>Jun</v>
      </c>
      <c r="E13" s="78">
        <f>IF(LEN(B13)=0,"",SUMIFS(Tbl_Transactions[Amount],Tbl_Transactions[Type],"Income",Tbl_Transactions[Date],"&lt;="&amp;Monthly_Summary_Table!$B13,Tbl_Transactions[Date],"&gt;"&amp;EOMONTH(Monthly_Summary_Table!$B13,-1)))</f>
        <v>34500</v>
      </c>
      <c r="F13" s="78">
        <f>IF(LEN(B13)=0,"",SUMIFS(Tbl_Transactions[Amount],Tbl_Transactions[Type],"Expense",Tbl_Transactions[Date],"&lt;="&amp;Monthly_Summary_Table!$B13,Tbl_Transactions[Date],"&gt;"&amp;EOMONTH(Monthly_Summary_Table!$B13,-1)))</f>
        <v>1530</v>
      </c>
      <c r="G13" s="78">
        <f>IFERROR(Table3[[#This Row],[Income]]-Table3[[#This Row],[Expense]],"")</f>
        <v>32970</v>
      </c>
      <c r="H13" s="78">
        <f xml:space="preserve"> IF(LEN(Table3[[#This Row],[Date]])=0,"",MonthlyBudget)</f>
        <v>9450</v>
      </c>
      <c r="I13" s="79">
        <f>IF(LEN(Table3[[#This Row],[Date]])=0,"",SUM(G13:$G$123))</f>
        <v>115570</v>
      </c>
      <c r="J13" s="79">
        <f>IF(LEN(Table3[[#This Row],[Date]])=0,"",Table3[[#This Row],[Cumulative Savings]]+Starting_Worth)</f>
        <v>141770</v>
      </c>
      <c r="K13" s="79">
        <f>IF(LEN(B13)=0,"",SUMIFS(Tbl_Transactions[Amount],Tbl_Transactions[Account],I_CHOSEN_ACCT,Tbl_Transactions[Type],"Income",Tbl_Transactions[Date],"&lt;="&amp;Monthly_Summary_Table!$B13,Tbl_Transactions[Date],"&gt;"&amp;EOMONTH(Monthly_Summary_Table!$B13,-1)))</f>
        <v>27500</v>
      </c>
      <c r="L13" s="79">
        <f>IF(LEN(B13)=0,"",SUMIFS(Tbl_Transactions[Amount],Tbl_Transactions[Account],I_CHOSEN_ACCT,Tbl_Transactions[Type],"Expense",Tbl_Transactions[Date],"&lt;="&amp;Monthly_Summary_Table!$B13,Tbl_Transactions[Date],"&gt;"&amp;EOMONTH(Monthly_Summary_Table!$B13,-1)))</f>
        <v>620</v>
      </c>
      <c r="M13" s="79">
        <f>IF(LEN(B13)=0,"",SUMIFS(Tbl_Transactions[Amount],Tbl_Transactions[Account],I_CHOSEN_ACCT,Tbl_Transactions[Type],"Transfer",Tbl_Transactions[Date],"&lt;="&amp;Monthly_Summary_Table!$B13,Tbl_Transactions[Date],"&gt;"&amp;EOMONTH(Monthly_Summary_Table!$B13,-1)))</f>
        <v>0</v>
      </c>
      <c r="N13" s="79">
        <f>IFERROR(Table3[[#This Row],[ACCT INCOME]]-Table3[[#This Row],[ACCT EXPENSE]]+Table3[[#This Row],[ACCT TRANSFERS]],"")</f>
        <v>26880</v>
      </c>
      <c r="O13" s="79">
        <f>IF(LEN(Table3[[#This Row],[Date]])=0,"",SUM(N13:$N$123)+IF(I_CHOSEN_ACCTTYPE="BANK",INDEX(T_BANK_ACCTS[STARTING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78110</v>
      </c>
      <c r="S13" t="s">
        <v>54</v>
      </c>
      <c r="T13" s="84" t="str">
        <f>IFERROR(IF(INDEX(T_BANK_ACCTS[ACCOUNT NAME],ROW(T13)-ROW($T$3))=0," ",INDEX(T_BANK_ACCTS[ACCOUNT NAME],ROW(T13)-ROW($T$3)))," ")</f>
        <v xml:space="preserve"> </v>
      </c>
      <c r="U13" t="str">
        <f t="shared" si="0"/>
        <v xml:space="preserve"> </v>
      </c>
      <c r="V13" t="str">
        <f t="shared" si="1"/>
        <v/>
      </c>
      <c r="W13" t="str">
        <f t="shared" si="2"/>
        <v/>
      </c>
      <c r="X13" t="str">
        <f t="shared" si="3"/>
        <v/>
      </c>
    </row>
    <row r="14" spans="2:24" x14ac:dyDescent="0.3">
      <c r="B14" s="9">
        <f>IFERROR(IF(EOMONTH(MAX(Tbl_Transactions[Date]),ROW($B$4)-ROW($B14))&lt;MIN(Tbl_Transactions[Date]),"",EOMONTH(MAX(Tbl_Transactions[Date]),ROW($B$4)-ROW($B14))),"")</f>
        <v>43982</v>
      </c>
      <c r="C14" s="10">
        <f>IFERROR(YEAR(Table3[[#This Row],[Date]]),"")</f>
        <v>2020</v>
      </c>
      <c r="D14" s="10" t="str">
        <f>IFERROR(TEXT(Table3[[#This Row],[Date]],"mmm"),"")</f>
        <v>May</v>
      </c>
      <c r="E14" s="78">
        <f>IF(LEN(B14)=0,"",SUMIFS(Tbl_Transactions[Amount],Tbl_Transactions[Type],"Income",Tbl_Transactions[Date],"&lt;="&amp;Monthly_Summary_Table!$B14,Tbl_Transactions[Date],"&gt;"&amp;EOMONTH(Monthly_Summary_Table!$B14,-1)))</f>
        <v>0</v>
      </c>
      <c r="F14" s="78">
        <f>IF(LEN(B14)=0,"",SUMIFS(Tbl_Transactions[Amount],Tbl_Transactions[Type],"Expense",Tbl_Transactions[Date],"&lt;="&amp;Monthly_Summary_Table!$B14,Tbl_Transactions[Date],"&gt;"&amp;EOMONTH(Monthly_Summary_Table!$B14,-1)))</f>
        <v>1980</v>
      </c>
      <c r="G14" s="78">
        <f>IFERROR(Table3[[#This Row],[Income]]-Table3[[#This Row],[Expense]],"")</f>
        <v>-1980</v>
      </c>
      <c r="H14" s="78">
        <f xml:space="preserve"> IF(LEN(Table3[[#This Row],[Date]])=0,"",MonthlyBudget)</f>
        <v>9450</v>
      </c>
      <c r="I14" s="79">
        <f>IF(LEN(Table3[[#This Row],[Date]])=0,"",SUM(G14:$G$123))</f>
        <v>82600</v>
      </c>
      <c r="J14" s="79">
        <f>IF(LEN(Table3[[#This Row],[Date]])=0,"",Table3[[#This Row],[Cumulative Savings]]+Starting_Worth)</f>
        <v>108800</v>
      </c>
      <c r="K14" s="79">
        <f>IF(LEN(B14)=0,"",SUMIFS(Tbl_Transactions[Amount],Tbl_Transactions[Account],I_CHOSEN_ACCT,Tbl_Transactions[Type],"Income",Tbl_Transactions[Date],"&lt;="&amp;Monthly_Summary_Table!$B14,Tbl_Transactions[Date],"&gt;"&amp;EOMONTH(Monthly_Summary_Table!$B14,-1)))</f>
        <v>0</v>
      </c>
      <c r="L14" s="79">
        <f>IF(LEN(B14)=0,"",SUMIFS(Tbl_Transactions[Amount],Tbl_Transactions[Account],I_CHOSEN_ACCT,Tbl_Transactions[Type],"Expense",Tbl_Transactions[Date],"&lt;="&amp;Monthly_Summary_Table!$B14,Tbl_Transactions[Date],"&gt;"&amp;EOMONTH(Monthly_Summary_Table!$B14,-1)))</f>
        <v>0</v>
      </c>
      <c r="M14" s="79">
        <f>IF(LEN(B14)=0,"",SUMIFS(Tbl_Transactions[Amount],Tbl_Transactions[Account],I_CHOSEN_ACCT,Tbl_Transactions[Type],"Transfer",Tbl_Transactions[Date],"&lt;="&amp;Monthly_Summary_Table!$B14,Tbl_Transactions[Date],"&gt;"&amp;EOMONTH(Monthly_Summary_Table!$B14,-1)))</f>
        <v>-1980</v>
      </c>
      <c r="N14" s="79">
        <f>IFERROR(Table3[[#This Row],[ACCT INCOME]]-Table3[[#This Row],[ACCT EXPENSE]]+Table3[[#This Row],[ACCT TRANSFERS]],"")</f>
        <v>-1980</v>
      </c>
      <c r="O14" s="79">
        <f>IF(LEN(Table3[[#This Row],[Date]])=0,"",SUM(N14:$N$123)+IF(I_CHOSEN_ACCTTYPE="BANK",INDEX(T_BANK_ACCTS[STARTING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51230</v>
      </c>
      <c r="S14" t="s">
        <v>54</v>
      </c>
      <c r="T14" s="84" t="str">
        <f>IFERROR(IF(INDEX(T_BANK_ACCTS[ACCOUNT NAME],ROW(T14)-ROW($T$3))=0," ",INDEX(T_BANK_ACCTS[ACCOUNT NAME],ROW(T14)-ROW($T$3)))," ")</f>
        <v xml:space="preserve"> </v>
      </c>
      <c r="U14" t="str">
        <f t="shared" si="0"/>
        <v xml:space="preserve"> </v>
      </c>
      <c r="V14" t="str">
        <f t="shared" si="1"/>
        <v/>
      </c>
      <c r="W14" t="str">
        <f t="shared" si="2"/>
        <v/>
      </c>
      <c r="X14" t="str">
        <f t="shared" si="3"/>
        <v/>
      </c>
    </row>
    <row r="15" spans="2:24" x14ac:dyDescent="0.3">
      <c r="B15" s="9">
        <f>IFERROR(IF(EOMONTH(MAX(Tbl_Transactions[Date]),ROW($B$4)-ROW($B15))&lt;MIN(Tbl_Transactions[Date]),"",EOMONTH(MAX(Tbl_Transactions[Date]),ROW($B$4)-ROW($B15))),"")</f>
        <v>43951</v>
      </c>
      <c r="C15" s="10">
        <f>IFERROR(YEAR(Table3[[#This Row],[Date]]),"")</f>
        <v>2020</v>
      </c>
      <c r="D15" s="10" t="str">
        <f>IFERROR(TEXT(Table3[[#This Row],[Date]],"mmm"),"")</f>
        <v>Apr</v>
      </c>
      <c r="E15" s="78">
        <f>IF(LEN(B15)=0,"",SUMIFS(Tbl_Transactions[Amount],Tbl_Transactions[Type],"Income",Tbl_Transactions[Date],"&lt;="&amp;Monthly_Summary_Table!$B15,Tbl_Transactions[Date],"&gt;"&amp;EOMONTH(Monthly_Summary_Table!$B15,-1)))</f>
        <v>0</v>
      </c>
      <c r="F15" s="78">
        <f>IF(LEN(B15)=0,"",SUMIFS(Tbl_Transactions[Amount],Tbl_Transactions[Type],"Expense",Tbl_Transactions[Date],"&lt;="&amp;Monthly_Summary_Table!$B15,Tbl_Transactions[Date],"&gt;"&amp;EOMONTH(Monthly_Summary_Table!$B15,-1)))</f>
        <v>2375</v>
      </c>
      <c r="G15" s="78">
        <f>IFERROR(Table3[[#This Row],[Income]]-Table3[[#This Row],[Expense]],"")</f>
        <v>-2375</v>
      </c>
      <c r="H15" s="78">
        <f xml:space="preserve"> IF(LEN(Table3[[#This Row],[Date]])=0,"",MonthlyBudget)</f>
        <v>9450</v>
      </c>
      <c r="I15" s="79">
        <f>IF(LEN(Table3[[#This Row],[Date]])=0,"",SUM(G15:$G$123))</f>
        <v>84580</v>
      </c>
      <c r="J15" s="79">
        <f>IF(LEN(Table3[[#This Row],[Date]])=0,"",Table3[[#This Row],[Cumulative Savings]]+Starting_Worth)</f>
        <v>110780</v>
      </c>
      <c r="K15" s="79">
        <f>IF(LEN(B15)=0,"",SUMIFS(Tbl_Transactions[Amount],Tbl_Transactions[Account],I_CHOSEN_ACCT,Tbl_Transactions[Type],"Income",Tbl_Transactions[Date],"&lt;="&amp;Monthly_Summary_Table!$B15,Tbl_Transactions[Date],"&gt;"&amp;EOMONTH(Monthly_Summary_Table!$B15,-1)))</f>
        <v>0</v>
      </c>
      <c r="L15" s="79">
        <f>IF(LEN(B15)=0,"",SUMIFS(Tbl_Transactions[Amount],Tbl_Transactions[Account],I_CHOSEN_ACCT,Tbl_Transactions[Type],"Expense",Tbl_Transactions[Date],"&lt;="&amp;Monthly_Summary_Table!$B15,Tbl_Transactions[Date],"&gt;"&amp;EOMONTH(Monthly_Summary_Table!$B15,-1)))</f>
        <v>750</v>
      </c>
      <c r="M15" s="79">
        <f>IF(LEN(B15)=0,"",SUMIFS(Tbl_Transactions[Amount],Tbl_Transactions[Account],I_CHOSEN_ACCT,Tbl_Transactions[Type],"Transfer",Tbl_Transactions[Date],"&lt;="&amp;Monthly_Summary_Table!$B15,Tbl_Transactions[Date],"&gt;"&amp;EOMONTH(Monthly_Summary_Table!$B15,-1)))</f>
        <v>0</v>
      </c>
      <c r="N15" s="79">
        <f>IFERROR(Table3[[#This Row],[ACCT INCOME]]-Table3[[#This Row],[ACCT EXPENSE]]+Table3[[#This Row],[ACCT TRANSFERS]],"")</f>
        <v>-750</v>
      </c>
      <c r="O15" s="79">
        <f>IF(LEN(Table3[[#This Row],[Date]])=0,"",SUM(N15:$N$123)+IF(I_CHOSEN_ACCTTYPE="BANK",INDEX(T_BANK_ACCTS[STARTING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53210</v>
      </c>
      <c r="S15" t="s">
        <v>54</v>
      </c>
      <c r="T15" s="84" t="str">
        <f>IFERROR(IF(INDEX(T_BANK_ACCTS[ACCOUNT NAME],ROW(T15)-ROW($T$3))=0," ",INDEX(T_BANK_ACCTS[ACCOUNT NAME],ROW(T15)-ROW($T$3)))," ")</f>
        <v xml:space="preserve"> </v>
      </c>
      <c r="U15" t="str">
        <f t="shared" si="0"/>
        <v xml:space="preserve"> </v>
      </c>
      <c r="V15" t="str">
        <f t="shared" si="1"/>
        <v/>
      </c>
      <c r="W15" t="str">
        <f t="shared" si="2"/>
        <v/>
      </c>
      <c r="X15" t="str">
        <f t="shared" si="3"/>
        <v/>
      </c>
    </row>
    <row r="16" spans="2:24" x14ac:dyDescent="0.3">
      <c r="B16" s="9">
        <f>IFERROR(IF(EOMONTH(MAX(Tbl_Transactions[Date]),ROW($B$4)-ROW($B16))&lt;MIN(Tbl_Transactions[Date]),"",EOMONTH(MAX(Tbl_Transactions[Date]),ROW($B$4)-ROW($B16))),"")</f>
        <v>43921</v>
      </c>
      <c r="C16" s="10">
        <f>IFERROR(YEAR(Table3[[#This Row],[Date]]),"")</f>
        <v>2020</v>
      </c>
      <c r="D16" s="10" t="str">
        <f>IFERROR(TEXT(Table3[[#This Row],[Date]],"mmm"),"")</f>
        <v>Mar</v>
      </c>
      <c r="E16" s="78">
        <f>IF(LEN(B16)=0,"",SUMIFS(Tbl_Transactions[Amount],Tbl_Transactions[Type],"Income",Tbl_Transactions[Date],"&lt;="&amp;Monthly_Summary_Table!$B16,Tbl_Transactions[Date],"&gt;"&amp;EOMONTH(Monthly_Summary_Table!$B16,-1)))</f>
        <v>34500</v>
      </c>
      <c r="F16" s="78">
        <f>IF(LEN(B16)=0,"",SUMIFS(Tbl_Transactions[Amount],Tbl_Transactions[Type],"Expense",Tbl_Transactions[Date],"&lt;="&amp;Monthly_Summary_Table!$B16,Tbl_Transactions[Date],"&gt;"&amp;EOMONTH(Monthly_Summary_Table!$B16,-1)))</f>
        <v>7160</v>
      </c>
      <c r="G16" s="78">
        <f>IFERROR(Table3[[#This Row],[Income]]-Table3[[#This Row],[Expense]],"")</f>
        <v>27340</v>
      </c>
      <c r="H16" s="78">
        <f xml:space="preserve"> IF(LEN(Table3[[#This Row],[Date]])=0,"",MonthlyBudget)</f>
        <v>9450</v>
      </c>
      <c r="I16" s="79">
        <f>IF(LEN(Table3[[#This Row],[Date]])=0,"",SUM(G16:$G$123))</f>
        <v>86955</v>
      </c>
      <c r="J16" s="79">
        <f>IF(LEN(Table3[[#This Row],[Date]])=0,"",Table3[[#This Row],[Cumulative Savings]]+Starting_Worth)</f>
        <v>113155</v>
      </c>
      <c r="K16" s="79">
        <f>IF(LEN(B16)=0,"",SUMIFS(Tbl_Transactions[Amount],Tbl_Transactions[Account],I_CHOSEN_ACCT,Tbl_Transactions[Type],"Income",Tbl_Transactions[Date],"&lt;="&amp;Monthly_Summary_Table!$B16,Tbl_Transactions[Date],"&gt;"&amp;EOMONTH(Monthly_Summary_Table!$B16,-1)))</f>
        <v>27500</v>
      </c>
      <c r="L16" s="79">
        <f>IF(LEN(B16)=0,"",SUMIFS(Tbl_Transactions[Amount],Tbl_Transactions[Account],I_CHOSEN_ACCT,Tbl_Transactions[Type],"Expense",Tbl_Transactions[Date],"&lt;="&amp;Monthly_Summary_Table!$B16,Tbl_Transactions[Date],"&gt;"&amp;EOMONTH(Monthly_Summary_Table!$B16,-1)))</f>
        <v>6680</v>
      </c>
      <c r="M16" s="79">
        <f>IF(LEN(B16)=0,"",SUMIFS(Tbl_Transactions[Amount],Tbl_Transactions[Account],I_CHOSEN_ACCT,Tbl_Transactions[Type],"Transfer",Tbl_Transactions[Date],"&lt;="&amp;Monthly_Summary_Table!$B16,Tbl_Transactions[Date],"&gt;"&amp;EOMONTH(Monthly_Summary_Table!$B16,-1)))</f>
        <v>0</v>
      </c>
      <c r="N16" s="79">
        <f>IFERROR(Table3[[#This Row],[ACCT INCOME]]-Table3[[#This Row],[ACCT EXPENSE]]+Table3[[#This Row],[ACCT TRANSFERS]],"")</f>
        <v>20820</v>
      </c>
      <c r="O16" s="79">
        <f>IF(LEN(Table3[[#This Row],[Date]])=0,"",SUM(N16:$N$123)+IF(I_CHOSEN_ACCTTYPE="BANK",INDEX(T_BANK_ACCTS[STARTING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53960</v>
      </c>
      <c r="S16" t="s">
        <v>54</v>
      </c>
      <c r="T16" s="84" t="str">
        <f>IFERROR(IF(INDEX(T_BANK_ACCTS[ACCOUNT NAME],ROW(T16)-ROW($T$3))=0," ",INDEX(T_BANK_ACCTS[ACCOUNT NAME],ROW(T16)-ROW($T$3)))," ")</f>
        <v xml:space="preserve"> </v>
      </c>
      <c r="U16" t="str">
        <f t="shared" si="0"/>
        <v xml:space="preserve"> </v>
      </c>
      <c r="V16" t="str">
        <f t="shared" si="1"/>
        <v/>
      </c>
      <c r="W16" t="str">
        <f t="shared" si="2"/>
        <v/>
      </c>
      <c r="X16" t="str">
        <f t="shared" si="3"/>
        <v/>
      </c>
    </row>
    <row r="17" spans="2:24" x14ac:dyDescent="0.3">
      <c r="B17" s="9">
        <f>IFERROR(IF(EOMONTH(MAX(Tbl_Transactions[Date]),ROW($B$4)-ROW($B17))&lt;MIN(Tbl_Transactions[Date]),"",EOMONTH(MAX(Tbl_Transactions[Date]),ROW($B$4)-ROW($B17))),"")</f>
        <v>43890</v>
      </c>
      <c r="C17" s="10">
        <f>IFERROR(YEAR(Table3[[#This Row],[Date]]),"")</f>
        <v>2020</v>
      </c>
      <c r="D17" s="10" t="str">
        <f>IFERROR(TEXT(Table3[[#This Row],[Date]],"mmm"),"")</f>
        <v>Feb</v>
      </c>
      <c r="E17" s="78">
        <f>IF(LEN(B17)=0,"",SUMIFS(Tbl_Transactions[Amount],Tbl_Transactions[Type],"Income",Tbl_Transactions[Date],"&lt;="&amp;Monthly_Summary_Table!$B17,Tbl_Transactions[Date],"&gt;"&amp;EOMONTH(Monthly_Summary_Table!$B17,-1)))</f>
        <v>0</v>
      </c>
      <c r="F17" s="78">
        <f>IF(LEN(B17)=0,"",SUMIFS(Tbl_Transactions[Amount],Tbl_Transactions[Type],"Expense",Tbl_Transactions[Date],"&lt;="&amp;Monthly_Summary_Table!$B17,Tbl_Transactions[Date],"&gt;"&amp;EOMONTH(Monthly_Summary_Table!$B17,-1)))</f>
        <v>2110</v>
      </c>
      <c r="G17" s="78">
        <f>IFERROR(Table3[[#This Row],[Income]]-Table3[[#This Row],[Expense]],"")</f>
        <v>-2110</v>
      </c>
      <c r="H17" s="78">
        <f xml:space="preserve"> IF(LEN(Table3[[#This Row],[Date]])=0,"",MonthlyBudget)</f>
        <v>9450</v>
      </c>
      <c r="I17" s="79">
        <f>IF(LEN(Table3[[#This Row],[Date]])=0,"",SUM(G17:$G$123))</f>
        <v>59615</v>
      </c>
      <c r="J17" s="79">
        <f>IF(LEN(Table3[[#This Row],[Date]])=0,"",Table3[[#This Row],[Cumulative Savings]]+Starting_Worth)</f>
        <v>85815</v>
      </c>
      <c r="K17" s="79">
        <f>IF(LEN(B17)=0,"",SUMIFS(Tbl_Transactions[Amount],Tbl_Transactions[Account],I_CHOSEN_ACCT,Tbl_Transactions[Type],"Income",Tbl_Transactions[Date],"&lt;="&amp;Monthly_Summary_Table!$B17,Tbl_Transactions[Date],"&gt;"&amp;EOMONTH(Monthly_Summary_Table!$B17,-1)))</f>
        <v>0</v>
      </c>
      <c r="L17" s="79">
        <f>IF(LEN(B17)=0,"",SUMIFS(Tbl_Transactions[Amount],Tbl_Transactions[Account],I_CHOSEN_ACCT,Tbl_Transactions[Type],"Expense",Tbl_Transactions[Date],"&lt;="&amp;Monthly_Summary_Table!$B17,Tbl_Transactions[Date],"&gt;"&amp;EOMONTH(Monthly_Summary_Table!$B17,-1)))</f>
        <v>0</v>
      </c>
      <c r="M17" s="79">
        <f>IF(LEN(B17)=0,"",SUMIFS(Tbl_Transactions[Amount],Tbl_Transactions[Account],I_CHOSEN_ACCT,Tbl_Transactions[Type],"Transfer",Tbl_Transactions[Date],"&lt;="&amp;Monthly_Summary_Table!$B17,Tbl_Transactions[Date],"&gt;"&amp;EOMONTH(Monthly_Summary_Table!$B17,-1)))</f>
        <v>0</v>
      </c>
      <c r="N17" s="79">
        <f>IFERROR(Table3[[#This Row],[ACCT INCOME]]-Table3[[#This Row],[ACCT EXPENSE]]+Table3[[#This Row],[ACCT TRANSFERS]],"")</f>
        <v>0</v>
      </c>
      <c r="O17" s="79">
        <f>IF(LEN(Table3[[#This Row],[Date]])=0,"",SUM(N17:$N$123)+IF(I_CHOSEN_ACCTTYPE="BANK",INDEX(T_BANK_ACCTS[STARTING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33140</v>
      </c>
      <c r="S17" t="s">
        <v>54</v>
      </c>
      <c r="T17" s="84" t="str">
        <f>IFERROR(IF(INDEX(T_BANK_ACCTS[ACCOUNT NAME],ROW(T17)-ROW($T$3))=0," ",INDEX(T_BANK_ACCTS[ACCOUNT NAME],ROW(T17)-ROW($T$3)))," ")</f>
        <v xml:space="preserve"> </v>
      </c>
      <c r="U17" t="str">
        <f t="shared" si="0"/>
        <v xml:space="preserve"> </v>
      </c>
      <c r="V17" t="str">
        <f t="shared" si="1"/>
        <v/>
      </c>
      <c r="W17" t="str">
        <f t="shared" si="2"/>
        <v/>
      </c>
      <c r="X17" t="str">
        <f t="shared" si="3"/>
        <v/>
      </c>
    </row>
    <row r="18" spans="2:24" x14ac:dyDescent="0.3">
      <c r="B18" s="9">
        <f>IFERROR(IF(EOMONTH(MAX(Tbl_Transactions[Date]),ROW($B$4)-ROW($B18))&lt;MIN(Tbl_Transactions[Date]),"",EOMONTH(MAX(Tbl_Transactions[Date]),ROW($B$4)-ROW($B18))),"")</f>
        <v>43861</v>
      </c>
      <c r="C18" s="10">
        <f>IFERROR(YEAR(Table3[[#This Row],[Date]]),"")</f>
        <v>2020</v>
      </c>
      <c r="D18" s="10" t="str">
        <f>IFERROR(TEXT(Table3[[#This Row],[Date]],"mmm"),"")</f>
        <v>Jan</v>
      </c>
      <c r="E18" s="78">
        <f>IF(LEN(B18)=0,"",SUMIFS(Tbl_Transactions[Amount],Tbl_Transactions[Type],"Income",Tbl_Transactions[Date],"&lt;="&amp;Monthly_Summary_Table!$B18,Tbl_Transactions[Date],"&gt;"&amp;EOMONTH(Monthly_Summary_Table!$B18,-1)))</f>
        <v>0</v>
      </c>
      <c r="F18" s="78">
        <f>IF(LEN(B18)=0,"",SUMIFS(Tbl_Transactions[Amount],Tbl_Transactions[Type],"Expense",Tbl_Transactions[Date],"&lt;="&amp;Monthly_Summary_Table!$B18,Tbl_Transactions[Date],"&gt;"&amp;EOMONTH(Monthly_Summary_Table!$B18,-1)))</f>
        <v>4620</v>
      </c>
      <c r="G18" s="78">
        <f>IFERROR(Table3[[#This Row],[Income]]-Table3[[#This Row],[Expense]],"")</f>
        <v>-4620</v>
      </c>
      <c r="H18" s="78">
        <f xml:space="preserve"> IF(LEN(Table3[[#This Row],[Date]])=0,"",MonthlyBudget)</f>
        <v>9450</v>
      </c>
      <c r="I18" s="79">
        <f>IF(LEN(Table3[[#This Row],[Date]])=0,"",SUM(G18:$G$123))</f>
        <v>61725</v>
      </c>
      <c r="J18" s="79">
        <f>IF(LEN(Table3[[#This Row],[Date]])=0,"",Table3[[#This Row],[Cumulative Savings]]+Starting_Worth)</f>
        <v>87925</v>
      </c>
      <c r="K18" s="79">
        <f>IF(LEN(B18)=0,"",SUMIFS(Tbl_Transactions[Amount],Tbl_Transactions[Account],I_CHOSEN_ACCT,Tbl_Transactions[Type],"Income",Tbl_Transactions[Date],"&lt;="&amp;Monthly_Summary_Table!$B18,Tbl_Transactions[Date],"&gt;"&amp;EOMONTH(Monthly_Summary_Table!$B18,-1)))</f>
        <v>0</v>
      </c>
      <c r="L18" s="79">
        <f>IF(LEN(B18)=0,"",SUMIFS(Tbl_Transactions[Amount],Tbl_Transactions[Account],I_CHOSEN_ACCT,Tbl_Transactions[Type],"Expense",Tbl_Transactions[Date],"&lt;="&amp;Monthly_Summary_Table!$B18,Tbl_Transactions[Date],"&gt;"&amp;EOMONTH(Monthly_Summary_Table!$B18,-1)))</f>
        <v>2000</v>
      </c>
      <c r="M18" s="79">
        <f>IF(LEN(B18)=0,"",SUMIFS(Tbl_Transactions[Amount],Tbl_Transactions[Account],I_CHOSEN_ACCT,Tbl_Transactions[Type],"Transfer",Tbl_Transactions[Date],"&lt;="&amp;Monthly_Summary_Table!$B18,Tbl_Transactions[Date],"&gt;"&amp;EOMONTH(Monthly_Summary_Table!$B18,-1)))</f>
        <v>-1980</v>
      </c>
      <c r="N18" s="79">
        <f>IFERROR(Table3[[#This Row],[ACCT INCOME]]-Table3[[#This Row],[ACCT EXPENSE]]+Table3[[#This Row],[ACCT TRANSFERS]],"")</f>
        <v>-3980</v>
      </c>
      <c r="O18" s="79">
        <f>IF(LEN(Table3[[#This Row],[Date]])=0,"",SUM(N18:$N$123)+IF(I_CHOSEN_ACCTTYPE="BANK",INDEX(T_BANK_ACCTS[STARTING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33140</v>
      </c>
      <c r="S18" t="s">
        <v>54</v>
      </c>
      <c r="T18" s="84" t="str">
        <f>IFERROR(IF(INDEX(T_BANK_ACCTS[ACCOUNT NAME],ROW(T18)-ROW($T$3))=0," ",INDEX(T_BANK_ACCTS[ACCOUNT NAME],ROW(T18)-ROW($T$3)))," ")</f>
        <v xml:space="preserve"> </v>
      </c>
      <c r="U18" t="str">
        <f t="shared" si="0"/>
        <v xml:space="preserve"> </v>
      </c>
      <c r="V18" t="str">
        <f t="shared" si="1"/>
        <v/>
      </c>
      <c r="W18" t="str">
        <f t="shared" si="2"/>
        <v/>
      </c>
      <c r="X18" t="str">
        <f t="shared" si="3"/>
        <v/>
      </c>
    </row>
    <row r="19" spans="2:24" x14ac:dyDescent="0.3">
      <c r="B19" s="9">
        <f>IFERROR(IF(EOMONTH(MAX(Tbl_Transactions[Date]),ROW($B$4)-ROW($B19))&lt;MIN(Tbl_Transactions[Date]),"",EOMONTH(MAX(Tbl_Transactions[Date]),ROW($B$4)-ROW($B19))),"")</f>
        <v>43830</v>
      </c>
      <c r="C19" s="10">
        <f>IFERROR(YEAR(Table3[[#This Row],[Date]]),"")</f>
        <v>2019</v>
      </c>
      <c r="D19" s="10" t="str">
        <f>IFERROR(TEXT(Table3[[#This Row],[Date]],"mmm"),"")</f>
        <v>Dec</v>
      </c>
      <c r="E19" s="78">
        <f>IF(LEN(B19)=0,"",SUMIFS(Tbl_Transactions[Amount],Tbl_Transactions[Type],"Income",Tbl_Transactions[Date],"&lt;="&amp;Monthly_Summary_Table!$B19,Tbl_Transactions[Date],"&gt;"&amp;EOMONTH(Monthly_Summary_Table!$B19,-1)))</f>
        <v>34500</v>
      </c>
      <c r="F19" s="78">
        <f>IF(LEN(B19)=0,"",SUMIFS(Tbl_Transactions[Amount],Tbl_Transactions[Type],"Expense",Tbl_Transactions[Date],"&lt;="&amp;Monthly_Summary_Table!$B19,Tbl_Transactions[Date],"&gt;"&amp;EOMONTH(Monthly_Summary_Table!$B19,-1)))</f>
        <v>2020</v>
      </c>
      <c r="G19" s="78">
        <f>IFERROR(Table3[[#This Row],[Income]]-Table3[[#This Row],[Expense]],"")</f>
        <v>32480</v>
      </c>
      <c r="H19" s="78">
        <f xml:space="preserve"> IF(LEN(Table3[[#This Row],[Date]])=0,"",MonthlyBudget)</f>
        <v>9450</v>
      </c>
      <c r="I19" s="79">
        <f>IF(LEN(Table3[[#This Row],[Date]])=0,"",SUM(G19:$G$123))</f>
        <v>66345</v>
      </c>
      <c r="J19" s="79">
        <f>IF(LEN(Table3[[#This Row],[Date]])=0,"",Table3[[#This Row],[Cumulative Savings]]+Starting_Worth)</f>
        <v>92545</v>
      </c>
      <c r="K19" s="79">
        <f>IF(LEN(B19)=0,"",SUMIFS(Tbl_Transactions[Amount],Tbl_Transactions[Account],I_CHOSEN_ACCT,Tbl_Transactions[Type],"Income",Tbl_Transactions[Date],"&lt;="&amp;Monthly_Summary_Table!$B19,Tbl_Transactions[Date],"&gt;"&amp;EOMONTH(Monthly_Summary_Table!$B19,-1)))</f>
        <v>27500</v>
      </c>
      <c r="L19" s="79">
        <f>IF(LEN(B19)=0,"",SUMIFS(Tbl_Transactions[Amount],Tbl_Transactions[Account],I_CHOSEN_ACCT,Tbl_Transactions[Type],"Expense",Tbl_Transactions[Date],"&lt;="&amp;Monthly_Summary_Table!$B19,Tbl_Transactions[Date],"&gt;"&amp;EOMONTH(Monthly_Summary_Table!$B19,-1)))</f>
        <v>1400</v>
      </c>
      <c r="M19" s="79">
        <f>IF(LEN(B19)=0,"",SUMIFS(Tbl_Transactions[Amount],Tbl_Transactions[Account],I_CHOSEN_ACCT,Tbl_Transactions[Type],"Transfer",Tbl_Transactions[Date],"&lt;="&amp;Monthly_Summary_Table!$B19,Tbl_Transactions[Date],"&gt;"&amp;EOMONTH(Monthly_Summary_Table!$B19,-1)))</f>
        <v>0</v>
      </c>
      <c r="N19" s="79">
        <f>IFERROR(Table3[[#This Row],[ACCT INCOME]]-Table3[[#This Row],[ACCT EXPENSE]]+Table3[[#This Row],[ACCT TRANSFERS]],"")</f>
        <v>26100</v>
      </c>
      <c r="O19" s="79">
        <f>IF(LEN(Table3[[#This Row],[Date]])=0,"",SUM(N19:$N$123)+IF(I_CHOSEN_ACCTTYPE="BANK",INDEX(T_BANK_ACCTS[STARTING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37120</v>
      </c>
      <c r="S19" t="s">
        <v>54</v>
      </c>
      <c r="T19" s="84" t="str">
        <f>IFERROR(IF(INDEX(T_BANK_ACCTS[ACCOUNT NAME],ROW(T19)-ROW($T$3))=0," ",INDEX(T_BANK_ACCTS[ACCOUNT NAME],ROW(T19)-ROW($T$3)))," ")</f>
        <v xml:space="preserve"> </v>
      </c>
      <c r="U19" t="str">
        <f t="shared" si="0"/>
        <v xml:space="preserve"> </v>
      </c>
      <c r="V19" t="str">
        <f t="shared" si="1"/>
        <v/>
      </c>
      <c r="W19" t="str">
        <f t="shared" si="2"/>
        <v/>
      </c>
      <c r="X19" t="str">
        <f t="shared" si="3"/>
        <v/>
      </c>
    </row>
    <row r="20" spans="2:24" x14ac:dyDescent="0.3">
      <c r="B20" s="9">
        <f>IFERROR(IF(EOMONTH(MAX(Tbl_Transactions[Date]),ROW($B$4)-ROW($B20))&lt;MIN(Tbl_Transactions[Date]),"",EOMONTH(MAX(Tbl_Transactions[Date]),ROW($B$4)-ROW($B20))),"")</f>
        <v>43799</v>
      </c>
      <c r="C20" s="10">
        <f>IFERROR(YEAR(Table3[[#This Row],[Date]]),"")</f>
        <v>2019</v>
      </c>
      <c r="D20" s="10" t="str">
        <f>IFERROR(TEXT(Table3[[#This Row],[Date]],"mmm"),"")</f>
        <v>Nov</v>
      </c>
      <c r="E20" s="78">
        <f>IF(LEN(B20)=0,"",SUMIFS(Tbl_Transactions[Amount],Tbl_Transactions[Type],"Income",Tbl_Transactions[Date],"&lt;="&amp;Monthly_Summary_Table!$B20,Tbl_Transactions[Date],"&gt;"&amp;EOMONTH(Monthly_Summary_Table!$B20,-1)))</f>
        <v>0</v>
      </c>
      <c r="F20" s="78">
        <f>IF(LEN(B20)=0,"",SUMIFS(Tbl_Transactions[Amount],Tbl_Transactions[Type],"Expense",Tbl_Transactions[Date],"&lt;="&amp;Monthly_Summary_Table!$B20,Tbl_Transactions[Date],"&gt;"&amp;EOMONTH(Monthly_Summary_Table!$B20,-1)))</f>
        <v>1580</v>
      </c>
      <c r="G20" s="78">
        <f>IFERROR(Table3[[#This Row],[Income]]-Table3[[#This Row],[Expense]],"")</f>
        <v>-1580</v>
      </c>
      <c r="H20" s="78">
        <f xml:space="preserve"> IF(LEN(Table3[[#This Row],[Date]])=0,"",MonthlyBudget)</f>
        <v>9450</v>
      </c>
      <c r="I20" s="79">
        <f>IF(LEN(Table3[[#This Row],[Date]])=0,"",SUM(G20:$G$123))</f>
        <v>33865</v>
      </c>
      <c r="J20" s="79">
        <f>IF(LEN(Table3[[#This Row],[Date]])=0,"",Table3[[#This Row],[Cumulative Savings]]+Starting_Worth)</f>
        <v>60065</v>
      </c>
      <c r="K20" s="79">
        <f>IF(LEN(B20)=0,"",SUMIFS(Tbl_Transactions[Amount],Tbl_Transactions[Account],I_CHOSEN_ACCT,Tbl_Transactions[Type],"Income",Tbl_Transactions[Date],"&lt;="&amp;Monthly_Summary_Table!$B20,Tbl_Transactions[Date],"&gt;"&amp;EOMONTH(Monthly_Summary_Table!$B20,-1)))</f>
        <v>0</v>
      </c>
      <c r="L20" s="79">
        <f>IF(LEN(B20)=0,"",SUMIFS(Tbl_Transactions[Amount],Tbl_Transactions[Account],I_CHOSEN_ACCT,Tbl_Transactions[Type],"Expense",Tbl_Transactions[Date],"&lt;="&amp;Monthly_Summary_Table!$B20,Tbl_Transactions[Date],"&gt;"&amp;EOMONTH(Monthly_Summary_Table!$B20,-1)))</f>
        <v>0</v>
      </c>
      <c r="M20" s="79">
        <f>IF(LEN(B20)=0,"",SUMIFS(Tbl_Transactions[Amount],Tbl_Transactions[Account],I_CHOSEN_ACCT,Tbl_Transactions[Type],"Transfer",Tbl_Transactions[Date],"&lt;="&amp;Monthly_Summary_Table!$B20,Tbl_Transactions[Date],"&gt;"&amp;EOMONTH(Monthly_Summary_Table!$B20,-1)))</f>
        <v>0</v>
      </c>
      <c r="N20" s="79">
        <f>IFERROR(Table3[[#This Row],[ACCT INCOME]]-Table3[[#This Row],[ACCT EXPENSE]]+Table3[[#This Row],[ACCT TRANSFERS]],"")</f>
        <v>0</v>
      </c>
      <c r="O20" s="79">
        <f>IF(LEN(Table3[[#This Row],[Date]])=0,"",SUM(N20:$N$123)+IF(I_CHOSEN_ACCTTYPE="BANK",INDEX(T_BANK_ACCTS[STARTING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11020</v>
      </c>
      <c r="S20" t="s">
        <v>54</v>
      </c>
      <c r="T20" s="84" t="str">
        <f>IFERROR(IF(INDEX(T_BANK_ACCTS[ACCOUNT NAME],ROW(T20)-ROW($T$3))=0," ",INDEX(T_BANK_ACCTS[ACCOUNT NAME],ROW(T20)-ROW($T$3)))," ")</f>
        <v xml:space="preserve"> </v>
      </c>
      <c r="U20" t="str">
        <f t="shared" si="0"/>
        <v xml:space="preserve"> </v>
      </c>
      <c r="V20" t="str">
        <f t="shared" si="1"/>
        <v/>
      </c>
      <c r="W20" t="str">
        <f t="shared" si="2"/>
        <v/>
      </c>
      <c r="X20" t="str">
        <f t="shared" si="3"/>
        <v/>
      </c>
    </row>
    <row r="21" spans="2:24" x14ac:dyDescent="0.3">
      <c r="B21" s="9">
        <f>IFERROR(IF(EOMONTH(MAX(Tbl_Transactions[Date]),ROW($B$4)-ROW($B21))&lt;MIN(Tbl_Transactions[Date]),"",EOMONTH(MAX(Tbl_Transactions[Date]),ROW($B$4)-ROW($B21))),"")</f>
        <v>43769</v>
      </c>
      <c r="C21" s="10">
        <f>IFERROR(YEAR(Table3[[#This Row],[Date]]),"")</f>
        <v>2019</v>
      </c>
      <c r="D21" s="10" t="str">
        <f>IFERROR(TEXT(Table3[[#This Row],[Date]],"mmm"),"")</f>
        <v>Oct</v>
      </c>
      <c r="E21" s="78">
        <f>IF(LEN(B21)=0,"",SUMIFS(Tbl_Transactions[Amount],Tbl_Transactions[Type],"Income",Tbl_Transactions[Date],"&lt;="&amp;Monthly_Summary_Table!$B21,Tbl_Transactions[Date],"&gt;"&amp;EOMONTH(Monthly_Summary_Table!$B21,-1)))</f>
        <v>0</v>
      </c>
      <c r="F21" s="78">
        <f>IF(LEN(B21)=0,"",SUMIFS(Tbl_Transactions[Amount],Tbl_Transactions[Type],"Expense",Tbl_Transactions[Date],"&lt;="&amp;Monthly_Summary_Table!$B21,Tbl_Transactions[Date],"&gt;"&amp;EOMONTH(Monthly_Summary_Table!$B21,-1)))</f>
        <v>330</v>
      </c>
      <c r="G21" s="78">
        <f>IFERROR(Table3[[#This Row],[Income]]-Table3[[#This Row],[Expense]],"")</f>
        <v>-330</v>
      </c>
      <c r="H21" s="78">
        <f xml:space="preserve"> IF(LEN(Table3[[#This Row],[Date]])=0,"",MonthlyBudget)</f>
        <v>9450</v>
      </c>
      <c r="I21" s="79">
        <f>IF(LEN(Table3[[#This Row],[Date]])=0,"",SUM(G21:$G$123))</f>
        <v>35445</v>
      </c>
      <c r="J21" s="79">
        <f>IF(LEN(Table3[[#This Row],[Date]])=0,"",Table3[[#This Row],[Cumulative Savings]]+Starting_Worth)</f>
        <v>61645</v>
      </c>
      <c r="K21" s="79">
        <f>IF(LEN(B21)=0,"",SUMIFS(Tbl_Transactions[Amount],Tbl_Transactions[Account],I_CHOSEN_ACCT,Tbl_Transactions[Type],"Income",Tbl_Transactions[Date],"&lt;="&amp;Monthly_Summary_Table!$B21,Tbl_Transactions[Date],"&gt;"&amp;EOMONTH(Monthly_Summary_Table!$B21,-1)))</f>
        <v>0</v>
      </c>
      <c r="L21" s="79">
        <f>IF(LEN(B21)=0,"",SUMIFS(Tbl_Transactions[Amount],Tbl_Transactions[Account],I_CHOSEN_ACCT,Tbl_Transactions[Type],"Expense",Tbl_Transactions[Date],"&lt;="&amp;Monthly_Summary_Table!$B21,Tbl_Transactions[Date],"&gt;"&amp;EOMONTH(Monthly_Summary_Table!$B21,-1)))</f>
        <v>0</v>
      </c>
      <c r="M21" s="79">
        <f>IF(LEN(B21)=0,"",SUMIFS(Tbl_Transactions[Amount],Tbl_Transactions[Account],I_CHOSEN_ACCT,Tbl_Transactions[Type],"Transfer",Tbl_Transactions[Date],"&lt;="&amp;Monthly_Summary_Table!$B21,Tbl_Transactions[Date],"&gt;"&amp;EOMONTH(Monthly_Summary_Table!$B21,-1)))</f>
        <v>-4980</v>
      </c>
      <c r="N21" s="79">
        <f>IFERROR(Table3[[#This Row],[ACCT INCOME]]-Table3[[#This Row],[ACCT EXPENSE]]+Table3[[#This Row],[ACCT TRANSFERS]],"")</f>
        <v>-4980</v>
      </c>
      <c r="O21" s="79">
        <f>IF(LEN(Table3[[#This Row],[Date]])=0,"",SUM(N21:$N$123)+IF(I_CHOSEN_ACCTTYPE="BANK",INDEX(T_BANK_ACCTS[STARTING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11020</v>
      </c>
      <c r="S21" t="s">
        <v>54</v>
      </c>
      <c r="T21" s="84" t="str">
        <f>IFERROR(IF(INDEX(T_BANK_ACCTS[ACCOUNT NAME],ROW(T21)-ROW($T$3))=0," ",INDEX(T_BANK_ACCTS[ACCOUNT NAME],ROW(T21)-ROW($T$3)))," ")</f>
        <v xml:space="preserve"> </v>
      </c>
      <c r="U21" t="str">
        <f t="shared" si="0"/>
        <v xml:space="preserve"> </v>
      </c>
      <c r="V21" t="str">
        <f t="shared" si="1"/>
        <v/>
      </c>
      <c r="W21" t="str">
        <f t="shared" si="2"/>
        <v/>
      </c>
      <c r="X21" t="str">
        <f t="shared" si="3"/>
        <v/>
      </c>
    </row>
    <row r="22" spans="2:24" x14ac:dyDescent="0.3">
      <c r="B22" s="9">
        <f>IFERROR(IF(EOMONTH(MAX(Tbl_Transactions[Date]),ROW($B$4)-ROW($B22))&lt;MIN(Tbl_Transactions[Date]),"",EOMONTH(MAX(Tbl_Transactions[Date]),ROW($B$4)-ROW($B22))),"")</f>
        <v>43738</v>
      </c>
      <c r="C22" s="10">
        <f>IFERROR(YEAR(Table3[[#This Row],[Date]]),"")</f>
        <v>2019</v>
      </c>
      <c r="D22" s="10" t="str">
        <f>IFERROR(TEXT(Table3[[#This Row],[Date]],"mmm"),"")</f>
        <v>Sep</v>
      </c>
      <c r="E22" s="78">
        <f>IF(LEN(B22)=0,"",SUMIFS(Tbl_Transactions[Amount],Tbl_Transactions[Type],"Income",Tbl_Transactions[Date],"&lt;="&amp;Monthly_Summary_Table!$B22,Tbl_Transactions[Date],"&gt;"&amp;EOMONTH(Monthly_Summary_Table!$B22,-1)))</f>
        <v>7500</v>
      </c>
      <c r="F22" s="78">
        <f>IF(LEN(B22)=0,"",SUMIFS(Tbl_Transactions[Amount],Tbl_Transactions[Type],"Expense",Tbl_Transactions[Date],"&lt;="&amp;Monthly_Summary_Table!$B22,Tbl_Transactions[Date],"&gt;"&amp;EOMONTH(Monthly_Summary_Table!$B22,-1)))</f>
        <v>2150</v>
      </c>
      <c r="G22" s="78">
        <f>IFERROR(Table3[[#This Row],[Income]]-Table3[[#This Row],[Expense]],"")</f>
        <v>5350</v>
      </c>
      <c r="H22" s="78">
        <f xml:space="preserve"> IF(LEN(Table3[[#This Row],[Date]])=0,"",MonthlyBudget)</f>
        <v>9450</v>
      </c>
      <c r="I22" s="79">
        <f>IF(LEN(Table3[[#This Row],[Date]])=0,"",SUM(G22:$G$123))</f>
        <v>35775</v>
      </c>
      <c r="J22" s="79">
        <f>IF(LEN(Table3[[#This Row],[Date]])=0,"",Table3[[#This Row],[Cumulative Savings]]+Starting_Worth)</f>
        <v>61975</v>
      </c>
      <c r="K22" s="79">
        <f>IF(LEN(B22)=0,"",SUMIFS(Tbl_Transactions[Amount],Tbl_Transactions[Account],I_CHOSEN_ACCT,Tbl_Transactions[Type],"Income",Tbl_Transactions[Date],"&lt;="&amp;Monthly_Summary_Table!$B22,Tbl_Transactions[Date],"&gt;"&amp;EOMONTH(Monthly_Summary_Table!$B22,-1)))</f>
        <v>0</v>
      </c>
      <c r="L22" s="79">
        <f>IF(LEN(B22)=0,"",SUMIFS(Tbl_Transactions[Amount],Tbl_Transactions[Account],I_CHOSEN_ACCT,Tbl_Transactions[Type],"Expense",Tbl_Transactions[Date],"&lt;="&amp;Monthly_Summary_Table!$B22,Tbl_Transactions[Date],"&gt;"&amp;EOMONTH(Monthly_Summary_Table!$B22,-1)))</f>
        <v>750</v>
      </c>
      <c r="M22" s="79">
        <f>IF(LEN(B22)=0,"",SUMIFS(Tbl_Transactions[Amount],Tbl_Transactions[Account],I_CHOSEN_ACCT,Tbl_Transactions[Type],"Transfer",Tbl_Transactions[Date],"&lt;="&amp;Monthly_Summary_Table!$B22,Tbl_Transactions[Date],"&gt;"&amp;EOMONTH(Monthly_Summary_Table!$B22,-1)))</f>
        <v>0</v>
      </c>
      <c r="N22" s="79">
        <f>IFERROR(Table3[[#This Row],[ACCT INCOME]]-Table3[[#This Row],[ACCT EXPENSE]]+Table3[[#This Row],[ACCT TRANSFERS]],"")</f>
        <v>-750</v>
      </c>
      <c r="O22" s="79">
        <f>IF(LEN(Table3[[#This Row],[Date]])=0,"",SUM(N22:$N$123)+IF(I_CHOSEN_ACCTTYPE="BANK",INDEX(T_BANK_ACCTS[STARTING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16000</v>
      </c>
      <c r="S22" t="s">
        <v>54</v>
      </c>
      <c r="T22" s="84" t="str">
        <f>IFERROR(IF(INDEX(T_BANK_ACCTS[ACCOUNT NAME],ROW(T22)-ROW($T$3))=0," ",INDEX(T_BANK_ACCTS[ACCOUNT NAME],ROW(T22)-ROW($T$3)))," ")</f>
        <v xml:space="preserve"> </v>
      </c>
      <c r="U22" t="str">
        <f t="shared" si="0"/>
        <v xml:space="preserve"> </v>
      </c>
      <c r="V22" t="str">
        <f t="shared" si="1"/>
        <v/>
      </c>
      <c r="W22" t="str">
        <f t="shared" si="2"/>
        <v/>
      </c>
      <c r="X22" t="str">
        <f t="shared" si="3"/>
        <v/>
      </c>
    </row>
    <row r="23" spans="2:24" x14ac:dyDescent="0.3">
      <c r="B23" s="9">
        <f>IFERROR(IF(EOMONTH(MAX(Tbl_Transactions[Date]),ROW($B$4)-ROW($B23))&lt;MIN(Tbl_Transactions[Date]),"",EOMONTH(MAX(Tbl_Transactions[Date]),ROW($B$4)-ROW($B23))),"")</f>
        <v>43708</v>
      </c>
      <c r="C23" s="10">
        <f>IFERROR(YEAR(Table3[[#This Row],[Date]]),"")</f>
        <v>2019</v>
      </c>
      <c r="D23" s="10" t="str">
        <f>IFERROR(TEXT(Table3[[#This Row],[Date]],"mmm"),"")</f>
        <v>Aug</v>
      </c>
      <c r="E23" s="78">
        <f>IF(LEN(B23)=0,"",SUMIFS(Tbl_Transactions[Amount],Tbl_Transactions[Type],"Income",Tbl_Transactions[Date],"&lt;="&amp;Monthly_Summary_Table!$B23,Tbl_Transactions[Date],"&gt;"&amp;EOMONTH(Monthly_Summary_Table!$B23,-1)))</f>
        <v>32500</v>
      </c>
      <c r="F23" s="78">
        <f>IF(LEN(B23)=0,"",SUMIFS(Tbl_Transactions[Amount],Tbl_Transactions[Type],"Expense",Tbl_Transactions[Date],"&lt;="&amp;Monthly_Summary_Table!$B23,Tbl_Transactions[Date],"&gt;"&amp;EOMONTH(Monthly_Summary_Table!$B23,-1)))</f>
        <v>2075</v>
      </c>
      <c r="G23" s="78">
        <f>IFERROR(Table3[[#This Row],[Income]]-Table3[[#This Row],[Expense]],"")</f>
        <v>30425</v>
      </c>
      <c r="H23" s="78">
        <f xml:space="preserve"> IF(LEN(Table3[[#This Row],[Date]])=0,"",MonthlyBudget)</f>
        <v>9450</v>
      </c>
      <c r="I23" s="79">
        <f>IF(LEN(Table3[[#This Row],[Date]])=0,"",SUM(G23:$G$123))</f>
        <v>30425</v>
      </c>
      <c r="J23" s="79">
        <f>IF(LEN(Table3[[#This Row],[Date]])=0,"",Table3[[#This Row],[Cumulative Savings]]+Starting_Worth)</f>
        <v>56625</v>
      </c>
      <c r="K23" s="79">
        <f>IF(LEN(B23)=0,"",SUMIFS(Tbl_Transactions[Amount],Tbl_Transactions[Account],I_CHOSEN_ACCT,Tbl_Transactions[Type],"Income",Tbl_Transactions[Date],"&lt;="&amp;Monthly_Summary_Table!$B23,Tbl_Transactions[Date],"&gt;"&amp;EOMONTH(Monthly_Summary_Table!$B23,-1)))</f>
        <v>0</v>
      </c>
      <c r="L23" s="79">
        <f>IF(LEN(B23)=0,"",SUMIFS(Tbl_Transactions[Amount],Tbl_Transactions[Account],I_CHOSEN_ACCT,Tbl_Transactions[Type],"Expense",Tbl_Transactions[Date],"&lt;="&amp;Monthly_Summary_Table!$B23,Tbl_Transactions[Date],"&gt;"&amp;EOMONTH(Monthly_Summary_Table!$B23,-1)))</f>
        <v>750</v>
      </c>
      <c r="M23" s="79">
        <f>IF(LEN(B23)=0,"",SUMIFS(Tbl_Transactions[Amount],Tbl_Transactions[Account],I_CHOSEN_ACCT,Tbl_Transactions[Type],"Transfer",Tbl_Transactions[Date],"&lt;="&amp;Monthly_Summary_Table!$B23,Tbl_Transactions[Date],"&gt;"&amp;EOMONTH(Monthly_Summary_Table!$B23,-1)))</f>
        <v>0</v>
      </c>
      <c r="N23" s="79">
        <f>IFERROR(Table3[[#This Row],[ACCT INCOME]]-Table3[[#This Row],[ACCT EXPENSE]]+Table3[[#This Row],[ACCT TRANSFERS]],"")</f>
        <v>-750</v>
      </c>
      <c r="O23" s="79">
        <f>IF(LEN(Table3[[#This Row],[Date]])=0,"",SUM(N23:$N$123)+IF(I_CHOSEN_ACCTTYPE="BANK",INDEX(T_BANK_ACCTS[STARTING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16750</v>
      </c>
      <c r="S23" t="s">
        <v>54</v>
      </c>
      <c r="T23" s="84" t="str">
        <f>IFERROR(IF(INDEX(T_BANK_ACCTS[ACCOUNT NAME],ROW(T23)-ROW($T$3))=0," ",INDEX(T_BANK_ACCTS[ACCOUNT NAME],ROW(T23)-ROW($T$3)))," ")</f>
        <v xml:space="preserve"> </v>
      </c>
      <c r="U23" t="str">
        <f t="shared" si="0"/>
        <v xml:space="preserve"> </v>
      </c>
      <c r="V23" t="str">
        <f t="shared" si="1"/>
        <v/>
      </c>
      <c r="W23" t="str">
        <f t="shared" si="2"/>
        <v/>
      </c>
      <c r="X23" t="str">
        <f t="shared" si="3"/>
        <v/>
      </c>
    </row>
    <row r="24" spans="2:24" x14ac:dyDescent="0.3">
      <c r="B24" s="9" t="str">
        <f>IFERROR(IF(EOMONTH(MAX(Tbl_Transactions[Date]),ROW($B$4)-ROW($B24))&lt;MIN(Tbl_Transactions[Date]),"",EOMONTH(MAX(Tbl_Transactions[Date]),ROW($B$4)-ROW($B24))),"")</f>
        <v/>
      </c>
      <c r="C24" s="10" t="str">
        <f>IFERROR(YEAR(Table3[[#This Row],[Date]]),"")</f>
        <v/>
      </c>
      <c r="D24" s="10" t="str">
        <f>IFERROR(TEXT(Table3[[#This Row],[Date]],"mmm"),"")</f>
        <v/>
      </c>
      <c r="E24" s="78" t="str">
        <f>IF(LEN(B24)=0,"",SUMIFS(Tbl_Transactions[Amount],Tbl_Transactions[Type],"Income",Tbl_Transactions[Date],"&lt;="&amp;Monthly_Summary_Table!$B24,Tbl_Transactions[Date],"&gt;"&amp;EOMONTH(Monthly_Summary_Table!$B24,-1)))</f>
        <v/>
      </c>
      <c r="F24" s="78" t="str">
        <f>IF(LEN(B24)=0,"",SUMIFS(Tbl_Transactions[Amount],Tbl_Transactions[Type],"Expense",Tbl_Transactions[Date],"&lt;="&amp;Monthly_Summary_Table!$B24,Tbl_Transactions[Date],"&gt;"&amp;EOMONTH(Monthly_Summary_Table!$B24,-1)))</f>
        <v/>
      </c>
      <c r="G24" s="78" t="str">
        <f>IFERROR(Table3[[#This Row],[Income]]-Table3[[#This Row],[Expense]],"")</f>
        <v/>
      </c>
      <c r="H24" s="78" t="str">
        <f xml:space="preserve"> IF(LEN(Table3[[#This Row],[Date]])=0,"",MonthlyBudget)</f>
        <v/>
      </c>
      <c r="I24" s="79" t="str">
        <f>IF(LEN(Table3[[#This Row],[Date]])=0,"",SUM(G24:$G$123))</f>
        <v/>
      </c>
      <c r="J24" s="79" t="str">
        <f>IF(LEN(Table3[[#This Row],[Date]])=0,"",Table3[[#This Row],[Cumulative Savings]]+Starting_Worth)</f>
        <v/>
      </c>
      <c r="K24" s="79" t="str">
        <f>IF(LEN(B24)=0,"",SUMIFS(Tbl_Transactions[Amount],Tbl_Transactions[Account],I_CHOSEN_ACCT,Tbl_Transactions[Type],"Income",Tbl_Transactions[Date],"&lt;="&amp;Monthly_Summary_Table!$B24,Tbl_Transactions[Date],"&gt;"&amp;EOMONTH(Monthly_Summary_Table!$B24,-1)))</f>
        <v/>
      </c>
      <c r="L24" s="79" t="str">
        <f>IF(LEN(B24)=0,"",SUMIFS(Tbl_Transactions[Amount],Tbl_Transactions[Account],I_CHOSEN_ACCT,Tbl_Transactions[Type],"Expense",Tbl_Transactions[Date],"&lt;="&amp;Monthly_Summary_Table!$B24,Tbl_Transactions[Date],"&gt;"&amp;EOMONTH(Monthly_Summary_Table!$B24,-1)))</f>
        <v/>
      </c>
      <c r="M24" s="79" t="str">
        <f>IF(LEN(B24)=0,"",SUMIFS(Tbl_Transactions[Amount],Tbl_Transactions[Account],I_CHOSEN_ACCT,Tbl_Transactions[Type],"Transfer",Tbl_Transactions[Date],"&lt;="&amp;Monthly_Summary_Table!$B24,Tbl_Transactions[Date],"&gt;"&amp;EOMONTH(Monthly_Summary_Table!$B24,-1)))</f>
        <v/>
      </c>
      <c r="N24" s="79" t="str">
        <f>IFERROR(Table3[[#This Row],[ACCT INCOME]]-Table3[[#This Row],[ACCT EXPENSE]]+Table3[[#This Row],[ACCT TRANSFERS]],"")</f>
        <v/>
      </c>
      <c r="O24" s="79" t="str">
        <f>IF(LEN(Table3[[#This Row],[Date]])=0,"",SUM(N24:$N$123)+IF(I_CHOSEN_ACCTTYPE="BANK",INDEX(T_BANK_ACCTS[STARTING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24" t="s">
        <v>54</v>
      </c>
      <c r="T24" s="84" t="str">
        <f>IFERROR(IF(INDEX(T_BANK_ACCTS[ACCOUNT NAME],ROW(T24)-ROW($T$3))=0," ",INDEX(T_BANK_ACCTS[ACCOUNT NAME],ROW(T24)-ROW($T$3)))," ")</f>
        <v xml:space="preserve"> </v>
      </c>
      <c r="U24" t="str">
        <f t="shared" si="0"/>
        <v xml:space="preserve"> </v>
      </c>
      <c r="V24" t="str">
        <f t="shared" si="1"/>
        <v/>
      </c>
      <c r="W24" t="str">
        <f t="shared" si="2"/>
        <v/>
      </c>
      <c r="X24" t="str">
        <f t="shared" si="3"/>
        <v/>
      </c>
    </row>
    <row r="25" spans="2:24" x14ac:dyDescent="0.3">
      <c r="B25" s="9" t="str">
        <f>IFERROR(IF(EOMONTH(MAX(Tbl_Transactions[Date]),ROW($B$4)-ROW($B25))&lt;MIN(Tbl_Transactions[Date]),"",EOMONTH(MAX(Tbl_Transactions[Date]),ROW($B$4)-ROW($B25))),"")</f>
        <v/>
      </c>
      <c r="C25" s="10" t="str">
        <f>IFERROR(YEAR(Table3[[#This Row],[Date]]),"")</f>
        <v/>
      </c>
      <c r="D25" s="10" t="str">
        <f>IFERROR(TEXT(Table3[[#This Row],[Date]],"mmm"),"")</f>
        <v/>
      </c>
      <c r="E25" s="78" t="str">
        <f>IF(LEN(B25)=0,"",SUMIFS(Tbl_Transactions[Amount],Tbl_Transactions[Type],"Income",Tbl_Transactions[Date],"&lt;="&amp;Monthly_Summary_Table!$B25,Tbl_Transactions[Date],"&gt;"&amp;EOMONTH(Monthly_Summary_Table!$B25,-1)))</f>
        <v/>
      </c>
      <c r="F25" s="78" t="str">
        <f>IF(LEN(B25)=0,"",SUMIFS(Tbl_Transactions[Amount],Tbl_Transactions[Type],"Expense",Tbl_Transactions[Date],"&lt;="&amp;Monthly_Summary_Table!$B25,Tbl_Transactions[Date],"&gt;"&amp;EOMONTH(Monthly_Summary_Table!$B25,-1)))</f>
        <v/>
      </c>
      <c r="G25" s="78" t="str">
        <f>IFERROR(Table3[[#This Row],[Income]]-Table3[[#This Row],[Expense]],"")</f>
        <v/>
      </c>
      <c r="H25" s="78" t="str">
        <f xml:space="preserve"> IF(LEN(Table3[[#This Row],[Date]])=0,"",MonthlyBudget)</f>
        <v/>
      </c>
      <c r="I25" s="79" t="str">
        <f>IF(LEN(Table3[[#This Row],[Date]])=0,"",SUM(G25:$G$123))</f>
        <v/>
      </c>
      <c r="J25" s="79" t="str">
        <f>IF(LEN(Table3[[#This Row],[Date]])=0,"",Table3[[#This Row],[Cumulative Savings]]+Starting_Worth)</f>
        <v/>
      </c>
      <c r="K25" s="79" t="str">
        <f>IF(LEN(B25)=0,"",SUMIFS(Tbl_Transactions[Amount],Tbl_Transactions[Account],I_CHOSEN_ACCT,Tbl_Transactions[Type],"Income",Tbl_Transactions[Date],"&lt;="&amp;Monthly_Summary_Table!$B25,Tbl_Transactions[Date],"&gt;"&amp;EOMONTH(Monthly_Summary_Table!$B25,-1)))</f>
        <v/>
      </c>
      <c r="L25" s="79" t="str">
        <f>IF(LEN(B25)=0,"",SUMIFS(Tbl_Transactions[Amount],Tbl_Transactions[Account],I_CHOSEN_ACCT,Tbl_Transactions[Type],"Expense",Tbl_Transactions[Date],"&lt;="&amp;Monthly_Summary_Table!$B25,Tbl_Transactions[Date],"&gt;"&amp;EOMONTH(Monthly_Summary_Table!$B25,-1)))</f>
        <v/>
      </c>
      <c r="M25" s="79" t="str">
        <f>IF(LEN(B25)=0,"",SUMIFS(Tbl_Transactions[Amount],Tbl_Transactions[Account],I_CHOSEN_ACCT,Tbl_Transactions[Type],"Transfer",Tbl_Transactions[Date],"&lt;="&amp;Monthly_Summary_Table!$B25,Tbl_Transactions[Date],"&gt;"&amp;EOMONTH(Monthly_Summary_Table!$B25,-1)))</f>
        <v/>
      </c>
      <c r="N25" s="79" t="str">
        <f>IFERROR(Table3[[#This Row],[ACCT INCOME]]-Table3[[#This Row],[ACCT EXPENSE]]+Table3[[#This Row],[ACCT TRANSFERS]],"")</f>
        <v/>
      </c>
      <c r="O25" s="79" t="str">
        <f>IF(LEN(Table3[[#This Row],[Date]])=0,"",SUM(N25:$N$123)+IF(I_CHOSEN_ACCTTYPE="BANK",INDEX(T_BANK_ACCTS[STARTING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25" t="s">
        <v>54</v>
      </c>
      <c r="T25" s="84" t="str">
        <f>IFERROR(IF(INDEX(T_BANK_ACCTS[ACCOUNT NAME],ROW(T25)-ROW($T$3))=0," ",INDEX(T_BANK_ACCTS[ACCOUNT NAME],ROW(T25)-ROW($T$3)))," ")</f>
        <v xml:space="preserve"> </v>
      </c>
      <c r="U25" t="str">
        <f t="shared" si="0"/>
        <v xml:space="preserve"> </v>
      </c>
      <c r="V25" t="str">
        <f t="shared" si="1"/>
        <v/>
      </c>
      <c r="W25" t="str">
        <f t="shared" si="2"/>
        <v/>
      </c>
      <c r="X25" t="str">
        <f t="shared" si="3"/>
        <v/>
      </c>
    </row>
    <row r="26" spans="2:24" x14ac:dyDescent="0.3">
      <c r="B26" s="9" t="str">
        <f>IFERROR(IF(EOMONTH(MAX(Tbl_Transactions[Date]),ROW($B$4)-ROW($B26))&lt;MIN(Tbl_Transactions[Date]),"",EOMONTH(MAX(Tbl_Transactions[Date]),ROW($B$4)-ROW($B26))),"")</f>
        <v/>
      </c>
      <c r="C26" s="10" t="str">
        <f>IFERROR(YEAR(Table3[[#This Row],[Date]]),"")</f>
        <v/>
      </c>
      <c r="D26" s="10" t="str">
        <f>IFERROR(TEXT(Table3[[#This Row],[Date]],"mmm"),"")</f>
        <v/>
      </c>
      <c r="E26" s="78" t="str">
        <f>IF(LEN(B26)=0,"",SUMIFS(Tbl_Transactions[Amount],Tbl_Transactions[Type],"Income",Tbl_Transactions[Date],"&lt;="&amp;Monthly_Summary_Table!$B26,Tbl_Transactions[Date],"&gt;"&amp;EOMONTH(Monthly_Summary_Table!$B26,-1)))</f>
        <v/>
      </c>
      <c r="F26" s="78" t="str">
        <f>IF(LEN(B26)=0,"",SUMIFS(Tbl_Transactions[Amount],Tbl_Transactions[Type],"Expense",Tbl_Transactions[Date],"&lt;="&amp;Monthly_Summary_Table!$B26,Tbl_Transactions[Date],"&gt;"&amp;EOMONTH(Monthly_Summary_Table!$B26,-1)))</f>
        <v/>
      </c>
      <c r="G26" s="78" t="str">
        <f>IFERROR(Table3[[#This Row],[Income]]-Table3[[#This Row],[Expense]],"")</f>
        <v/>
      </c>
      <c r="H26" s="78" t="str">
        <f xml:space="preserve"> IF(LEN(Table3[[#This Row],[Date]])=0,"",MonthlyBudget)</f>
        <v/>
      </c>
      <c r="I26" s="79" t="str">
        <f>IF(LEN(Table3[[#This Row],[Date]])=0,"",SUM(G26:$G$123))</f>
        <v/>
      </c>
      <c r="J26" s="79" t="str">
        <f>IF(LEN(Table3[[#This Row],[Date]])=0,"",Table3[[#This Row],[Cumulative Savings]]+Starting_Worth)</f>
        <v/>
      </c>
      <c r="K26" s="79" t="str">
        <f>IF(LEN(B26)=0,"",SUMIFS(Tbl_Transactions[Amount],Tbl_Transactions[Account],I_CHOSEN_ACCT,Tbl_Transactions[Type],"Income",Tbl_Transactions[Date],"&lt;="&amp;Monthly_Summary_Table!$B26,Tbl_Transactions[Date],"&gt;"&amp;EOMONTH(Monthly_Summary_Table!$B26,-1)))</f>
        <v/>
      </c>
      <c r="L26" s="79" t="str">
        <f>IF(LEN(B26)=0,"",SUMIFS(Tbl_Transactions[Amount],Tbl_Transactions[Account],I_CHOSEN_ACCT,Tbl_Transactions[Type],"Expense",Tbl_Transactions[Date],"&lt;="&amp;Monthly_Summary_Table!$B26,Tbl_Transactions[Date],"&gt;"&amp;EOMONTH(Monthly_Summary_Table!$B26,-1)))</f>
        <v/>
      </c>
      <c r="M26" s="79" t="str">
        <f>IF(LEN(B26)=0,"",SUMIFS(Tbl_Transactions[Amount],Tbl_Transactions[Account],I_CHOSEN_ACCT,Tbl_Transactions[Type],"Transfer",Tbl_Transactions[Date],"&lt;="&amp;Monthly_Summary_Table!$B26,Tbl_Transactions[Date],"&gt;"&amp;EOMONTH(Monthly_Summary_Table!$B26,-1)))</f>
        <v/>
      </c>
      <c r="N26" s="79" t="str">
        <f>IFERROR(Table3[[#This Row],[ACCT INCOME]]-Table3[[#This Row],[ACCT EXPENSE]]+Table3[[#This Row],[ACCT TRANSFERS]],"")</f>
        <v/>
      </c>
      <c r="O26" s="79" t="str">
        <f>IF(LEN(Table3[[#This Row],[Date]])=0,"",SUM(N26:$N$123)+IF(I_CHOSEN_ACCTTYPE="BANK",INDEX(T_BANK_ACCTS[STARTING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26" t="s">
        <v>54</v>
      </c>
      <c r="T26" s="84" t="str">
        <f>IFERROR(IF(INDEX(T_BANK_ACCTS[ACCOUNT NAME],ROW(T26)-ROW($T$3))=0," ",INDEX(T_BANK_ACCTS[ACCOUNT NAME],ROW(T26)-ROW($T$3)))," ")</f>
        <v xml:space="preserve"> </v>
      </c>
      <c r="U26" t="str">
        <f t="shared" si="0"/>
        <v xml:space="preserve"> </v>
      </c>
      <c r="V26" t="str">
        <f t="shared" si="1"/>
        <v/>
      </c>
      <c r="W26" t="str">
        <f t="shared" si="2"/>
        <v/>
      </c>
      <c r="X26" t="str">
        <f t="shared" si="3"/>
        <v/>
      </c>
    </row>
    <row r="27" spans="2:24" x14ac:dyDescent="0.3">
      <c r="B27" s="9" t="str">
        <f>IFERROR(IF(EOMONTH(MAX(Tbl_Transactions[Date]),ROW($B$4)-ROW($B27))&lt;MIN(Tbl_Transactions[Date]),"",EOMONTH(MAX(Tbl_Transactions[Date]),ROW($B$4)-ROW($B27))),"")</f>
        <v/>
      </c>
      <c r="C27" s="10" t="str">
        <f>IFERROR(YEAR(Table3[[#This Row],[Date]]),"")</f>
        <v/>
      </c>
      <c r="D27" s="10" t="str">
        <f>IFERROR(TEXT(Table3[[#This Row],[Date]],"mmm"),"")</f>
        <v/>
      </c>
      <c r="E27" s="78" t="str">
        <f>IF(LEN(B27)=0,"",SUMIFS(Tbl_Transactions[Amount],Tbl_Transactions[Type],"Income",Tbl_Transactions[Date],"&lt;="&amp;Monthly_Summary_Table!$B27,Tbl_Transactions[Date],"&gt;"&amp;EOMONTH(Monthly_Summary_Table!$B27,-1)))</f>
        <v/>
      </c>
      <c r="F27" s="78" t="str">
        <f>IF(LEN(B27)=0,"",SUMIFS(Tbl_Transactions[Amount],Tbl_Transactions[Type],"Expense",Tbl_Transactions[Date],"&lt;="&amp;Monthly_Summary_Table!$B27,Tbl_Transactions[Date],"&gt;"&amp;EOMONTH(Monthly_Summary_Table!$B27,-1)))</f>
        <v/>
      </c>
      <c r="G27" s="78" t="str">
        <f>IFERROR(Table3[[#This Row],[Income]]-Table3[[#This Row],[Expense]],"")</f>
        <v/>
      </c>
      <c r="H27" s="78" t="str">
        <f xml:space="preserve"> IF(LEN(Table3[[#This Row],[Date]])=0,"",MonthlyBudget)</f>
        <v/>
      </c>
      <c r="I27" s="79" t="str">
        <f>IF(LEN(Table3[[#This Row],[Date]])=0,"",SUM(G27:$G$123))</f>
        <v/>
      </c>
      <c r="J27" s="79" t="str">
        <f>IF(LEN(Table3[[#This Row],[Date]])=0,"",Table3[[#This Row],[Cumulative Savings]]+Starting_Worth)</f>
        <v/>
      </c>
      <c r="K27" s="79" t="str">
        <f>IF(LEN(B27)=0,"",SUMIFS(Tbl_Transactions[Amount],Tbl_Transactions[Account],I_CHOSEN_ACCT,Tbl_Transactions[Type],"Income",Tbl_Transactions[Date],"&lt;="&amp;Monthly_Summary_Table!$B27,Tbl_Transactions[Date],"&gt;"&amp;EOMONTH(Monthly_Summary_Table!$B27,-1)))</f>
        <v/>
      </c>
      <c r="L27" s="79" t="str">
        <f>IF(LEN(B27)=0,"",SUMIFS(Tbl_Transactions[Amount],Tbl_Transactions[Account],I_CHOSEN_ACCT,Tbl_Transactions[Type],"Expense",Tbl_Transactions[Date],"&lt;="&amp;Monthly_Summary_Table!$B27,Tbl_Transactions[Date],"&gt;"&amp;EOMONTH(Monthly_Summary_Table!$B27,-1)))</f>
        <v/>
      </c>
      <c r="M27" s="79" t="str">
        <f>IF(LEN(B27)=0,"",SUMIFS(Tbl_Transactions[Amount],Tbl_Transactions[Account],I_CHOSEN_ACCT,Tbl_Transactions[Type],"Transfer",Tbl_Transactions[Date],"&lt;="&amp;Monthly_Summary_Table!$B27,Tbl_Transactions[Date],"&gt;"&amp;EOMONTH(Monthly_Summary_Table!$B27,-1)))</f>
        <v/>
      </c>
      <c r="N27" s="79" t="str">
        <f>IFERROR(Table3[[#This Row],[ACCT INCOME]]-Table3[[#This Row],[ACCT EXPENSE]]+Table3[[#This Row],[ACCT TRANSFERS]],"")</f>
        <v/>
      </c>
      <c r="O27" s="79" t="str">
        <f>IF(LEN(Table3[[#This Row],[Date]])=0,"",SUM(N27:$N$123)+IF(I_CHOSEN_ACCTTYPE="BANK",INDEX(T_BANK_ACCTS[STARTING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27" t="s">
        <v>54</v>
      </c>
      <c r="T27" s="84" t="str">
        <f>IFERROR(IF(INDEX(T_BANK_ACCTS[ACCOUNT NAME],ROW(T27)-ROW($T$3))=0," ",INDEX(T_BANK_ACCTS[ACCOUNT NAME],ROW(T27)-ROW($T$3)))," ")</f>
        <v xml:space="preserve"> </v>
      </c>
      <c r="U27" t="str">
        <f t="shared" si="0"/>
        <v xml:space="preserve"> </v>
      </c>
      <c r="V27" t="str">
        <f t="shared" si="1"/>
        <v/>
      </c>
      <c r="W27" t="str">
        <f t="shared" si="2"/>
        <v/>
      </c>
      <c r="X27" t="str">
        <f t="shared" si="3"/>
        <v/>
      </c>
    </row>
    <row r="28" spans="2:24" x14ac:dyDescent="0.3">
      <c r="B28" s="9" t="str">
        <f>IFERROR(IF(EOMONTH(MAX(Tbl_Transactions[Date]),ROW($B$4)-ROW($B28))&lt;MIN(Tbl_Transactions[Date]),"",EOMONTH(MAX(Tbl_Transactions[Date]),ROW($B$4)-ROW($B28))),"")</f>
        <v/>
      </c>
      <c r="C28" s="10" t="str">
        <f>IFERROR(YEAR(Table3[[#This Row],[Date]]),"")</f>
        <v/>
      </c>
      <c r="D28" s="10" t="str">
        <f>IFERROR(TEXT(Table3[[#This Row],[Date]],"mmm"),"")</f>
        <v/>
      </c>
      <c r="E28" s="78" t="str">
        <f>IF(LEN(B28)=0,"",SUMIFS(Tbl_Transactions[Amount],Tbl_Transactions[Type],"Income",Tbl_Transactions[Date],"&lt;="&amp;Monthly_Summary_Table!$B28,Tbl_Transactions[Date],"&gt;"&amp;EOMONTH(Monthly_Summary_Table!$B28,-1)))</f>
        <v/>
      </c>
      <c r="F28" s="78" t="str">
        <f>IF(LEN(B28)=0,"",SUMIFS(Tbl_Transactions[Amount],Tbl_Transactions[Type],"Expense",Tbl_Transactions[Date],"&lt;="&amp;Monthly_Summary_Table!$B28,Tbl_Transactions[Date],"&gt;"&amp;EOMONTH(Monthly_Summary_Table!$B28,-1)))</f>
        <v/>
      </c>
      <c r="G28" s="78" t="str">
        <f>IFERROR(Table3[[#This Row],[Income]]-Table3[[#This Row],[Expense]],"")</f>
        <v/>
      </c>
      <c r="H28" s="78" t="str">
        <f xml:space="preserve"> IF(LEN(Table3[[#This Row],[Date]])=0,"",MonthlyBudget)</f>
        <v/>
      </c>
      <c r="I28" s="79" t="str">
        <f>IF(LEN(Table3[[#This Row],[Date]])=0,"",SUM(G28:$G$123))</f>
        <v/>
      </c>
      <c r="J28" s="79" t="str">
        <f>IF(LEN(Table3[[#This Row],[Date]])=0,"",Table3[[#This Row],[Cumulative Savings]]+Starting_Worth)</f>
        <v/>
      </c>
      <c r="K28" s="79" t="str">
        <f>IF(LEN(B28)=0,"",SUMIFS(Tbl_Transactions[Amount],Tbl_Transactions[Account],I_CHOSEN_ACCT,Tbl_Transactions[Type],"Income",Tbl_Transactions[Date],"&lt;="&amp;Monthly_Summary_Table!$B28,Tbl_Transactions[Date],"&gt;"&amp;EOMONTH(Monthly_Summary_Table!$B28,-1)))</f>
        <v/>
      </c>
      <c r="L28" s="79" t="str">
        <f>IF(LEN(B28)=0,"",SUMIFS(Tbl_Transactions[Amount],Tbl_Transactions[Account],I_CHOSEN_ACCT,Tbl_Transactions[Type],"Expense",Tbl_Transactions[Date],"&lt;="&amp;Monthly_Summary_Table!$B28,Tbl_Transactions[Date],"&gt;"&amp;EOMONTH(Monthly_Summary_Table!$B28,-1)))</f>
        <v/>
      </c>
      <c r="M28" s="79" t="str">
        <f>IF(LEN(B28)=0,"",SUMIFS(Tbl_Transactions[Amount],Tbl_Transactions[Account],I_CHOSEN_ACCT,Tbl_Transactions[Type],"Transfer",Tbl_Transactions[Date],"&lt;="&amp;Monthly_Summary_Table!$B28,Tbl_Transactions[Date],"&gt;"&amp;EOMONTH(Monthly_Summary_Table!$B28,-1)))</f>
        <v/>
      </c>
      <c r="N28" s="79" t="str">
        <f>IFERROR(Table3[[#This Row],[ACCT INCOME]]-Table3[[#This Row],[ACCT EXPENSE]]+Table3[[#This Row],[ACCT TRANSFERS]],"")</f>
        <v/>
      </c>
      <c r="O28" s="79" t="str">
        <f>IF(LEN(Table3[[#This Row],[Date]])=0,"",SUM(N28:$N$123)+IF(I_CHOSEN_ACCTTYPE="BANK",INDEX(T_BANK_ACCTS[STARTING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28" t="s">
        <v>54</v>
      </c>
      <c r="T28" s="84" t="str">
        <f>IFERROR(IF(INDEX(T_BANK_ACCTS[ACCOUNT NAME],ROW(T28)-ROW($T$3))=0," ",INDEX(T_BANK_ACCTS[ACCOUNT NAME],ROW(T28)-ROW($T$3)))," ")</f>
        <v xml:space="preserve"> </v>
      </c>
      <c r="U28" t="str">
        <f t="shared" si="0"/>
        <v xml:space="preserve"> </v>
      </c>
      <c r="V28" t="str">
        <f t="shared" si="1"/>
        <v/>
      </c>
      <c r="W28" t="str">
        <f t="shared" si="2"/>
        <v/>
      </c>
      <c r="X28" t="str">
        <f t="shared" si="3"/>
        <v/>
      </c>
    </row>
    <row r="29" spans="2:24" x14ac:dyDescent="0.3">
      <c r="B29" s="9" t="str">
        <f>IFERROR(IF(EOMONTH(MAX(Tbl_Transactions[Date]),ROW($B$4)-ROW($B29))&lt;MIN(Tbl_Transactions[Date]),"",EOMONTH(MAX(Tbl_Transactions[Date]),ROW($B$4)-ROW($B29))),"")</f>
        <v/>
      </c>
      <c r="C29" s="10" t="str">
        <f>IFERROR(YEAR(Table3[[#This Row],[Date]]),"")</f>
        <v/>
      </c>
      <c r="D29" s="10" t="str">
        <f>IFERROR(TEXT(Table3[[#This Row],[Date]],"mmm"),"")</f>
        <v/>
      </c>
      <c r="E29" s="78" t="str">
        <f>IF(LEN(B29)=0,"",SUMIFS(Tbl_Transactions[Amount],Tbl_Transactions[Type],"Income",Tbl_Transactions[Date],"&lt;="&amp;Monthly_Summary_Table!$B29,Tbl_Transactions[Date],"&gt;"&amp;EOMONTH(Monthly_Summary_Table!$B29,-1)))</f>
        <v/>
      </c>
      <c r="F29" s="78" t="str">
        <f>IF(LEN(B29)=0,"",SUMIFS(Tbl_Transactions[Amount],Tbl_Transactions[Type],"Expense",Tbl_Transactions[Date],"&lt;="&amp;Monthly_Summary_Table!$B29,Tbl_Transactions[Date],"&gt;"&amp;EOMONTH(Monthly_Summary_Table!$B29,-1)))</f>
        <v/>
      </c>
      <c r="G29" s="78" t="str">
        <f>IFERROR(Table3[[#This Row],[Income]]-Table3[[#This Row],[Expense]],"")</f>
        <v/>
      </c>
      <c r="H29" s="78" t="str">
        <f xml:space="preserve"> IF(LEN(Table3[[#This Row],[Date]])=0,"",MonthlyBudget)</f>
        <v/>
      </c>
      <c r="I29" s="79" t="str">
        <f>IF(LEN(Table3[[#This Row],[Date]])=0,"",SUM(G29:$G$123))</f>
        <v/>
      </c>
      <c r="J29" s="79" t="str">
        <f>IF(LEN(Table3[[#This Row],[Date]])=0,"",Table3[[#This Row],[Cumulative Savings]]+Starting_Worth)</f>
        <v/>
      </c>
      <c r="K29" s="79" t="str">
        <f>IF(LEN(B29)=0,"",SUMIFS(Tbl_Transactions[Amount],Tbl_Transactions[Account],I_CHOSEN_ACCT,Tbl_Transactions[Type],"Income",Tbl_Transactions[Date],"&lt;="&amp;Monthly_Summary_Table!$B29,Tbl_Transactions[Date],"&gt;"&amp;EOMONTH(Monthly_Summary_Table!$B29,-1)))</f>
        <v/>
      </c>
      <c r="L29" s="79" t="str">
        <f>IF(LEN(B29)=0,"",SUMIFS(Tbl_Transactions[Amount],Tbl_Transactions[Account],I_CHOSEN_ACCT,Tbl_Transactions[Type],"Expense",Tbl_Transactions[Date],"&lt;="&amp;Monthly_Summary_Table!$B29,Tbl_Transactions[Date],"&gt;"&amp;EOMONTH(Monthly_Summary_Table!$B29,-1)))</f>
        <v/>
      </c>
      <c r="M29" s="79" t="str">
        <f>IF(LEN(B29)=0,"",SUMIFS(Tbl_Transactions[Amount],Tbl_Transactions[Account],I_CHOSEN_ACCT,Tbl_Transactions[Type],"Transfer",Tbl_Transactions[Date],"&lt;="&amp;Monthly_Summary_Table!$B29,Tbl_Transactions[Date],"&gt;"&amp;EOMONTH(Monthly_Summary_Table!$B29,-1)))</f>
        <v/>
      </c>
      <c r="N29" s="79" t="str">
        <f>IFERROR(Table3[[#This Row],[ACCT INCOME]]-Table3[[#This Row],[ACCT EXPENSE]]+Table3[[#This Row],[ACCT TRANSFERS]],"")</f>
        <v/>
      </c>
      <c r="O29" s="79" t="str">
        <f>IF(LEN(Table3[[#This Row],[Date]])=0,"",SUM(N29:$N$123)+IF(I_CHOSEN_ACCTTYPE="BANK",INDEX(T_BANK_ACCTS[STARTING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29" t="s">
        <v>54</v>
      </c>
      <c r="T29" s="84" t="str">
        <f>IFERROR(IF(INDEX(T_BANK_ACCTS[ACCOUNT NAME],ROW(T29)-ROW($T$3))=0," ",INDEX(T_BANK_ACCTS[ACCOUNT NAME],ROW(T29)-ROW($T$3)))," ")</f>
        <v xml:space="preserve"> </v>
      </c>
      <c r="U29" t="str">
        <f t="shared" si="0"/>
        <v xml:space="preserve"> </v>
      </c>
      <c r="V29" t="str">
        <f t="shared" si="1"/>
        <v/>
      </c>
      <c r="W29" t="str">
        <f t="shared" si="2"/>
        <v/>
      </c>
      <c r="X29" t="str">
        <f t="shared" si="3"/>
        <v/>
      </c>
    </row>
    <row r="30" spans="2:24" x14ac:dyDescent="0.3">
      <c r="B30" s="9" t="str">
        <f>IFERROR(IF(EOMONTH(MAX(Tbl_Transactions[Date]),ROW($B$4)-ROW($B30))&lt;MIN(Tbl_Transactions[Date]),"",EOMONTH(MAX(Tbl_Transactions[Date]),ROW($B$4)-ROW($B30))),"")</f>
        <v/>
      </c>
      <c r="C30" s="10" t="str">
        <f>IFERROR(YEAR(Table3[[#This Row],[Date]]),"")</f>
        <v/>
      </c>
      <c r="D30" s="10" t="str">
        <f>IFERROR(TEXT(Table3[[#This Row],[Date]],"mmm"),"")</f>
        <v/>
      </c>
      <c r="E30" s="78" t="str">
        <f>IF(LEN(B30)=0,"",SUMIFS(Tbl_Transactions[Amount],Tbl_Transactions[Type],"Income",Tbl_Transactions[Date],"&lt;="&amp;Monthly_Summary_Table!$B30,Tbl_Transactions[Date],"&gt;"&amp;EOMONTH(Monthly_Summary_Table!$B30,-1)))</f>
        <v/>
      </c>
      <c r="F30" s="78" t="str">
        <f>IF(LEN(B30)=0,"",SUMIFS(Tbl_Transactions[Amount],Tbl_Transactions[Type],"Expense",Tbl_Transactions[Date],"&lt;="&amp;Monthly_Summary_Table!$B30,Tbl_Transactions[Date],"&gt;"&amp;EOMONTH(Monthly_Summary_Table!$B30,-1)))</f>
        <v/>
      </c>
      <c r="G30" s="78" t="str">
        <f>IFERROR(Table3[[#This Row],[Income]]-Table3[[#This Row],[Expense]],"")</f>
        <v/>
      </c>
      <c r="H30" s="78" t="str">
        <f xml:space="preserve"> IF(LEN(Table3[[#This Row],[Date]])=0,"",MonthlyBudget)</f>
        <v/>
      </c>
      <c r="I30" s="79" t="str">
        <f>IF(LEN(Table3[[#This Row],[Date]])=0,"",SUM(G30:$G$123))</f>
        <v/>
      </c>
      <c r="J30" s="79" t="str">
        <f>IF(LEN(Table3[[#This Row],[Date]])=0,"",Table3[[#This Row],[Cumulative Savings]]+Starting_Worth)</f>
        <v/>
      </c>
      <c r="K30" s="79" t="str">
        <f>IF(LEN(B30)=0,"",SUMIFS(Tbl_Transactions[Amount],Tbl_Transactions[Account],I_CHOSEN_ACCT,Tbl_Transactions[Type],"Income",Tbl_Transactions[Date],"&lt;="&amp;Monthly_Summary_Table!$B30,Tbl_Transactions[Date],"&gt;"&amp;EOMONTH(Monthly_Summary_Table!$B30,-1)))</f>
        <v/>
      </c>
      <c r="L30" s="79" t="str">
        <f>IF(LEN(B30)=0,"",SUMIFS(Tbl_Transactions[Amount],Tbl_Transactions[Account],I_CHOSEN_ACCT,Tbl_Transactions[Type],"Expense",Tbl_Transactions[Date],"&lt;="&amp;Monthly_Summary_Table!$B30,Tbl_Transactions[Date],"&gt;"&amp;EOMONTH(Monthly_Summary_Table!$B30,-1)))</f>
        <v/>
      </c>
      <c r="M30" s="79" t="str">
        <f>IF(LEN(B30)=0,"",SUMIFS(Tbl_Transactions[Amount],Tbl_Transactions[Account],I_CHOSEN_ACCT,Tbl_Transactions[Type],"Transfer",Tbl_Transactions[Date],"&lt;="&amp;Monthly_Summary_Table!$B30,Tbl_Transactions[Date],"&gt;"&amp;EOMONTH(Monthly_Summary_Table!$B30,-1)))</f>
        <v/>
      </c>
      <c r="N30" s="79" t="str">
        <f>IFERROR(Table3[[#This Row],[ACCT INCOME]]-Table3[[#This Row],[ACCT EXPENSE]]+Table3[[#This Row],[ACCT TRANSFERS]],"")</f>
        <v/>
      </c>
      <c r="O30" s="79" t="str">
        <f>IF(LEN(Table3[[#This Row],[Date]])=0,"",SUM(N30:$N$123)+IF(I_CHOSEN_ACCTTYPE="BANK",INDEX(T_BANK_ACCTS[STARTING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0" t="s">
        <v>54</v>
      </c>
      <c r="T30" s="84" t="str">
        <f>IFERROR(IF(INDEX(T_BANK_ACCTS[ACCOUNT NAME],ROW(T30)-ROW($T$3))=0," ",INDEX(T_BANK_ACCTS[ACCOUNT NAME],ROW(T30)-ROW($T$3)))," ")</f>
        <v xml:space="preserve"> </v>
      </c>
      <c r="U30" t="str">
        <f t="shared" si="0"/>
        <v xml:space="preserve"> </v>
      </c>
      <c r="V30" t="str">
        <f t="shared" si="1"/>
        <v/>
      </c>
      <c r="W30" t="str">
        <f t="shared" si="2"/>
        <v/>
      </c>
      <c r="X30" t="str">
        <f t="shared" si="3"/>
        <v/>
      </c>
    </row>
    <row r="31" spans="2:24" x14ac:dyDescent="0.3">
      <c r="B31" s="9" t="str">
        <f>IFERROR(IF(EOMONTH(MAX(Tbl_Transactions[Date]),ROW($B$4)-ROW($B31))&lt;MIN(Tbl_Transactions[Date]),"",EOMONTH(MAX(Tbl_Transactions[Date]),ROW($B$4)-ROW($B31))),"")</f>
        <v/>
      </c>
      <c r="C31" s="10" t="str">
        <f>IFERROR(YEAR(Table3[[#This Row],[Date]]),"")</f>
        <v/>
      </c>
      <c r="D31" s="10" t="str">
        <f>IFERROR(TEXT(Table3[[#This Row],[Date]],"mmm"),"")</f>
        <v/>
      </c>
      <c r="E31" s="78" t="str">
        <f>IF(LEN(B31)=0,"",SUMIFS(Tbl_Transactions[Amount],Tbl_Transactions[Type],"Income",Tbl_Transactions[Date],"&lt;="&amp;Monthly_Summary_Table!$B31,Tbl_Transactions[Date],"&gt;"&amp;EOMONTH(Monthly_Summary_Table!$B31,-1)))</f>
        <v/>
      </c>
      <c r="F31" s="78" t="str">
        <f>IF(LEN(B31)=0,"",SUMIFS(Tbl_Transactions[Amount],Tbl_Transactions[Type],"Expense",Tbl_Transactions[Date],"&lt;="&amp;Monthly_Summary_Table!$B31,Tbl_Transactions[Date],"&gt;"&amp;EOMONTH(Monthly_Summary_Table!$B31,-1)))</f>
        <v/>
      </c>
      <c r="G31" s="78" t="str">
        <f>IFERROR(Table3[[#This Row],[Income]]-Table3[[#This Row],[Expense]],"")</f>
        <v/>
      </c>
      <c r="H31" s="78" t="str">
        <f xml:space="preserve"> IF(LEN(Table3[[#This Row],[Date]])=0,"",MonthlyBudget)</f>
        <v/>
      </c>
      <c r="I31" s="79" t="str">
        <f>IF(LEN(Table3[[#This Row],[Date]])=0,"",SUM(G31:$G$123))</f>
        <v/>
      </c>
      <c r="J31" s="79" t="str">
        <f>IF(LEN(Table3[[#This Row],[Date]])=0,"",Table3[[#This Row],[Cumulative Savings]]+Starting_Worth)</f>
        <v/>
      </c>
      <c r="K31" s="79" t="str">
        <f>IF(LEN(B31)=0,"",SUMIFS(Tbl_Transactions[Amount],Tbl_Transactions[Account],I_CHOSEN_ACCT,Tbl_Transactions[Type],"Income",Tbl_Transactions[Date],"&lt;="&amp;Monthly_Summary_Table!$B31,Tbl_Transactions[Date],"&gt;"&amp;EOMONTH(Monthly_Summary_Table!$B31,-1)))</f>
        <v/>
      </c>
      <c r="L31" s="79" t="str">
        <f>IF(LEN(B31)=0,"",SUMIFS(Tbl_Transactions[Amount],Tbl_Transactions[Account],I_CHOSEN_ACCT,Tbl_Transactions[Type],"Expense",Tbl_Transactions[Date],"&lt;="&amp;Monthly_Summary_Table!$B31,Tbl_Transactions[Date],"&gt;"&amp;EOMONTH(Monthly_Summary_Table!$B31,-1)))</f>
        <v/>
      </c>
      <c r="M31" s="79" t="str">
        <f>IF(LEN(B31)=0,"",SUMIFS(Tbl_Transactions[Amount],Tbl_Transactions[Account],I_CHOSEN_ACCT,Tbl_Transactions[Type],"Transfer",Tbl_Transactions[Date],"&lt;="&amp;Monthly_Summary_Table!$B31,Tbl_Transactions[Date],"&gt;"&amp;EOMONTH(Monthly_Summary_Table!$B31,-1)))</f>
        <v/>
      </c>
      <c r="N31" s="79" t="str">
        <f>IFERROR(Table3[[#This Row],[ACCT INCOME]]-Table3[[#This Row],[ACCT EXPENSE]]+Table3[[#This Row],[ACCT TRANSFERS]],"")</f>
        <v/>
      </c>
      <c r="O31" s="79" t="str">
        <f>IF(LEN(Table3[[#This Row],[Date]])=0,"",SUM(N31:$N$123)+IF(I_CHOSEN_ACCTTYPE="BANK",INDEX(T_BANK_ACCTS[STARTING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1" t="s">
        <v>54</v>
      </c>
      <c r="T31" s="84" t="str">
        <f>IFERROR(IF(INDEX(T_BANK_ACCTS[ACCOUNT NAME],ROW(T31)-ROW($T$3))=0," ",INDEX(T_BANK_ACCTS[ACCOUNT NAME],ROW(T31)-ROW($T$3)))," ")</f>
        <v xml:space="preserve"> </v>
      </c>
      <c r="U31" t="str">
        <f t="shared" si="0"/>
        <v xml:space="preserve"> </v>
      </c>
      <c r="V31" t="str">
        <f t="shared" si="1"/>
        <v/>
      </c>
      <c r="W31" t="str">
        <f t="shared" si="2"/>
        <v/>
      </c>
      <c r="X31" t="str">
        <f t="shared" si="3"/>
        <v/>
      </c>
    </row>
    <row r="32" spans="2:24" x14ac:dyDescent="0.3">
      <c r="B32" s="9" t="str">
        <f>IFERROR(IF(EOMONTH(MAX(Tbl_Transactions[Date]),ROW($B$4)-ROW($B32))&lt;MIN(Tbl_Transactions[Date]),"",EOMONTH(MAX(Tbl_Transactions[Date]),ROW($B$4)-ROW($B32))),"")</f>
        <v/>
      </c>
      <c r="C32" s="10" t="str">
        <f>IFERROR(YEAR(Table3[[#This Row],[Date]]),"")</f>
        <v/>
      </c>
      <c r="D32" s="10" t="str">
        <f>IFERROR(TEXT(Table3[[#This Row],[Date]],"mmm"),"")</f>
        <v/>
      </c>
      <c r="E32" s="78" t="str">
        <f>IF(LEN(B32)=0,"",SUMIFS(Tbl_Transactions[Amount],Tbl_Transactions[Type],"Income",Tbl_Transactions[Date],"&lt;="&amp;Monthly_Summary_Table!$B32,Tbl_Transactions[Date],"&gt;"&amp;EOMONTH(Monthly_Summary_Table!$B32,-1)))</f>
        <v/>
      </c>
      <c r="F32" s="78" t="str">
        <f>IF(LEN(B32)=0,"",SUMIFS(Tbl_Transactions[Amount],Tbl_Transactions[Type],"Expense",Tbl_Transactions[Date],"&lt;="&amp;Monthly_Summary_Table!$B32,Tbl_Transactions[Date],"&gt;"&amp;EOMONTH(Monthly_Summary_Table!$B32,-1)))</f>
        <v/>
      </c>
      <c r="G32" s="78" t="str">
        <f>IFERROR(Table3[[#This Row],[Income]]-Table3[[#This Row],[Expense]],"")</f>
        <v/>
      </c>
      <c r="H32" s="78" t="str">
        <f xml:space="preserve"> IF(LEN(Table3[[#This Row],[Date]])=0,"",MonthlyBudget)</f>
        <v/>
      </c>
      <c r="I32" s="79" t="str">
        <f>IF(LEN(Table3[[#This Row],[Date]])=0,"",SUM(G32:$G$123))</f>
        <v/>
      </c>
      <c r="J32" s="79" t="str">
        <f>IF(LEN(Table3[[#This Row],[Date]])=0,"",Table3[[#This Row],[Cumulative Savings]]+Starting_Worth)</f>
        <v/>
      </c>
      <c r="K32" s="79" t="str">
        <f>IF(LEN(B32)=0,"",SUMIFS(Tbl_Transactions[Amount],Tbl_Transactions[Account],I_CHOSEN_ACCT,Tbl_Transactions[Type],"Income",Tbl_Transactions[Date],"&lt;="&amp;Monthly_Summary_Table!$B32,Tbl_Transactions[Date],"&gt;"&amp;EOMONTH(Monthly_Summary_Table!$B32,-1)))</f>
        <v/>
      </c>
      <c r="L32" s="79" t="str">
        <f>IF(LEN(B32)=0,"",SUMIFS(Tbl_Transactions[Amount],Tbl_Transactions[Account],I_CHOSEN_ACCT,Tbl_Transactions[Type],"Expense",Tbl_Transactions[Date],"&lt;="&amp;Monthly_Summary_Table!$B32,Tbl_Transactions[Date],"&gt;"&amp;EOMONTH(Monthly_Summary_Table!$B32,-1)))</f>
        <v/>
      </c>
      <c r="M32" s="79" t="str">
        <f>IF(LEN(B32)=0,"",SUMIFS(Tbl_Transactions[Amount],Tbl_Transactions[Account],I_CHOSEN_ACCT,Tbl_Transactions[Type],"Transfer",Tbl_Transactions[Date],"&lt;="&amp;Monthly_Summary_Table!$B32,Tbl_Transactions[Date],"&gt;"&amp;EOMONTH(Monthly_Summary_Table!$B32,-1)))</f>
        <v/>
      </c>
      <c r="N32" s="79" t="str">
        <f>IFERROR(Table3[[#This Row],[ACCT INCOME]]-Table3[[#This Row],[ACCT EXPENSE]]+Table3[[#This Row],[ACCT TRANSFERS]],"")</f>
        <v/>
      </c>
      <c r="O32" s="79" t="str">
        <f>IF(LEN(Table3[[#This Row],[Date]])=0,"",SUM(N32:$N$123)+IF(I_CHOSEN_ACCTTYPE="BANK",INDEX(T_BANK_ACCTS[STARTING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2" t="s">
        <v>54</v>
      </c>
      <c r="T32" s="84" t="str">
        <f>IFERROR(IF(INDEX(T_BANK_ACCTS[ACCOUNT NAME],ROW(T32)-ROW($T$3))=0," ",INDEX(T_BANK_ACCTS[ACCOUNT NAME],ROW(T32)-ROW($T$3)))," ")</f>
        <v xml:space="preserve"> </v>
      </c>
      <c r="U32" t="str">
        <f t="shared" si="0"/>
        <v xml:space="preserve"> </v>
      </c>
      <c r="V32" t="str">
        <f t="shared" si="1"/>
        <v/>
      </c>
      <c r="W32" t="str">
        <f t="shared" si="2"/>
        <v/>
      </c>
      <c r="X32" t="str">
        <f t="shared" si="3"/>
        <v/>
      </c>
    </row>
    <row r="33" spans="2:24" x14ac:dyDescent="0.3">
      <c r="B33" s="9" t="str">
        <f>IFERROR(IF(EOMONTH(MAX(Tbl_Transactions[Date]),ROW($B$4)-ROW($B33))&lt;MIN(Tbl_Transactions[Date]),"",EOMONTH(MAX(Tbl_Transactions[Date]),ROW($B$4)-ROW($B33))),"")</f>
        <v/>
      </c>
      <c r="C33" s="10" t="str">
        <f>IFERROR(YEAR(Table3[[#This Row],[Date]]),"")</f>
        <v/>
      </c>
      <c r="D33" s="10" t="str">
        <f>IFERROR(TEXT(Table3[[#This Row],[Date]],"mmm"),"")</f>
        <v/>
      </c>
      <c r="E33" s="78" t="str">
        <f>IF(LEN(B33)=0,"",SUMIFS(Tbl_Transactions[Amount],Tbl_Transactions[Type],"Income",Tbl_Transactions[Date],"&lt;="&amp;Monthly_Summary_Table!$B33,Tbl_Transactions[Date],"&gt;"&amp;EOMONTH(Monthly_Summary_Table!$B33,-1)))</f>
        <v/>
      </c>
      <c r="F33" s="78" t="str">
        <f>IF(LEN(B33)=0,"",SUMIFS(Tbl_Transactions[Amount],Tbl_Transactions[Type],"Expense",Tbl_Transactions[Date],"&lt;="&amp;Monthly_Summary_Table!$B33,Tbl_Transactions[Date],"&gt;"&amp;EOMONTH(Monthly_Summary_Table!$B33,-1)))</f>
        <v/>
      </c>
      <c r="G33" s="78" t="str">
        <f>IFERROR(Table3[[#This Row],[Income]]-Table3[[#This Row],[Expense]],"")</f>
        <v/>
      </c>
      <c r="H33" s="78" t="str">
        <f xml:space="preserve"> IF(LEN(Table3[[#This Row],[Date]])=0,"",MonthlyBudget)</f>
        <v/>
      </c>
      <c r="I33" s="79" t="str">
        <f>IF(LEN(Table3[[#This Row],[Date]])=0,"",SUM(G33:$G$123))</f>
        <v/>
      </c>
      <c r="J33" s="79" t="str">
        <f>IF(LEN(Table3[[#This Row],[Date]])=0,"",Table3[[#This Row],[Cumulative Savings]]+Starting_Worth)</f>
        <v/>
      </c>
      <c r="K33" s="79" t="str">
        <f>IF(LEN(B33)=0,"",SUMIFS(Tbl_Transactions[Amount],Tbl_Transactions[Account],I_CHOSEN_ACCT,Tbl_Transactions[Type],"Income",Tbl_Transactions[Date],"&lt;="&amp;Monthly_Summary_Table!$B33,Tbl_Transactions[Date],"&gt;"&amp;EOMONTH(Monthly_Summary_Table!$B33,-1)))</f>
        <v/>
      </c>
      <c r="L33" s="79" t="str">
        <f>IF(LEN(B33)=0,"",SUMIFS(Tbl_Transactions[Amount],Tbl_Transactions[Account],I_CHOSEN_ACCT,Tbl_Transactions[Type],"Expense",Tbl_Transactions[Date],"&lt;="&amp;Monthly_Summary_Table!$B33,Tbl_Transactions[Date],"&gt;"&amp;EOMONTH(Monthly_Summary_Table!$B33,-1)))</f>
        <v/>
      </c>
      <c r="M33" s="79" t="str">
        <f>IF(LEN(B33)=0,"",SUMIFS(Tbl_Transactions[Amount],Tbl_Transactions[Account],I_CHOSEN_ACCT,Tbl_Transactions[Type],"Transfer",Tbl_Transactions[Date],"&lt;="&amp;Monthly_Summary_Table!$B33,Tbl_Transactions[Date],"&gt;"&amp;EOMONTH(Monthly_Summary_Table!$B33,-1)))</f>
        <v/>
      </c>
      <c r="N33" s="79" t="str">
        <f>IFERROR(Table3[[#This Row],[ACCT INCOME]]-Table3[[#This Row],[ACCT EXPENSE]]+Table3[[#This Row],[ACCT TRANSFERS]],"")</f>
        <v/>
      </c>
      <c r="O33" s="79" t="str">
        <f>IF(LEN(Table3[[#This Row],[Date]])=0,"",SUM(N33:$N$123)+IF(I_CHOSEN_ACCTTYPE="BANK",INDEX(T_BANK_ACCTS[STARTING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3" t="s">
        <v>54</v>
      </c>
      <c r="T33" s="84" t="str">
        <f>IFERROR(IF(INDEX(T_BANK_ACCTS[ACCOUNT NAME],ROW(T33)-ROW($T$3))=0," ",INDEX(T_BANK_ACCTS[ACCOUNT NAME],ROW(T33)-ROW($T$3)))," ")</f>
        <v xml:space="preserve"> </v>
      </c>
      <c r="U33" t="str">
        <f t="shared" si="0"/>
        <v xml:space="preserve"> </v>
      </c>
      <c r="V33" t="str">
        <f t="shared" si="1"/>
        <v/>
      </c>
      <c r="W33" t="str">
        <f t="shared" si="2"/>
        <v/>
      </c>
      <c r="X33" t="str">
        <f t="shared" si="3"/>
        <v/>
      </c>
    </row>
    <row r="34" spans="2:24" x14ac:dyDescent="0.3">
      <c r="B34" s="9" t="str">
        <f>IFERROR(IF(EOMONTH(MAX(Tbl_Transactions[Date]),ROW($B$4)-ROW($B34))&lt;MIN(Tbl_Transactions[Date]),"",EOMONTH(MAX(Tbl_Transactions[Date]),ROW($B$4)-ROW($B34))),"")</f>
        <v/>
      </c>
      <c r="C34" s="10" t="str">
        <f>IFERROR(YEAR(Table3[[#This Row],[Date]]),"")</f>
        <v/>
      </c>
      <c r="D34" s="10" t="str">
        <f>IFERROR(TEXT(Table3[[#This Row],[Date]],"mmm"),"")</f>
        <v/>
      </c>
      <c r="E34" s="78" t="str">
        <f>IF(LEN(B34)=0,"",SUMIFS(Tbl_Transactions[Amount],Tbl_Transactions[Type],"Income",Tbl_Transactions[Date],"&lt;="&amp;Monthly_Summary_Table!$B34,Tbl_Transactions[Date],"&gt;"&amp;EOMONTH(Monthly_Summary_Table!$B34,-1)))</f>
        <v/>
      </c>
      <c r="F34" s="78" t="str">
        <f>IF(LEN(B34)=0,"",SUMIFS(Tbl_Transactions[Amount],Tbl_Transactions[Type],"Expense",Tbl_Transactions[Date],"&lt;="&amp;Monthly_Summary_Table!$B34,Tbl_Transactions[Date],"&gt;"&amp;EOMONTH(Monthly_Summary_Table!$B34,-1)))</f>
        <v/>
      </c>
      <c r="G34" s="78" t="str">
        <f>IFERROR(Table3[[#This Row],[Income]]-Table3[[#This Row],[Expense]],"")</f>
        <v/>
      </c>
      <c r="H34" s="78" t="str">
        <f xml:space="preserve"> IF(LEN(Table3[[#This Row],[Date]])=0,"",MonthlyBudget)</f>
        <v/>
      </c>
      <c r="I34" s="79" t="str">
        <f>IF(LEN(Table3[[#This Row],[Date]])=0,"",SUM(G34:$G$123))</f>
        <v/>
      </c>
      <c r="J34" s="79" t="str">
        <f>IF(LEN(Table3[[#This Row],[Date]])=0,"",Table3[[#This Row],[Cumulative Savings]]+Starting_Worth)</f>
        <v/>
      </c>
      <c r="K34" s="79" t="str">
        <f>IF(LEN(B34)=0,"",SUMIFS(Tbl_Transactions[Amount],Tbl_Transactions[Account],I_CHOSEN_ACCT,Tbl_Transactions[Type],"Income",Tbl_Transactions[Date],"&lt;="&amp;Monthly_Summary_Table!$B34,Tbl_Transactions[Date],"&gt;"&amp;EOMONTH(Monthly_Summary_Table!$B34,-1)))</f>
        <v/>
      </c>
      <c r="L34" s="79" t="str">
        <f>IF(LEN(B34)=0,"",SUMIFS(Tbl_Transactions[Amount],Tbl_Transactions[Account],I_CHOSEN_ACCT,Tbl_Transactions[Type],"Expense",Tbl_Transactions[Date],"&lt;="&amp;Monthly_Summary_Table!$B34,Tbl_Transactions[Date],"&gt;"&amp;EOMONTH(Monthly_Summary_Table!$B34,-1)))</f>
        <v/>
      </c>
      <c r="M34" s="79" t="str">
        <f>IF(LEN(B34)=0,"",SUMIFS(Tbl_Transactions[Amount],Tbl_Transactions[Account],I_CHOSEN_ACCT,Tbl_Transactions[Type],"Transfer",Tbl_Transactions[Date],"&lt;="&amp;Monthly_Summary_Table!$B34,Tbl_Transactions[Date],"&gt;"&amp;EOMONTH(Monthly_Summary_Table!$B34,-1)))</f>
        <v/>
      </c>
      <c r="N34" s="79" t="str">
        <f>IFERROR(Table3[[#This Row],[ACCT INCOME]]-Table3[[#This Row],[ACCT EXPENSE]]+Table3[[#This Row],[ACCT TRANSFERS]],"")</f>
        <v/>
      </c>
      <c r="O34" s="79" t="str">
        <f>IF(LEN(Table3[[#This Row],[Date]])=0,"",SUM(N34:$N$123)+IF(I_CHOSEN_ACCTTYPE="BANK",INDEX(T_BANK_ACCTS[STARTING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R34" s="145" t="s">
        <v>79</v>
      </c>
      <c r="S34" t="s">
        <v>53</v>
      </c>
      <c r="T34" s="84" t="str">
        <f>IFERROR(IF(INDEX(T_CREDIT_ACCTS[ACCOUNT NAME],ROW(T34)-ROW($T$33))=0," ",INDEX(T_CREDIT_ACCTS[ACCOUNT NAME],ROW(T34)-ROW($T$33)))," ")</f>
        <v>State Bank of India CC</v>
      </c>
      <c r="U34">
        <f t="shared" si="0"/>
        <v>31</v>
      </c>
      <c r="V34" t="str">
        <f t="shared" si="1"/>
        <v/>
      </c>
      <c r="W34" t="str">
        <f t="shared" si="2"/>
        <v/>
      </c>
      <c r="X34" t="str">
        <f t="shared" si="3"/>
        <v/>
      </c>
    </row>
    <row r="35" spans="2:24" x14ac:dyDescent="0.3">
      <c r="B35" s="9" t="str">
        <f>IFERROR(IF(EOMONTH(MAX(Tbl_Transactions[Date]),ROW($B$4)-ROW($B35))&lt;MIN(Tbl_Transactions[Date]),"",EOMONTH(MAX(Tbl_Transactions[Date]),ROW($B$4)-ROW($B35))),"")</f>
        <v/>
      </c>
      <c r="C35" s="10" t="str">
        <f>IFERROR(YEAR(Table3[[#This Row],[Date]]),"")</f>
        <v/>
      </c>
      <c r="D35" s="10" t="str">
        <f>IFERROR(TEXT(Table3[[#This Row],[Date]],"mmm"),"")</f>
        <v/>
      </c>
      <c r="E35" s="78" t="str">
        <f>IF(LEN(B35)=0,"",SUMIFS(Tbl_Transactions[Amount],Tbl_Transactions[Type],"Income",Tbl_Transactions[Date],"&lt;="&amp;Monthly_Summary_Table!$B35,Tbl_Transactions[Date],"&gt;"&amp;EOMONTH(Monthly_Summary_Table!$B35,-1)))</f>
        <v/>
      </c>
      <c r="F35" s="78" t="str">
        <f>IF(LEN(B35)=0,"",SUMIFS(Tbl_Transactions[Amount],Tbl_Transactions[Type],"Expense",Tbl_Transactions[Date],"&lt;="&amp;Monthly_Summary_Table!$B35,Tbl_Transactions[Date],"&gt;"&amp;EOMONTH(Monthly_Summary_Table!$B35,-1)))</f>
        <v/>
      </c>
      <c r="G35" s="78" t="str">
        <f>IFERROR(Table3[[#This Row],[Income]]-Table3[[#This Row],[Expense]],"")</f>
        <v/>
      </c>
      <c r="H35" s="78" t="str">
        <f xml:space="preserve"> IF(LEN(Table3[[#This Row],[Date]])=0,"",MonthlyBudget)</f>
        <v/>
      </c>
      <c r="I35" s="79" t="str">
        <f>IF(LEN(Table3[[#This Row],[Date]])=0,"",SUM(G35:$G$123))</f>
        <v/>
      </c>
      <c r="J35" s="79" t="str">
        <f>IF(LEN(Table3[[#This Row],[Date]])=0,"",Table3[[#This Row],[Cumulative Savings]]+Starting_Worth)</f>
        <v/>
      </c>
      <c r="K35" s="79" t="str">
        <f>IF(LEN(B35)=0,"",SUMIFS(Tbl_Transactions[Amount],Tbl_Transactions[Account],I_CHOSEN_ACCT,Tbl_Transactions[Type],"Income",Tbl_Transactions[Date],"&lt;="&amp;Monthly_Summary_Table!$B35,Tbl_Transactions[Date],"&gt;"&amp;EOMONTH(Monthly_Summary_Table!$B35,-1)))</f>
        <v/>
      </c>
      <c r="L35" s="79" t="str">
        <f>IF(LEN(B35)=0,"",SUMIFS(Tbl_Transactions[Amount],Tbl_Transactions[Account],I_CHOSEN_ACCT,Tbl_Transactions[Type],"Expense",Tbl_Transactions[Date],"&lt;="&amp;Monthly_Summary_Table!$B35,Tbl_Transactions[Date],"&gt;"&amp;EOMONTH(Monthly_Summary_Table!$B35,-1)))</f>
        <v/>
      </c>
      <c r="M35" s="79" t="str">
        <f>IF(LEN(B35)=0,"",SUMIFS(Tbl_Transactions[Amount],Tbl_Transactions[Account],I_CHOSEN_ACCT,Tbl_Transactions[Type],"Transfer",Tbl_Transactions[Date],"&lt;="&amp;Monthly_Summary_Table!$B35,Tbl_Transactions[Date],"&gt;"&amp;EOMONTH(Monthly_Summary_Table!$B35,-1)))</f>
        <v/>
      </c>
      <c r="N35" s="79" t="str">
        <f>IFERROR(Table3[[#This Row],[ACCT INCOME]]-Table3[[#This Row],[ACCT EXPENSE]]+Table3[[#This Row],[ACCT TRANSFERS]],"")</f>
        <v/>
      </c>
      <c r="O35" s="79" t="str">
        <f>IF(LEN(Table3[[#This Row],[Date]])=0,"",SUM(N35:$N$123)+IF(I_CHOSEN_ACCTTYPE="BANK",INDEX(T_BANK_ACCTS[STARTING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5" t="s">
        <v>53</v>
      </c>
      <c r="T35" s="84" t="str">
        <f>IFERROR(IF(INDEX(T_CREDIT_ACCTS[ACCOUNT NAME],ROW(T35)-ROW($T$33))=0," ",INDEX(T_CREDIT_ACCTS[ACCOUNT NAME],ROW(T35)-ROW($T$33)))," ")</f>
        <v>ICICI CC</v>
      </c>
      <c r="U35">
        <f t="shared" si="0"/>
        <v>32</v>
      </c>
      <c r="V35" t="str">
        <f t="shared" si="1"/>
        <v/>
      </c>
      <c r="W35" t="str">
        <f t="shared" si="2"/>
        <v/>
      </c>
      <c r="X35" t="str">
        <f t="shared" si="3"/>
        <v/>
      </c>
    </row>
    <row r="36" spans="2:24" x14ac:dyDescent="0.3">
      <c r="B36" s="9" t="str">
        <f>IFERROR(IF(EOMONTH(MAX(Tbl_Transactions[Date]),ROW($B$4)-ROW($B36))&lt;MIN(Tbl_Transactions[Date]),"",EOMONTH(MAX(Tbl_Transactions[Date]),ROW($B$4)-ROW($B36))),"")</f>
        <v/>
      </c>
      <c r="C36" s="10" t="str">
        <f>IFERROR(YEAR(Table3[[#This Row],[Date]]),"")</f>
        <v/>
      </c>
      <c r="D36" s="10" t="str">
        <f>IFERROR(TEXT(Table3[[#This Row],[Date]],"mmm"),"")</f>
        <v/>
      </c>
      <c r="E36" s="78" t="str">
        <f>IF(LEN(B36)=0,"",SUMIFS(Tbl_Transactions[Amount],Tbl_Transactions[Type],"Income",Tbl_Transactions[Date],"&lt;="&amp;Monthly_Summary_Table!$B36,Tbl_Transactions[Date],"&gt;"&amp;EOMONTH(Monthly_Summary_Table!$B36,-1)))</f>
        <v/>
      </c>
      <c r="F36" s="78" t="str">
        <f>IF(LEN(B36)=0,"",SUMIFS(Tbl_Transactions[Amount],Tbl_Transactions[Type],"Expense",Tbl_Transactions[Date],"&lt;="&amp;Monthly_Summary_Table!$B36,Tbl_Transactions[Date],"&gt;"&amp;EOMONTH(Monthly_Summary_Table!$B36,-1)))</f>
        <v/>
      </c>
      <c r="G36" s="78" t="str">
        <f>IFERROR(Table3[[#This Row],[Income]]-Table3[[#This Row],[Expense]],"")</f>
        <v/>
      </c>
      <c r="H36" s="78" t="str">
        <f xml:space="preserve"> IF(LEN(Table3[[#This Row],[Date]])=0,"",MonthlyBudget)</f>
        <v/>
      </c>
      <c r="I36" s="79" t="str">
        <f>IF(LEN(Table3[[#This Row],[Date]])=0,"",SUM(G36:$G$123))</f>
        <v/>
      </c>
      <c r="J36" s="79" t="str">
        <f>IF(LEN(Table3[[#This Row],[Date]])=0,"",Table3[[#This Row],[Cumulative Savings]]+Starting_Worth)</f>
        <v/>
      </c>
      <c r="K36" s="79" t="str">
        <f>IF(LEN(B36)=0,"",SUMIFS(Tbl_Transactions[Amount],Tbl_Transactions[Account],I_CHOSEN_ACCT,Tbl_Transactions[Type],"Income",Tbl_Transactions[Date],"&lt;="&amp;Monthly_Summary_Table!$B36,Tbl_Transactions[Date],"&gt;"&amp;EOMONTH(Monthly_Summary_Table!$B36,-1)))</f>
        <v/>
      </c>
      <c r="L36" s="79" t="str">
        <f>IF(LEN(B36)=0,"",SUMIFS(Tbl_Transactions[Amount],Tbl_Transactions[Account],I_CHOSEN_ACCT,Tbl_Transactions[Type],"Expense",Tbl_Transactions[Date],"&lt;="&amp;Monthly_Summary_Table!$B36,Tbl_Transactions[Date],"&gt;"&amp;EOMONTH(Monthly_Summary_Table!$B36,-1)))</f>
        <v/>
      </c>
      <c r="M36" s="79" t="str">
        <f>IF(LEN(B36)=0,"",SUMIFS(Tbl_Transactions[Amount],Tbl_Transactions[Account],I_CHOSEN_ACCT,Tbl_Transactions[Type],"Transfer",Tbl_Transactions[Date],"&lt;="&amp;Monthly_Summary_Table!$B36,Tbl_Transactions[Date],"&gt;"&amp;EOMONTH(Monthly_Summary_Table!$B36,-1)))</f>
        <v/>
      </c>
      <c r="N36" s="79" t="str">
        <f>IFERROR(Table3[[#This Row],[ACCT INCOME]]-Table3[[#This Row],[ACCT EXPENSE]]+Table3[[#This Row],[ACCT TRANSFERS]],"")</f>
        <v/>
      </c>
      <c r="O36" s="79" t="str">
        <f>IF(LEN(Table3[[#This Row],[Date]])=0,"",SUM(N36:$N$123)+IF(I_CHOSEN_ACCTTYPE="BANK",INDEX(T_BANK_ACCTS[STARTING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6" t="s">
        <v>53</v>
      </c>
      <c r="T36" s="84" t="str">
        <f>IFERROR(IF(INDEX(T_CREDIT_ACCTS[ACCOUNT NAME],ROW(T36)-ROW($T$33))=0," ",INDEX(T_CREDIT_ACCTS[ACCOUNT NAME],ROW(T36)-ROW($T$33)))," ")</f>
        <v xml:space="preserve"> </v>
      </c>
      <c r="U36" t="str">
        <f t="shared" ref="U36:U67" si="4">IF(T36=" "," ",ROW(T36)-ROW($T$3))</f>
        <v xml:space="preserve"> </v>
      </c>
      <c r="V36" t="str">
        <f t="shared" ref="V36:V67" si="5">IFERROR(SMALL($U$4:$U$93,ROW(V36)-ROW($V$3)),"")</f>
        <v/>
      </c>
      <c r="W36" t="str">
        <f t="shared" si="2"/>
        <v/>
      </c>
      <c r="X36" t="str">
        <f t="shared" si="3"/>
        <v/>
      </c>
    </row>
    <row r="37" spans="2:24" x14ac:dyDescent="0.3">
      <c r="B37" s="9" t="str">
        <f>IFERROR(IF(EOMONTH(MAX(Tbl_Transactions[Date]),ROW($B$4)-ROW($B37))&lt;MIN(Tbl_Transactions[Date]),"",EOMONTH(MAX(Tbl_Transactions[Date]),ROW($B$4)-ROW($B37))),"")</f>
        <v/>
      </c>
      <c r="C37" s="10" t="str">
        <f>IFERROR(YEAR(Table3[[#This Row],[Date]]),"")</f>
        <v/>
      </c>
      <c r="D37" s="10" t="str">
        <f>IFERROR(TEXT(Table3[[#This Row],[Date]],"mmm"),"")</f>
        <v/>
      </c>
      <c r="E37" s="78" t="str">
        <f>IF(LEN(B37)=0,"",SUMIFS(Tbl_Transactions[Amount],Tbl_Transactions[Type],"Income",Tbl_Transactions[Date],"&lt;="&amp;Monthly_Summary_Table!$B37,Tbl_Transactions[Date],"&gt;"&amp;EOMONTH(Monthly_Summary_Table!$B37,-1)))</f>
        <v/>
      </c>
      <c r="F37" s="78" t="str">
        <f>IF(LEN(B37)=0,"",SUMIFS(Tbl_Transactions[Amount],Tbl_Transactions[Type],"Expense",Tbl_Transactions[Date],"&lt;="&amp;Monthly_Summary_Table!$B37,Tbl_Transactions[Date],"&gt;"&amp;EOMONTH(Monthly_Summary_Table!$B37,-1)))</f>
        <v/>
      </c>
      <c r="G37" s="78" t="str">
        <f>IFERROR(Table3[[#This Row],[Income]]-Table3[[#This Row],[Expense]],"")</f>
        <v/>
      </c>
      <c r="H37" s="78" t="str">
        <f xml:space="preserve"> IF(LEN(Table3[[#This Row],[Date]])=0,"",MonthlyBudget)</f>
        <v/>
      </c>
      <c r="I37" s="79" t="str">
        <f>IF(LEN(Table3[[#This Row],[Date]])=0,"",SUM(G37:$G$123))</f>
        <v/>
      </c>
      <c r="J37" s="79" t="str">
        <f>IF(LEN(Table3[[#This Row],[Date]])=0,"",Table3[[#This Row],[Cumulative Savings]]+Starting_Worth)</f>
        <v/>
      </c>
      <c r="K37" s="79" t="str">
        <f>IF(LEN(B37)=0,"",SUMIFS(Tbl_Transactions[Amount],Tbl_Transactions[Account],I_CHOSEN_ACCT,Tbl_Transactions[Type],"Income",Tbl_Transactions[Date],"&lt;="&amp;Monthly_Summary_Table!$B37,Tbl_Transactions[Date],"&gt;"&amp;EOMONTH(Monthly_Summary_Table!$B37,-1)))</f>
        <v/>
      </c>
      <c r="L37" s="79" t="str">
        <f>IF(LEN(B37)=0,"",SUMIFS(Tbl_Transactions[Amount],Tbl_Transactions[Account],I_CHOSEN_ACCT,Tbl_Transactions[Type],"Expense",Tbl_Transactions[Date],"&lt;="&amp;Monthly_Summary_Table!$B37,Tbl_Transactions[Date],"&gt;"&amp;EOMONTH(Monthly_Summary_Table!$B37,-1)))</f>
        <v/>
      </c>
      <c r="M37" s="79" t="str">
        <f>IF(LEN(B37)=0,"",SUMIFS(Tbl_Transactions[Amount],Tbl_Transactions[Account],I_CHOSEN_ACCT,Tbl_Transactions[Type],"Transfer",Tbl_Transactions[Date],"&lt;="&amp;Monthly_Summary_Table!$B37,Tbl_Transactions[Date],"&gt;"&amp;EOMONTH(Monthly_Summary_Table!$B37,-1)))</f>
        <v/>
      </c>
      <c r="N37" s="79" t="str">
        <f>IFERROR(Table3[[#This Row],[ACCT INCOME]]-Table3[[#This Row],[ACCT EXPENSE]]+Table3[[#This Row],[ACCT TRANSFERS]],"")</f>
        <v/>
      </c>
      <c r="O37" s="79" t="str">
        <f>IF(LEN(Table3[[#This Row],[Date]])=0,"",SUM(N37:$N$123)+IF(I_CHOSEN_ACCTTYPE="BANK",INDEX(T_BANK_ACCTS[STARTING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7" t="s">
        <v>53</v>
      </c>
      <c r="T37" s="84" t="str">
        <f>IFERROR(IF(INDEX(T_CREDIT_ACCTS[ACCOUNT NAME],ROW(T37)-ROW($T$33))=0," ",INDEX(T_CREDIT_ACCTS[ACCOUNT NAME],ROW(T37)-ROW($T$33)))," ")</f>
        <v xml:space="preserve"> </v>
      </c>
      <c r="U37" t="str">
        <f t="shared" si="4"/>
        <v xml:space="preserve"> </v>
      </c>
      <c r="V37" t="str">
        <f t="shared" si="5"/>
        <v/>
      </c>
      <c r="W37" t="str">
        <f t="shared" si="2"/>
        <v/>
      </c>
      <c r="X37" t="str">
        <f t="shared" si="3"/>
        <v/>
      </c>
    </row>
    <row r="38" spans="2:24" x14ac:dyDescent="0.3">
      <c r="B38" s="9" t="str">
        <f>IFERROR(IF(EOMONTH(MAX(Tbl_Transactions[Date]),ROW($B$4)-ROW($B38))&lt;MIN(Tbl_Transactions[Date]),"",EOMONTH(MAX(Tbl_Transactions[Date]),ROW($B$4)-ROW($B38))),"")</f>
        <v/>
      </c>
      <c r="C38" s="10" t="str">
        <f>IFERROR(YEAR(Table3[[#This Row],[Date]]),"")</f>
        <v/>
      </c>
      <c r="D38" s="10" t="str">
        <f>IFERROR(TEXT(Table3[[#This Row],[Date]],"mmm"),"")</f>
        <v/>
      </c>
      <c r="E38" s="78" t="str">
        <f>IF(LEN(B38)=0,"",SUMIFS(Tbl_Transactions[Amount],Tbl_Transactions[Type],"Income",Tbl_Transactions[Date],"&lt;="&amp;Monthly_Summary_Table!$B38,Tbl_Transactions[Date],"&gt;"&amp;EOMONTH(Monthly_Summary_Table!$B38,-1)))</f>
        <v/>
      </c>
      <c r="F38" s="78" t="str">
        <f>IF(LEN(B38)=0,"",SUMIFS(Tbl_Transactions[Amount],Tbl_Transactions[Type],"Expense",Tbl_Transactions[Date],"&lt;="&amp;Monthly_Summary_Table!$B38,Tbl_Transactions[Date],"&gt;"&amp;EOMONTH(Monthly_Summary_Table!$B38,-1)))</f>
        <v/>
      </c>
      <c r="G38" s="78" t="str">
        <f>IFERROR(Table3[[#This Row],[Income]]-Table3[[#This Row],[Expense]],"")</f>
        <v/>
      </c>
      <c r="H38" s="78" t="str">
        <f xml:space="preserve"> IF(LEN(Table3[[#This Row],[Date]])=0,"",MonthlyBudget)</f>
        <v/>
      </c>
      <c r="I38" s="79" t="str">
        <f>IF(LEN(Table3[[#This Row],[Date]])=0,"",SUM(G38:$G$123))</f>
        <v/>
      </c>
      <c r="J38" s="79" t="str">
        <f>IF(LEN(Table3[[#This Row],[Date]])=0,"",Table3[[#This Row],[Cumulative Savings]]+Starting_Worth)</f>
        <v/>
      </c>
      <c r="K38" s="79" t="str">
        <f>IF(LEN(B38)=0,"",SUMIFS(Tbl_Transactions[Amount],Tbl_Transactions[Account],I_CHOSEN_ACCT,Tbl_Transactions[Type],"Income",Tbl_Transactions[Date],"&lt;="&amp;Monthly_Summary_Table!$B38,Tbl_Transactions[Date],"&gt;"&amp;EOMONTH(Monthly_Summary_Table!$B38,-1)))</f>
        <v/>
      </c>
      <c r="L38" s="79" t="str">
        <f>IF(LEN(B38)=0,"",SUMIFS(Tbl_Transactions[Amount],Tbl_Transactions[Account],I_CHOSEN_ACCT,Tbl_Transactions[Type],"Expense",Tbl_Transactions[Date],"&lt;="&amp;Monthly_Summary_Table!$B38,Tbl_Transactions[Date],"&gt;"&amp;EOMONTH(Monthly_Summary_Table!$B38,-1)))</f>
        <v/>
      </c>
      <c r="M38" s="79" t="str">
        <f>IF(LEN(B38)=0,"",SUMIFS(Tbl_Transactions[Amount],Tbl_Transactions[Account],I_CHOSEN_ACCT,Tbl_Transactions[Type],"Transfer",Tbl_Transactions[Date],"&lt;="&amp;Monthly_Summary_Table!$B38,Tbl_Transactions[Date],"&gt;"&amp;EOMONTH(Monthly_Summary_Table!$B38,-1)))</f>
        <v/>
      </c>
      <c r="N38" s="79" t="str">
        <f>IFERROR(Table3[[#This Row],[ACCT INCOME]]-Table3[[#This Row],[ACCT EXPENSE]]+Table3[[#This Row],[ACCT TRANSFERS]],"")</f>
        <v/>
      </c>
      <c r="O38" s="79" t="str">
        <f>IF(LEN(Table3[[#This Row],[Date]])=0,"",SUM(N38:$N$123)+IF(I_CHOSEN_ACCTTYPE="BANK",INDEX(T_BANK_ACCTS[STARTING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8" t="s">
        <v>53</v>
      </c>
      <c r="T38" s="84" t="str">
        <f>IFERROR(IF(INDEX(T_CREDIT_ACCTS[ACCOUNT NAME],ROW(T38)-ROW($T$33))=0," ",INDEX(T_CREDIT_ACCTS[ACCOUNT NAME],ROW(T38)-ROW($T$33)))," ")</f>
        <v xml:space="preserve"> </v>
      </c>
      <c r="U38" t="str">
        <f t="shared" si="4"/>
        <v xml:space="preserve"> </v>
      </c>
      <c r="V38" t="str">
        <f t="shared" si="5"/>
        <v/>
      </c>
      <c r="W38" t="str">
        <f t="shared" si="2"/>
        <v/>
      </c>
      <c r="X38" t="str">
        <f t="shared" si="3"/>
        <v/>
      </c>
    </row>
    <row r="39" spans="2:24" x14ac:dyDescent="0.3">
      <c r="B39" s="9" t="str">
        <f>IFERROR(IF(EOMONTH(MAX(Tbl_Transactions[Date]),ROW($B$4)-ROW($B39))&lt;MIN(Tbl_Transactions[Date]),"",EOMONTH(MAX(Tbl_Transactions[Date]),ROW($B$4)-ROW($B39))),"")</f>
        <v/>
      </c>
      <c r="C39" s="10" t="str">
        <f>IFERROR(YEAR(Table3[[#This Row],[Date]]),"")</f>
        <v/>
      </c>
      <c r="D39" s="10" t="str">
        <f>IFERROR(TEXT(Table3[[#This Row],[Date]],"mmm"),"")</f>
        <v/>
      </c>
      <c r="E39" s="78" t="str">
        <f>IF(LEN(B39)=0,"",SUMIFS(Tbl_Transactions[Amount],Tbl_Transactions[Type],"Income",Tbl_Transactions[Date],"&lt;="&amp;Monthly_Summary_Table!$B39,Tbl_Transactions[Date],"&gt;"&amp;EOMONTH(Monthly_Summary_Table!$B39,-1)))</f>
        <v/>
      </c>
      <c r="F39" s="78" t="str">
        <f>IF(LEN(B39)=0,"",SUMIFS(Tbl_Transactions[Amount],Tbl_Transactions[Type],"Expense",Tbl_Transactions[Date],"&lt;="&amp;Monthly_Summary_Table!$B39,Tbl_Transactions[Date],"&gt;"&amp;EOMONTH(Monthly_Summary_Table!$B39,-1)))</f>
        <v/>
      </c>
      <c r="G39" s="78" t="str">
        <f>IFERROR(Table3[[#This Row],[Income]]-Table3[[#This Row],[Expense]],"")</f>
        <v/>
      </c>
      <c r="H39" s="78" t="str">
        <f xml:space="preserve"> IF(LEN(Table3[[#This Row],[Date]])=0,"",MonthlyBudget)</f>
        <v/>
      </c>
      <c r="I39" s="79" t="str">
        <f>IF(LEN(Table3[[#This Row],[Date]])=0,"",SUM(G39:$G$123))</f>
        <v/>
      </c>
      <c r="J39" s="79" t="str">
        <f>IF(LEN(Table3[[#This Row],[Date]])=0,"",Table3[[#This Row],[Cumulative Savings]]+Starting_Worth)</f>
        <v/>
      </c>
      <c r="K39" s="79" t="str">
        <f>IF(LEN(B39)=0,"",SUMIFS(Tbl_Transactions[Amount],Tbl_Transactions[Account],I_CHOSEN_ACCT,Tbl_Transactions[Type],"Income",Tbl_Transactions[Date],"&lt;="&amp;Monthly_Summary_Table!$B39,Tbl_Transactions[Date],"&gt;"&amp;EOMONTH(Monthly_Summary_Table!$B39,-1)))</f>
        <v/>
      </c>
      <c r="L39" s="79" t="str">
        <f>IF(LEN(B39)=0,"",SUMIFS(Tbl_Transactions[Amount],Tbl_Transactions[Account],I_CHOSEN_ACCT,Tbl_Transactions[Type],"Expense",Tbl_Transactions[Date],"&lt;="&amp;Monthly_Summary_Table!$B39,Tbl_Transactions[Date],"&gt;"&amp;EOMONTH(Monthly_Summary_Table!$B39,-1)))</f>
        <v/>
      </c>
      <c r="M39" s="79" t="str">
        <f>IF(LEN(B39)=0,"",SUMIFS(Tbl_Transactions[Amount],Tbl_Transactions[Account],I_CHOSEN_ACCT,Tbl_Transactions[Type],"Transfer",Tbl_Transactions[Date],"&lt;="&amp;Monthly_Summary_Table!$B39,Tbl_Transactions[Date],"&gt;"&amp;EOMONTH(Monthly_Summary_Table!$B39,-1)))</f>
        <v/>
      </c>
      <c r="N39" s="79" t="str">
        <f>IFERROR(Table3[[#This Row],[ACCT INCOME]]-Table3[[#This Row],[ACCT EXPENSE]]+Table3[[#This Row],[ACCT TRANSFERS]],"")</f>
        <v/>
      </c>
      <c r="O39" s="79" t="str">
        <f>IF(LEN(Table3[[#This Row],[Date]])=0,"",SUM(N39:$N$123)+IF(I_CHOSEN_ACCTTYPE="BANK",INDEX(T_BANK_ACCTS[STARTING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39" t="s">
        <v>53</v>
      </c>
      <c r="T39" s="84" t="str">
        <f>IFERROR(IF(INDEX(T_CREDIT_ACCTS[ACCOUNT NAME],ROW(T39)-ROW($T$33))=0," ",INDEX(T_CREDIT_ACCTS[ACCOUNT NAME],ROW(T39)-ROW($T$33)))," ")</f>
        <v xml:space="preserve"> </v>
      </c>
      <c r="U39" t="str">
        <f t="shared" si="4"/>
        <v xml:space="preserve"> </v>
      </c>
      <c r="V39" t="str">
        <f t="shared" si="5"/>
        <v/>
      </c>
      <c r="W39" t="str">
        <f t="shared" si="2"/>
        <v/>
      </c>
      <c r="X39" t="str">
        <f t="shared" si="3"/>
        <v/>
      </c>
    </row>
    <row r="40" spans="2:24" x14ac:dyDescent="0.3">
      <c r="B40" s="9" t="str">
        <f>IFERROR(IF(EOMONTH(MAX(Tbl_Transactions[Date]),ROW($B$4)-ROW($B40))&lt;MIN(Tbl_Transactions[Date]),"",EOMONTH(MAX(Tbl_Transactions[Date]),ROW($B$4)-ROW($B40))),"")</f>
        <v/>
      </c>
      <c r="C40" s="10" t="str">
        <f>IFERROR(YEAR(Table3[[#This Row],[Date]]),"")</f>
        <v/>
      </c>
      <c r="D40" s="10" t="str">
        <f>IFERROR(TEXT(Table3[[#This Row],[Date]],"mmm"),"")</f>
        <v/>
      </c>
      <c r="E40" s="78" t="str">
        <f>IF(LEN(B40)=0,"",SUMIFS(Tbl_Transactions[Amount],Tbl_Transactions[Type],"Income",Tbl_Transactions[Date],"&lt;="&amp;Monthly_Summary_Table!$B40,Tbl_Transactions[Date],"&gt;"&amp;EOMONTH(Monthly_Summary_Table!$B40,-1)))</f>
        <v/>
      </c>
      <c r="F40" s="78" t="str">
        <f>IF(LEN(B40)=0,"",SUMIFS(Tbl_Transactions[Amount],Tbl_Transactions[Type],"Expense",Tbl_Transactions[Date],"&lt;="&amp;Monthly_Summary_Table!$B40,Tbl_Transactions[Date],"&gt;"&amp;EOMONTH(Monthly_Summary_Table!$B40,-1)))</f>
        <v/>
      </c>
      <c r="G40" s="78" t="str">
        <f>IFERROR(Table3[[#This Row],[Income]]-Table3[[#This Row],[Expense]],"")</f>
        <v/>
      </c>
      <c r="H40" s="78" t="str">
        <f xml:space="preserve"> IF(LEN(Table3[[#This Row],[Date]])=0,"",MonthlyBudget)</f>
        <v/>
      </c>
      <c r="I40" s="79" t="str">
        <f>IF(LEN(Table3[[#This Row],[Date]])=0,"",SUM(G40:$G$123))</f>
        <v/>
      </c>
      <c r="J40" s="79" t="str">
        <f>IF(LEN(Table3[[#This Row],[Date]])=0,"",Table3[[#This Row],[Cumulative Savings]]+Starting_Worth)</f>
        <v/>
      </c>
      <c r="K40" s="79" t="str">
        <f>IF(LEN(B40)=0,"",SUMIFS(Tbl_Transactions[Amount],Tbl_Transactions[Account],I_CHOSEN_ACCT,Tbl_Transactions[Type],"Income",Tbl_Transactions[Date],"&lt;="&amp;Monthly_Summary_Table!$B40,Tbl_Transactions[Date],"&gt;"&amp;EOMONTH(Monthly_Summary_Table!$B40,-1)))</f>
        <v/>
      </c>
      <c r="L40" s="79" t="str">
        <f>IF(LEN(B40)=0,"",SUMIFS(Tbl_Transactions[Amount],Tbl_Transactions[Account],I_CHOSEN_ACCT,Tbl_Transactions[Type],"Expense",Tbl_Transactions[Date],"&lt;="&amp;Monthly_Summary_Table!$B40,Tbl_Transactions[Date],"&gt;"&amp;EOMONTH(Monthly_Summary_Table!$B40,-1)))</f>
        <v/>
      </c>
      <c r="M40" s="79" t="str">
        <f>IF(LEN(B40)=0,"",SUMIFS(Tbl_Transactions[Amount],Tbl_Transactions[Account],I_CHOSEN_ACCT,Tbl_Transactions[Type],"Transfer",Tbl_Transactions[Date],"&lt;="&amp;Monthly_Summary_Table!$B40,Tbl_Transactions[Date],"&gt;"&amp;EOMONTH(Monthly_Summary_Table!$B40,-1)))</f>
        <v/>
      </c>
      <c r="N40" s="79" t="str">
        <f>IFERROR(Table3[[#This Row],[ACCT INCOME]]-Table3[[#This Row],[ACCT EXPENSE]]+Table3[[#This Row],[ACCT TRANSFERS]],"")</f>
        <v/>
      </c>
      <c r="O40" s="79" t="str">
        <f>IF(LEN(Table3[[#This Row],[Date]])=0,"",SUM(N40:$N$123)+IF(I_CHOSEN_ACCTTYPE="BANK",INDEX(T_BANK_ACCTS[STARTING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0" t="s">
        <v>53</v>
      </c>
      <c r="T40" s="84" t="str">
        <f>IFERROR(IF(INDEX(T_CREDIT_ACCTS[ACCOUNT NAME],ROW(T40)-ROW($T$33))=0," ",INDEX(T_CREDIT_ACCTS[ACCOUNT NAME],ROW(T40)-ROW($T$33)))," ")</f>
        <v xml:space="preserve"> </v>
      </c>
      <c r="U40" t="str">
        <f t="shared" si="4"/>
        <v xml:space="preserve"> </v>
      </c>
      <c r="V40" t="str">
        <f t="shared" si="5"/>
        <v/>
      </c>
      <c r="W40" t="str">
        <f t="shared" si="2"/>
        <v/>
      </c>
      <c r="X40" t="str">
        <f t="shared" si="3"/>
        <v/>
      </c>
    </row>
    <row r="41" spans="2:24" x14ac:dyDescent="0.3">
      <c r="B41" s="9" t="str">
        <f>IFERROR(IF(EOMONTH(MAX(Tbl_Transactions[Date]),ROW($B$4)-ROW($B41))&lt;MIN(Tbl_Transactions[Date]),"",EOMONTH(MAX(Tbl_Transactions[Date]),ROW($B$4)-ROW($B41))),"")</f>
        <v/>
      </c>
      <c r="C41" s="10" t="str">
        <f>IFERROR(YEAR(Table3[[#This Row],[Date]]),"")</f>
        <v/>
      </c>
      <c r="D41" s="10" t="str">
        <f>IFERROR(TEXT(Table3[[#This Row],[Date]],"mmm"),"")</f>
        <v/>
      </c>
      <c r="E41" s="78" t="str">
        <f>IF(LEN(B41)=0,"",SUMIFS(Tbl_Transactions[Amount],Tbl_Transactions[Type],"Income",Tbl_Transactions[Date],"&lt;="&amp;Monthly_Summary_Table!$B41,Tbl_Transactions[Date],"&gt;"&amp;EOMONTH(Monthly_Summary_Table!$B41,-1)))</f>
        <v/>
      </c>
      <c r="F41" s="78" t="str">
        <f>IF(LEN(B41)=0,"",SUMIFS(Tbl_Transactions[Amount],Tbl_Transactions[Type],"Expense",Tbl_Transactions[Date],"&lt;="&amp;Monthly_Summary_Table!$B41,Tbl_Transactions[Date],"&gt;"&amp;EOMONTH(Monthly_Summary_Table!$B41,-1)))</f>
        <v/>
      </c>
      <c r="G41" s="78" t="str">
        <f>IFERROR(Table3[[#This Row],[Income]]-Table3[[#This Row],[Expense]],"")</f>
        <v/>
      </c>
      <c r="H41" s="78" t="str">
        <f xml:space="preserve"> IF(LEN(Table3[[#This Row],[Date]])=0,"",MonthlyBudget)</f>
        <v/>
      </c>
      <c r="I41" s="79" t="str">
        <f>IF(LEN(Table3[[#This Row],[Date]])=0,"",SUM(G41:$G$123))</f>
        <v/>
      </c>
      <c r="J41" s="79" t="str">
        <f>IF(LEN(Table3[[#This Row],[Date]])=0,"",Table3[[#This Row],[Cumulative Savings]]+Starting_Worth)</f>
        <v/>
      </c>
      <c r="K41" s="79" t="str">
        <f>IF(LEN(B41)=0,"",SUMIFS(Tbl_Transactions[Amount],Tbl_Transactions[Account],I_CHOSEN_ACCT,Tbl_Transactions[Type],"Income",Tbl_Transactions[Date],"&lt;="&amp;Monthly_Summary_Table!$B41,Tbl_Transactions[Date],"&gt;"&amp;EOMONTH(Monthly_Summary_Table!$B41,-1)))</f>
        <v/>
      </c>
      <c r="L41" s="79" t="str">
        <f>IF(LEN(B41)=0,"",SUMIFS(Tbl_Transactions[Amount],Tbl_Transactions[Account],I_CHOSEN_ACCT,Tbl_Transactions[Type],"Expense",Tbl_Transactions[Date],"&lt;="&amp;Monthly_Summary_Table!$B41,Tbl_Transactions[Date],"&gt;"&amp;EOMONTH(Monthly_Summary_Table!$B41,-1)))</f>
        <v/>
      </c>
      <c r="M41" s="79" t="str">
        <f>IF(LEN(B41)=0,"",SUMIFS(Tbl_Transactions[Amount],Tbl_Transactions[Account],I_CHOSEN_ACCT,Tbl_Transactions[Type],"Transfer",Tbl_Transactions[Date],"&lt;="&amp;Monthly_Summary_Table!$B41,Tbl_Transactions[Date],"&gt;"&amp;EOMONTH(Monthly_Summary_Table!$B41,-1)))</f>
        <v/>
      </c>
      <c r="N41" s="79" t="str">
        <f>IFERROR(Table3[[#This Row],[ACCT INCOME]]-Table3[[#This Row],[ACCT EXPENSE]]+Table3[[#This Row],[ACCT TRANSFERS]],"")</f>
        <v/>
      </c>
      <c r="O41" s="79" t="str">
        <f>IF(LEN(Table3[[#This Row],[Date]])=0,"",SUM(N41:$N$123)+IF(I_CHOSEN_ACCTTYPE="BANK",INDEX(T_BANK_ACCTS[STARTING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1" t="s">
        <v>53</v>
      </c>
      <c r="T41" s="84" t="str">
        <f>IFERROR(IF(INDEX(T_CREDIT_ACCTS[ACCOUNT NAME],ROW(T41)-ROW($T$33))=0," ",INDEX(T_CREDIT_ACCTS[ACCOUNT NAME],ROW(T41)-ROW($T$33)))," ")</f>
        <v xml:space="preserve"> </v>
      </c>
      <c r="U41" t="str">
        <f t="shared" si="4"/>
        <v xml:space="preserve"> </v>
      </c>
      <c r="V41" t="str">
        <f t="shared" si="5"/>
        <v/>
      </c>
      <c r="W41" t="str">
        <f t="shared" si="2"/>
        <v/>
      </c>
      <c r="X41" t="str">
        <f t="shared" si="3"/>
        <v/>
      </c>
    </row>
    <row r="42" spans="2:24" x14ac:dyDescent="0.3">
      <c r="B42" s="9" t="str">
        <f>IFERROR(IF(EOMONTH(MAX(Tbl_Transactions[Date]),ROW($B$4)-ROW($B42))&lt;MIN(Tbl_Transactions[Date]),"",EOMONTH(MAX(Tbl_Transactions[Date]),ROW($B$4)-ROW($B42))),"")</f>
        <v/>
      </c>
      <c r="C42" s="10" t="str">
        <f>IFERROR(YEAR(Table3[[#This Row],[Date]]),"")</f>
        <v/>
      </c>
      <c r="D42" s="10" t="str">
        <f>IFERROR(TEXT(Table3[[#This Row],[Date]],"mmm"),"")</f>
        <v/>
      </c>
      <c r="E42" s="78" t="str">
        <f>IF(LEN(B42)=0,"",SUMIFS(Tbl_Transactions[Amount],Tbl_Transactions[Type],"Income",Tbl_Transactions[Date],"&lt;="&amp;Monthly_Summary_Table!$B42,Tbl_Transactions[Date],"&gt;"&amp;EOMONTH(Monthly_Summary_Table!$B42,-1)))</f>
        <v/>
      </c>
      <c r="F42" s="78" t="str">
        <f>IF(LEN(B42)=0,"",SUMIFS(Tbl_Transactions[Amount],Tbl_Transactions[Type],"Expense",Tbl_Transactions[Date],"&lt;="&amp;Monthly_Summary_Table!$B42,Tbl_Transactions[Date],"&gt;"&amp;EOMONTH(Monthly_Summary_Table!$B42,-1)))</f>
        <v/>
      </c>
      <c r="G42" s="78" t="str">
        <f>IFERROR(Table3[[#This Row],[Income]]-Table3[[#This Row],[Expense]],"")</f>
        <v/>
      </c>
      <c r="H42" s="78" t="str">
        <f xml:space="preserve"> IF(LEN(Table3[[#This Row],[Date]])=0,"",MonthlyBudget)</f>
        <v/>
      </c>
      <c r="I42" s="79" t="str">
        <f>IF(LEN(Table3[[#This Row],[Date]])=0,"",SUM(G42:$G$123))</f>
        <v/>
      </c>
      <c r="J42" s="79" t="str">
        <f>IF(LEN(Table3[[#This Row],[Date]])=0,"",Table3[[#This Row],[Cumulative Savings]]+Starting_Worth)</f>
        <v/>
      </c>
      <c r="K42" s="79" t="str">
        <f>IF(LEN(B42)=0,"",SUMIFS(Tbl_Transactions[Amount],Tbl_Transactions[Account],I_CHOSEN_ACCT,Tbl_Transactions[Type],"Income",Tbl_Transactions[Date],"&lt;="&amp;Monthly_Summary_Table!$B42,Tbl_Transactions[Date],"&gt;"&amp;EOMONTH(Monthly_Summary_Table!$B42,-1)))</f>
        <v/>
      </c>
      <c r="L42" s="79" t="str">
        <f>IF(LEN(B42)=0,"",SUMIFS(Tbl_Transactions[Amount],Tbl_Transactions[Account],I_CHOSEN_ACCT,Tbl_Transactions[Type],"Expense",Tbl_Transactions[Date],"&lt;="&amp;Monthly_Summary_Table!$B42,Tbl_Transactions[Date],"&gt;"&amp;EOMONTH(Monthly_Summary_Table!$B42,-1)))</f>
        <v/>
      </c>
      <c r="M42" s="79" t="str">
        <f>IF(LEN(B42)=0,"",SUMIFS(Tbl_Transactions[Amount],Tbl_Transactions[Account],I_CHOSEN_ACCT,Tbl_Transactions[Type],"Transfer",Tbl_Transactions[Date],"&lt;="&amp;Monthly_Summary_Table!$B42,Tbl_Transactions[Date],"&gt;"&amp;EOMONTH(Monthly_Summary_Table!$B42,-1)))</f>
        <v/>
      </c>
      <c r="N42" s="79" t="str">
        <f>IFERROR(Table3[[#This Row],[ACCT INCOME]]-Table3[[#This Row],[ACCT EXPENSE]]+Table3[[#This Row],[ACCT TRANSFERS]],"")</f>
        <v/>
      </c>
      <c r="O42" s="79" t="str">
        <f>IF(LEN(Table3[[#This Row],[Date]])=0,"",SUM(N42:$N$123)+IF(I_CHOSEN_ACCTTYPE="BANK",INDEX(T_BANK_ACCTS[STARTING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2" t="s">
        <v>53</v>
      </c>
      <c r="T42" s="84" t="str">
        <f>IFERROR(IF(INDEX(T_CREDIT_ACCTS[ACCOUNT NAME],ROW(T42)-ROW($T$33))=0," ",INDEX(T_CREDIT_ACCTS[ACCOUNT NAME],ROW(T42)-ROW($T$33)))," ")</f>
        <v xml:space="preserve"> </v>
      </c>
      <c r="U42" t="str">
        <f t="shared" si="4"/>
        <v xml:space="preserve"> </v>
      </c>
      <c r="V42" t="str">
        <f t="shared" si="5"/>
        <v/>
      </c>
      <c r="W42" t="str">
        <f t="shared" si="2"/>
        <v/>
      </c>
      <c r="X42" t="str">
        <f t="shared" si="3"/>
        <v/>
      </c>
    </row>
    <row r="43" spans="2:24" x14ac:dyDescent="0.3">
      <c r="B43" s="9" t="str">
        <f>IFERROR(IF(EOMONTH(MAX(Tbl_Transactions[Date]),ROW($B$4)-ROW($B43))&lt;MIN(Tbl_Transactions[Date]),"",EOMONTH(MAX(Tbl_Transactions[Date]),ROW($B$4)-ROW($B43))),"")</f>
        <v/>
      </c>
      <c r="C43" s="10" t="str">
        <f>IFERROR(YEAR(Table3[[#This Row],[Date]]),"")</f>
        <v/>
      </c>
      <c r="D43" s="10" t="str">
        <f>IFERROR(TEXT(Table3[[#This Row],[Date]],"mmm"),"")</f>
        <v/>
      </c>
      <c r="E43" s="78" t="str">
        <f>IF(LEN(B43)=0,"",SUMIFS(Tbl_Transactions[Amount],Tbl_Transactions[Type],"Income",Tbl_Transactions[Date],"&lt;="&amp;Monthly_Summary_Table!$B43,Tbl_Transactions[Date],"&gt;"&amp;EOMONTH(Monthly_Summary_Table!$B43,-1)))</f>
        <v/>
      </c>
      <c r="F43" s="78" t="str">
        <f>IF(LEN(B43)=0,"",SUMIFS(Tbl_Transactions[Amount],Tbl_Transactions[Type],"Expense",Tbl_Transactions[Date],"&lt;="&amp;Monthly_Summary_Table!$B43,Tbl_Transactions[Date],"&gt;"&amp;EOMONTH(Monthly_Summary_Table!$B43,-1)))</f>
        <v/>
      </c>
      <c r="G43" s="78" t="str">
        <f>IFERROR(Table3[[#This Row],[Income]]-Table3[[#This Row],[Expense]],"")</f>
        <v/>
      </c>
      <c r="H43" s="78" t="str">
        <f xml:space="preserve"> IF(LEN(Table3[[#This Row],[Date]])=0,"",MonthlyBudget)</f>
        <v/>
      </c>
      <c r="I43" s="79" t="str">
        <f>IF(LEN(Table3[[#This Row],[Date]])=0,"",SUM(G43:$G$123))</f>
        <v/>
      </c>
      <c r="J43" s="79" t="str">
        <f>IF(LEN(Table3[[#This Row],[Date]])=0,"",Table3[[#This Row],[Cumulative Savings]]+Starting_Worth)</f>
        <v/>
      </c>
      <c r="K43" s="79" t="str">
        <f>IF(LEN(B43)=0,"",SUMIFS(Tbl_Transactions[Amount],Tbl_Transactions[Account],I_CHOSEN_ACCT,Tbl_Transactions[Type],"Income",Tbl_Transactions[Date],"&lt;="&amp;Monthly_Summary_Table!$B43,Tbl_Transactions[Date],"&gt;"&amp;EOMONTH(Monthly_Summary_Table!$B43,-1)))</f>
        <v/>
      </c>
      <c r="L43" s="79" t="str">
        <f>IF(LEN(B43)=0,"",SUMIFS(Tbl_Transactions[Amount],Tbl_Transactions[Account],I_CHOSEN_ACCT,Tbl_Transactions[Type],"Expense",Tbl_Transactions[Date],"&lt;="&amp;Monthly_Summary_Table!$B43,Tbl_Transactions[Date],"&gt;"&amp;EOMONTH(Monthly_Summary_Table!$B43,-1)))</f>
        <v/>
      </c>
      <c r="M43" s="79" t="str">
        <f>IF(LEN(B43)=0,"",SUMIFS(Tbl_Transactions[Amount],Tbl_Transactions[Account],I_CHOSEN_ACCT,Tbl_Transactions[Type],"Transfer",Tbl_Transactions[Date],"&lt;="&amp;Monthly_Summary_Table!$B43,Tbl_Transactions[Date],"&gt;"&amp;EOMONTH(Monthly_Summary_Table!$B43,-1)))</f>
        <v/>
      </c>
      <c r="N43" s="79" t="str">
        <f>IFERROR(Table3[[#This Row],[ACCT INCOME]]-Table3[[#This Row],[ACCT EXPENSE]]+Table3[[#This Row],[ACCT TRANSFERS]],"")</f>
        <v/>
      </c>
      <c r="O43" s="79" t="str">
        <f>IF(LEN(Table3[[#This Row],[Date]])=0,"",SUM(N43:$N$123)+IF(I_CHOSEN_ACCTTYPE="BANK",INDEX(T_BANK_ACCTS[STARTING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3" t="s">
        <v>53</v>
      </c>
      <c r="T43" s="84" t="str">
        <f>IFERROR(IF(INDEX(T_CREDIT_ACCTS[ACCOUNT NAME],ROW(T43)-ROW($T$33))=0," ",INDEX(T_CREDIT_ACCTS[ACCOUNT NAME],ROW(T43)-ROW($T$33)))," ")</f>
        <v xml:space="preserve"> </v>
      </c>
      <c r="U43" t="str">
        <f t="shared" si="4"/>
        <v xml:space="preserve"> </v>
      </c>
      <c r="V43" t="str">
        <f t="shared" si="5"/>
        <v/>
      </c>
      <c r="W43" t="str">
        <f t="shared" si="2"/>
        <v/>
      </c>
      <c r="X43" t="str">
        <f t="shared" si="3"/>
        <v/>
      </c>
    </row>
    <row r="44" spans="2:24" x14ac:dyDescent="0.3">
      <c r="B44" s="9" t="str">
        <f>IFERROR(IF(EOMONTH(MAX(Tbl_Transactions[Date]),ROW($B$4)-ROW($B44))&lt;MIN(Tbl_Transactions[Date]),"",EOMONTH(MAX(Tbl_Transactions[Date]),ROW($B$4)-ROW($B44))),"")</f>
        <v/>
      </c>
      <c r="C44" s="10" t="str">
        <f>IFERROR(YEAR(Table3[[#This Row],[Date]]),"")</f>
        <v/>
      </c>
      <c r="D44" s="10" t="str">
        <f>IFERROR(TEXT(Table3[[#This Row],[Date]],"mmm"),"")</f>
        <v/>
      </c>
      <c r="E44" s="78" t="str">
        <f>IF(LEN(B44)=0,"",SUMIFS(Tbl_Transactions[Amount],Tbl_Transactions[Type],"Income",Tbl_Transactions[Date],"&lt;="&amp;Monthly_Summary_Table!$B44,Tbl_Transactions[Date],"&gt;"&amp;EOMONTH(Monthly_Summary_Table!$B44,-1)))</f>
        <v/>
      </c>
      <c r="F44" s="78" t="str">
        <f>IF(LEN(B44)=0,"",SUMIFS(Tbl_Transactions[Amount],Tbl_Transactions[Type],"Expense",Tbl_Transactions[Date],"&lt;="&amp;Monthly_Summary_Table!$B44,Tbl_Transactions[Date],"&gt;"&amp;EOMONTH(Monthly_Summary_Table!$B44,-1)))</f>
        <v/>
      </c>
      <c r="G44" s="78" t="str">
        <f>IFERROR(Table3[[#This Row],[Income]]-Table3[[#This Row],[Expense]],"")</f>
        <v/>
      </c>
      <c r="H44" s="78" t="str">
        <f xml:space="preserve"> IF(LEN(Table3[[#This Row],[Date]])=0,"",MonthlyBudget)</f>
        <v/>
      </c>
      <c r="I44" s="79" t="str">
        <f>IF(LEN(Table3[[#This Row],[Date]])=0,"",SUM(G44:$G$123))</f>
        <v/>
      </c>
      <c r="J44" s="79" t="str">
        <f>IF(LEN(Table3[[#This Row],[Date]])=0,"",Table3[[#This Row],[Cumulative Savings]]+Starting_Worth)</f>
        <v/>
      </c>
      <c r="K44" s="79" t="str">
        <f>IF(LEN(B44)=0,"",SUMIFS(Tbl_Transactions[Amount],Tbl_Transactions[Account],I_CHOSEN_ACCT,Tbl_Transactions[Type],"Income",Tbl_Transactions[Date],"&lt;="&amp;Monthly_Summary_Table!$B44,Tbl_Transactions[Date],"&gt;"&amp;EOMONTH(Monthly_Summary_Table!$B44,-1)))</f>
        <v/>
      </c>
      <c r="L44" s="79" t="str">
        <f>IF(LEN(B44)=0,"",SUMIFS(Tbl_Transactions[Amount],Tbl_Transactions[Account],I_CHOSEN_ACCT,Tbl_Transactions[Type],"Expense",Tbl_Transactions[Date],"&lt;="&amp;Monthly_Summary_Table!$B44,Tbl_Transactions[Date],"&gt;"&amp;EOMONTH(Monthly_Summary_Table!$B44,-1)))</f>
        <v/>
      </c>
      <c r="M44" s="79" t="str">
        <f>IF(LEN(B44)=0,"",SUMIFS(Tbl_Transactions[Amount],Tbl_Transactions[Account],I_CHOSEN_ACCT,Tbl_Transactions[Type],"Transfer",Tbl_Transactions[Date],"&lt;="&amp;Monthly_Summary_Table!$B44,Tbl_Transactions[Date],"&gt;"&amp;EOMONTH(Monthly_Summary_Table!$B44,-1)))</f>
        <v/>
      </c>
      <c r="N44" s="79" t="str">
        <f>IFERROR(Table3[[#This Row],[ACCT INCOME]]-Table3[[#This Row],[ACCT EXPENSE]]+Table3[[#This Row],[ACCT TRANSFERS]],"")</f>
        <v/>
      </c>
      <c r="O44" s="79" t="str">
        <f>IF(LEN(Table3[[#This Row],[Date]])=0,"",SUM(N44:$N$123)+IF(I_CHOSEN_ACCTTYPE="BANK",INDEX(T_BANK_ACCTS[STARTING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4" t="s">
        <v>53</v>
      </c>
      <c r="T44" s="84" t="str">
        <f>IFERROR(IF(INDEX(T_CREDIT_ACCTS[ACCOUNT NAME],ROW(T44)-ROW($T$33))=0," ",INDEX(T_CREDIT_ACCTS[ACCOUNT NAME],ROW(T44)-ROW($T$33)))," ")</f>
        <v xml:space="preserve"> </v>
      </c>
      <c r="U44" t="str">
        <f t="shared" si="4"/>
        <v xml:space="preserve"> </v>
      </c>
      <c r="V44" t="str">
        <f t="shared" si="5"/>
        <v/>
      </c>
      <c r="W44" t="str">
        <f t="shared" si="2"/>
        <v/>
      </c>
      <c r="X44" t="str">
        <f t="shared" si="3"/>
        <v/>
      </c>
    </row>
    <row r="45" spans="2:24" x14ac:dyDescent="0.3">
      <c r="B45" s="9" t="str">
        <f>IFERROR(IF(EOMONTH(MAX(Tbl_Transactions[Date]),ROW($B$4)-ROW($B45))&lt;MIN(Tbl_Transactions[Date]),"",EOMONTH(MAX(Tbl_Transactions[Date]),ROW($B$4)-ROW($B45))),"")</f>
        <v/>
      </c>
      <c r="C45" s="10" t="str">
        <f>IFERROR(YEAR(Table3[[#This Row],[Date]]),"")</f>
        <v/>
      </c>
      <c r="D45" s="10" t="str">
        <f>IFERROR(TEXT(Table3[[#This Row],[Date]],"mmm"),"")</f>
        <v/>
      </c>
      <c r="E45" s="78" t="str">
        <f>IF(LEN(B45)=0,"",SUMIFS(Tbl_Transactions[Amount],Tbl_Transactions[Type],"Income",Tbl_Transactions[Date],"&lt;="&amp;Monthly_Summary_Table!$B45,Tbl_Transactions[Date],"&gt;"&amp;EOMONTH(Monthly_Summary_Table!$B45,-1)))</f>
        <v/>
      </c>
      <c r="F45" s="78" t="str">
        <f>IF(LEN(B45)=0,"",SUMIFS(Tbl_Transactions[Amount],Tbl_Transactions[Type],"Expense",Tbl_Transactions[Date],"&lt;="&amp;Monthly_Summary_Table!$B45,Tbl_Transactions[Date],"&gt;"&amp;EOMONTH(Monthly_Summary_Table!$B45,-1)))</f>
        <v/>
      </c>
      <c r="G45" s="78" t="str">
        <f>IFERROR(Table3[[#This Row],[Income]]-Table3[[#This Row],[Expense]],"")</f>
        <v/>
      </c>
      <c r="H45" s="78" t="str">
        <f xml:space="preserve"> IF(LEN(Table3[[#This Row],[Date]])=0,"",MonthlyBudget)</f>
        <v/>
      </c>
      <c r="I45" s="79" t="str">
        <f>IF(LEN(Table3[[#This Row],[Date]])=0,"",SUM(G45:$G$123))</f>
        <v/>
      </c>
      <c r="J45" s="79" t="str">
        <f>IF(LEN(Table3[[#This Row],[Date]])=0,"",Table3[[#This Row],[Cumulative Savings]]+Starting_Worth)</f>
        <v/>
      </c>
      <c r="K45" s="79" t="str">
        <f>IF(LEN(B45)=0,"",SUMIFS(Tbl_Transactions[Amount],Tbl_Transactions[Account],I_CHOSEN_ACCT,Tbl_Transactions[Type],"Income",Tbl_Transactions[Date],"&lt;="&amp;Monthly_Summary_Table!$B45,Tbl_Transactions[Date],"&gt;"&amp;EOMONTH(Monthly_Summary_Table!$B45,-1)))</f>
        <v/>
      </c>
      <c r="L45" s="79" t="str">
        <f>IF(LEN(B45)=0,"",SUMIFS(Tbl_Transactions[Amount],Tbl_Transactions[Account],I_CHOSEN_ACCT,Tbl_Transactions[Type],"Expense",Tbl_Transactions[Date],"&lt;="&amp;Monthly_Summary_Table!$B45,Tbl_Transactions[Date],"&gt;"&amp;EOMONTH(Monthly_Summary_Table!$B45,-1)))</f>
        <v/>
      </c>
      <c r="M45" s="79" t="str">
        <f>IF(LEN(B45)=0,"",SUMIFS(Tbl_Transactions[Amount],Tbl_Transactions[Account],I_CHOSEN_ACCT,Tbl_Transactions[Type],"Transfer",Tbl_Transactions[Date],"&lt;="&amp;Monthly_Summary_Table!$B45,Tbl_Transactions[Date],"&gt;"&amp;EOMONTH(Monthly_Summary_Table!$B45,-1)))</f>
        <v/>
      </c>
      <c r="N45" s="79" t="str">
        <f>IFERROR(Table3[[#This Row],[ACCT INCOME]]-Table3[[#This Row],[ACCT EXPENSE]]+Table3[[#This Row],[ACCT TRANSFERS]],"")</f>
        <v/>
      </c>
      <c r="O45" s="79" t="str">
        <f>IF(LEN(Table3[[#This Row],[Date]])=0,"",SUM(N45:$N$123)+IF(I_CHOSEN_ACCTTYPE="BANK",INDEX(T_BANK_ACCTS[STARTING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5" t="s">
        <v>53</v>
      </c>
      <c r="T45" s="84" t="str">
        <f>IFERROR(IF(INDEX(T_CREDIT_ACCTS[ACCOUNT NAME],ROW(T45)-ROW($T$33))=0," ",INDEX(T_CREDIT_ACCTS[ACCOUNT NAME],ROW(T45)-ROW($T$33)))," ")</f>
        <v xml:space="preserve"> </v>
      </c>
      <c r="U45" t="str">
        <f t="shared" si="4"/>
        <v xml:space="preserve"> </v>
      </c>
      <c r="V45" t="str">
        <f t="shared" si="5"/>
        <v/>
      </c>
      <c r="W45" t="str">
        <f t="shared" si="2"/>
        <v/>
      </c>
      <c r="X45" t="str">
        <f t="shared" si="3"/>
        <v/>
      </c>
    </row>
    <row r="46" spans="2:24" x14ac:dyDescent="0.3">
      <c r="B46" s="9" t="str">
        <f>IFERROR(IF(EOMONTH(MAX(Tbl_Transactions[Date]),ROW($B$4)-ROW($B46))&lt;MIN(Tbl_Transactions[Date]),"",EOMONTH(MAX(Tbl_Transactions[Date]),ROW($B$4)-ROW($B46))),"")</f>
        <v/>
      </c>
      <c r="C46" s="10" t="str">
        <f>IFERROR(YEAR(Table3[[#This Row],[Date]]),"")</f>
        <v/>
      </c>
      <c r="D46" s="10" t="str">
        <f>IFERROR(TEXT(Table3[[#This Row],[Date]],"mmm"),"")</f>
        <v/>
      </c>
      <c r="E46" s="78" t="str">
        <f>IF(LEN(B46)=0,"",SUMIFS(Tbl_Transactions[Amount],Tbl_Transactions[Type],"Income",Tbl_Transactions[Date],"&lt;="&amp;Monthly_Summary_Table!$B46,Tbl_Transactions[Date],"&gt;"&amp;EOMONTH(Monthly_Summary_Table!$B46,-1)))</f>
        <v/>
      </c>
      <c r="F46" s="78" t="str">
        <f>IF(LEN(B46)=0,"",SUMIFS(Tbl_Transactions[Amount],Tbl_Transactions[Type],"Expense",Tbl_Transactions[Date],"&lt;="&amp;Monthly_Summary_Table!$B46,Tbl_Transactions[Date],"&gt;"&amp;EOMONTH(Monthly_Summary_Table!$B46,-1)))</f>
        <v/>
      </c>
      <c r="G46" s="78" t="str">
        <f>IFERROR(Table3[[#This Row],[Income]]-Table3[[#This Row],[Expense]],"")</f>
        <v/>
      </c>
      <c r="H46" s="78" t="str">
        <f xml:space="preserve"> IF(LEN(Table3[[#This Row],[Date]])=0,"",MonthlyBudget)</f>
        <v/>
      </c>
      <c r="I46" s="79" t="str">
        <f>IF(LEN(Table3[[#This Row],[Date]])=0,"",SUM(G46:$G$123))</f>
        <v/>
      </c>
      <c r="J46" s="79" t="str">
        <f>IF(LEN(Table3[[#This Row],[Date]])=0,"",Table3[[#This Row],[Cumulative Savings]]+Starting_Worth)</f>
        <v/>
      </c>
      <c r="K46" s="79" t="str">
        <f>IF(LEN(B46)=0,"",SUMIFS(Tbl_Transactions[Amount],Tbl_Transactions[Account],I_CHOSEN_ACCT,Tbl_Transactions[Type],"Income",Tbl_Transactions[Date],"&lt;="&amp;Monthly_Summary_Table!$B46,Tbl_Transactions[Date],"&gt;"&amp;EOMONTH(Monthly_Summary_Table!$B46,-1)))</f>
        <v/>
      </c>
      <c r="L46" s="79" t="str">
        <f>IF(LEN(B46)=0,"",SUMIFS(Tbl_Transactions[Amount],Tbl_Transactions[Account],I_CHOSEN_ACCT,Tbl_Transactions[Type],"Expense",Tbl_Transactions[Date],"&lt;="&amp;Monthly_Summary_Table!$B46,Tbl_Transactions[Date],"&gt;"&amp;EOMONTH(Monthly_Summary_Table!$B46,-1)))</f>
        <v/>
      </c>
      <c r="M46" s="79" t="str">
        <f>IF(LEN(B46)=0,"",SUMIFS(Tbl_Transactions[Amount],Tbl_Transactions[Account],I_CHOSEN_ACCT,Tbl_Transactions[Type],"Transfer",Tbl_Transactions[Date],"&lt;="&amp;Monthly_Summary_Table!$B46,Tbl_Transactions[Date],"&gt;"&amp;EOMONTH(Monthly_Summary_Table!$B46,-1)))</f>
        <v/>
      </c>
      <c r="N46" s="79" t="str">
        <f>IFERROR(Table3[[#This Row],[ACCT INCOME]]-Table3[[#This Row],[ACCT EXPENSE]]+Table3[[#This Row],[ACCT TRANSFERS]],"")</f>
        <v/>
      </c>
      <c r="O46" s="79" t="str">
        <f>IF(LEN(Table3[[#This Row],[Date]])=0,"",SUM(N46:$N$123)+IF(I_CHOSEN_ACCTTYPE="BANK",INDEX(T_BANK_ACCTS[STARTING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6" t="s">
        <v>53</v>
      </c>
      <c r="T46" s="84" t="str">
        <f>IFERROR(IF(INDEX(T_CREDIT_ACCTS[ACCOUNT NAME],ROW(T46)-ROW($T$33))=0," ",INDEX(T_CREDIT_ACCTS[ACCOUNT NAME],ROW(T46)-ROW($T$33)))," ")</f>
        <v xml:space="preserve"> </v>
      </c>
      <c r="U46" t="str">
        <f t="shared" si="4"/>
        <v xml:space="preserve"> </v>
      </c>
      <c r="V46" t="str">
        <f t="shared" si="5"/>
        <v/>
      </c>
      <c r="W46" t="str">
        <f t="shared" si="2"/>
        <v/>
      </c>
      <c r="X46" t="str">
        <f t="shared" si="3"/>
        <v/>
      </c>
    </row>
    <row r="47" spans="2:24" x14ac:dyDescent="0.3">
      <c r="B47" s="9" t="str">
        <f>IFERROR(IF(EOMONTH(MAX(Tbl_Transactions[Date]),ROW($B$4)-ROW($B47))&lt;MIN(Tbl_Transactions[Date]),"",EOMONTH(MAX(Tbl_Transactions[Date]),ROW($B$4)-ROW($B47))),"")</f>
        <v/>
      </c>
      <c r="C47" s="10" t="str">
        <f>IFERROR(YEAR(Table3[[#This Row],[Date]]),"")</f>
        <v/>
      </c>
      <c r="D47" s="10" t="str">
        <f>IFERROR(TEXT(Table3[[#This Row],[Date]],"mmm"),"")</f>
        <v/>
      </c>
      <c r="E47" s="78" t="str">
        <f>IF(LEN(B47)=0,"",SUMIFS(Tbl_Transactions[Amount],Tbl_Transactions[Type],"Income",Tbl_Transactions[Date],"&lt;="&amp;Monthly_Summary_Table!$B47,Tbl_Transactions[Date],"&gt;"&amp;EOMONTH(Monthly_Summary_Table!$B47,-1)))</f>
        <v/>
      </c>
      <c r="F47" s="78" t="str">
        <f>IF(LEN(B47)=0,"",SUMIFS(Tbl_Transactions[Amount],Tbl_Transactions[Type],"Expense",Tbl_Transactions[Date],"&lt;="&amp;Monthly_Summary_Table!$B47,Tbl_Transactions[Date],"&gt;"&amp;EOMONTH(Monthly_Summary_Table!$B47,-1)))</f>
        <v/>
      </c>
      <c r="G47" s="78" t="str">
        <f>IFERROR(Table3[[#This Row],[Income]]-Table3[[#This Row],[Expense]],"")</f>
        <v/>
      </c>
      <c r="H47" s="78" t="str">
        <f xml:space="preserve"> IF(LEN(Table3[[#This Row],[Date]])=0,"",MonthlyBudget)</f>
        <v/>
      </c>
      <c r="I47" s="79" t="str">
        <f>IF(LEN(Table3[[#This Row],[Date]])=0,"",SUM(G47:$G$123))</f>
        <v/>
      </c>
      <c r="J47" s="79" t="str">
        <f>IF(LEN(Table3[[#This Row],[Date]])=0,"",Table3[[#This Row],[Cumulative Savings]]+Starting_Worth)</f>
        <v/>
      </c>
      <c r="K47" s="79" t="str">
        <f>IF(LEN(B47)=0,"",SUMIFS(Tbl_Transactions[Amount],Tbl_Transactions[Account],I_CHOSEN_ACCT,Tbl_Transactions[Type],"Income",Tbl_Transactions[Date],"&lt;="&amp;Monthly_Summary_Table!$B47,Tbl_Transactions[Date],"&gt;"&amp;EOMONTH(Monthly_Summary_Table!$B47,-1)))</f>
        <v/>
      </c>
      <c r="L47" s="79" t="str">
        <f>IF(LEN(B47)=0,"",SUMIFS(Tbl_Transactions[Amount],Tbl_Transactions[Account],I_CHOSEN_ACCT,Tbl_Transactions[Type],"Expense",Tbl_Transactions[Date],"&lt;="&amp;Monthly_Summary_Table!$B47,Tbl_Transactions[Date],"&gt;"&amp;EOMONTH(Monthly_Summary_Table!$B47,-1)))</f>
        <v/>
      </c>
      <c r="M47" s="79" t="str">
        <f>IF(LEN(B47)=0,"",SUMIFS(Tbl_Transactions[Amount],Tbl_Transactions[Account],I_CHOSEN_ACCT,Tbl_Transactions[Type],"Transfer",Tbl_Transactions[Date],"&lt;="&amp;Monthly_Summary_Table!$B47,Tbl_Transactions[Date],"&gt;"&amp;EOMONTH(Monthly_Summary_Table!$B47,-1)))</f>
        <v/>
      </c>
      <c r="N47" s="79" t="str">
        <f>IFERROR(Table3[[#This Row],[ACCT INCOME]]-Table3[[#This Row],[ACCT EXPENSE]]+Table3[[#This Row],[ACCT TRANSFERS]],"")</f>
        <v/>
      </c>
      <c r="O47" s="79" t="str">
        <f>IF(LEN(Table3[[#This Row],[Date]])=0,"",SUM(N47:$N$123)+IF(I_CHOSEN_ACCTTYPE="BANK",INDEX(T_BANK_ACCTS[STARTING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7" t="s">
        <v>53</v>
      </c>
      <c r="T47" s="84" t="str">
        <f>IFERROR(IF(INDEX(T_CREDIT_ACCTS[ACCOUNT NAME],ROW(T47)-ROW($T$33))=0," ",INDEX(T_CREDIT_ACCTS[ACCOUNT NAME],ROW(T47)-ROW($T$33)))," ")</f>
        <v xml:space="preserve"> </v>
      </c>
      <c r="U47" t="str">
        <f t="shared" si="4"/>
        <v xml:space="preserve"> </v>
      </c>
      <c r="V47" t="str">
        <f t="shared" si="5"/>
        <v/>
      </c>
      <c r="W47" t="str">
        <f t="shared" si="2"/>
        <v/>
      </c>
      <c r="X47" t="str">
        <f t="shared" si="3"/>
        <v/>
      </c>
    </row>
    <row r="48" spans="2:24" x14ac:dyDescent="0.3">
      <c r="B48" s="9" t="str">
        <f>IFERROR(IF(EOMONTH(MAX(Tbl_Transactions[Date]),ROW($B$4)-ROW($B48))&lt;MIN(Tbl_Transactions[Date]),"",EOMONTH(MAX(Tbl_Transactions[Date]),ROW($B$4)-ROW($B48))),"")</f>
        <v/>
      </c>
      <c r="C48" s="10" t="str">
        <f>IFERROR(YEAR(Table3[[#This Row],[Date]]),"")</f>
        <v/>
      </c>
      <c r="D48" s="10" t="str">
        <f>IFERROR(TEXT(Table3[[#This Row],[Date]],"mmm"),"")</f>
        <v/>
      </c>
      <c r="E48" s="78" t="str">
        <f>IF(LEN(B48)=0,"",SUMIFS(Tbl_Transactions[Amount],Tbl_Transactions[Type],"Income",Tbl_Transactions[Date],"&lt;="&amp;Monthly_Summary_Table!$B48,Tbl_Transactions[Date],"&gt;"&amp;EOMONTH(Monthly_Summary_Table!$B48,-1)))</f>
        <v/>
      </c>
      <c r="F48" s="78" t="str">
        <f>IF(LEN(B48)=0,"",SUMIFS(Tbl_Transactions[Amount],Tbl_Transactions[Type],"Expense",Tbl_Transactions[Date],"&lt;="&amp;Monthly_Summary_Table!$B48,Tbl_Transactions[Date],"&gt;"&amp;EOMONTH(Monthly_Summary_Table!$B48,-1)))</f>
        <v/>
      </c>
      <c r="G48" s="78" t="str">
        <f>IFERROR(Table3[[#This Row],[Income]]-Table3[[#This Row],[Expense]],"")</f>
        <v/>
      </c>
      <c r="H48" s="78" t="str">
        <f xml:space="preserve"> IF(LEN(Table3[[#This Row],[Date]])=0,"",MonthlyBudget)</f>
        <v/>
      </c>
      <c r="I48" s="79" t="str">
        <f>IF(LEN(Table3[[#This Row],[Date]])=0,"",SUM(G48:$G$123))</f>
        <v/>
      </c>
      <c r="J48" s="79" t="str">
        <f>IF(LEN(Table3[[#This Row],[Date]])=0,"",Table3[[#This Row],[Cumulative Savings]]+Starting_Worth)</f>
        <v/>
      </c>
      <c r="K48" s="79" t="str">
        <f>IF(LEN(B48)=0,"",SUMIFS(Tbl_Transactions[Amount],Tbl_Transactions[Account],I_CHOSEN_ACCT,Tbl_Transactions[Type],"Income",Tbl_Transactions[Date],"&lt;="&amp;Monthly_Summary_Table!$B48,Tbl_Transactions[Date],"&gt;"&amp;EOMONTH(Monthly_Summary_Table!$B48,-1)))</f>
        <v/>
      </c>
      <c r="L48" s="79" t="str">
        <f>IF(LEN(B48)=0,"",SUMIFS(Tbl_Transactions[Amount],Tbl_Transactions[Account],I_CHOSEN_ACCT,Tbl_Transactions[Type],"Expense",Tbl_Transactions[Date],"&lt;="&amp;Monthly_Summary_Table!$B48,Tbl_Transactions[Date],"&gt;"&amp;EOMONTH(Monthly_Summary_Table!$B48,-1)))</f>
        <v/>
      </c>
      <c r="M48" s="79" t="str">
        <f>IF(LEN(B48)=0,"",SUMIFS(Tbl_Transactions[Amount],Tbl_Transactions[Account],I_CHOSEN_ACCT,Tbl_Transactions[Type],"Transfer",Tbl_Transactions[Date],"&lt;="&amp;Monthly_Summary_Table!$B48,Tbl_Transactions[Date],"&gt;"&amp;EOMONTH(Monthly_Summary_Table!$B48,-1)))</f>
        <v/>
      </c>
      <c r="N48" s="79" t="str">
        <f>IFERROR(Table3[[#This Row],[ACCT INCOME]]-Table3[[#This Row],[ACCT EXPENSE]]+Table3[[#This Row],[ACCT TRANSFERS]],"")</f>
        <v/>
      </c>
      <c r="O48" s="79" t="str">
        <f>IF(LEN(Table3[[#This Row],[Date]])=0,"",SUM(N48:$N$123)+IF(I_CHOSEN_ACCTTYPE="BANK",INDEX(T_BANK_ACCTS[STARTING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8" t="s">
        <v>53</v>
      </c>
      <c r="T48" s="84" t="str">
        <f>IFERROR(IF(INDEX(T_CREDIT_ACCTS[ACCOUNT NAME],ROW(T48)-ROW($T$33))=0," ",INDEX(T_CREDIT_ACCTS[ACCOUNT NAME],ROW(T48)-ROW($T$33)))," ")</f>
        <v xml:space="preserve"> </v>
      </c>
      <c r="U48" t="str">
        <f t="shared" si="4"/>
        <v xml:space="preserve"> </v>
      </c>
      <c r="V48" t="str">
        <f t="shared" si="5"/>
        <v/>
      </c>
      <c r="W48" t="str">
        <f t="shared" si="2"/>
        <v/>
      </c>
      <c r="X48" t="str">
        <f t="shared" si="3"/>
        <v/>
      </c>
    </row>
    <row r="49" spans="2:24" x14ac:dyDescent="0.3">
      <c r="B49" s="9" t="str">
        <f>IFERROR(IF(EOMONTH(MAX(Tbl_Transactions[Date]),ROW($B$4)-ROW($B49))&lt;MIN(Tbl_Transactions[Date]),"",EOMONTH(MAX(Tbl_Transactions[Date]),ROW($B$4)-ROW($B49))),"")</f>
        <v/>
      </c>
      <c r="C49" s="10" t="str">
        <f>IFERROR(YEAR(Table3[[#This Row],[Date]]),"")</f>
        <v/>
      </c>
      <c r="D49" s="10" t="str">
        <f>IFERROR(TEXT(Table3[[#This Row],[Date]],"mmm"),"")</f>
        <v/>
      </c>
      <c r="E49" s="78" t="str">
        <f>IF(LEN(B49)=0,"",SUMIFS(Tbl_Transactions[Amount],Tbl_Transactions[Type],"Income",Tbl_Transactions[Date],"&lt;="&amp;Monthly_Summary_Table!$B49,Tbl_Transactions[Date],"&gt;"&amp;EOMONTH(Monthly_Summary_Table!$B49,-1)))</f>
        <v/>
      </c>
      <c r="F49" s="78" t="str">
        <f>IF(LEN(B49)=0,"",SUMIFS(Tbl_Transactions[Amount],Tbl_Transactions[Type],"Expense",Tbl_Transactions[Date],"&lt;="&amp;Monthly_Summary_Table!$B49,Tbl_Transactions[Date],"&gt;"&amp;EOMONTH(Monthly_Summary_Table!$B49,-1)))</f>
        <v/>
      </c>
      <c r="G49" s="78" t="str">
        <f>IFERROR(Table3[[#This Row],[Income]]-Table3[[#This Row],[Expense]],"")</f>
        <v/>
      </c>
      <c r="H49" s="78" t="str">
        <f xml:space="preserve"> IF(LEN(Table3[[#This Row],[Date]])=0,"",MonthlyBudget)</f>
        <v/>
      </c>
      <c r="I49" s="79" t="str">
        <f>IF(LEN(Table3[[#This Row],[Date]])=0,"",SUM(G49:$G$123))</f>
        <v/>
      </c>
      <c r="J49" s="79" t="str">
        <f>IF(LEN(Table3[[#This Row],[Date]])=0,"",Table3[[#This Row],[Cumulative Savings]]+Starting_Worth)</f>
        <v/>
      </c>
      <c r="K49" s="79" t="str">
        <f>IF(LEN(B49)=0,"",SUMIFS(Tbl_Transactions[Amount],Tbl_Transactions[Account],I_CHOSEN_ACCT,Tbl_Transactions[Type],"Income",Tbl_Transactions[Date],"&lt;="&amp;Monthly_Summary_Table!$B49,Tbl_Transactions[Date],"&gt;"&amp;EOMONTH(Monthly_Summary_Table!$B49,-1)))</f>
        <v/>
      </c>
      <c r="L49" s="79" t="str">
        <f>IF(LEN(B49)=0,"",SUMIFS(Tbl_Transactions[Amount],Tbl_Transactions[Account],I_CHOSEN_ACCT,Tbl_Transactions[Type],"Expense",Tbl_Transactions[Date],"&lt;="&amp;Monthly_Summary_Table!$B49,Tbl_Transactions[Date],"&gt;"&amp;EOMONTH(Monthly_Summary_Table!$B49,-1)))</f>
        <v/>
      </c>
      <c r="M49" s="79" t="str">
        <f>IF(LEN(B49)=0,"",SUMIFS(Tbl_Transactions[Amount],Tbl_Transactions[Account],I_CHOSEN_ACCT,Tbl_Transactions[Type],"Transfer",Tbl_Transactions[Date],"&lt;="&amp;Monthly_Summary_Table!$B49,Tbl_Transactions[Date],"&gt;"&amp;EOMONTH(Monthly_Summary_Table!$B49,-1)))</f>
        <v/>
      </c>
      <c r="N49" s="79" t="str">
        <f>IFERROR(Table3[[#This Row],[ACCT INCOME]]-Table3[[#This Row],[ACCT EXPENSE]]+Table3[[#This Row],[ACCT TRANSFERS]],"")</f>
        <v/>
      </c>
      <c r="O49" s="79" t="str">
        <f>IF(LEN(Table3[[#This Row],[Date]])=0,"",SUM(N49:$N$123)+IF(I_CHOSEN_ACCTTYPE="BANK",INDEX(T_BANK_ACCTS[STARTING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49" t="s">
        <v>53</v>
      </c>
      <c r="T49" s="84" t="str">
        <f>IFERROR(IF(INDEX(T_CREDIT_ACCTS[ACCOUNT NAME],ROW(T49)-ROW($T$33))=0," ",INDEX(T_CREDIT_ACCTS[ACCOUNT NAME],ROW(T49)-ROW($T$33)))," ")</f>
        <v xml:space="preserve"> </v>
      </c>
      <c r="U49" t="str">
        <f t="shared" si="4"/>
        <v xml:space="preserve"> </v>
      </c>
      <c r="V49" t="str">
        <f t="shared" si="5"/>
        <v/>
      </c>
      <c r="W49" t="str">
        <f t="shared" si="2"/>
        <v/>
      </c>
      <c r="X49" t="str">
        <f t="shared" si="3"/>
        <v/>
      </c>
    </row>
    <row r="50" spans="2:24" x14ac:dyDescent="0.3">
      <c r="B50" s="9" t="str">
        <f>IFERROR(IF(EOMONTH(MAX(Tbl_Transactions[Date]),ROW($B$4)-ROW($B50))&lt;MIN(Tbl_Transactions[Date]),"",EOMONTH(MAX(Tbl_Transactions[Date]),ROW($B$4)-ROW($B50))),"")</f>
        <v/>
      </c>
      <c r="C50" s="10" t="str">
        <f>IFERROR(YEAR(Table3[[#This Row],[Date]]),"")</f>
        <v/>
      </c>
      <c r="D50" s="10" t="str">
        <f>IFERROR(TEXT(Table3[[#This Row],[Date]],"mmm"),"")</f>
        <v/>
      </c>
      <c r="E50" s="78" t="str">
        <f>IF(LEN(B50)=0,"",SUMIFS(Tbl_Transactions[Amount],Tbl_Transactions[Type],"Income",Tbl_Transactions[Date],"&lt;="&amp;Monthly_Summary_Table!$B50,Tbl_Transactions[Date],"&gt;"&amp;EOMONTH(Monthly_Summary_Table!$B50,-1)))</f>
        <v/>
      </c>
      <c r="F50" s="78" t="str">
        <f>IF(LEN(B50)=0,"",SUMIFS(Tbl_Transactions[Amount],Tbl_Transactions[Type],"Expense",Tbl_Transactions[Date],"&lt;="&amp;Monthly_Summary_Table!$B50,Tbl_Transactions[Date],"&gt;"&amp;EOMONTH(Monthly_Summary_Table!$B50,-1)))</f>
        <v/>
      </c>
      <c r="G50" s="78" t="str">
        <f>IFERROR(Table3[[#This Row],[Income]]-Table3[[#This Row],[Expense]],"")</f>
        <v/>
      </c>
      <c r="H50" s="78" t="str">
        <f xml:space="preserve"> IF(LEN(Table3[[#This Row],[Date]])=0,"",MonthlyBudget)</f>
        <v/>
      </c>
      <c r="I50" s="79" t="str">
        <f>IF(LEN(Table3[[#This Row],[Date]])=0,"",SUM(G50:$G$123))</f>
        <v/>
      </c>
      <c r="J50" s="79" t="str">
        <f>IF(LEN(Table3[[#This Row],[Date]])=0,"",Table3[[#This Row],[Cumulative Savings]]+Starting_Worth)</f>
        <v/>
      </c>
      <c r="K50" s="79" t="str">
        <f>IF(LEN(B50)=0,"",SUMIFS(Tbl_Transactions[Amount],Tbl_Transactions[Account],I_CHOSEN_ACCT,Tbl_Transactions[Type],"Income",Tbl_Transactions[Date],"&lt;="&amp;Monthly_Summary_Table!$B50,Tbl_Transactions[Date],"&gt;"&amp;EOMONTH(Monthly_Summary_Table!$B50,-1)))</f>
        <v/>
      </c>
      <c r="L50" s="79" t="str">
        <f>IF(LEN(B50)=0,"",SUMIFS(Tbl_Transactions[Amount],Tbl_Transactions[Account],I_CHOSEN_ACCT,Tbl_Transactions[Type],"Expense",Tbl_Transactions[Date],"&lt;="&amp;Monthly_Summary_Table!$B50,Tbl_Transactions[Date],"&gt;"&amp;EOMONTH(Monthly_Summary_Table!$B50,-1)))</f>
        <v/>
      </c>
      <c r="M50" s="79" t="str">
        <f>IF(LEN(B50)=0,"",SUMIFS(Tbl_Transactions[Amount],Tbl_Transactions[Account],I_CHOSEN_ACCT,Tbl_Transactions[Type],"Transfer",Tbl_Transactions[Date],"&lt;="&amp;Monthly_Summary_Table!$B50,Tbl_Transactions[Date],"&gt;"&amp;EOMONTH(Monthly_Summary_Table!$B50,-1)))</f>
        <v/>
      </c>
      <c r="N50" s="79" t="str">
        <f>IFERROR(Table3[[#This Row],[ACCT INCOME]]-Table3[[#This Row],[ACCT EXPENSE]]+Table3[[#This Row],[ACCT TRANSFERS]],"")</f>
        <v/>
      </c>
      <c r="O50" s="79" t="str">
        <f>IF(LEN(Table3[[#This Row],[Date]])=0,"",SUM(N50:$N$123)+IF(I_CHOSEN_ACCTTYPE="BANK",INDEX(T_BANK_ACCTS[STARTING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0" t="s">
        <v>53</v>
      </c>
      <c r="T50" s="84" t="str">
        <f>IFERROR(IF(INDEX(T_CREDIT_ACCTS[ACCOUNT NAME],ROW(T50)-ROW($T$33))=0," ",INDEX(T_CREDIT_ACCTS[ACCOUNT NAME],ROW(T50)-ROW($T$33)))," ")</f>
        <v xml:space="preserve"> </v>
      </c>
      <c r="U50" t="str">
        <f t="shared" si="4"/>
        <v xml:space="preserve"> </v>
      </c>
      <c r="V50" t="str">
        <f t="shared" si="5"/>
        <v/>
      </c>
      <c r="W50" t="str">
        <f t="shared" si="2"/>
        <v/>
      </c>
      <c r="X50" t="str">
        <f t="shared" si="3"/>
        <v/>
      </c>
    </row>
    <row r="51" spans="2:24" x14ac:dyDescent="0.3">
      <c r="B51" s="9" t="str">
        <f>IFERROR(IF(EOMONTH(MAX(Tbl_Transactions[Date]),ROW($B$4)-ROW($B51))&lt;MIN(Tbl_Transactions[Date]),"",EOMONTH(MAX(Tbl_Transactions[Date]),ROW($B$4)-ROW($B51))),"")</f>
        <v/>
      </c>
      <c r="C51" s="10" t="str">
        <f>IFERROR(YEAR(Table3[[#This Row],[Date]]),"")</f>
        <v/>
      </c>
      <c r="D51" s="10" t="str">
        <f>IFERROR(TEXT(Table3[[#This Row],[Date]],"mmm"),"")</f>
        <v/>
      </c>
      <c r="E51" s="78" t="str">
        <f>IF(LEN(B51)=0,"",SUMIFS(Tbl_Transactions[Amount],Tbl_Transactions[Type],"Income",Tbl_Transactions[Date],"&lt;="&amp;Monthly_Summary_Table!$B51,Tbl_Transactions[Date],"&gt;"&amp;EOMONTH(Monthly_Summary_Table!$B51,-1)))</f>
        <v/>
      </c>
      <c r="F51" s="78" t="str">
        <f>IF(LEN(B51)=0,"",SUMIFS(Tbl_Transactions[Amount],Tbl_Transactions[Type],"Expense",Tbl_Transactions[Date],"&lt;="&amp;Monthly_Summary_Table!$B51,Tbl_Transactions[Date],"&gt;"&amp;EOMONTH(Monthly_Summary_Table!$B51,-1)))</f>
        <v/>
      </c>
      <c r="G51" s="78" t="str">
        <f>IFERROR(Table3[[#This Row],[Income]]-Table3[[#This Row],[Expense]],"")</f>
        <v/>
      </c>
      <c r="H51" s="78" t="str">
        <f xml:space="preserve"> IF(LEN(Table3[[#This Row],[Date]])=0,"",MonthlyBudget)</f>
        <v/>
      </c>
      <c r="I51" s="79" t="str">
        <f>IF(LEN(Table3[[#This Row],[Date]])=0,"",SUM(G51:$G$123))</f>
        <v/>
      </c>
      <c r="J51" s="79" t="str">
        <f>IF(LEN(Table3[[#This Row],[Date]])=0,"",Table3[[#This Row],[Cumulative Savings]]+Starting_Worth)</f>
        <v/>
      </c>
      <c r="K51" s="79" t="str">
        <f>IF(LEN(B51)=0,"",SUMIFS(Tbl_Transactions[Amount],Tbl_Transactions[Account],I_CHOSEN_ACCT,Tbl_Transactions[Type],"Income",Tbl_Transactions[Date],"&lt;="&amp;Monthly_Summary_Table!$B51,Tbl_Transactions[Date],"&gt;"&amp;EOMONTH(Monthly_Summary_Table!$B51,-1)))</f>
        <v/>
      </c>
      <c r="L51" s="79" t="str">
        <f>IF(LEN(B51)=0,"",SUMIFS(Tbl_Transactions[Amount],Tbl_Transactions[Account],I_CHOSEN_ACCT,Tbl_Transactions[Type],"Expense",Tbl_Transactions[Date],"&lt;="&amp;Monthly_Summary_Table!$B51,Tbl_Transactions[Date],"&gt;"&amp;EOMONTH(Monthly_Summary_Table!$B51,-1)))</f>
        <v/>
      </c>
      <c r="M51" s="79" t="str">
        <f>IF(LEN(B51)=0,"",SUMIFS(Tbl_Transactions[Amount],Tbl_Transactions[Account],I_CHOSEN_ACCT,Tbl_Transactions[Type],"Transfer",Tbl_Transactions[Date],"&lt;="&amp;Monthly_Summary_Table!$B51,Tbl_Transactions[Date],"&gt;"&amp;EOMONTH(Monthly_Summary_Table!$B51,-1)))</f>
        <v/>
      </c>
      <c r="N51" s="79" t="str">
        <f>IFERROR(Table3[[#This Row],[ACCT INCOME]]-Table3[[#This Row],[ACCT EXPENSE]]+Table3[[#This Row],[ACCT TRANSFERS]],"")</f>
        <v/>
      </c>
      <c r="O51" s="79" t="str">
        <f>IF(LEN(Table3[[#This Row],[Date]])=0,"",SUM(N51:$N$123)+IF(I_CHOSEN_ACCTTYPE="BANK",INDEX(T_BANK_ACCTS[STARTING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1" t="s">
        <v>53</v>
      </c>
      <c r="T51" s="84" t="str">
        <f>IFERROR(IF(INDEX(T_CREDIT_ACCTS[ACCOUNT NAME],ROW(T51)-ROW($T$33))=0," ",INDEX(T_CREDIT_ACCTS[ACCOUNT NAME],ROW(T51)-ROW($T$33)))," ")</f>
        <v xml:space="preserve"> </v>
      </c>
      <c r="U51" t="str">
        <f t="shared" si="4"/>
        <v xml:space="preserve"> </v>
      </c>
      <c r="V51" t="str">
        <f t="shared" si="5"/>
        <v/>
      </c>
      <c r="W51" t="str">
        <f t="shared" si="2"/>
        <v/>
      </c>
      <c r="X51" t="str">
        <f t="shared" si="3"/>
        <v/>
      </c>
    </row>
    <row r="52" spans="2:24" x14ac:dyDescent="0.3">
      <c r="B52" s="9" t="str">
        <f>IFERROR(IF(EOMONTH(MAX(Tbl_Transactions[Date]),ROW($B$4)-ROW($B52))&lt;MIN(Tbl_Transactions[Date]),"",EOMONTH(MAX(Tbl_Transactions[Date]),ROW($B$4)-ROW($B52))),"")</f>
        <v/>
      </c>
      <c r="C52" s="10" t="str">
        <f>IFERROR(YEAR(Table3[[#This Row],[Date]]),"")</f>
        <v/>
      </c>
      <c r="D52" s="10" t="str">
        <f>IFERROR(TEXT(Table3[[#This Row],[Date]],"mmm"),"")</f>
        <v/>
      </c>
      <c r="E52" s="78" t="str">
        <f>IF(LEN(B52)=0,"",SUMIFS(Tbl_Transactions[Amount],Tbl_Transactions[Type],"Income",Tbl_Transactions[Date],"&lt;="&amp;Monthly_Summary_Table!$B52,Tbl_Transactions[Date],"&gt;"&amp;EOMONTH(Monthly_Summary_Table!$B52,-1)))</f>
        <v/>
      </c>
      <c r="F52" s="78" t="str">
        <f>IF(LEN(B52)=0,"",SUMIFS(Tbl_Transactions[Amount],Tbl_Transactions[Type],"Expense",Tbl_Transactions[Date],"&lt;="&amp;Monthly_Summary_Table!$B52,Tbl_Transactions[Date],"&gt;"&amp;EOMONTH(Monthly_Summary_Table!$B52,-1)))</f>
        <v/>
      </c>
      <c r="G52" s="78" t="str">
        <f>IFERROR(Table3[[#This Row],[Income]]-Table3[[#This Row],[Expense]],"")</f>
        <v/>
      </c>
      <c r="H52" s="78" t="str">
        <f xml:space="preserve"> IF(LEN(Table3[[#This Row],[Date]])=0,"",MonthlyBudget)</f>
        <v/>
      </c>
      <c r="I52" s="79" t="str">
        <f>IF(LEN(Table3[[#This Row],[Date]])=0,"",SUM(G52:$G$123))</f>
        <v/>
      </c>
      <c r="J52" s="79" t="str">
        <f>IF(LEN(Table3[[#This Row],[Date]])=0,"",Table3[[#This Row],[Cumulative Savings]]+Starting_Worth)</f>
        <v/>
      </c>
      <c r="K52" s="79" t="str">
        <f>IF(LEN(B52)=0,"",SUMIFS(Tbl_Transactions[Amount],Tbl_Transactions[Account],I_CHOSEN_ACCT,Tbl_Transactions[Type],"Income",Tbl_Transactions[Date],"&lt;="&amp;Monthly_Summary_Table!$B52,Tbl_Transactions[Date],"&gt;"&amp;EOMONTH(Monthly_Summary_Table!$B52,-1)))</f>
        <v/>
      </c>
      <c r="L52" s="79" t="str">
        <f>IF(LEN(B52)=0,"",SUMIFS(Tbl_Transactions[Amount],Tbl_Transactions[Account],I_CHOSEN_ACCT,Tbl_Transactions[Type],"Expense",Tbl_Transactions[Date],"&lt;="&amp;Monthly_Summary_Table!$B52,Tbl_Transactions[Date],"&gt;"&amp;EOMONTH(Monthly_Summary_Table!$B52,-1)))</f>
        <v/>
      </c>
      <c r="M52" s="79" t="str">
        <f>IF(LEN(B52)=0,"",SUMIFS(Tbl_Transactions[Amount],Tbl_Transactions[Account],I_CHOSEN_ACCT,Tbl_Transactions[Type],"Transfer",Tbl_Transactions[Date],"&lt;="&amp;Monthly_Summary_Table!$B52,Tbl_Transactions[Date],"&gt;"&amp;EOMONTH(Monthly_Summary_Table!$B52,-1)))</f>
        <v/>
      </c>
      <c r="N52" s="79" t="str">
        <f>IFERROR(Table3[[#This Row],[ACCT INCOME]]-Table3[[#This Row],[ACCT EXPENSE]]+Table3[[#This Row],[ACCT TRANSFERS]],"")</f>
        <v/>
      </c>
      <c r="O52" s="79" t="str">
        <f>IF(LEN(Table3[[#This Row],[Date]])=0,"",SUM(N52:$N$123)+IF(I_CHOSEN_ACCTTYPE="BANK",INDEX(T_BANK_ACCTS[STARTING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2" t="s">
        <v>53</v>
      </c>
      <c r="T52" s="84" t="str">
        <f>IFERROR(IF(INDEX(T_CREDIT_ACCTS[ACCOUNT NAME],ROW(T52)-ROW($T$33))=0," ",INDEX(T_CREDIT_ACCTS[ACCOUNT NAME],ROW(T52)-ROW($T$33)))," ")</f>
        <v xml:space="preserve"> </v>
      </c>
      <c r="U52" t="str">
        <f t="shared" si="4"/>
        <v xml:space="preserve"> </v>
      </c>
      <c r="V52" t="str">
        <f t="shared" si="5"/>
        <v/>
      </c>
      <c r="W52" t="str">
        <f t="shared" si="2"/>
        <v/>
      </c>
      <c r="X52" t="str">
        <f t="shared" si="3"/>
        <v/>
      </c>
    </row>
    <row r="53" spans="2:24" x14ac:dyDescent="0.3">
      <c r="B53" s="9" t="str">
        <f>IFERROR(IF(EOMONTH(MAX(Tbl_Transactions[Date]),ROW($B$4)-ROW($B53))&lt;MIN(Tbl_Transactions[Date]),"",EOMONTH(MAX(Tbl_Transactions[Date]),ROW($B$4)-ROW($B53))),"")</f>
        <v/>
      </c>
      <c r="C53" s="10" t="str">
        <f>IFERROR(YEAR(Table3[[#This Row],[Date]]),"")</f>
        <v/>
      </c>
      <c r="D53" s="10" t="str">
        <f>IFERROR(TEXT(Table3[[#This Row],[Date]],"mmm"),"")</f>
        <v/>
      </c>
      <c r="E53" s="78" t="str">
        <f>IF(LEN(B53)=0,"",SUMIFS(Tbl_Transactions[Amount],Tbl_Transactions[Type],"Income",Tbl_Transactions[Date],"&lt;="&amp;Monthly_Summary_Table!$B53,Tbl_Transactions[Date],"&gt;"&amp;EOMONTH(Monthly_Summary_Table!$B53,-1)))</f>
        <v/>
      </c>
      <c r="F53" s="78" t="str">
        <f>IF(LEN(B53)=0,"",SUMIFS(Tbl_Transactions[Amount],Tbl_Transactions[Type],"Expense",Tbl_Transactions[Date],"&lt;="&amp;Monthly_Summary_Table!$B53,Tbl_Transactions[Date],"&gt;"&amp;EOMONTH(Monthly_Summary_Table!$B53,-1)))</f>
        <v/>
      </c>
      <c r="G53" s="78" t="str">
        <f>IFERROR(Table3[[#This Row],[Income]]-Table3[[#This Row],[Expense]],"")</f>
        <v/>
      </c>
      <c r="H53" s="78" t="str">
        <f xml:space="preserve"> IF(LEN(Table3[[#This Row],[Date]])=0,"",MonthlyBudget)</f>
        <v/>
      </c>
      <c r="I53" s="79" t="str">
        <f>IF(LEN(Table3[[#This Row],[Date]])=0,"",SUM(G53:$G$123))</f>
        <v/>
      </c>
      <c r="J53" s="79" t="str">
        <f>IF(LEN(Table3[[#This Row],[Date]])=0,"",Table3[[#This Row],[Cumulative Savings]]+Starting_Worth)</f>
        <v/>
      </c>
      <c r="K53" s="79" t="str">
        <f>IF(LEN(B53)=0,"",SUMIFS(Tbl_Transactions[Amount],Tbl_Transactions[Account],I_CHOSEN_ACCT,Tbl_Transactions[Type],"Income",Tbl_Transactions[Date],"&lt;="&amp;Monthly_Summary_Table!$B53,Tbl_Transactions[Date],"&gt;"&amp;EOMONTH(Monthly_Summary_Table!$B53,-1)))</f>
        <v/>
      </c>
      <c r="L53" s="79" t="str">
        <f>IF(LEN(B53)=0,"",SUMIFS(Tbl_Transactions[Amount],Tbl_Transactions[Account],I_CHOSEN_ACCT,Tbl_Transactions[Type],"Expense",Tbl_Transactions[Date],"&lt;="&amp;Monthly_Summary_Table!$B53,Tbl_Transactions[Date],"&gt;"&amp;EOMONTH(Monthly_Summary_Table!$B53,-1)))</f>
        <v/>
      </c>
      <c r="M53" s="79" t="str">
        <f>IF(LEN(B53)=0,"",SUMIFS(Tbl_Transactions[Amount],Tbl_Transactions[Account],I_CHOSEN_ACCT,Tbl_Transactions[Type],"Transfer",Tbl_Transactions[Date],"&lt;="&amp;Monthly_Summary_Table!$B53,Tbl_Transactions[Date],"&gt;"&amp;EOMONTH(Monthly_Summary_Table!$B53,-1)))</f>
        <v/>
      </c>
      <c r="N53" s="79" t="str">
        <f>IFERROR(Table3[[#This Row],[ACCT INCOME]]-Table3[[#This Row],[ACCT EXPENSE]]+Table3[[#This Row],[ACCT TRANSFERS]],"")</f>
        <v/>
      </c>
      <c r="O53" s="79" t="str">
        <f>IF(LEN(Table3[[#This Row],[Date]])=0,"",SUM(N53:$N$123)+IF(I_CHOSEN_ACCTTYPE="BANK",INDEX(T_BANK_ACCTS[STARTING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3" t="s">
        <v>53</v>
      </c>
      <c r="T53" s="84" t="str">
        <f>IFERROR(IF(INDEX(T_CREDIT_ACCTS[ACCOUNT NAME],ROW(T53)-ROW($T$33))=0," ",INDEX(T_CREDIT_ACCTS[ACCOUNT NAME],ROW(T53)-ROW($T$33)))," ")</f>
        <v xml:space="preserve"> </v>
      </c>
      <c r="U53" t="str">
        <f t="shared" si="4"/>
        <v xml:space="preserve"> </v>
      </c>
      <c r="V53" t="str">
        <f t="shared" si="5"/>
        <v/>
      </c>
      <c r="W53" t="str">
        <f t="shared" si="2"/>
        <v/>
      </c>
      <c r="X53" t="str">
        <f t="shared" si="3"/>
        <v/>
      </c>
    </row>
    <row r="54" spans="2:24" x14ac:dyDescent="0.3">
      <c r="B54" s="9" t="str">
        <f>IFERROR(IF(EOMONTH(MAX(Tbl_Transactions[Date]),ROW($B$4)-ROW($B54))&lt;MIN(Tbl_Transactions[Date]),"",EOMONTH(MAX(Tbl_Transactions[Date]),ROW($B$4)-ROW($B54))),"")</f>
        <v/>
      </c>
      <c r="C54" s="10" t="str">
        <f>IFERROR(YEAR(Table3[[#This Row],[Date]]),"")</f>
        <v/>
      </c>
      <c r="D54" s="10" t="str">
        <f>IFERROR(TEXT(Table3[[#This Row],[Date]],"mmm"),"")</f>
        <v/>
      </c>
      <c r="E54" s="78" t="str">
        <f>IF(LEN(B54)=0,"",SUMIFS(Tbl_Transactions[Amount],Tbl_Transactions[Type],"Income",Tbl_Transactions[Date],"&lt;="&amp;Monthly_Summary_Table!$B54,Tbl_Transactions[Date],"&gt;"&amp;EOMONTH(Monthly_Summary_Table!$B54,-1)))</f>
        <v/>
      </c>
      <c r="F54" s="78" t="str">
        <f>IF(LEN(B54)=0,"",SUMIFS(Tbl_Transactions[Amount],Tbl_Transactions[Type],"Expense",Tbl_Transactions[Date],"&lt;="&amp;Monthly_Summary_Table!$B54,Tbl_Transactions[Date],"&gt;"&amp;EOMONTH(Monthly_Summary_Table!$B54,-1)))</f>
        <v/>
      </c>
      <c r="G54" s="78" t="str">
        <f>IFERROR(Table3[[#This Row],[Income]]-Table3[[#This Row],[Expense]],"")</f>
        <v/>
      </c>
      <c r="H54" s="78" t="str">
        <f xml:space="preserve"> IF(LEN(Table3[[#This Row],[Date]])=0,"",MonthlyBudget)</f>
        <v/>
      </c>
      <c r="I54" s="79" t="str">
        <f>IF(LEN(Table3[[#This Row],[Date]])=0,"",SUM(G54:$G$123))</f>
        <v/>
      </c>
      <c r="J54" s="79" t="str">
        <f>IF(LEN(Table3[[#This Row],[Date]])=0,"",Table3[[#This Row],[Cumulative Savings]]+Starting_Worth)</f>
        <v/>
      </c>
      <c r="K54" s="79" t="str">
        <f>IF(LEN(B54)=0,"",SUMIFS(Tbl_Transactions[Amount],Tbl_Transactions[Account],I_CHOSEN_ACCT,Tbl_Transactions[Type],"Income",Tbl_Transactions[Date],"&lt;="&amp;Monthly_Summary_Table!$B54,Tbl_Transactions[Date],"&gt;"&amp;EOMONTH(Monthly_Summary_Table!$B54,-1)))</f>
        <v/>
      </c>
      <c r="L54" s="79" t="str">
        <f>IF(LEN(B54)=0,"",SUMIFS(Tbl_Transactions[Amount],Tbl_Transactions[Account],I_CHOSEN_ACCT,Tbl_Transactions[Type],"Expense",Tbl_Transactions[Date],"&lt;="&amp;Monthly_Summary_Table!$B54,Tbl_Transactions[Date],"&gt;"&amp;EOMONTH(Monthly_Summary_Table!$B54,-1)))</f>
        <v/>
      </c>
      <c r="M54" s="79" t="str">
        <f>IF(LEN(B54)=0,"",SUMIFS(Tbl_Transactions[Amount],Tbl_Transactions[Account],I_CHOSEN_ACCT,Tbl_Transactions[Type],"Transfer",Tbl_Transactions[Date],"&lt;="&amp;Monthly_Summary_Table!$B54,Tbl_Transactions[Date],"&gt;"&amp;EOMONTH(Monthly_Summary_Table!$B54,-1)))</f>
        <v/>
      </c>
      <c r="N54" s="79" t="str">
        <f>IFERROR(Table3[[#This Row],[ACCT INCOME]]-Table3[[#This Row],[ACCT EXPENSE]]+Table3[[#This Row],[ACCT TRANSFERS]],"")</f>
        <v/>
      </c>
      <c r="O54" s="79" t="str">
        <f>IF(LEN(Table3[[#This Row],[Date]])=0,"",SUM(N54:$N$123)+IF(I_CHOSEN_ACCTTYPE="BANK",INDEX(T_BANK_ACCTS[STARTING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4" t="s">
        <v>53</v>
      </c>
      <c r="T54" s="84" t="str">
        <f>IFERROR(IF(INDEX(T_CREDIT_ACCTS[ACCOUNT NAME],ROW(T54)-ROW($T$33))=0," ",INDEX(T_CREDIT_ACCTS[ACCOUNT NAME],ROW(T54)-ROW($T$33)))," ")</f>
        <v xml:space="preserve"> </v>
      </c>
      <c r="U54" t="str">
        <f t="shared" si="4"/>
        <v xml:space="preserve"> </v>
      </c>
      <c r="V54" t="str">
        <f t="shared" si="5"/>
        <v/>
      </c>
      <c r="W54" t="str">
        <f t="shared" si="2"/>
        <v/>
      </c>
      <c r="X54" t="str">
        <f t="shared" si="3"/>
        <v/>
      </c>
    </row>
    <row r="55" spans="2:24" x14ac:dyDescent="0.3">
      <c r="B55" s="9" t="str">
        <f>IFERROR(IF(EOMONTH(MAX(Tbl_Transactions[Date]),ROW($B$4)-ROW($B55))&lt;MIN(Tbl_Transactions[Date]),"",EOMONTH(MAX(Tbl_Transactions[Date]),ROW($B$4)-ROW($B55))),"")</f>
        <v/>
      </c>
      <c r="C55" s="10" t="str">
        <f>IFERROR(YEAR(Table3[[#This Row],[Date]]),"")</f>
        <v/>
      </c>
      <c r="D55" s="10" t="str">
        <f>IFERROR(TEXT(Table3[[#This Row],[Date]],"mmm"),"")</f>
        <v/>
      </c>
      <c r="E55" s="78" t="str">
        <f>IF(LEN(B55)=0,"",SUMIFS(Tbl_Transactions[Amount],Tbl_Transactions[Type],"Income",Tbl_Transactions[Date],"&lt;="&amp;Monthly_Summary_Table!$B55,Tbl_Transactions[Date],"&gt;"&amp;EOMONTH(Monthly_Summary_Table!$B55,-1)))</f>
        <v/>
      </c>
      <c r="F55" s="78" t="str">
        <f>IF(LEN(B55)=0,"",SUMIFS(Tbl_Transactions[Amount],Tbl_Transactions[Type],"Expense",Tbl_Transactions[Date],"&lt;="&amp;Monthly_Summary_Table!$B55,Tbl_Transactions[Date],"&gt;"&amp;EOMONTH(Monthly_Summary_Table!$B55,-1)))</f>
        <v/>
      </c>
      <c r="G55" s="78" t="str">
        <f>IFERROR(Table3[[#This Row],[Income]]-Table3[[#This Row],[Expense]],"")</f>
        <v/>
      </c>
      <c r="H55" s="78" t="str">
        <f xml:space="preserve"> IF(LEN(Table3[[#This Row],[Date]])=0,"",MonthlyBudget)</f>
        <v/>
      </c>
      <c r="I55" s="79" t="str">
        <f>IF(LEN(Table3[[#This Row],[Date]])=0,"",SUM(G55:$G$123))</f>
        <v/>
      </c>
      <c r="J55" s="79" t="str">
        <f>IF(LEN(Table3[[#This Row],[Date]])=0,"",Table3[[#This Row],[Cumulative Savings]]+Starting_Worth)</f>
        <v/>
      </c>
      <c r="K55" s="79" t="str">
        <f>IF(LEN(B55)=0,"",SUMIFS(Tbl_Transactions[Amount],Tbl_Transactions[Account],I_CHOSEN_ACCT,Tbl_Transactions[Type],"Income",Tbl_Transactions[Date],"&lt;="&amp;Monthly_Summary_Table!$B55,Tbl_Transactions[Date],"&gt;"&amp;EOMONTH(Monthly_Summary_Table!$B55,-1)))</f>
        <v/>
      </c>
      <c r="L55" s="79" t="str">
        <f>IF(LEN(B55)=0,"",SUMIFS(Tbl_Transactions[Amount],Tbl_Transactions[Account],I_CHOSEN_ACCT,Tbl_Transactions[Type],"Expense",Tbl_Transactions[Date],"&lt;="&amp;Monthly_Summary_Table!$B55,Tbl_Transactions[Date],"&gt;"&amp;EOMONTH(Monthly_Summary_Table!$B55,-1)))</f>
        <v/>
      </c>
      <c r="M55" s="79" t="str">
        <f>IF(LEN(B55)=0,"",SUMIFS(Tbl_Transactions[Amount],Tbl_Transactions[Account],I_CHOSEN_ACCT,Tbl_Transactions[Type],"Transfer",Tbl_Transactions[Date],"&lt;="&amp;Monthly_Summary_Table!$B55,Tbl_Transactions[Date],"&gt;"&amp;EOMONTH(Monthly_Summary_Table!$B55,-1)))</f>
        <v/>
      </c>
      <c r="N55" s="79" t="str">
        <f>IFERROR(Table3[[#This Row],[ACCT INCOME]]-Table3[[#This Row],[ACCT EXPENSE]]+Table3[[#This Row],[ACCT TRANSFERS]],"")</f>
        <v/>
      </c>
      <c r="O55" s="79" t="str">
        <f>IF(LEN(Table3[[#This Row],[Date]])=0,"",SUM(N55:$N$123)+IF(I_CHOSEN_ACCTTYPE="BANK",INDEX(T_BANK_ACCTS[STARTING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5" t="s">
        <v>53</v>
      </c>
      <c r="T55" s="84" t="str">
        <f>IFERROR(IF(INDEX(T_CREDIT_ACCTS[ACCOUNT NAME],ROW(T55)-ROW($T$33))=0," ",INDEX(T_CREDIT_ACCTS[ACCOUNT NAME],ROW(T55)-ROW($T$33)))," ")</f>
        <v xml:space="preserve"> </v>
      </c>
      <c r="U55" t="str">
        <f t="shared" si="4"/>
        <v xml:space="preserve"> </v>
      </c>
      <c r="V55" t="str">
        <f t="shared" si="5"/>
        <v/>
      </c>
      <c r="W55" t="str">
        <f t="shared" si="2"/>
        <v/>
      </c>
      <c r="X55" t="str">
        <f t="shared" si="3"/>
        <v/>
      </c>
    </row>
    <row r="56" spans="2:24" x14ac:dyDescent="0.3">
      <c r="B56" s="9" t="str">
        <f>IFERROR(IF(EOMONTH(MAX(Tbl_Transactions[Date]),ROW($B$4)-ROW($B56))&lt;MIN(Tbl_Transactions[Date]),"",EOMONTH(MAX(Tbl_Transactions[Date]),ROW($B$4)-ROW($B56))),"")</f>
        <v/>
      </c>
      <c r="C56" s="10" t="str">
        <f>IFERROR(YEAR(Table3[[#This Row],[Date]]),"")</f>
        <v/>
      </c>
      <c r="D56" s="10" t="str">
        <f>IFERROR(TEXT(Table3[[#This Row],[Date]],"mmm"),"")</f>
        <v/>
      </c>
      <c r="E56" s="78" t="str">
        <f>IF(LEN(B56)=0,"",SUMIFS(Tbl_Transactions[Amount],Tbl_Transactions[Type],"Income",Tbl_Transactions[Date],"&lt;="&amp;Monthly_Summary_Table!$B56,Tbl_Transactions[Date],"&gt;"&amp;EOMONTH(Monthly_Summary_Table!$B56,-1)))</f>
        <v/>
      </c>
      <c r="F56" s="78" t="str">
        <f>IF(LEN(B56)=0,"",SUMIFS(Tbl_Transactions[Amount],Tbl_Transactions[Type],"Expense",Tbl_Transactions[Date],"&lt;="&amp;Monthly_Summary_Table!$B56,Tbl_Transactions[Date],"&gt;"&amp;EOMONTH(Monthly_Summary_Table!$B56,-1)))</f>
        <v/>
      </c>
      <c r="G56" s="78" t="str">
        <f>IFERROR(Table3[[#This Row],[Income]]-Table3[[#This Row],[Expense]],"")</f>
        <v/>
      </c>
      <c r="H56" s="78" t="str">
        <f xml:space="preserve"> IF(LEN(Table3[[#This Row],[Date]])=0,"",MonthlyBudget)</f>
        <v/>
      </c>
      <c r="I56" s="79" t="str">
        <f>IF(LEN(Table3[[#This Row],[Date]])=0,"",SUM(G56:$G$123))</f>
        <v/>
      </c>
      <c r="J56" s="79" t="str">
        <f>IF(LEN(Table3[[#This Row],[Date]])=0,"",Table3[[#This Row],[Cumulative Savings]]+Starting_Worth)</f>
        <v/>
      </c>
      <c r="K56" s="79" t="str">
        <f>IF(LEN(B56)=0,"",SUMIFS(Tbl_Transactions[Amount],Tbl_Transactions[Account],I_CHOSEN_ACCT,Tbl_Transactions[Type],"Income",Tbl_Transactions[Date],"&lt;="&amp;Monthly_Summary_Table!$B56,Tbl_Transactions[Date],"&gt;"&amp;EOMONTH(Monthly_Summary_Table!$B56,-1)))</f>
        <v/>
      </c>
      <c r="L56" s="79" t="str">
        <f>IF(LEN(B56)=0,"",SUMIFS(Tbl_Transactions[Amount],Tbl_Transactions[Account],I_CHOSEN_ACCT,Tbl_Transactions[Type],"Expense",Tbl_Transactions[Date],"&lt;="&amp;Monthly_Summary_Table!$B56,Tbl_Transactions[Date],"&gt;"&amp;EOMONTH(Monthly_Summary_Table!$B56,-1)))</f>
        <v/>
      </c>
      <c r="M56" s="79" t="str">
        <f>IF(LEN(B56)=0,"",SUMIFS(Tbl_Transactions[Amount],Tbl_Transactions[Account],I_CHOSEN_ACCT,Tbl_Transactions[Type],"Transfer",Tbl_Transactions[Date],"&lt;="&amp;Monthly_Summary_Table!$B56,Tbl_Transactions[Date],"&gt;"&amp;EOMONTH(Monthly_Summary_Table!$B56,-1)))</f>
        <v/>
      </c>
      <c r="N56" s="79" t="str">
        <f>IFERROR(Table3[[#This Row],[ACCT INCOME]]-Table3[[#This Row],[ACCT EXPENSE]]+Table3[[#This Row],[ACCT TRANSFERS]],"")</f>
        <v/>
      </c>
      <c r="O56" s="79" t="str">
        <f>IF(LEN(Table3[[#This Row],[Date]])=0,"",SUM(N56:$N$123)+IF(I_CHOSEN_ACCTTYPE="BANK",INDEX(T_BANK_ACCTS[STARTING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6" t="s">
        <v>53</v>
      </c>
      <c r="T56" s="84" t="str">
        <f>IFERROR(IF(INDEX(T_CREDIT_ACCTS[ACCOUNT NAME],ROW(T56)-ROW($T$33))=0," ",INDEX(T_CREDIT_ACCTS[ACCOUNT NAME],ROW(T56)-ROW($T$33)))," ")</f>
        <v xml:space="preserve"> </v>
      </c>
      <c r="U56" t="str">
        <f t="shared" si="4"/>
        <v xml:space="preserve"> </v>
      </c>
      <c r="V56" t="str">
        <f t="shared" si="5"/>
        <v/>
      </c>
      <c r="W56" t="str">
        <f t="shared" si="2"/>
        <v/>
      </c>
      <c r="X56" t="str">
        <f t="shared" si="3"/>
        <v/>
      </c>
    </row>
    <row r="57" spans="2:24" x14ac:dyDescent="0.3">
      <c r="B57" s="9" t="str">
        <f>IFERROR(IF(EOMONTH(MAX(Tbl_Transactions[Date]),ROW($B$4)-ROW($B57))&lt;MIN(Tbl_Transactions[Date]),"",EOMONTH(MAX(Tbl_Transactions[Date]),ROW($B$4)-ROW($B57))),"")</f>
        <v/>
      </c>
      <c r="C57" s="10" t="str">
        <f>IFERROR(YEAR(Table3[[#This Row],[Date]]),"")</f>
        <v/>
      </c>
      <c r="D57" s="10" t="str">
        <f>IFERROR(TEXT(Table3[[#This Row],[Date]],"mmm"),"")</f>
        <v/>
      </c>
      <c r="E57" s="78" t="str">
        <f>IF(LEN(B57)=0,"",SUMIFS(Tbl_Transactions[Amount],Tbl_Transactions[Type],"Income",Tbl_Transactions[Date],"&lt;="&amp;Monthly_Summary_Table!$B57,Tbl_Transactions[Date],"&gt;"&amp;EOMONTH(Monthly_Summary_Table!$B57,-1)))</f>
        <v/>
      </c>
      <c r="F57" s="78" t="str">
        <f>IF(LEN(B57)=0,"",SUMIFS(Tbl_Transactions[Amount],Tbl_Transactions[Type],"Expense",Tbl_Transactions[Date],"&lt;="&amp;Monthly_Summary_Table!$B57,Tbl_Transactions[Date],"&gt;"&amp;EOMONTH(Monthly_Summary_Table!$B57,-1)))</f>
        <v/>
      </c>
      <c r="G57" s="78" t="str">
        <f>IFERROR(Table3[[#This Row],[Income]]-Table3[[#This Row],[Expense]],"")</f>
        <v/>
      </c>
      <c r="H57" s="78" t="str">
        <f xml:space="preserve"> IF(LEN(Table3[[#This Row],[Date]])=0,"",MonthlyBudget)</f>
        <v/>
      </c>
      <c r="I57" s="79" t="str">
        <f>IF(LEN(Table3[[#This Row],[Date]])=0,"",SUM(G57:$G$123))</f>
        <v/>
      </c>
      <c r="J57" s="79" t="str">
        <f>IF(LEN(Table3[[#This Row],[Date]])=0,"",Table3[[#This Row],[Cumulative Savings]]+Starting_Worth)</f>
        <v/>
      </c>
      <c r="K57" s="79" t="str">
        <f>IF(LEN(B57)=0,"",SUMIFS(Tbl_Transactions[Amount],Tbl_Transactions[Account],I_CHOSEN_ACCT,Tbl_Transactions[Type],"Income",Tbl_Transactions[Date],"&lt;="&amp;Monthly_Summary_Table!$B57,Tbl_Transactions[Date],"&gt;"&amp;EOMONTH(Monthly_Summary_Table!$B57,-1)))</f>
        <v/>
      </c>
      <c r="L57" s="79" t="str">
        <f>IF(LEN(B57)=0,"",SUMIFS(Tbl_Transactions[Amount],Tbl_Transactions[Account],I_CHOSEN_ACCT,Tbl_Transactions[Type],"Expense",Tbl_Transactions[Date],"&lt;="&amp;Monthly_Summary_Table!$B57,Tbl_Transactions[Date],"&gt;"&amp;EOMONTH(Monthly_Summary_Table!$B57,-1)))</f>
        <v/>
      </c>
      <c r="M57" s="79" t="str">
        <f>IF(LEN(B57)=0,"",SUMIFS(Tbl_Transactions[Amount],Tbl_Transactions[Account],I_CHOSEN_ACCT,Tbl_Transactions[Type],"Transfer",Tbl_Transactions[Date],"&lt;="&amp;Monthly_Summary_Table!$B57,Tbl_Transactions[Date],"&gt;"&amp;EOMONTH(Monthly_Summary_Table!$B57,-1)))</f>
        <v/>
      </c>
      <c r="N57" s="79" t="str">
        <f>IFERROR(Table3[[#This Row],[ACCT INCOME]]-Table3[[#This Row],[ACCT EXPENSE]]+Table3[[#This Row],[ACCT TRANSFERS]],"")</f>
        <v/>
      </c>
      <c r="O57" s="79" t="str">
        <f>IF(LEN(Table3[[#This Row],[Date]])=0,"",SUM(N57:$N$123)+IF(I_CHOSEN_ACCTTYPE="BANK",INDEX(T_BANK_ACCTS[STARTING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7" t="s">
        <v>53</v>
      </c>
      <c r="T57" s="84" t="str">
        <f>IFERROR(IF(INDEX(T_CREDIT_ACCTS[ACCOUNT NAME],ROW(T57)-ROW($T$33))=0," ",INDEX(T_CREDIT_ACCTS[ACCOUNT NAME],ROW(T57)-ROW($T$33)))," ")</f>
        <v xml:space="preserve"> </v>
      </c>
      <c r="U57" t="str">
        <f t="shared" si="4"/>
        <v xml:space="preserve"> </v>
      </c>
      <c r="V57" t="str">
        <f t="shared" si="5"/>
        <v/>
      </c>
      <c r="W57" t="str">
        <f t="shared" si="2"/>
        <v/>
      </c>
      <c r="X57" t="str">
        <f t="shared" si="3"/>
        <v/>
      </c>
    </row>
    <row r="58" spans="2:24" x14ac:dyDescent="0.3">
      <c r="B58" s="9" t="str">
        <f>IFERROR(IF(EOMONTH(MAX(Tbl_Transactions[Date]),ROW($B$4)-ROW($B58))&lt;MIN(Tbl_Transactions[Date]),"",EOMONTH(MAX(Tbl_Transactions[Date]),ROW($B$4)-ROW($B58))),"")</f>
        <v/>
      </c>
      <c r="C58" s="10" t="str">
        <f>IFERROR(YEAR(Table3[[#This Row],[Date]]),"")</f>
        <v/>
      </c>
      <c r="D58" s="10" t="str">
        <f>IFERROR(TEXT(Table3[[#This Row],[Date]],"mmm"),"")</f>
        <v/>
      </c>
      <c r="E58" s="78" t="str">
        <f>IF(LEN(B58)=0,"",SUMIFS(Tbl_Transactions[Amount],Tbl_Transactions[Type],"Income",Tbl_Transactions[Date],"&lt;="&amp;Monthly_Summary_Table!$B58,Tbl_Transactions[Date],"&gt;"&amp;EOMONTH(Monthly_Summary_Table!$B58,-1)))</f>
        <v/>
      </c>
      <c r="F58" s="78" t="str">
        <f>IF(LEN(B58)=0,"",SUMIFS(Tbl_Transactions[Amount],Tbl_Transactions[Type],"Expense",Tbl_Transactions[Date],"&lt;="&amp;Monthly_Summary_Table!$B58,Tbl_Transactions[Date],"&gt;"&amp;EOMONTH(Monthly_Summary_Table!$B58,-1)))</f>
        <v/>
      </c>
      <c r="G58" s="78" t="str">
        <f>IFERROR(Table3[[#This Row],[Income]]-Table3[[#This Row],[Expense]],"")</f>
        <v/>
      </c>
      <c r="H58" s="78" t="str">
        <f xml:space="preserve"> IF(LEN(Table3[[#This Row],[Date]])=0,"",MonthlyBudget)</f>
        <v/>
      </c>
      <c r="I58" s="79" t="str">
        <f>IF(LEN(Table3[[#This Row],[Date]])=0,"",SUM(G58:$G$123))</f>
        <v/>
      </c>
      <c r="J58" s="79" t="str">
        <f>IF(LEN(Table3[[#This Row],[Date]])=0,"",Table3[[#This Row],[Cumulative Savings]]+Starting_Worth)</f>
        <v/>
      </c>
      <c r="K58" s="79" t="str">
        <f>IF(LEN(B58)=0,"",SUMIFS(Tbl_Transactions[Amount],Tbl_Transactions[Account],I_CHOSEN_ACCT,Tbl_Transactions[Type],"Income",Tbl_Transactions[Date],"&lt;="&amp;Monthly_Summary_Table!$B58,Tbl_Transactions[Date],"&gt;"&amp;EOMONTH(Monthly_Summary_Table!$B58,-1)))</f>
        <v/>
      </c>
      <c r="L58" s="79" t="str">
        <f>IF(LEN(B58)=0,"",SUMIFS(Tbl_Transactions[Amount],Tbl_Transactions[Account],I_CHOSEN_ACCT,Tbl_Transactions[Type],"Expense",Tbl_Transactions[Date],"&lt;="&amp;Monthly_Summary_Table!$B58,Tbl_Transactions[Date],"&gt;"&amp;EOMONTH(Monthly_Summary_Table!$B58,-1)))</f>
        <v/>
      </c>
      <c r="M58" s="79" t="str">
        <f>IF(LEN(B58)=0,"",SUMIFS(Tbl_Transactions[Amount],Tbl_Transactions[Account],I_CHOSEN_ACCT,Tbl_Transactions[Type],"Transfer",Tbl_Transactions[Date],"&lt;="&amp;Monthly_Summary_Table!$B58,Tbl_Transactions[Date],"&gt;"&amp;EOMONTH(Monthly_Summary_Table!$B58,-1)))</f>
        <v/>
      </c>
      <c r="N58" s="79" t="str">
        <f>IFERROR(Table3[[#This Row],[ACCT INCOME]]-Table3[[#This Row],[ACCT EXPENSE]]+Table3[[#This Row],[ACCT TRANSFERS]],"")</f>
        <v/>
      </c>
      <c r="O58" s="79" t="str">
        <f>IF(LEN(Table3[[#This Row],[Date]])=0,"",SUM(N58:$N$123)+IF(I_CHOSEN_ACCTTYPE="BANK",INDEX(T_BANK_ACCTS[STARTING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8" t="s">
        <v>53</v>
      </c>
      <c r="T58" s="84" t="str">
        <f>IFERROR(IF(INDEX(T_CREDIT_ACCTS[ACCOUNT NAME],ROW(T58)-ROW($T$33))=0," ",INDEX(T_CREDIT_ACCTS[ACCOUNT NAME],ROW(T58)-ROW($T$33)))," ")</f>
        <v xml:space="preserve"> </v>
      </c>
      <c r="U58" t="str">
        <f t="shared" si="4"/>
        <v xml:space="preserve"> </v>
      </c>
      <c r="V58" t="str">
        <f t="shared" si="5"/>
        <v/>
      </c>
      <c r="W58" t="str">
        <f t="shared" si="2"/>
        <v/>
      </c>
      <c r="X58" t="str">
        <f t="shared" si="3"/>
        <v/>
      </c>
    </row>
    <row r="59" spans="2:24" x14ac:dyDescent="0.3">
      <c r="B59" s="9" t="str">
        <f>IFERROR(IF(EOMONTH(MAX(Tbl_Transactions[Date]),ROW($B$4)-ROW($B59))&lt;MIN(Tbl_Transactions[Date]),"",EOMONTH(MAX(Tbl_Transactions[Date]),ROW($B$4)-ROW($B59))),"")</f>
        <v/>
      </c>
      <c r="C59" s="10" t="str">
        <f>IFERROR(YEAR(Table3[[#This Row],[Date]]),"")</f>
        <v/>
      </c>
      <c r="D59" s="10" t="str">
        <f>IFERROR(TEXT(Table3[[#This Row],[Date]],"mmm"),"")</f>
        <v/>
      </c>
      <c r="E59" s="78" t="str">
        <f>IF(LEN(B59)=0,"",SUMIFS(Tbl_Transactions[Amount],Tbl_Transactions[Type],"Income",Tbl_Transactions[Date],"&lt;="&amp;Monthly_Summary_Table!$B59,Tbl_Transactions[Date],"&gt;"&amp;EOMONTH(Monthly_Summary_Table!$B59,-1)))</f>
        <v/>
      </c>
      <c r="F59" s="78" t="str">
        <f>IF(LEN(B59)=0,"",SUMIFS(Tbl_Transactions[Amount],Tbl_Transactions[Type],"Expense",Tbl_Transactions[Date],"&lt;="&amp;Monthly_Summary_Table!$B59,Tbl_Transactions[Date],"&gt;"&amp;EOMONTH(Monthly_Summary_Table!$B59,-1)))</f>
        <v/>
      </c>
      <c r="G59" s="78" t="str">
        <f>IFERROR(Table3[[#This Row],[Income]]-Table3[[#This Row],[Expense]],"")</f>
        <v/>
      </c>
      <c r="H59" s="78" t="str">
        <f xml:space="preserve"> IF(LEN(Table3[[#This Row],[Date]])=0,"",MonthlyBudget)</f>
        <v/>
      </c>
      <c r="I59" s="79" t="str">
        <f>IF(LEN(Table3[[#This Row],[Date]])=0,"",SUM(G59:$G$123))</f>
        <v/>
      </c>
      <c r="J59" s="79" t="str">
        <f>IF(LEN(Table3[[#This Row],[Date]])=0,"",Table3[[#This Row],[Cumulative Savings]]+Starting_Worth)</f>
        <v/>
      </c>
      <c r="K59" s="79" t="str">
        <f>IF(LEN(B59)=0,"",SUMIFS(Tbl_Transactions[Amount],Tbl_Transactions[Account],I_CHOSEN_ACCT,Tbl_Transactions[Type],"Income",Tbl_Transactions[Date],"&lt;="&amp;Monthly_Summary_Table!$B59,Tbl_Transactions[Date],"&gt;"&amp;EOMONTH(Monthly_Summary_Table!$B59,-1)))</f>
        <v/>
      </c>
      <c r="L59" s="79" t="str">
        <f>IF(LEN(B59)=0,"",SUMIFS(Tbl_Transactions[Amount],Tbl_Transactions[Account],I_CHOSEN_ACCT,Tbl_Transactions[Type],"Expense",Tbl_Transactions[Date],"&lt;="&amp;Monthly_Summary_Table!$B59,Tbl_Transactions[Date],"&gt;"&amp;EOMONTH(Monthly_Summary_Table!$B59,-1)))</f>
        <v/>
      </c>
      <c r="M59" s="79" t="str">
        <f>IF(LEN(B59)=0,"",SUMIFS(Tbl_Transactions[Amount],Tbl_Transactions[Account],I_CHOSEN_ACCT,Tbl_Transactions[Type],"Transfer",Tbl_Transactions[Date],"&lt;="&amp;Monthly_Summary_Table!$B59,Tbl_Transactions[Date],"&gt;"&amp;EOMONTH(Monthly_Summary_Table!$B59,-1)))</f>
        <v/>
      </c>
      <c r="N59" s="79" t="str">
        <f>IFERROR(Table3[[#This Row],[ACCT INCOME]]-Table3[[#This Row],[ACCT EXPENSE]]+Table3[[#This Row],[ACCT TRANSFERS]],"")</f>
        <v/>
      </c>
      <c r="O59" s="79" t="str">
        <f>IF(LEN(Table3[[#This Row],[Date]])=0,"",SUM(N59:$N$123)+IF(I_CHOSEN_ACCTTYPE="BANK",INDEX(T_BANK_ACCTS[STARTING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59" t="s">
        <v>53</v>
      </c>
      <c r="T59" s="84" t="str">
        <f>IFERROR(IF(INDEX(T_CREDIT_ACCTS[ACCOUNT NAME],ROW(T59)-ROW($T$33))=0," ",INDEX(T_CREDIT_ACCTS[ACCOUNT NAME],ROW(T59)-ROW($T$33)))," ")</f>
        <v xml:space="preserve"> </v>
      </c>
      <c r="U59" t="str">
        <f t="shared" si="4"/>
        <v xml:space="preserve"> </v>
      </c>
      <c r="V59" t="str">
        <f t="shared" si="5"/>
        <v/>
      </c>
      <c r="W59" t="str">
        <f t="shared" si="2"/>
        <v/>
      </c>
      <c r="X59" t="str">
        <f t="shared" si="3"/>
        <v/>
      </c>
    </row>
    <row r="60" spans="2:24" x14ac:dyDescent="0.3">
      <c r="B60" s="9" t="str">
        <f>IFERROR(IF(EOMONTH(MAX(Tbl_Transactions[Date]),ROW($B$4)-ROW($B60))&lt;MIN(Tbl_Transactions[Date]),"",EOMONTH(MAX(Tbl_Transactions[Date]),ROW($B$4)-ROW($B60))),"")</f>
        <v/>
      </c>
      <c r="C60" s="10" t="str">
        <f>IFERROR(YEAR(Table3[[#This Row],[Date]]),"")</f>
        <v/>
      </c>
      <c r="D60" s="10" t="str">
        <f>IFERROR(TEXT(Table3[[#This Row],[Date]],"mmm"),"")</f>
        <v/>
      </c>
      <c r="E60" s="78" t="str">
        <f>IF(LEN(B60)=0,"",SUMIFS(Tbl_Transactions[Amount],Tbl_Transactions[Type],"Income",Tbl_Transactions[Date],"&lt;="&amp;Monthly_Summary_Table!$B60,Tbl_Transactions[Date],"&gt;"&amp;EOMONTH(Monthly_Summary_Table!$B60,-1)))</f>
        <v/>
      </c>
      <c r="F60" s="78" t="str">
        <f>IF(LEN(B60)=0,"",SUMIFS(Tbl_Transactions[Amount],Tbl_Transactions[Type],"Expense",Tbl_Transactions[Date],"&lt;="&amp;Monthly_Summary_Table!$B60,Tbl_Transactions[Date],"&gt;"&amp;EOMONTH(Monthly_Summary_Table!$B60,-1)))</f>
        <v/>
      </c>
      <c r="G60" s="78" t="str">
        <f>IFERROR(Table3[[#This Row],[Income]]-Table3[[#This Row],[Expense]],"")</f>
        <v/>
      </c>
      <c r="H60" s="78" t="str">
        <f xml:space="preserve"> IF(LEN(Table3[[#This Row],[Date]])=0,"",MonthlyBudget)</f>
        <v/>
      </c>
      <c r="I60" s="79" t="str">
        <f>IF(LEN(Table3[[#This Row],[Date]])=0,"",SUM(G60:$G$123))</f>
        <v/>
      </c>
      <c r="J60" s="79" t="str">
        <f>IF(LEN(Table3[[#This Row],[Date]])=0,"",Table3[[#This Row],[Cumulative Savings]]+Starting_Worth)</f>
        <v/>
      </c>
      <c r="K60" s="79" t="str">
        <f>IF(LEN(B60)=0,"",SUMIFS(Tbl_Transactions[Amount],Tbl_Transactions[Account],I_CHOSEN_ACCT,Tbl_Transactions[Type],"Income",Tbl_Transactions[Date],"&lt;="&amp;Monthly_Summary_Table!$B60,Tbl_Transactions[Date],"&gt;"&amp;EOMONTH(Monthly_Summary_Table!$B60,-1)))</f>
        <v/>
      </c>
      <c r="L60" s="79" t="str">
        <f>IF(LEN(B60)=0,"",SUMIFS(Tbl_Transactions[Amount],Tbl_Transactions[Account],I_CHOSEN_ACCT,Tbl_Transactions[Type],"Expense",Tbl_Transactions[Date],"&lt;="&amp;Monthly_Summary_Table!$B60,Tbl_Transactions[Date],"&gt;"&amp;EOMONTH(Monthly_Summary_Table!$B60,-1)))</f>
        <v/>
      </c>
      <c r="M60" s="79" t="str">
        <f>IF(LEN(B60)=0,"",SUMIFS(Tbl_Transactions[Amount],Tbl_Transactions[Account],I_CHOSEN_ACCT,Tbl_Transactions[Type],"Transfer",Tbl_Transactions[Date],"&lt;="&amp;Monthly_Summary_Table!$B60,Tbl_Transactions[Date],"&gt;"&amp;EOMONTH(Monthly_Summary_Table!$B60,-1)))</f>
        <v/>
      </c>
      <c r="N60" s="79" t="str">
        <f>IFERROR(Table3[[#This Row],[ACCT INCOME]]-Table3[[#This Row],[ACCT EXPENSE]]+Table3[[#This Row],[ACCT TRANSFERS]],"")</f>
        <v/>
      </c>
      <c r="O60" s="79" t="str">
        <f>IF(LEN(Table3[[#This Row],[Date]])=0,"",SUM(N60:$N$123)+IF(I_CHOSEN_ACCTTYPE="BANK",INDEX(T_BANK_ACCTS[STARTING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0" t="s">
        <v>53</v>
      </c>
      <c r="T60" s="84" t="str">
        <f>IFERROR(IF(INDEX(T_CREDIT_ACCTS[ACCOUNT NAME],ROW(T60)-ROW($T$33))=0," ",INDEX(T_CREDIT_ACCTS[ACCOUNT NAME],ROW(T60)-ROW($T$33)))," ")</f>
        <v xml:space="preserve"> </v>
      </c>
      <c r="U60" t="str">
        <f t="shared" si="4"/>
        <v xml:space="preserve"> </v>
      </c>
      <c r="V60" t="str">
        <f t="shared" si="5"/>
        <v/>
      </c>
      <c r="W60" t="str">
        <f t="shared" si="2"/>
        <v/>
      </c>
      <c r="X60" t="str">
        <f t="shared" si="3"/>
        <v/>
      </c>
    </row>
    <row r="61" spans="2:24" x14ac:dyDescent="0.3">
      <c r="B61" s="9" t="str">
        <f>IFERROR(IF(EOMONTH(MAX(Tbl_Transactions[Date]),ROW($B$4)-ROW($B61))&lt;MIN(Tbl_Transactions[Date]),"",EOMONTH(MAX(Tbl_Transactions[Date]),ROW($B$4)-ROW($B61))),"")</f>
        <v/>
      </c>
      <c r="C61" s="10" t="str">
        <f>IFERROR(YEAR(Table3[[#This Row],[Date]]),"")</f>
        <v/>
      </c>
      <c r="D61" s="10" t="str">
        <f>IFERROR(TEXT(Table3[[#This Row],[Date]],"mmm"),"")</f>
        <v/>
      </c>
      <c r="E61" s="78" t="str">
        <f>IF(LEN(B61)=0,"",SUMIFS(Tbl_Transactions[Amount],Tbl_Transactions[Type],"Income",Tbl_Transactions[Date],"&lt;="&amp;Monthly_Summary_Table!$B61,Tbl_Transactions[Date],"&gt;"&amp;EOMONTH(Monthly_Summary_Table!$B61,-1)))</f>
        <v/>
      </c>
      <c r="F61" s="78" t="str">
        <f>IF(LEN(B61)=0,"",SUMIFS(Tbl_Transactions[Amount],Tbl_Transactions[Type],"Expense",Tbl_Transactions[Date],"&lt;="&amp;Monthly_Summary_Table!$B61,Tbl_Transactions[Date],"&gt;"&amp;EOMONTH(Monthly_Summary_Table!$B61,-1)))</f>
        <v/>
      </c>
      <c r="G61" s="78" t="str">
        <f>IFERROR(Table3[[#This Row],[Income]]-Table3[[#This Row],[Expense]],"")</f>
        <v/>
      </c>
      <c r="H61" s="78" t="str">
        <f xml:space="preserve"> IF(LEN(Table3[[#This Row],[Date]])=0,"",MonthlyBudget)</f>
        <v/>
      </c>
      <c r="I61" s="79" t="str">
        <f>IF(LEN(Table3[[#This Row],[Date]])=0,"",SUM(G61:$G$123))</f>
        <v/>
      </c>
      <c r="J61" s="79" t="str">
        <f>IF(LEN(Table3[[#This Row],[Date]])=0,"",Table3[[#This Row],[Cumulative Savings]]+Starting_Worth)</f>
        <v/>
      </c>
      <c r="K61" s="79" t="str">
        <f>IF(LEN(B61)=0,"",SUMIFS(Tbl_Transactions[Amount],Tbl_Transactions[Account],I_CHOSEN_ACCT,Tbl_Transactions[Type],"Income",Tbl_Transactions[Date],"&lt;="&amp;Monthly_Summary_Table!$B61,Tbl_Transactions[Date],"&gt;"&amp;EOMONTH(Monthly_Summary_Table!$B61,-1)))</f>
        <v/>
      </c>
      <c r="L61" s="79" t="str">
        <f>IF(LEN(B61)=0,"",SUMIFS(Tbl_Transactions[Amount],Tbl_Transactions[Account],I_CHOSEN_ACCT,Tbl_Transactions[Type],"Expense",Tbl_Transactions[Date],"&lt;="&amp;Monthly_Summary_Table!$B61,Tbl_Transactions[Date],"&gt;"&amp;EOMONTH(Monthly_Summary_Table!$B61,-1)))</f>
        <v/>
      </c>
      <c r="M61" s="79" t="str">
        <f>IF(LEN(B61)=0,"",SUMIFS(Tbl_Transactions[Amount],Tbl_Transactions[Account],I_CHOSEN_ACCT,Tbl_Transactions[Type],"Transfer",Tbl_Transactions[Date],"&lt;="&amp;Monthly_Summary_Table!$B61,Tbl_Transactions[Date],"&gt;"&amp;EOMONTH(Monthly_Summary_Table!$B61,-1)))</f>
        <v/>
      </c>
      <c r="N61" s="79" t="str">
        <f>IFERROR(Table3[[#This Row],[ACCT INCOME]]-Table3[[#This Row],[ACCT EXPENSE]]+Table3[[#This Row],[ACCT TRANSFERS]],"")</f>
        <v/>
      </c>
      <c r="O61" s="79" t="str">
        <f>IF(LEN(Table3[[#This Row],[Date]])=0,"",SUM(N61:$N$123)+IF(I_CHOSEN_ACCTTYPE="BANK",INDEX(T_BANK_ACCTS[STARTING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1" t="s">
        <v>53</v>
      </c>
      <c r="T61" s="84" t="str">
        <f>IFERROR(IF(INDEX(T_CREDIT_ACCTS[ACCOUNT NAME],ROW(T61)-ROW($T$33))=0," ",INDEX(T_CREDIT_ACCTS[ACCOUNT NAME],ROW(T61)-ROW($T$33)))," ")</f>
        <v xml:space="preserve"> </v>
      </c>
      <c r="U61" t="str">
        <f t="shared" si="4"/>
        <v xml:space="preserve"> </v>
      </c>
      <c r="V61" t="str">
        <f t="shared" si="5"/>
        <v/>
      </c>
      <c r="W61" t="str">
        <f t="shared" si="2"/>
        <v/>
      </c>
      <c r="X61" t="str">
        <f t="shared" si="3"/>
        <v/>
      </c>
    </row>
    <row r="62" spans="2:24" x14ac:dyDescent="0.3">
      <c r="B62" s="9" t="str">
        <f>IFERROR(IF(EOMONTH(MAX(Tbl_Transactions[Date]),ROW($B$4)-ROW($B62))&lt;MIN(Tbl_Transactions[Date]),"",EOMONTH(MAX(Tbl_Transactions[Date]),ROW($B$4)-ROW($B62))),"")</f>
        <v/>
      </c>
      <c r="C62" s="10" t="str">
        <f>IFERROR(YEAR(Table3[[#This Row],[Date]]),"")</f>
        <v/>
      </c>
      <c r="D62" s="10" t="str">
        <f>IFERROR(TEXT(Table3[[#This Row],[Date]],"mmm"),"")</f>
        <v/>
      </c>
      <c r="E62" s="78" t="str">
        <f>IF(LEN(B62)=0,"",SUMIFS(Tbl_Transactions[Amount],Tbl_Transactions[Type],"Income",Tbl_Transactions[Date],"&lt;="&amp;Monthly_Summary_Table!$B62,Tbl_Transactions[Date],"&gt;"&amp;EOMONTH(Monthly_Summary_Table!$B62,-1)))</f>
        <v/>
      </c>
      <c r="F62" s="78" t="str">
        <f>IF(LEN(B62)=0,"",SUMIFS(Tbl_Transactions[Amount],Tbl_Transactions[Type],"Expense",Tbl_Transactions[Date],"&lt;="&amp;Monthly_Summary_Table!$B62,Tbl_Transactions[Date],"&gt;"&amp;EOMONTH(Monthly_Summary_Table!$B62,-1)))</f>
        <v/>
      </c>
      <c r="G62" s="78" t="str">
        <f>IFERROR(Table3[[#This Row],[Income]]-Table3[[#This Row],[Expense]],"")</f>
        <v/>
      </c>
      <c r="H62" s="78" t="str">
        <f xml:space="preserve"> IF(LEN(Table3[[#This Row],[Date]])=0,"",MonthlyBudget)</f>
        <v/>
      </c>
      <c r="I62" s="79" t="str">
        <f>IF(LEN(Table3[[#This Row],[Date]])=0,"",SUM(G62:$G$123))</f>
        <v/>
      </c>
      <c r="J62" s="79" t="str">
        <f>IF(LEN(Table3[[#This Row],[Date]])=0,"",Table3[[#This Row],[Cumulative Savings]]+Starting_Worth)</f>
        <v/>
      </c>
      <c r="K62" s="79" t="str">
        <f>IF(LEN(B62)=0,"",SUMIFS(Tbl_Transactions[Amount],Tbl_Transactions[Account],I_CHOSEN_ACCT,Tbl_Transactions[Type],"Income",Tbl_Transactions[Date],"&lt;="&amp;Monthly_Summary_Table!$B62,Tbl_Transactions[Date],"&gt;"&amp;EOMONTH(Monthly_Summary_Table!$B62,-1)))</f>
        <v/>
      </c>
      <c r="L62" s="79" t="str">
        <f>IF(LEN(B62)=0,"",SUMIFS(Tbl_Transactions[Amount],Tbl_Transactions[Account],I_CHOSEN_ACCT,Tbl_Transactions[Type],"Expense",Tbl_Transactions[Date],"&lt;="&amp;Monthly_Summary_Table!$B62,Tbl_Transactions[Date],"&gt;"&amp;EOMONTH(Monthly_Summary_Table!$B62,-1)))</f>
        <v/>
      </c>
      <c r="M62" s="79" t="str">
        <f>IF(LEN(B62)=0,"",SUMIFS(Tbl_Transactions[Amount],Tbl_Transactions[Account],I_CHOSEN_ACCT,Tbl_Transactions[Type],"Transfer",Tbl_Transactions[Date],"&lt;="&amp;Monthly_Summary_Table!$B62,Tbl_Transactions[Date],"&gt;"&amp;EOMONTH(Monthly_Summary_Table!$B62,-1)))</f>
        <v/>
      </c>
      <c r="N62" s="79" t="str">
        <f>IFERROR(Table3[[#This Row],[ACCT INCOME]]-Table3[[#This Row],[ACCT EXPENSE]]+Table3[[#This Row],[ACCT TRANSFERS]],"")</f>
        <v/>
      </c>
      <c r="O62" s="79" t="str">
        <f>IF(LEN(Table3[[#This Row],[Date]])=0,"",SUM(N62:$N$123)+IF(I_CHOSEN_ACCTTYPE="BANK",INDEX(T_BANK_ACCTS[STARTING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2" t="s">
        <v>53</v>
      </c>
      <c r="T62" s="84" t="str">
        <f>IFERROR(IF(INDEX(T_CREDIT_ACCTS[ACCOUNT NAME],ROW(T62)-ROW($T$33))=0," ",INDEX(T_CREDIT_ACCTS[ACCOUNT NAME],ROW(T62)-ROW($T$33)))," ")</f>
        <v xml:space="preserve"> </v>
      </c>
      <c r="U62" t="str">
        <f t="shared" si="4"/>
        <v xml:space="preserve"> </v>
      </c>
      <c r="V62" t="str">
        <f t="shared" si="5"/>
        <v/>
      </c>
      <c r="W62" t="str">
        <f t="shared" si="2"/>
        <v/>
      </c>
      <c r="X62" t="str">
        <f t="shared" si="3"/>
        <v/>
      </c>
    </row>
    <row r="63" spans="2:24" x14ac:dyDescent="0.3">
      <c r="B63" s="9" t="str">
        <f>IFERROR(IF(EOMONTH(MAX(Tbl_Transactions[Date]),ROW($B$4)-ROW($B63))&lt;MIN(Tbl_Transactions[Date]),"",EOMONTH(MAX(Tbl_Transactions[Date]),ROW($B$4)-ROW($B63))),"")</f>
        <v/>
      </c>
      <c r="C63" s="10" t="str">
        <f>IFERROR(YEAR(Table3[[#This Row],[Date]]),"")</f>
        <v/>
      </c>
      <c r="D63" s="10" t="str">
        <f>IFERROR(TEXT(Table3[[#This Row],[Date]],"mmm"),"")</f>
        <v/>
      </c>
      <c r="E63" s="78" t="str">
        <f>IF(LEN(B63)=0,"",SUMIFS(Tbl_Transactions[Amount],Tbl_Transactions[Type],"Income",Tbl_Transactions[Date],"&lt;="&amp;Monthly_Summary_Table!$B63,Tbl_Transactions[Date],"&gt;"&amp;EOMONTH(Monthly_Summary_Table!$B63,-1)))</f>
        <v/>
      </c>
      <c r="F63" s="78" t="str">
        <f>IF(LEN(B63)=0,"",SUMIFS(Tbl_Transactions[Amount],Tbl_Transactions[Type],"Expense",Tbl_Transactions[Date],"&lt;="&amp;Monthly_Summary_Table!$B63,Tbl_Transactions[Date],"&gt;"&amp;EOMONTH(Monthly_Summary_Table!$B63,-1)))</f>
        <v/>
      </c>
      <c r="G63" s="78" t="str">
        <f>IFERROR(Table3[[#This Row],[Income]]-Table3[[#This Row],[Expense]],"")</f>
        <v/>
      </c>
      <c r="H63" s="78" t="str">
        <f xml:space="preserve"> IF(LEN(Table3[[#This Row],[Date]])=0,"",MonthlyBudget)</f>
        <v/>
      </c>
      <c r="I63" s="79" t="str">
        <f>IF(LEN(Table3[[#This Row],[Date]])=0,"",SUM(G63:$G$123))</f>
        <v/>
      </c>
      <c r="J63" s="79" t="str">
        <f>IF(LEN(Table3[[#This Row],[Date]])=0,"",Table3[[#This Row],[Cumulative Savings]]+Starting_Worth)</f>
        <v/>
      </c>
      <c r="K63" s="79" t="str">
        <f>IF(LEN(B63)=0,"",SUMIFS(Tbl_Transactions[Amount],Tbl_Transactions[Account],I_CHOSEN_ACCT,Tbl_Transactions[Type],"Income",Tbl_Transactions[Date],"&lt;="&amp;Monthly_Summary_Table!$B63,Tbl_Transactions[Date],"&gt;"&amp;EOMONTH(Monthly_Summary_Table!$B63,-1)))</f>
        <v/>
      </c>
      <c r="L63" s="79" t="str">
        <f>IF(LEN(B63)=0,"",SUMIFS(Tbl_Transactions[Amount],Tbl_Transactions[Account],I_CHOSEN_ACCT,Tbl_Transactions[Type],"Expense",Tbl_Transactions[Date],"&lt;="&amp;Monthly_Summary_Table!$B63,Tbl_Transactions[Date],"&gt;"&amp;EOMONTH(Monthly_Summary_Table!$B63,-1)))</f>
        <v/>
      </c>
      <c r="M63" s="79" t="str">
        <f>IF(LEN(B63)=0,"",SUMIFS(Tbl_Transactions[Amount],Tbl_Transactions[Account],I_CHOSEN_ACCT,Tbl_Transactions[Type],"Transfer",Tbl_Transactions[Date],"&lt;="&amp;Monthly_Summary_Table!$B63,Tbl_Transactions[Date],"&gt;"&amp;EOMONTH(Monthly_Summary_Table!$B63,-1)))</f>
        <v/>
      </c>
      <c r="N63" s="79" t="str">
        <f>IFERROR(Table3[[#This Row],[ACCT INCOME]]-Table3[[#This Row],[ACCT EXPENSE]]+Table3[[#This Row],[ACCT TRANSFERS]],"")</f>
        <v/>
      </c>
      <c r="O63" s="79" t="str">
        <f>IF(LEN(Table3[[#This Row],[Date]])=0,"",SUM(N63:$N$123)+IF(I_CHOSEN_ACCTTYPE="BANK",INDEX(T_BANK_ACCTS[STARTING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3" t="s">
        <v>53</v>
      </c>
      <c r="T63" s="84" t="str">
        <f>IFERROR(IF(INDEX(T_CREDIT_ACCTS[ACCOUNT NAME],ROW(T63)-ROW($T$33))=0," ",INDEX(T_CREDIT_ACCTS[ACCOUNT NAME],ROW(T63)-ROW($T$33)))," ")</f>
        <v xml:space="preserve"> </v>
      </c>
      <c r="U63" t="str">
        <f t="shared" si="4"/>
        <v xml:space="preserve"> </v>
      </c>
      <c r="V63" t="str">
        <f t="shared" si="5"/>
        <v/>
      </c>
      <c r="W63" t="str">
        <f t="shared" si="2"/>
        <v/>
      </c>
      <c r="X63" t="str">
        <f t="shared" si="3"/>
        <v/>
      </c>
    </row>
    <row r="64" spans="2:24" x14ac:dyDescent="0.3">
      <c r="B64" s="9" t="str">
        <f>IFERROR(IF(EOMONTH(MAX(Tbl_Transactions[Date]),ROW($B$4)-ROW($B64))&lt;MIN(Tbl_Transactions[Date]),"",EOMONTH(MAX(Tbl_Transactions[Date]),ROW($B$4)-ROW($B64))),"")</f>
        <v/>
      </c>
      <c r="C64" s="10" t="str">
        <f>IFERROR(YEAR(Table3[[#This Row],[Date]]),"")</f>
        <v/>
      </c>
      <c r="D64" s="10" t="str">
        <f>IFERROR(TEXT(Table3[[#This Row],[Date]],"mmm"),"")</f>
        <v/>
      </c>
      <c r="E64" s="78" t="str">
        <f>IF(LEN(B64)=0,"",SUMIFS(Tbl_Transactions[Amount],Tbl_Transactions[Type],"Income",Tbl_Transactions[Date],"&lt;="&amp;Monthly_Summary_Table!$B64,Tbl_Transactions[Date],"&gt;"&amp;EOMONTH(Monthly_Summary_Table!$B64,-1)))</f>
        <v/>
      </c>
      <c r="F64" s="78" t="str">
        <f>IF(LEN(B64)=0,"",SUMIFS(Tbl_Transactions[Amount],Tbl_Transactions[Type],"Expense",Tbl_Transactions[Date],"&lt;="&amp;Monthly_Summary_Table!$B64,Tbl_Transactions[Date],"&gt;"&amp;EOMONTH(Monthly_Summary_Table!$B64,-1)))</f>
        <v/>
      </c>
      <c r="G64" s="78" t="str">
        <f>IFERROR(Table3[[#This Row],[Income]]-Table3[[#This Row],[Expense]],"")</f>
        <v/>
      </c>
      <c r="H64" s="78" t="str">
        <f xml:space="preserve"> IF(LEN(Table3[[#This Row],[Date]])=0,"",MonthlyBudget)</f>
        <v/>
      </c>
      <c r="I64" s="79" t="str">
        <f>IF(LEN(Table3[[#This Row],[Date]])=0,"",SUM(G64:$G$123))</f>
        <v/>
      </c>
      <c r="J64" s="79" t="str">
        <f>IF(LEN(Table3[[#This Row],[Date]])=0,"",Table3[[#This Row],[Cumulative Savings]]+Starting_Worth)</f>
        <v/>
      </c>
      <c r="K64" s="79" t="str">
        <f>IF(LEN(B64)=0,"",SUMIFS(Tbl_Transactions[Amount],Tbl_Transactions[Account],I_CHOSEN_ACCT,Tbl_Transactions[Type],"Income",Tbl_Transactions[Date],"&lt;="&amp;Monthly_Summary_Table!$B64,Tbl_Transactions[Date],"&gt;"&amp;EOMONTH(Monthly_Summary_Table!$B64,-1)))</f>
        <v/>
      </c>
      <c r="L64" s="79" t="str">
        <f>IF(LEN(B64)=0,"",SUMIFS(Tbl_Transactions[Amount],Tbl_Transactions[Account],I_CHOSEN_ACCT,Tbl_Transactions[Type],"Expense",Tbl_Transactions[Date],"&lt;="&amp;Monthly_Summary_Table!$B64,Tbl_Transactions[Date],"&gt;"&amp;EOMONTH(Monthly_Summary_Table!$B64,-1)))</f>
        <v/>
      </c>
      <c r="M64" s="79" t="str">
        <f>IF(LEN(B64)=0,"",SUMIFS(Tbl_Transactions[Amount],Tbl_Transactions[Account],I_CHOSEN_ACCT,Tbl_Transactions[Type],"Transfer",Tbl_Transactions[Date],"&lt;="&amp;Monthly_Summary_Table!$B64,Tbl_Transactions[Date],"&gt;"&amp;EOMONTH(Monthly_Summary_Table!$B64,-1)))</f>
        <v/>
      </c>
      <c r="N64" s="79" t="str">
        <f>IFERROR(Table3[[#This Row],[ACCT INCOME]]-Table3[[#This Row],[ACCT EXPENSE]]+Table3[[#This Row],[ACCT TRANSFERS]],"")</f>
        <v/>
      </c>
      <c r="O64" s="79" t="str">
        <f>IF(LEN(Table3[[#This Row],[Date]])=0,"",SUM(N64:$N$123)+IF(I_CHOSEN_ACCTTYPE="BANK",INDEX(T_BANK_ACCTS[STARTING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R64" s="145" t="s">
        <v>79</v>
      </c>
      <c r="S64" t="s">
        <v>18</v>
      </c>
      <c r="T64" s="84" t="str">
        <f>IFERROR(IF(INDEX(T_CASH_ACCTS[ACCOUNT NAME],ROW(T64)-ROW($T$63))=0," ",INDEX(T_CASH_ACCTS[ACCOUNT NAME],ROW(T64)-ROW($T$63)))," ")</f>
        <v>WALLET</v>
      </c>
      <c r="U64">
        <f t="shared" si="4"/>
        <v>61</v>
      </c>
      <c r="V64" t="str">
        <f t="shared" si="5"/>
        <v/>
      </c>
      <c r="W64" t="str">
        <f t="shared" si="2"/>
        <v/>
      </c>
      <c r="X64" t="str">
        <f t="shared" si="3"/>
        <v/>
      </c>
    </row>
    <row r="65" spans="2:24" x14ac:dyDescent="0.3">
      <c r="B65" s="9" t="str">
        <f>IFERROR(IF(EOMONTH(MAX(Tbl_Transactions[Date]),ROW($B$4)-ROW($B65))&lt;MIN(Tbl_Transactions[Date]),"",EOMONTH(MAX(Tbl_Transactions[Date]),ROW($B$4)-ROW($B65))),"")</f>
        <v/>
      </c>
      <c r="C65" s="10" t="str">
        <f>IFERROR(YEAR(Table3[[#This Row],[Date]]),"")</f>
        <v/>
      </c>
      <c r="D65" s="10" t="str">
        <f>IFERROR(TEXT(Table3[[#This Row],[Date]],"mmm"),"")</f>
        <v/>
      </c>
      <c r="E65" s="78" t="str">
        <f>IF(LEN(B65)=0,"",SUMIFS(Tbl_Transactions[Amount],Tbl_Transactions[Type],"Income",Tbl_Transactions[Date],"&lt;="&amp;Monthly_Summary_Table!$B65,Tbl_Transactions[Date],"&gt;"&amp;EOMONTH(Monthly_Summary_Table!$B65,-1)))</f>
        <v/>
      </c>
      <c r="F65" s="78" t="str">
        <f>IF(LEN(B65)=0,"",SUMIFS(Tbl_Transactions[Amount],Tbl_Transactions[Type],"Expense",Tbl_Transactions[Date],"&lt;="&amp;Monthly_Summary_Table!$B65,Tbl_Transactions[Date],"&gt;"&amp;EOMONTH(Monthly_Summary_Table!$B65,-1)))</f>
        <v/>
      </c>
      <c r="G65" s="78" t="str">
        <f>IFERROR(Table3[[#This Row],[Income]]-Table3[[#This Row],[Expense]],"")</f>
        <v/>
      </c>
      <c r="H65" s="78" t="str">
        <f xml:space="preserve"> IF(LEN(Table3[[#This Row],[Date]])=0,"",MonthlyBudget)</f>
        <v/>
      </c>
      <c r="I65" s="79" t="str">
        <f>IF(LEN(Table3[[#This Row],[Date]])=0,"",SUM(G65:$G$123))</f>
        <v/>
      </c>
      <c r="J65" s="79" t="str">
        <f>IF(LEN(Table3[[#This Row],[Date]])=0,"",Table3[[#This Row],[Cumulative Savings]]+Starting_Worth)</f>
        <v/>
      </c>
      <c r="K65" s="79" t="str">
        <f>IF(LEN(B65)=0,"",SUMIFS(Tbl_Transactions[Amount],Tbl_Transactions[Account],I_CHOSEN_ACCT,Tbl_Transactions[Type],"Income",Tbl_Transactions[Date],"&lt;="&amp;Monthly_Summary_Table!$B65,Tbl_Transactions[Date],"&gt;"&amp;EOMONTH(Monthly_Summary_Table!$B65,-1)))</f>
        <v/>
      </c>
      <c r="L65" s="79" t="str">
        <f>IF(LEN(B65)=0,"",SUMIFS(Tbl_Transactions[Amount],Tbl_Transactions[Account],I_CHOSEN_ACCT,Tbl_Transactions[Type],"Expense",Tbl_Transactions[Date],"&lt;="&amp;Monthly_Summary_Table!$B65,Tbl_Transactions[Date],"&gt;"&amp;EOMONTH(Monthly_Summary_Table!$B65,-1)))</f>
        <v/>
      </c>
      <c r="M65" s="79" t="str">
        <f>IF(LEN(B65)=0,"",SUMIFS(Tbl_Transactions[Amount],Tbl_Transactions[Account],I_CHOSEN_ACCT,Tbl_Transactions[Type],"Transfer",Tbl_Transactions[Date],"&lt;="&amp;Monthly_Summary_Table!$B65,Tbl_Transactions[Date],"&gt;"&amp;EOMONTH(Monthly_Summary_Table!$B65,-1)))</f>
        <v/>
      </c>
      <c r="N65" s="79" t="str">
        <f>IFERROR(Table3[[#This Row],[ACCT INCOME]]-Table3[[#This Row],[ACCT EXPENSE]]+Table3[[#This Row],[ACCT TRANSFERS]],"")</f>
        <v/>
      </c>
      <c r="O65" s="79" t="str">
        <f>IF(LEN(Table3[[#This Row],[Date]])=0,"",SUM(N65:$N$123)+IF(I_CHOSEN_ACCTTYPE="BANK",INDEX(T_BANK_ACCTS[STARTING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5" t="s">
        <v>18</v>
      </c>
      <c r="T65" s="84" t="str">
        <f>IFERROR(IF(INDEX(T_CASH_ACCTS[ACCOUNT NAME],ROW(T65)-ROW($T$63))=0," ",INDEX(T_CASH_ACCTS[ACCOUNT NAME],ROW(T65)-ROW($T$63)))," ")</f>
        <v xml:space="preserve"> </v>
      </c>
      <c r="U65" t="str">
        <f t="shared" si="4"/>
        <v xml:space="preserve"> </v>
      </c>
      <c r="V65" t="str">
        <f t="shared" si="5"/>
        <v/>
      </c>
      <c r="W65" t="str">
        <f t="shared" si="2"/>
        <v/>
      </c>
      <c r="X65" t="str">
        <f t="shared" si="3"/>
        <v/>
      </c>
    </row>
    <row r="66" spans="2:24" x14ac:dyDescent="0.3">
      <c r="B66" s="9" t="str">
        <f>IFERROR(IF(EOMONTH(MAX(Tbl_Transactions[Date]),ROW($B$4)-ROW($B66))&lt;MIN(Tbl_Transactions[Date]),"",EOMONTH(MAX(Tbl_Transactions[Date]),ROW($B$4)-ROW($B66))),"")</f>
        <v/>
      </c>
      <c r="C66" s="10" t="str">
        <f>IFERROR(YEAR(Table3[[#This Row],[Date]]),"")</f>
        <v/>
      </c>
      <c r="D66" s="10" t="str">
        <f>IFERROR(TEXT(Table3[[#This Row],[Date]],"mmm"),"")</f>
        <v/>
      </c>
      <c r="E66" s="78" t="str">
        <f>IF(LEN(B66)=0,"",SUMIFS(Tbl_Transactions[Amount],Tbl_Transactions[Type],"Income",Tbl_Transactions[Date],"&lt;="&amp;Monthly_Summary_Table!$B66,Tbl_Transactions[Date],"&gt;"&amp;EOMONTH(Monthly_Summary_Table!$B66,-1)))</f>
        <v/>
      </c>
      <c r="F66" s="78" t="str">
        <f>IF(LEN(B66)=0,"",SUMIFS(Tbl_Transactions[Amount],Tbl_Transactions[Type],"Expense",Tbl_Transactions[Date],"&lt;="&amp;Monthly_Summary_Table!$B66,Tbl_Transactions[Date],"&gt;"&amp;EOMONTH(Monthly_Summary_Table!$B66,-1)))</f>
        <v/>
      </c>
      <c r="G66" s="78" t="str">
        <f>IFERROR(Table3[[#This Row],[Income]]-Table3[[#This Row],[Expense]],"")</f>
        <v/>
      </c>
      <c r="H66" s="78" t="str">
        <f xml:space="preserve"> IF(LEN(Table3[[#This Row],[Date]])=0,"",MonthlyBudget)</f>
        <v/>
      </c>
      <c r="I66" s="79" t="str">
        <f>IF(LEN(Table3[[#This Row],[Date]])=0,"",SUM(G66:$G$123))</f>
        <v/>
      </c>
      <c r="J66" s="79" t="str">
        <f>IF(LEN(Table3[[#This Row],[Date]])=0,"",Table3[[#This Row],[Cumulative Savings]]+Starting_Worth)</f>
        <v/>
      </c>
      <c r="K66" s="79" t="str">
        <f>IF(LEN(B66)=0,"",SUMIFS(Tbl_Transactions[Amount],Tbl_Transactions[Account],I_CHOSEN_ACCT,Tbl_Transactions[Type],"Income",Tbl_Transactions[Date],"&lt;="&amp;Monthly_Summary_Table!$B66,Tbl_Transactions[Date],"&gt;"&amp;EOMONTH(Monthly_Summary_Table!$B66,-1)))</f>
        <v/>
      </c>
      <c r="L66" s="79" t="str">
        <f>IF(LEN(B66)=0,"",SUMIFS(Tbl_Transactions[Amount],Tbl_Transactions[Account],I_CHOSEN_ACCT,Tbl_Transactions[Type],"Expense",Tbl_Transactions[Date],"&lt;="&amp;Monthly_Summary_Table!$B66,Tbl_Transactions[Date],"&gt;"&amp;EOMONTH(Monthly_Summary_Table!$B66,-1)))</f>
        <v/>
      </c>
      <c r="M66" s="79" t="str">
        <f>IF(LEN(B66)=0,"",SUMIFS(Tbl_Transactions[Amount],Tbl_Transactions[Account],I_CHOSEN_ACCT,Tbl_Transactions[Type],"Transfer",Tbl_Transactions[Date],"&lt;="&amp;Monthly_Summary_Table!$B66,Tbl_Transactions[Date],"&gt;"&amp;EOMONTH(Monthly_Summary_Table!$B66,-1)))</f>
        <v/>
      </c>
      <c r="N66" s="79" t="str">
        <f>IFERROR(Table3[[#This Row],[ACCT INCOME]]-Table3[[#This Row],[ACCT EXPENSE]]+Table3[[#This Row],[ACCT TRANSFERS]],"")</f>
        <v/>
      </c>
      <c r="O66" s="79" t="str">
        <f>IF(LEN(Table3[[#This Row],[Date]])=0,"",SUM(N66:$N$123)+IF(I_CHOSEN_ACCTTYPE="BANK",INDEX(T_BANK_ACCTS[STARTING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6" t="s">
        <v>18</v>
      </c>
      <c r="T66" s="84" t="str">
        <f>IFERROR(IF(INDEX(T_CASH_ACCTS[ACCOUNT NAME],ROW(T66)-ROW($T$63))=0," ",INDEX(T_CASH_ACCTS[ACCOUNT NAME],ROW(T66)-ROW($T$63)))," ")</f>
        <v xml:space="preserve"> </v>
      </c>
      <c r="U66" t="str">
        <f t="shared" si="4"/>
        <v xml:space="preserve"> </v>
      </c>
      <c r="V66" t="str">
        <f t="shared" si="5"/>
        <v/>
      </c>
      <c r="W66" t="str">
        <f t="shared" si="2"/>
        <v/>
      </c>
      <c r="X66" t="str">
        <f t="shared" si="3"/>
        <v/>
      </c>
    </row>
    <row r="67" spans="2:24" x14ac:dyDescent="0.3">
      <c r="B67" s="9" t="str">
        <f>IFERROR(IF(EOMONTH(MAX(Tbl_Transactions[Date]),ROW($B$4)-ROW($B67))&lt;MIN(Tbl_Transactions[Date]),"",EOMONTH(MAX(Tbl_Transactions[Date]),ROW($B$4)-ROW($B67))),"")</f>
        <v/>
      </c>
      <c r="C67" s="10" t="str">
        <f>IFERROR(YEAR(Table3[[#This Row],[Date]]),"")</f>
        <v/>
      </c>
      <c r="D67" s="10" t="str">
        <f>IFERROR(TEXT(Table3[[#This Row],[Date]],"mmm"),"")</f>
        <v/>
      </c>
      <c r="E67" s="78" t="str">
        <f>IF(LEN(B67)=0,"",SUMIFS(Tbl_Transactions[Amount],Tbl_Transactions[Type],"Income",Tbl_Transactions[Date],"&lt;="&amp;Monthly_Summary_Table!$B67,Tbl_Transactions[Date],"&gt;"&amp;EOMONTH(Monthly_Summary_Table!$B67,-1)))</f>
        <v/>
      </c>
      <c r="F67" s="78" t="str">
        <f>IF(LEN(B67)=0,"",SUMIFS(Tbl_Transactions[Amount],Tbl_Transactions[Type],"Expense",Tbl_Transactions[Date],"&lt;="&amp;Monthly_Summary_Table!$B67,Tbl_Transactions[Date],"&gt;"&amp;EOMONTH(Monthly_Summary_Table!$B67,-1)))</f>
        <v/>
      </c>
      <c r="G67" s="78" t="str">
        <f>IFERROR(Table3[[#This Row],[Income]]-Table3[[#This Row],[Expense]],"")</f>
        <v/>
      </c>
      <c r="H67" s="78" t="str">
        <f xml:space="preserve"> IF(LEN(Table3[[#This Row],[Date]])=0,"",MonthlyBudget)</f>
        <v/>
      </c>
      <c r="I67" s="79" t="str">
        <f>IF(LEN(Table3[[#This Row],[Date]])=0,"",SUM(G67:$G$123))</f>
        <v/>
      </c>
      <c r="J67" s="79" t="str">
        <f>IF(LEN(Table3[[#This Row],[Date]])=0,"",Table3[[#This Row],[Cumulative Savings]]+Starting_Worth)</f>
        <v/>
      </c>
      <c r="K67" s="79" t="str">
        <f>IF(LEN(B67)=0,"",SUMIFS(Tbl_Transactions[Amount],Tbl_Transactions[Account],I_CHOSEN_ACCT,Tbl_Transactions[Type],"Income",Tbl_Transactions[Date],"&lt;="&amp;Monthly_Summary_Table!$B67,Tbl_Transactions[Date],"&gt;"&amp;EOMONTH(Monthly_Summary_Table!$B67,-1)))</f>
        <v/>
      </c>
      <c r="L67" s="79" t="str">
        <f>IF(LEN(B67)=0,"",SUMIFS(Tbl_Transactions[Amount],Tbl_Transactions[Account],I_CHOSEN_ACCT,Tbl_Transactions[Type],"Expense",Tbl_Transactions[Date],"&lt;="&amp;Monthly_Summary_Table!$B67,Tbl_Transactions[Date],"&gt;"&amp;EOMONTH(Monthly_Summary_Table!$B67,-1)))</f>
        <v/>
      </c>
      <c r="M67" s="79" t="str">
        <f>IF(LEN(B67)=0,"",SUMIFS(Tbl_Transactions[Amount],Tbl_Transactions[Account],I_CHOSEN_ACCT,Tbl_Transactions[Type],"Transfer",Tbl_Transactions[Date],"&lt;="&amp;Monthly_Summary_Table!$B67,Tbl_Transactions[Date],"&gt;"&amp;EOMONTH(Monthly_Summary_Table!$B67,-1)))</f>
        <v/>
      </c>
      <c r="N67" s="79" t="str">
        <f>IFERROR(Table3[[#This Row],[ACCT INCOME]]-Table3[[#This Row],[ACCT EXPENSE]]+Table3[[#This Row],[ACCT TRANSFERS]],"")</f>
        <v/>
      </c>
      <c r="O67" s="79" t="str">
        <f>IF(LEN(Table3[[#This Row],[Date]])=0,"",SUM(N67:$N$123)+IF(I_CHOSEN_ACCTTYPE="BANK",INDEX(T_BANK_ACCTS[STARTING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7" t="s">
        <v>18</v>
      </c>
      <c r="T67" s="84" t="str">
        <f>IFERROR(IF(INDEX(T_CASH_ACCTS[ACCOUNT NAME],ROW(T67)-ROW($T$63))=0," ",INDEX(T_CASH_ACCTS[ACCOUNT NAME],ROW(T67)-ROW($T$63)))," ")</f>
        <v xml:space="preserve"> </v>
      </c>
      <c r="U67" t="str">
        <f t="shared" si="4"/>
        <v xml:space="preserve"> </v>
      </c>
      <c r="V67" t="str">
        <f t="shared" si="5"/>
        <v/>
      </c>
      <c r="W67" t="str">
        <f t="shared" si="2"/>
        <v/>
      </c>
      <c r="X67" t="str">
        <f t="shared" si="3"/>
        <v/>
      </c>
    </row>
    <row r="68" spans="2:24" x14ac:dyDescent="0.3">
      <c r="B68" s="9" t="str">
        <f>IFERROR(IF(EOMONTH(MAX(Tbl_Transactions[Date]),ROW($B$4)-ROW($B68))&lt;MIN(Tbl_Transactions[Date]),"",EOMONTH(MAX(Tbl_Transactions[Date]),ROW($B$4)-ROW($B68))),"")</f>
        <v/>
      </c>
      <c r="C68" s="10" t="str">
        <f>IFERROR(YEAR(Table3[[#This Row],[Date]]),"")</f>
        <v/>
      </c>
      <c r="D68" s="10" t="str">
        <f>IFERROR(TEXT(Table3[[#This Row],[Date]],"mmm"),"")</f>
        <v/>
      </c>
      <c r="E68" s="78" t="str">
        <f>IF(LEN(B68)=0,"",SUMIFS(Tbl_Transactions[Amount],Tbl_Transactions[Type],"Income",Tbl_Transactions[Date],"&lt;="&amp;Monthly_Summary_Table!$B68,Tbl_Transactions[Date],"&gt;"&amp;EOMONTH(Monthly_Summary_Table!$B68,-1)))</f>
        <v/>
      </c>
      <c r="F68" s="78" t="str">
        <f>IF(LEN(B68)=0,"",SUMIFS(Tbl_Transactions[Amount],Tbl_Transactions[Type],"Expense",Tbl_Transactions[Date],"&lt;="&amp;Monthly_Summary_Table!$B68,Tbl_Transactions[Date],"&gt;"&amp;EOMONTH(Monthly_Summary_Table!$B68,-1)))</f>
        <v/>
      </c>
      <c r="G68" s="78" t="str">
        <f>IFERROR(Table3[[#This Row],[Income]]-Table3[[#This Row],[Expense]],"")</f>
        <v/>
      </c>
      <c r="H68" s="78" t="str">
        <f xml:space="preserve"> IF(LEN(Table3[[#This Row],[Date]])=0,"",MonthlyBudget)</f>
        <v/>
      </c>
      <c r="I68" s="79" t="str">
        <f>IF(LEN(Table3[[#This Row],[Date]])=0,"",SUM(G68:$G$123))</f>
        <v/>
      </c>
      <c r="J68" s="79" t="str">
        <f>IF(LEN(Table3[[#This Row],[Date]])=0,"",Table3[[#This Row],[Cumulative Savings]]+Starting_Worth)</f>
        <v/>
      </c>
      <c r="K68" s="79" t="str">
        <f>IF(LEN(B68)=0,"",SUMIFS(Tbl_Transactions[Amount],Tbl_Transactions[Account],I_CHOSEN_ACCT,Tbl_Transactions[Type],"Income",Tbl_Transactions[Date],"&lt;="&amp;Monthly_Summary_Table!$B68,Tbl_Transactions[Date],"&gt;"&amp;EOMONTH(Monthly_Summary_Table!$B68,-1)))</f>
        <v/>
      </c>
      <c r="L68" s="79" t="str">
        <f>IF(LEN(B68)=0,"",SUMIFS(Tbl_Transactions[Amount],Tbl_Transactions[Account],I_CHOSEN_ACCT,Tbl_Transactions[Type],"Expense",Tbl_Transactions[Date],"&lt;="&amp;Monthly_Summary_Table!$B68,Tbl_Transactions[Date],"&gt;"&amp;EOMONTH(Monthly_Summary_Table!$B68,-1)))</f>
        <v/>
      </c>
      <c r="M68" s="79" t="str">
        <f>IF(LEN(B68)=0,"",SUMIFS(Tbl_Transactions[Amount],Tbl_Transactions[Account],I_CHOSEN_ACCT,Tbl_Transactions[Type],"Transfer",Tbl_Transactions[Date],"&lt;="&amp;Monthly_Summary_Table!$B68,Tbl_Transactions[Date],"&gt;"&amp;EOMONTH(Monthly_Summary_Table!$B68,-1)))</f>
        <v/>
      </c>
      <c r="N68" s="79" t="str">
        <f>IFERROR(Table3[[#This Row],[ACCT INCOME]]-Table3[[#This Row],[ACCT EXPENSE]]+Table3[[#This Row],[ACCT TRANSFERS]],"")</f>
        <v/>
      </c>
      <c r="O68" s="79" t="str">
        <f>IF(LEN(Table3[[#This Row],[Date]])=0,"",SUM(N68:$N$123)+IF(I_CHOSEN_ACCTTYPE="BANK",INDEX(T_BANK_ACCTS[STARTING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8" t="s">
        <v>18</v>
      </c>
      <c r="T68" s="84" t="str">
        <f>IFERROR(IF(INDEX(T_CASH_ACCTS[ACCOUNT NAME],ROW(T68)-ROW($T$63))=0," ",INDEX(T_CASH_ACCTS[ACCOUNT NAME],ROW(T68)-ROW($T$63)))," ")</f>
        <v xml:space="preserve"> </v>
      </c>
      <c r="U68" t="str">
        <f t="shared" ref="U68:U93" si="6">IF(T68=" "," ",ROW(T68)-ROW($T$3))</f>
        <v xml:space="preserve"> </v>
      </c>
      <c r="V68" t="str">
        <f t="shared" ref="V68:V93" si="7">IFERROR(SMALL($U$4:$U$93,ROW(V68)-ROW($V$3)),"")</f>
        <v/>
      </c>
      <c r="W68" t="str">
        <f t="shared" si="2"/>
        <v/>
      </c>
      <c r="X68" t="str">
        <f t="shared" si="3"/>
        <v/>
      </c>
    </row>
    <row r="69" spans="2:24" x14ac:dyDescent="0.3">
      <c r="B69" s="9" t="str">
        <f>IFERROR(IF(EOMONTH(MAX(Tbl_Transactions[Date]),ROW($B$4)-ROW($B69))&lt;MIN(Tbl_Transactions[Date]),"",EOMONTH(MAX(Tbl_Transactions[Date]),ROW($B$4)-ROW($B69))),"")</f>
        <v/>
      </c>
      <c r="C69" s="10" t="str">
        <f>IFERROR(YEAR(Table3[[#This Row],[Date]]),"")</f>
        <v/>
      </c>
      <c r="D69" s="10" t="str">
        <f>IFERROR(TEXT(Table3[[#This Row],[Date]],"mmm"),"")</f>
        <v/>
      </c>
      <c r="E69" s="78" t="str">
        <f>IF(LEN(B69)=0,"",SUMIFS(Tbl_Transactions[Amount],Tbl_Transactions[Type],"Income",Tbl_Transactions[Date],"&lt;="&amp;Monthly_Summary_Table!$B69,Tbl_Transactions[Date],"&gt;"&amp;EOMONTH(Monthly_Summary_Table!$B69,-1)))</f>
        <v/>
      </c>
      <c r="F69" s="78" t="str">
        <f>IF(LEN(B69)=0,"",SUMIFS(Tbl_Transactions[Amount],Tbl_Transactions[Type],"Expense",Tbl_Transactions[Date],"&lt;="&amp;Monthly_Summary_Table!$B69,Tbl_Transactions[Date],"&gt;"&amp;EOMONTH(Monthly_Summary_Table!$B69,-1)))</f>
        <v/>
      </c>
      <c r="G69" s="78" t="str">
        <f>IFERROR(Table3[[#This Row],[Income]]-Table3[[#This Row],[Expense]],"")</f>
        <v/>
      </c>
      <c r="H69" s="78" t="str">
        <f xml:space="preserve"> IF(LEN(Table3[[#This Row],[Date]])=0,"",MonthlyBudget)</f>
        <v/>
      </c>
      <c r="I69" s="79" t="str">
        <f>IF(LEN(Table3[[#This Row],[Date]])=0,"",SUM(G69:$G$123))</f>
        <v/>
      </c>
      <c r="J69" s="79" t="str">
        <f>IF(LEN(Table3[[#This Row],[Date]])=0,"",Table3[[#This Row],[Cumulative Savings]]+Starting_Worth)</f>
        <v/>
      </c>
      <c r="K69" s="79" t="str">
        <f>IF(LEN(B69)=0,"",SUMIFS(Tbl_Transactions[Amount],Tbl_Transactions[Account],I_CHOSEN_ACCT,Tbl_Transactions[Type],"Income",Tbl_Transactions[Date],"&lt;="&amp;Monthly_Summary_Table!$B69,Tbl_Transactions[Date],"&gt;"&amp;EOMONTH(Monthly_Summary_Table!$B69,-1)))</f>
        <v/>
      </c>
      <c r="L69" s="79" t="str">
        <f>IF(LEN(B69)=0,"",SUMIFS(Tbl_Transactions[Amount],Tbl_Transactions[Account],I_CHOSEN_ACCT,Tbl_Transactions[Type],"Expense",Tbl_Transactions[Date],"&lt;="&amp;Monthly_Summary_Table!$B69,Tbl_Transactions[Date],"&gt;"&amp;EOMONTH(Monthly_Summary_Table!$B69,-1)))</f>
        <v/>
      </c>
      <c r="M69" s="79" t="str">
        <f>IF(LEN(B69)=0,"",SUMIFS(Tbl_Transactions[Amount],Tbl_Transactions[Account],I_CHOSEN_ACCT,Tbl_Transactions[Type],"Transfer",Tbl_Transactions[Date],"&lt;="&amp;Monthly_Summary_Table!$B69,Tbl_Transactions[Date],"&gt;"&amp;EOMONTH(Monthly_Summary_Table!$B69,-1)))</f>
        <v/>
      </c>
      <c r="N69" s="79" t="str">
        <f>IFERROR(Table3[[#This Row],[ACCT INCOME]]-Table3[[#This Row],[ACCT EXPENSE]]+Table3[[#This Row],[ACCT TRANSFERS]],"")</f>
        <v/>
      </c>
      <c r="O69" s="79" t="str">
        <f>IF(LEN(Table3[[#This Row],[Date]])=0,"",SUM(N69:$N$123)+IF(I_CHOSEN_ACCTTYPE="BANK",INDEX(T_BANK_ACCTS[STARTING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69" t="s">
        <v>18</v>
      </c>
      <c r="T69" s="84" t="str">
        <f>IFERROR(IF(INDEX(T_CASH_ACCTS[ACCOUNT NAME],ROW(T69)-ROW($T$63))=0," ",INDEX(T_CASH_ACCTS[ACCOUNT NAME],ROW(T69)-ROW($T$63)))," ")</f>
        <v xml:space="preserve"> </v>
      </c>
      <c r="U69" t="str">
        <f t="shared" si="6"/>
        <v xml:space="preserve"> </v>
      </c>
      <c r="V69" t="str">
        <f t="shared" si="7"/>
        <v/>
      </c>
      <c r="W69" t="str">
        <f t="shared" ref="W69:W93" si="8">IFERROR(INDEX($T$4:$T$93,V69),"")</f>
        <v/>
      </c>
      <c r="X69" t="str">
        <f t="shared" ref="X69:X93" si="9">IFERROR(INDEX($S$4:$S$93,V69),"")</f>
        <v/>
      </c>
    </row>
    <row r="70" spans="2:24" x14ac:dyDescent="0.3">
      <c r="B70" s="9" t="str">
        <f>IFERROR(IF(EOMONTH(MAX(Tbl_Transactions[Date]),ROW($B$4)-ROW($B70))&lt;MIN(Tbl_Transactions[Date]),"",EOMONTH(MAX(Tbl_Transactions[Date]),ROW($B$4)-ROW($B70))),"")</f>
        <v/>
      </c>
      <c r="C70" s="10" t="str">
        <f>IFERROR(YEAR(Table3[[#This Row],[Date]]),"")</f>
        <v/>
      </c>
      <c r="D70" s="10" t="str">
        <f>IFERROR(TEXT(Table3[[#This Row],[Date]],"mmm"),"")</f>
        <v/>
      </c>
      <c r="E70" s="78" t="str">
        <f>IF(LEN(B70)=0,"",SUMIFS(Tbl_Transactions[Amount],Tbl_Transactions[Type],"Income",Tbl_Transactions[Date],"&lt;="&amp;Monthly_Summary_Table!$B70,Tbl_Transactions[Date],"&gt;"&amp;EOMONTH(Monthly_Summary_Table!$B70,-1)))</f>
        <v/>
      </c>
      <c r="F70" s="78" t="str">
        <f>IF(LEN(B70)=0,"",SUMIFS(Tbl_Transactions[Amount],Tbl_Transactions[Type],"Expense",Tbl_Transactions[Date],"&lt;="&amp;Monthly_Summary_Table!$B70,Tbl_Transactions[Date],"&gt;"&amp;EOMONTH(Monthly_Summary_Table!$B70,-1)))</f>
        <v/>
      </c>
      <c r="G70" s="78" t="str">
        <f>IFERROR(Table3[[#This Row],[Income]]-Table3[[#This Row],[Expense]],"")</f>
        <v/>
      </c>
      <c r="H70" s="78" t="str">
        <f xml:space="preserve"> IF(LEN(Table3[[#This Row],[Date]])=0,"",MonthlyBudget)</f>
        <v/>
      </c>
      <c r="I70" s="79" t="str">
        <f>IF(LEN(Table3[[#This Row],[Date]])=0,"",SUM(G70:$G$123))</f>
        <v/>
      </c>
      <c r="J70" s="79" t="str">
        <f>IF(LEN(Table3[[#This Row],[Date]])=0,"",Table3[[#This Row],[Cumulative Savings]]+Starting_Worth)</f>
        <v/>
      </c>
      <c r="K70" s="79" t="str">
        <f>IF(LEN(B70)=0,"",SUMIFS(Tbl_Transactions[Amount],Tbl_Transactions[Account],I_CHOSEN_ACCT,Tbl_Transactions[Type],"Income",Tbl_Transactions[Date],"&lt;="&amp;Monthly_Summary_Table!$B70,Tbl_Transactions[Date],"&gt;"&amp;EOMONTH(Monthly_Summary_Table!$B70,-1)))</f>
        <v/>
      </c>
      <c r="L70" s="79" t="str">
        <f>IF(LEN(B70)=0,"",SUMIFS(Tbl_Transactions[Amount],Tbl_Transactions[Account],I_CHOSEN_ACCT,Tbl_Transactions[Type],"Expense",Tbl_Transactions[Date],"&lt;="&amp;Monthly_Summary_Table!$B70,Tbl_Transactions[Date],"&gt;"&amp;EOMONTH(Monthly_Summary_Table!$B70,-1)))</f>
        <v/>
      </c>
      <c r="M70" s="79" t="str">
        <f>IF(LEN(B70)=0,"",SUMIFS(Tbl_Transactions[Amount],Tbl_Transactions[Account],I_CHOSEN_ACCT,Tbl_Transactions[Type],"Transfer",Tbl_Transactions[Date],"&lt;="&amp;Monthly_Summary_Table!$B70,Tbl_Transactions[Date],"&gt;"&amp;EOMONTH(Monthly_Summary_Table!$B70,-1)))</f>
        <v/>
      </c>
      <c r="N70" s="79" t="str">
        <f>IFERROR(Table3[[#This Row],[ACCT INCOME]]-Table3[[#This Row],[ACCT EXPENSE]]+Table3[[#This Row],[ACCT TRANSFERS]],"")</f>
        <v/>
      </c>
      <c r="O70" s="79" t="str">
        <f>IF(LEN(Table3[[#This Row],[Date]])=0,"",SUM(N70:$N$123)+IF(I_CHOSEN_ACCTTYPE="BANK",INDEX(T_BANK_ACCTS[STARTING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0" t="s">
        <v>18</v>
      </c>
      <c r="T70" s="84" t="str">
        <f>IFERROR(IF(INDEX(T_CASH_ACCTS[ACCOUNT NAME],ROW(T70)-ROW($T$63))=0," ",INDEX(T_CASH_ACCTS[ACCOUNT NAME],ROW(T70)-ROW($T$63)))," ")</f>
        <v xml:space="preserve"> </v>
      </c>
      <c r="U70" t="str">
        <f t="shared" si="6"/>
        <v xml:space="preserve"> </v>
      </c>
      <c r="V70" t="str">
        <f t="shared" si="7"/>
        <v/>
      </c>
      <c r="W70" t="str">
        <f t="shared" si="8"/>
        <v/>
      </c>
      <c r="X70" t="str">
        <f t="shared" si="9"/>
        <v/>
      </c>
    </row>
    <row r="71" spans="2:24" x14ac:dyDescent="0.3">
      <c r="B71" s="9" t="str">
        <f>IFERROR(IF(EOMONTH(MAX(Tbl_Transactions[Date]),ROW($B$4)-ROW($B71))&lt;MIN(Tbl_Transactions[Date]),"",EOMONTH(MAX(Tbl_Transactions[Date]),ROW($B$4)-ROW($B71))),"")</f>
        <v/>
      </c>
      <c r="C71" s="10" t="str">
        <f>IFERROR(YEAR(Table3[[#This Row],[Date]]),"")</f>
        <v/>
      </c>
      <c r="D71" s="10" t="str">
        <f>IFERROR(TEXT(Table3[[#This Row],[Date]],"mmm"),"")</f>
        <v/>
      </c>
      <c r="E71" s="78" t="str">
        <f>IF(LEN(B71)=0,"",SUMIFS(Tbl_Transactions[Amount],Tbl_Transactions[Type],"Income",Tbl_Transactions[Date],"&lt;="&amp;Monthly_Summary_Table!$B71,Tbl_Transactions[Date],"&gt;"&amp;EOMONTH(Monthly_Summary_Table!$B71,-1)))</f>
        <v/>
      </c>
      <c r="F71" s="78" t="str">
        <f>IF(LEN(B71)=0,"",SUMIFS(Tbl_Transactions[Amount],Tbl_Transactions[Type],"Expense",Tbl_Transactions[Date],"&lt;="&amp;Monthly_Summary_Table!$B71,Tbl_Transactions[Date],"&gt;"&amp;EOMONTH(Monthly_Summary_Table!$B71,-1)))</f>
        <v/>
      </c>
      <c r="G71" s="78" t="str">
        <f>IFERROR(Table3[[#This Row],[Income]]-Table3[[#This Row],[Expense]],"")</f>
        <v/>
      </c>
      <c r="H71" s="78" t="str">
        <f xml:space="preserve"> IF(LEN(Table3[[#This Row],[Date]])=0,"",MonthlyBudget)</f>
        <v/>
      </c>
      <c r="I71" s="79" t="str">
        <f>IF(LEN(Table3[[#This Row],[Date]])=0,"",SUM(G71:$G$123))</f>
        <v/>
      </c>
      <c r="J71" s="79" t="str">
        <f>IF(LEN(Table3[[#This Row],[Date]])=0,"",Table3[[#This Row],[Cumulative Savings]]+Starting_Worth)</f>
        <v/>
      </c>
      <c r="K71" s="79" t="str">
        <f>IF(LEN(B71)=0,"",SUMIFS(Tbl_Transactions[Amount],Tbl_Transactions[Account],I_CHOSEN_ACCT,Tbl_Transactions[Type],"Income",Tbl_Transactions[Date],"&lt;="&amp;Monthly_Summary_Table!$B71,Tbl_Transactions[Date],"&gt;"&amp;EOMONTH(Monthly_Summary_Table!$B71,-1)))</f>
        <v/>
      </c>
      <c r="L71" s="79" t="str">
        <f>IF(LEN(B71)=0,"",SUMIFS(Tbl_Transactions[Amount],Tbl_Transactions[Account],I_CHOSEN_ACCT,Tbl_Transactions[Type],"Expense",Tbl_Transactions[Date],"&lt;="&amp;Monthly_Summary_Table!$B71,Tbl_Transactions[Date],"&gt;"&amp;EOMONTH(Monthly_Summary_Table!$B71,-1)))</f>
        <v/>
      </c>
      <c r="M71" s="79" t="str">
        <f>IF(LEN(B71)=0,"",SUMIFS(Tbl_Transactions[Amount],Tbl_Transactions[Account],I_CHOSEN_ACCT,Tbl_Transactions[Type],"Transfer",Tbl_Transactions[Date],"&lt;="&amp;Monthly_Summary_Table!$B71,Tbl_Transactions[Date],"&gt;"&amp;EOMONTH(Monthly_Summary_Table!$B71,-1)))</f>
        <v/>
      </c>
      <c r="N71" s="79" t="str">
        <f>IFERROR(Table3[[#This Row],[ACCT INCOME]]-Table3[[#This Row],[ACCT EXPENSE]]+Table3[[#This Row],[ACCT TRANSFERS]],"")</f>
        <v/>
      </c>
      <c r="O71" s="79" t="str">
        <f>IF(LEN(Table3[[#This Row],[Date]])=0,"",SUM(N71:$N$123)+IF(I_CHOSEN_ACCTTYPE="BANK",INDEX(T_BANK_ACCTS[STARTING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1" t="s">
        <v>18</v>
      </c>
      <c r="T71" s="84" t="str">
        <f>IFERROR(IF(INDEX(T_CASH_ACCTS[ACCOUNT NAME],ROW(T71)-ROW($T$63))=0," ",INDEX(T_CASH_ACCTS[ACCOUNT NAME],ROW(T71)-ROW($T$63)))," ")</f>
        <v xml:space="preserve"> </v>
      </c>
      <c r="U71" t="str">
        <f t="shared" si="6"/>
        <v xml:space="preserve"> </v>
      </c>
      <c r="V71" t="str">
        <f t="shared" si="7"/>
        <v/>
      </c>
      <c r="W71" t="str">
        <f t="shared" si="8"/>
        <v/>
      </c>
      <c r="X71" t="str">
        <f t="shared" si="9"/>
        <v/>
      </c>
    </row>
    <row r="72" spans="2:24" x14ac:dyDescent="0.3">
      <c r="B72" s="9" t="str">
        <f>IFERROR(IF(EOMONTH(MAX(Tbl_Transactions[Date]),ROW($B$4)-ROW($B72))&lt;MIN(Tbl_Transactions[Date]),"",EOMONTH(MAX(Tbl_Transactions[Date]),ROW($B$4)-ROW($B72))),"")</f>
        <v/>
      </c>
      <c r="C72" s="10" t="str">
        <f>IFERROR(YEAR(Table3[[#This Row],[Date]]),"")</f>
        <v/>
      </c>
      <c r="D72" s="10" t="str">
        <f>IFERROR(TEXT(Table3[[#This Row],[Date]],"mmm"),"")</f>
        <v/>
      </c>
      <c r="E72" s="78" t="str">
        <f>IF(LEN(B72)=0,"",SUMIFS(Tbl_Transactions[Amount],Tbl_Transactions[Type],"Income",Tbl_Transactions[Date],"&lt;="&amp;Monthly_Summary_Table!$B72,Tbl_Transactions[Date],"&gt;"&amp;EOMONTH(Monthly_Summary_Table!$B72,-1)))</f>
        <v/>
      </c>
      <c r="F72" s="78" t="str">
        <f>IF(LEN(B72)=0,"",SUMIFS(Tbl_Transactions[Amount],Tbl_Transactions[Type],"Expense",Tbl_Transactions[Date],"&lt;="&amp;Monthly_Summary_Table!$B72,Tbl_Transactions[Date],"&gt;"&amp;EOMONTH(Monthly_Summary_Table!$B72,-1)))</f>
        <v/>
      </c>
      <c r="G72" s="78" t="str">
        <f>IFERROR(Table3[[#This Row],[Income]]-Table3[[#This Row],[Expense]],"")</f>
        <v/>
      </c>
      <c r="H72" s="78" t="str">
        <f xml:space="preserve"> IF(LEN(Table3[[#This Row],[Date]])=0,"",MonthlyBudget)</f>
        <v/>
      </c>
      <c r="I72" s="79" t="str">
        <f>IF(LEN(Table3[[#This Row],[Date]])=0,"",SUM(G72:$G$123))</f>
        <v/>
      </c>
      <c r="J72" s="79" t="str">
        <f>IF(LEN(Table3[[#This Row],[Date]])=0,"",Table3[[#This Row],[Cumulative Savings]]+Starting_Worth)</f>
        <v/>
      </c>
      <c r="K72" s="79" t="str">
        <f>IF(LEN(B72)=0,"",SUMIFS(Tbl_Transactions[Amount],Tbl_Transactions[Account],I_CHOSEN_ACCT,Tbl_Transactions[Type],"Income",Tbl_Transactions[Date],"&lt;="&amp;Monthly_Summary_Table!$B72,Tbl_Transactions[Date],"&gt;"&amp;EOMONTH(Monthly_Summary_Table!$B72,-1)))</f>
        <v/>
      </c>
      <c r="L72" s="79" t="str">
        <f>IF(LEN(B72)=0,"",SUMIFS(Tbl_Transactions[Amount],Tbl_Transactions[Account],I_CHOSEN_ACCT,Tbl_Transactions[Type],"Expense",Tbl_Transactions[Date],"&lt;="&amp;Monthly_Summary_Table!$B72,Tbl_Transactions[Date],"&gt;"&amp;EOMONTH(Monthly_Summary_Table!$B72,-1)))</f>
        <v/>
      </c>
      <c r="M72" s="79" t="str">
        <f>IF(LEN(B72)=0,"",SUMIFS(Tbl_Transactions[Amount],Tbl_Transactions[Account],I_CHOSEN_ACCT,Tbl_Transactions[Type],"Transfer",Tbl_Transactions[Date],"&lt;="&amp;Monthly_Summary_Table!$B72,Tbl_Transactions[Date],"&gt;"&amp;EOMONTH(Monthly_Summary_Table!$B72,-1)))</f>
        <v/>
      </c>
      <c r="N72" s="79" t="str">
        <f>IFERROR(Table3[[#This Row],[ACCT INCOME]]-Table3[[#This Row],[ACCT EXPENSE]]+Table3[[#This Row],[ACCT TRANSFERS]],"")</f>
        <v/>
      </c>
      <c r="O72" s="79" t="str">
        <f>IF(LEN(Table3[[#This Row],[Date]])=0,"",SUM(N72:$N$123)+IF(I_CHOSEN_ACCTTYPE="BANK",INDEX(T_BANK_ACCTS[STARTING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2" t="s">
        <v>18</v>
      </c>
      <c r="T72" s="84" t="str">
        <f>IFERROR(IF(INDEX(T_CASH_ACCTS[ACCOUNT NAME],ROW(T72)-ROW($T$63))=0," ",INDEX(T_CASH_ACCTS[ACCOUNT NAME],ROW(T72)-ROW($T$63)))," ")</f>
        <v xml:space="preserve"> </v>
      </c>
      <c r="U72" t="str">
        <f t="shared" si="6"/>
        <v xml:space="preserve"> </v>
      </c>
      <c r="V72" t="str">
        <f t="shared" si="7"/>
        <v/>
      </c>
      <c r="W72" t="str">
        <f t="shared" si="8"/>
        <v/>
      </c>
      <c r="X72" t="str">
        <f t="shared" si="9"/>
        <v/>
      </c>
    </row>
    <row r="73" spans="2:24" x14ac:dyDescent="0.3">
      <c r="B73" s="9" t="str">
        <f>IFERROR(IF(EOMONTH(MAX(Tbl_Transactions[Date]),ROW($B$4)-ROW($B73))&lt;MIN(Tbl_Transactions[Date]),"",EOMONTH(MAX(Tbl_Transactions[Date]),ROW($B$4)-ROW($B73))),"")</f>
        <v/>
      </c>
      <c r="C73" s="10" t="str">
        <f>IFERROR(YEAR(Table3[[#This Row],[Date]]),"")</f>
        <v/>
      </c>
      <c r="D73" s="10" t="str">
        <f>IFERROR(TEXT(Table3[[#This Row],[Date]],"mmm"),"")</f>
        <v/>
      </c>
      <c r="E73" s="78" t="str">
        <f>IF(LEN(B73)=0,"",SUMIFS(Tbl_Transactions[Amount],Tbl_Transactions[Type],"Income",Tbl_Transactions[Date],"&lt;="&amp;Monthly_Summary_Table!$B73,Tbl_Transactions[Date],"&gt;"&amp;EOMONTH(Monthly_Summary_Table!$B73,-1)))</f>
        <v/>
      </c>
      <c r="F73" s="78" t="str">
        <f>IF(LEN(B73)=0,"",SUMIFS(Tbl_Transactions[Amount],Tbl_Transactions[Type],"Expense",Tbl_Transactions[Date],"&lt;="&amp;Monthly_Summary_Table!$B73,Tbl_Transactions[Date],"&gt;"&amp;EOMONTH(Monthly_Summary_Table!$B73,-1)))</f>
        <v/>
      </c>
      <c r="G73" s="78" t="str">
        <f>IFERROR(Table3[[#This Row],[Income]]-Table3[[#This Row],[Expense]],"")</f>
        <v/>
      </c>
      <c r="H73" s="78" t="str">
        <f xml:space="preserve"> IF(LEN(Table3[[#This Row],[Date]])=0,"",MonthlyBudget)</f>
        <v/>
      </c>
      <c r="I73" s="79" t="str">
        <f>IF(LEN(Table3[[#This Row],[Date]])=0,"",SUM(G73:$G$123))</f>
        <v/>
      </c>
      <c r="J73" s="79" t="str">
        <f>IF(LEN(Table3[[#This Row],[Date]])=0,"",Table3[[#This Row],[Cumulative Savings]]+Starting_Worth)</f>
        <v/>
      </c>
      <c r="K73" s="79" t="str">
        <f>IF(LEN(B73)=0,"",SUMIFS(Tbl_Transactions[Amount],Tbl_Transactions[Account],I_CHOSEN_ACCT,Tbl_Transactions[Type],"Income",Tbl_Transactions[Date],"&lt;="&amp;Monthly_Summary_Table!$B73,Tbl_Transactions[Date],"&gt;"&amp;EOMONTH(Monthly_Summary_Table!$B73,-1)))</f>
        <v/>
      </c>
      <c r="L73" s="79" t="str">
        <f>IF(LEN(B73)=0,"",SUMIFS(Tbl_Transactions[Amount],Tbl_Transactions[Account],I_CHOSEN_ACCT,Tbl_Transactions[Type],"Expense",Tbl_Transactions[Date],"&lt;="&amp;Monthly_Summary_Table!$B73,Tbl_Transactions[Date],"&gt;"&amp;EOMONTH(Monthly_Summary_Table!$B73,-1)))</f>
        <v/>
      </c>
      <c r="M73" s="79" t="str">
        <f>IF(LEN(B73)=0,"",SUMIFS(Tbl_Transactions[Amount],Tbl_Transactions[Account],I_CHOSEN_ACCT,Tbl_Transactions[Type],"Transfer",Tbl_Transactions[Date],"&lt;="&amp;Monthly_Summary_Table!$B73,Tbl_Transactions[Date],"&gt;"&amp;EOMONTH(Monthly_Summary_Table!$B73,-1)))</f>
        <v/>
      </c>
      <c r="N73" s="79" t="str">
        <f>IFERROR(Table3[[#This Row],[ACCT INCOME]]-Table3[[#This Row],[ACCT EXPENSE]]+Table3[[#This Row],[ACCT TRANSFERS]],"")</f>
        <v/>
      </c>
      <c r="O73" s="79" t="str">
        <f>IF(LEN(Table3[[#This Row],[Date]])=0,"",SUM(N73:$N$123)+IF(I_CHOSEN_ACCTTYPE="BANK",INDEX(T_BANK_ACCTS[STARTING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3" t="s">
        <v>18</v>
      </c>
      <c r="T73" s="84" t="str">
        <f>IFERROR(IF(INDEX(T_CASH_ACCTS[ACCOUNT NAME],ROW(T73)-ROW($T$63))=0," ",INDEX(T_CASH_ACCTS[ACCOUNT NAME],ROW(T73)-ROW($T$63)))," ")</f>
        <v xml:space="preserve"> </v>
      </c>
      <c r="U73" t="str">
        <f t="shared" si="6"/>
        <v xml:space="preserve"> </v>
      </c>
      <c r="V73" t="str">
        <f t="shared" si="7"/>
        <v/>
      </c>
      <c r="W73" t="str">
        <f t="shared" si="8"/>
        <v/>
      </c>
      <c r="X73" t="str">
        <f t="shared" si="9"/>
        <v/>
      </c>
    </row>
    <row r="74" spans="2:24" x14ac:dyDescent="0.3">
      <c r="B74" s="9" t="str">
        <f>IFERROR(IF(EOMONTH(MAX(Tbl_Transactions[Date]),ROW($B$4)-ROW($B74))&lt;MIN(Tbl_Transactions[Date]),"",EOMONTH(MAX(Tbl_Transactions[Date]),ROW($B$4)-ROW($B74))),"")</f>
        <v/>
      </c>
      <c r="C74" s="10" t="str">
        <f>IFERROR(YEAR(Table3[[#This Row],[Date]]),"")</f>
        <v/>
      </c>
      <c r="D74" s="10" t="str">
        <f>IFERROR(TEXT(Table3[[#This Row],[Date]],"mmm"),"")</f>
        <v/>
      </c>
      <c r="E74" s="78" t="str">
        <f>IF(LEN(B74)=0,"",SUMIFS(Tbl_Transactions[Amount],Tbl_Transactions[Type],"Income",Tbl_Transactions[Date],"&lt;="&amp;Monthly_Summary_Table!$B74,Tbl_Transactions[Date],"&gt;"&amp;EOMONTH(Monthly_Summary_Table!$B74,-1)))</f>
        <v/>
      </c>
      <c r="F74" s="78" t="str">
        <f>IF(LEN(B74)=0,"",SUMIFS(Tbl_Transactions[Amount],Tbl_Transactions[Type],"Expense",Tbl_Transactions[Date],"&lt;="&amp;Monthly_Summary_Table!$B74,Tbl_Transactions[Date],"&gt;"&amp;EOMONTH(Monthly_Summary_Table!$B74,-1)))</f>
        <v/>
      </c>
      <c r="G74" s="78" t="str">
        <f>IFERROR(Table3[[#This Row],[Income]]-Table3[[#This Row],[Expense]],"")</f>
        <v/>
      </c>
      <c r="H74" s="78" t="str">
        <f xml:space="preserve"> IF(LEN(Table3[[#This Row],[Date]])=0,"",MonthlyBudget)</f>
        <v/>
      </c>
      <c r="I74" s="79" t="str">
        <f>IF(LEN(Table3[[#This Row],[Date]])=0,"",SUM(G74:$G$123))</f>
        <v/>
      </c>
      <c r="J74" s="79" t="str">
        <f>IF(LEN(Table3[[#This Row],[Date]])=0,"",Table3[[#This Row],[Cumulative Savings]]+Starting_Worth)</f>
        <v/>
      </c>
      <c r="K74" s="79" t="str">
        <f>IF(LEN(B74)=0,"",SUMIFS(Tbl_Transactions[Amount],Tbl_Transactions[Account],I_CHOSEN_ACCT,Tbl_Transactions[Type],"Income",Tbl_Transactions[Date],"&lt;="&amp;Monthly_Summary_Table!$B74,Tbl_Transactions[Date],"&gt;"&amp;EOMONTH(Monthly_Summary_Table!$B74,-1)))</f>
        <v/>
      </c>
      <c r="L74" s="79" t="str">
        <f>IF(LEN(B74)=0,"",SUMIFS(Tbl_Transactions[Amount],Tbl_Transactions[Account],I_CHOSEN_ACCT,Tbl_Transactions[Type],"Expense",Tbl_Transactions[Date],"&lt;="&amp;Monthly_Summary_Table!$B74,Tbl_Transactions[Date],"&gt;"&amp;EOMONTH(Monthly_Summary_Table!$B74,-1)))</f>
        <v/>
      </c>
      <c r="M74" s="79" t="str">
        <f>IF(LEN(B74)=0,"",SUMIFS(Tbl_Transactions[Amount],Tbl_Transactions[Account],I_CHOSEN_ACCT,Tbl_Transactions[Type],"Transfer",Tbl_Transactions[Date],"&lt;="&amp;Monthly_Summary_Table!$B74,Tbl_Transactions[Date],"&gt;"&amp;EOMONTH(Monthly_Summary_Table!$B74,-1)))</f>
        <v/>
      </c>
      <c r="N74" s="79" t="str">
        <f>IFERROR(Table3[[#This Row],[ACCT INCOME]]-Table3[[#This Row],[ACCT EXPENSE]]+Table3[[#This Row],[ACCT TRANSFERS]],"")</f>
        <v/>
      </c>
      <c r="O74" s="79" t="str">
        <f>IF(LEN(Table3[[#This Row],[Date]])=0,"",SUM(N74:$N$123)+IF(I_CHOSEN_ACCTTYPE="BANK",INDEX(T_BANK_ACCTS[STARTING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4" t="s">
        <v>18</v>
      </c>
      <c r="T74" s="84" t="str">
        <f>IFERROR(IF(INDEX(T_CASH_ACCTS[ACCOUNT NAME],ROW(T74)-ROW($T$63))=0," ",INDEX(T_CASH_ACCTS[ACCOUNT NAME],ROW(T74)-ROW($T$63)))," ")</f>
        <v xml:space="preserve"> </v>
      </c>
      <c r="U74" t="str">
        <f t="shared" si="6"/>
        <v xml:space="preserve"> </v>
      </c>
      <c r="V74" t="str">
        <f t="shared" si="7"/>
        <v/>
      </c>
      <c r="W74" t="str">
        <f t="shared" si="8"/>
        <v/>
      </c>
      <c r="X74" t="str">
        <f t="shared" si="9"/>
        <v/>
      </c>
    </row>
    <row r="75" spans="2:24" x14ac:dyDescent="0.3">
      <c r="B75" s="9" t="str">
        <f>IFERROR(IF(EOMONTH(MAX(Tbl_Transactions[Date]),ROW($B$4)-ROW($B75))&lt;MIN(Tbl_Transactions[Date]),"",EOMONTH(MAX(Tbl_Transactions[Date]),ROW($B$4)-ROW($B75))),"")</f>
        <v/>
      </c>
      <c r="C75" s="10" t="str">
        <f>IFERROR(YEAR(Table3[[#This Row],[Date]]),"")</f>
        <v/>
      </c>
      <c r="D75" s="10" t="str">
        <f>IFERROR(TEXT(Table3[[#This Row],[Date]],"mmm"),"")</f>
        <v/>
      </c>
      <c r="E75" s="78" t="str">
        <f>IF(LEN(B75)=0,"",SUMIFS(Tbl_Transactions[Amount],Tbl_Transactions[Type],"Income",Tbl_Transactions[Date],"&lt;="&amp;Monthly_Summary_Table!$B75,Tbl_Transactions[Date],"&gt;"&amp;EOMONTH(Monthly_Summary_Table!$B75,-1)))</f>
        <v/>
      </c>
      <c r="F75" s="78" t="str">
        <f>IF(LEN(B75)=0,"",SUMIFS(Tbl_Transactions[Amount],Tbl_Transactions[Type],"Expense",Tbl_Transactions[Date],"&lt;="&amp;Monthly_Summary_Table!$B75,Tbl_Transactions[Date],"&gt;"&amp;EOMONTH(Monthly_Summary_Table!$B75,-1)))</f>
        <v/>
      </c>
      <c r="G75" s="78" t="str">
        <f>IFERROR(Table3[[#This Row],[Income]]-Table3[[#This Row],[Expense]],"")</f>
        <v/>
      </c>
      <c r="H75" s="78" t="str">
        <f xml:space="preserve"> IF(LEN(Table3[[#This Row],[Date]])=0,"",MonthlyBudget)</f>
        <v/>
      </c>
      <c r="I75" s="79" t="str">
        <f>IF(LEN(Table3[[#This Row],[Date]])=0,"",SUM(G75:$G$123))</f>
        <v/>
      </c>
      <c r="J75" s="79" t="str">
        <f>IF(LEN(Table3[[#This Row],[Date]])=0,"",Table3[[#This Row],[Cumulative Savings]]+Starting_Worth)</f>
        <v/>
      </c>
      <c r="K75" s="79" t="str">
        <f>IF(LEN(B75)=0,"",SUMIFS(Tbl_Transactions[Amount],Tbl_Transactions[Account],I_CHOSEN_ACCT,Tbl_Transactions[Type],"Income",Tbl_Transactions[Date],"&lt;="&amp;Monthly_Summary_Table!$B75,Tbl_Transactions[Date],"&gt;"&amp;EOMONTH(Monthly_Summary_Table!$B75,-1)))</f>
        <v/>
      </c>
      <c r="L75" s="79" t="str">
        <f>IF(LEN(B75)=0,"",SUMIFS(Tbl_Transactions[Amount],Tbl_Transactions[Account],I_CHOSEN_ACCT,Tbl_Transactions[Type],"Expense",Tbl_Transactions[Date],"&lt;="&amp;Monthly_Summary_Table!$B75,Tbl_Transactions[Date],"&gt;"&amp;EOMONTH(Monthly_Summary_Table!$B75,-1)))</f>
        <v/>
      </c>
      <c r="M75" s="79" t="str">
        <f>IF(LEN(B75)=0,"",SUMIFS(Tbl_Transactions[Amount],Tbl_Transactions[Account],I_CHOSEN_ACCT,Tbl_Transactions[Type],"Transfer",Tbl_Transactions[Date],"&lt;="&amp;Monthly_Summary_Table!$B75,Tbl_Transactions[Date],"&gt;"&amp;EOMONTH(Monthly_Summary_Table!$B75,-1)))</f>
        <v/>
      </c>
      <c r="N75" s="79" t="str">
        <f>IFERROR(Table3[[#This Row],[ACCT INCOME]]-Table3[[#This Row],[ACCT EXPENSE]]+Table3[[#This Row],[ACCT TRANSFERS]],"")</f>
        <v/>
      </c>
      <c r="O75" s="79" t="str">
        <f>IF(LEN(Table3[[#This Row],[Date]])=0,"",SUM(N75:$N$123)+IF(I_CHOSEN_ACCTTYPE="BANK",INDEX(T_BANK_ACCTS[STARTING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5" t="s">
        <v>18</v>
      </c>
      <c r="T75" s="84" t="str">
        <f>IFERROR(IF(INDEX(T_CASH_ACCTS[ACCOUNT NAME],ROW(T75)-ROW($T$63))=0," ",INDEX(T_CASH_ACCTS[ACCOUNT NAME],ROW(T75)-ROW($T$63)))," ")</f>
        <v xml:space="preserve"> </v>
      </c>
      <c r="U75" t="str">
        <f t="shared" si="6"/>
        <v xml:space="preserve"> </v>
      </c>
      <c r="V75" t="str">
        <f t="shared" si="7"/>
        <v/>
      </c>
      <c r="W75" t="str">
        <f t="shared" si="8"/>
        <v/>
      </c>
      <c r="X75" t="str">
        <f t="shared" si="9"/>
        <v/>
      </c>
    </row>
    <row r="76" spans="2:24" x14ac:dyDescent="0.3">
      <c r="B76" s="9" t="str">
        <f>IFERROR(IF(EOMONTH(MAX(Tbl_Transactions[Date]),ROW($B$4)-ROW($B76))&lt;MIN(Tbl_Transactions[Date]),"",EOMONTH(MAX(Tbl_Transactions[Date]),ROW($B$4)-ROW($B76))),"")</f>
        <v/>
      </c>
      <c r="C76" s="10" t="str">
        <f>IFERROR(YEAR(Table3[[#This Row],[Date]]),"")</f>
        <v/>
      </c>
      <c r="D76" s="10" t="str">
        <f>IFERROR(TEXT(Table3[[#This Row],[Date]],"mmm"),"")</f>
        <v/>
      </c>
      <c r="E76" s="78" t="str">
        <f>IF(LEN(B76)=0,"",SUMIFS(Tbl_Transactions[Amount],Tbl_Transactions[Type],"Income",Tbl_Transactions[Date],"&lt;="&amp;Monthly_Summary_Table!$B76,Tbl_Transactions[Date],"&gt;"&amp;EOMONTH(Monthly_Summary_Table!$B76,-1)))</f>
        <v/>
      </c>
      <c r="F76" s="78" t="str">
        <f>IF(LEN(B76)=0,"",SUMIFS(Tbl_Transactions[Amount],Tbl_Transactions[Type],"Expense",Tbl_Transactions[Date],"&lt;="&amp;Monthly_Summary_Table!$B76,Tbl_Transactions[Date],"&gt;"&amp;EOMONTH(Monthly_Summary_Table!$B76,-1)))</f>
        <v/>
      </c>
      <c r="G76" s="78" t="str">
        <f>IFERROR(Table3[[#This Row],[Income]]-Table3[[#This Row],[Expense]],"")</f>
        <v/>
      </c>
      <c r="H76" s="78" t="str">
        <f xml:space="preserve"> IF(LEN(Table3[[#This Row],[Date]])=0,"",MonthlyBudget)</f>
        <v/>
      </c>
      <c r="I76" s="79" t="str">
        <f>IF(LEN(Table3[[#This Row],[Date]])=0,"",SUM(G76:$G$123))</f>
        <v/>
      </c>
      <c r="J76" s="79" t="str">
        <f>IF(LEN(Table3[[#This Row],[Date]])=0,"",Table3[[#This Row],[Cumulative Savings]]+Starting_Worth)</f>
        <v/>
      </c>
      <c r="K76" s="79" t="str">
        <f>IF(LEN(B76)=0,"",SUMIFS(Tbl_Transactions[Amount],Tbl_Transactions[Account],I_CHOSEN_ACCT,Tbl_Transactions[Type],"Income",Tbl_Transactions[Date],"&lt;="&amp;Monthly_Summary_Table!$B76,Tbl_Transactions[Date],"&gt;"&amp;EOMONTH(Monthly_Summary_Table!$B76,-1)))</f>
        <v/>
      </c>
      <c r="L76" s="79" t="str">
        <f>IF(LEN(B76)=0,"",SUMIFS(Tbl_Transactions[Amount],Tbl_Transactions[Account],I_CHOSEN_ACCT,Tbl_Transactions[Type],"Expense",Tbl_Transactions[Date],"&lt;="&amp;Monthly_Summary_Table!$B76,Tbl_Transactions[Date],"&gt;"&amp;EOMONTH(Monthly_Summary_Table!$B76,-1)))</f>
        <v/>
      </c>
      <c r="M76" s="79" t="str">
        <f>IF(LEN(B76)=0,"",SUMIFS(Tbl_Transactions[Amount],Tbl_Transactions[Account],I_CHOSEN_ACCT,Tbl_Transactions[Type],"Transfer",Tbl_Transactions[Date],"&lt;="&amp;Monthly_Summary_Table!$B76,Tbl_Transactions[Date],"&gt;"&amp;EOMONTH(Monthly_Summary_Table!$B76,-1)))</f>
        <v/>
      </c>
      <c r="N76" s="79" t="str">
        <f>IFERROR(Table3[[#This Row],[ACCT INCOME]]-Table3[[#This Row],[ACCT EXPENSE]]+Table3[[#This Row],[ACCT TRANSFERS]],"")</f>
        <v/>
      </c>
      <c r="O76" s="79" t="str">
        <f>IF(LEN(Table3[[#This Row],[Date]])=0,"",SUM(N76:$N$123)+IF(I_CHOSEN_ACCTTYPE="BANK",INDEX(T_BANK_ACCTS[STARTING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6" t="s">
        <v>18</v>
      </c>
      <c r="T76" s="84" t="str">
        <f>IFERROR(IF(INDEX(T_CASH_ACCTS[ACCOUNT NAME],ROW(T76)-ROW($T$63))=0," ",INDEX(T_CASH_ACCTS[ACCOUNT NAME],ROW(T76)-ROW($T$63)))," ")</f>
        <v xml:space="preserve"> </v>
      </c>
      <c r="U76" t="str">
        <f t="shared" si="6"/>
        <v xml:space="preserve"> </v>
      </c>
      <c r="V76" t="str">
        <f t="shared" si="7"/>
        <v/>
      </c>
      <c r="W76" t="str">
        <f t="shared" si="8"/>
        <v/>
      </c>
      <c r="X76" t="str">
        <f t="shared" si="9"/>
        <v/>
      </c>
    </row>
    <row r="77" spans="2:24" x14ac:dyDescent="0.3">
      <c r="B77" s="9" t="str">
        <f>IFERROR(IF(EOMONTH(MAX(Tbl_Transactions[Date]),ROW($B$4)-ROW($B77))&lt;MIN(Tbl_Transactions[Date]),"",EOMONTH(MAX(Tbl_Transactions[Date]),ROW($B$4)-ROW($B77))),"")</f>
        <v/>
      </c>
      <c r="C77" s="10" t="str">
        <f>IFERROR(YEAR(Table3[[#This Row],[Date]]),"")</f>
        <v/>
      </c>
      <c r="D77" s="10" t="str">
        <f>IFERROR(TEXT(Table3[[#This Row],[Date]],"mmm"),"")</f>
        <v/>
      </c>
      <c r="E77" s="78" t="str">
        <f>IF(LEN(B77)=0,"",SUMIFS(Tbl_Transactions[Amount],Tbl_Transactions[Type],"Income",Tbl_Transactions[Date],"&lt;="&amp;Monthly_Summary_Table!$B77,Tbl_Transactions[Date],"&gt;"&amp;EOMONTH(Monthly_Summary_Table!$B77,-1)))</f>
        <v/>
      </c>
      <c r="F77" s="78" t="str">
        <f>IF(LEN(B77)=0,"",SUMIFS(Tbl_Transactions[Amount],Tbl_Transactions[Type],"Expense",Tbl_Transactions[Date],"&lt;="&amp;Monthly_Summary_Table!$B77,Tbl_Transactions[Date],"&gt;"&amp;EOMONTH(Monthly_Summary_Table!$B77,-1)))</f>
        <v/>
      </c>
      <c r="G77" s="78" t="str">
        <f>IFERROR(Table3[[#This Row],[Income]]-Table3[[#This Row],[Expense]],"")</f>
        <v/>
      </c>
      <c r="H77" s="78" t="str">
        <f xml:space="preserve"> IF(LEN(Table3[[#This Row],[Date]])=0,"",MonthlyBudget)</f>
        <v/>
      </c>
      <c r="I77" s="79" t="str">
        <f>IF(LEN(Table3[[#This Row],[Date]])=0,"",SUM(G77:$G$123))</f>
        <v/>
      </c>
      <c r="J77" s="79" t="str">
        <f>IF(LEN(Table3[[#This Row],[Date]])=0,"",Table3[[#This Row],[Cumulative Savings]]+Starting_Worth)</f>
        <v/>
      </c>
      <c r="K77" s="79" t="str">
        <f>IF(LEN(B77)=0,"",SUMIFS(Tbl_Transactions[Amount],Tbl_Transactions[Account],I_CHOSEN_ACCT,Tbl_Transactions[Type],"Income",Tbl_Transactions[Date],"&lt;="&amp;Monthly_Summary_Table!$B77,Tbl_Transactions[Date],"&gt;"&amp;EOMONTH(Monthly_Summary_Table!$B77,-1)))</f>
        <v/>
      </c>
      <c r="L77" s="79" t="str">
        <f>IF(LEN(B77)=0,"",SUMIFS(Tbl_Transactions[Amount],Tbl_Transactions[Account],I_CHOSEN_ACCT,Tbl_Transactions[Type],"Expense",Tbl_Transactions[Date],"&lt;="&amp;Monthly_Summary_Table!$B77,Tbl_Transactions[Date],"&gt;"&amp;EOMONTH(Monthly_Summary_Table!$B77,-1)))</f>
        <v/>
      </c>
      <c r="M77" s="79" t="str">
        <f>IF(LEN(B77)=0,"",SUMIFS(Tbl_Transactions[Amount],Tbl_Transactions[Account],I_CHOSEN_ACCT,Tbl_Transactions[Type],"Transfer",Tbl_Transactions[Date],"&lt;="&amp;Monthly_Summary_Table!$B77,Tbl_Transactions[Date],"&gt;"&amp;EOMONTH(Monthly_Summary_Table!$B77,-1)))</f>
        <v/>
      </c>
      <c r="N77" s="79" t="str">
        <f>IFERROR(Table3[[#This Row],[ACCT INCOME]]-Table3[[#This Row],[ACCT EXPENSE]]+Table3[[#This Row],[ACCT TRANSFERS]],"")</f>
        <v/>
      </c>
      <c r="O77" s="79" t="str">
        <f>IF(LEN(Table3[[#This Row],[Date]])=0,"",SUM(N77:$N$123)+IF(I_CHOSEN_ACCTTYPE="BANK",INDEX(T_BANK_ACCTS[STARTING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7" t="s">
        <v>18</v>
      </c>
      <c r="T77" s="84" t="str">
        <f>IFERROR(IF(INDEX(T_CASH_ACCTS[ACCOUNT NAME],ROW(T77)-ROW($T$63))=0," ",INDEX(T_CASH_ACCTS[ACCOUNT NAME],ROW(T77)-ROW($T$63)))," ")</f>
        <v xml:space="preserve"> </v>
      </c>
      <c r="U77" t="str">
        <f t="shared" si="6"/>
        <v xml:space="preserve"> </v>
      </c>
      <c r="V77" t="str">
        <f t="shared" si="7"/>
        <v/>
      </c>
      <c r="W77" t="str">
        <f t="shared" si="8"/>
        <v/>
      </c>
      <c r="X77" t="str">
        <f t="shared" si="9"/>
        <v/>
      </c>
    </row>
    <row r="78" spans="2:24" x14ac:dyDescent="0.3">
      <c r="B78" s="9" t="str">
        <f>IFERROR(IF(EOMONTH(MAX(Tbl_Transactions[Date]),ROW($B$4)-ROW($B78))&lt;MIN(Tbl_Transactions[Date]),"",EOMONTH(MAX(Tbl_Transactions[Date]),ROW($B$4)-ROW($B78))),"")</f>
        <v/>
      </c>
      <c r="C78" s="10" t="str">
        <f>IFERROR(YEAR(Table3[[#This Row],[Date]]),"")</f>
        <v/>
      </c>
      <c r="D78" s="10" t="str">
        <f>IFERROR(TEXT(Table3[[#This Row],[Date]],"mmm"),"")</f>
        <v/>
      </c>
      <c r="E78" s="78" t="str">
        <f>IF(LEN(B78)=0,"",SUMIFS(Tbl_Transactions[Amount],Tbl_Transactions[Type],"Income",Tbl_Transactions[Date],"&lt;="&amp;Monthly_Summary_Table!$B78,Tbl_Transactions[Date],"&gt;"&amp;EOMONTH(Monthly_Summary_Table!$B78,-1)))</f>
        <v/>
      </c>
      <c r="F78" s="78" t="str">
        <f>IF(LEN(B78)=0,"",SUMIFS(Tbl_Transactions[Amount],Tbl_Transactions[Type],"Expense",Tbl_Transactions[Date],"&lt;="&amp;Monthly_Summary_Table!$B78,Tbl_Transactions[Date],"&gt;"&amp;EOMONTH(Monthly_Summary_Table!$B78,-1)))</f>
        <v/>
      </c>
      <c r="G78" s="78" t="str">
        <f>IFERROR(Table3[[#This Row],[Income]]-Table3[[#This Row],[Expense]],"")</f>
        <v/>
      </c>
      <c r="H78" s="78" t="str">
        <f xml:space="preserve"> IF(LEN(Table3[[#This Row],[Date]])=0,"",MonthlyBudget)</f>
        <v/>
      </c>
      <c r="I78" s="79" t="str">
        <f>IF(LEN(Table3[[#This Row],[Date]])=0,"",SUM(G78:$G$123))</f>
        <v/>
      </c>
      <c r="J78" s="79" t="str">
        <f>IF(LEN(Table3[[#This Row],[Date]])=0,"",Table3[[#This Row],[Cumulative Savings]]+Starting_Worth)</f>
        <v/>
      </c>
      <c r="K78" s="79" t="str">
        <f>IF(LEN(B78)=0,"",SUMIFS(Tbl_Transactions[Amount],Tbl_Transactions[Account],I_CHOSEN_ACCT,Tbl_Transactions[Type],"Income",Tbl_Transactions[Date],"&lt;="&amp;Monthly_Summary_Table!$B78,Tbl_Transactions[Date],"&gt;"&amp;EOMONTH(Monthly_Summary_Table!$B78,-1)))</f>
        <v/>
      </c>
      <c r="L78" s="79" t="str">
        <f>IF(LEN(B78)=0,"",SUMIFS(Tbl_Transactions[Amount],Tbl_Transactions[Account],I_CHOSEN_ACCT,Tbl_Transactions[Type],"Expense",Tbl_Transactions[Date],"&lt;="&amp;Monthly_Summary_Table!$B78,Tbl_Transactions[Date],"&gt;"&amp;EOMONTH(Monthly_Summary_Table!$B78,-1)))</f>
        <v/>
      </c>
      <c r="M78" s="79" t="str">
        <f>IF(LEN(B78)=0,"",SUMIFS(Tbl_Transactions[Amount],Tbl_Transactions[Account],I_CHOSEN_ACCT,Tbl_Transactions[Type],"Transfer",Tbl_Transactions[Date],"&lt;="&amp;Monthly_Summary_Table!$B78,Tbl_Transactions[Date],"&gt;"&amp;EOMONTH(Monthly_Summary_Table!$B78,-1)))</f>
        <v/>
      </c>
      <c r="N78" s="79" t="str">
        <f>IFERROR(Table3[[#This Row],[ACCT INCOME]]-Table3[[#This Row],[ACCT EXPENSE]]+Table3[[#This Row],[ACCT TRANSFERS]],"")</f>
        <v/>
      </c>
      <c r="O78" s="79" t="str">
        <f>IF(LEN(Table3[[#This Row],[Date]])=0,"",SUM(N78:$N$123)+IF(I_CHOSEN_ACCTTYPE="BANK",INDEX(T_BANK_ACCTS[STARTING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8" t="s">
        <v>18</v>
      </c>
      <c r="T78" s="84" t="str">
        <f>IFERROR(IF(INDEX(T_CASH_ACCTS[ACCOUNT NAME],ROW(T78)-ROW($T$63))=0," ",INDEX(T_CASH_ACCTS[ACCOUNT NAME],ROW(T78)-ROW($T$63)))," ")</f>
        <v xml:space="preserve"> </v>
      </c>
      <c r="U78" t="str">
        <f t="shared" si="6"/>
        <v xml:space="preserve"> </v>
      </c>
      <c r="V78" t="str">
        <f t="shared" si="7"/>
        <v/>
      </c>
      <c r="W78" t="str">
        <f t="shared" si="8"/>
        <v/>
      </c>
      <c r="X78" t="str">
        <f t="shared" si="9"/>
        <v/>
      </c>
    </row>
    <row r="79" spans="2:24" x14ac:dyDescent="0.3">
      <c r="B79" s="9" t="str">
        <f>IFERROR(IF(EOMONTH(MAX(Tbl_Transactions[Date]),ROW($B$4)-ROW($B79))&lt;MIN(Tbl_Transactions[Date]),"",EOMONTH(MAX(Tbl_Transactions[Date]),ROW($B$4)-ROW($B79))),"")</f>
        <v/>
      </c>
      <c r="C79" s="10" t="str">
        <f>IFERROR(YEAR(Table3[[#This Row],[Date]]),"")</f>
        <v/>
      </c>
      <c r="D79" s="10" t="str">
        <f>IFERROR(TEXT(Table3[[#This Row],[Date]],"mmm"),"")</f>
        <v/>
      </c>
      <c r="E79" s="78" t="str">
        <f>IF(LEN(B79)=0,"",SUMIFS(Tbl_Transactions[Amount],Tbl_Transactions[Type],"Income",Tbl_Transactions[Date],"&lt;="&amp;Monthly_Summary_Table!$B79,Tbl_Transactions[Date],"&gt;"&amp;EOMONTH(Monthly_Summary_Table!$B79,-1)))</f>
        <v/>
      </c>
      <c r="F79" s="78" t="str">
        <f>IF(LEN(B79)=0,"",SUMIFS(Tbl_Transactions[Amount],Tbl_Transactions[Type],"Expense",Tbl_Transactions[Date],"&lt;="&amp;Monthly_Summary_Table!$B79,Tbl_Transactions[Date],"&gt;"&amp;EOMONTH(Monthly_Summary_Table!$B79,-1)))</f>
        <v/>
      </c>
      <c r="G79" s="78" t="str">
        <f>IFERROR(Table3[[#This Row],[Income]]-Table3[[#This Row],[Expense]],"")</f>
        <v/>
      </c>
      <c r="H79" s="78" t="str">
        <f xml:space="preserve"> IF(LEN(Table3[[#This Row],[Date]])=0,"",MonthlyBudget)</f>
        <v/>
      </c>
      <c r="I79" s="79" t="str">
        <f>IF(LEN(Table3[[#This Row],[Date]])=0,"",SUM(G79:$G$123))</f>
        <v/>
      </c>
      <c r="J79" s="79" t="str">
        <f>IF(LEN(Table3[[#This Row],[Date]])=0,"",Table3[[#This Row],[Cumulative Savings]]+Starting_Worth)</f>
        <v/>
      </c>
      <c r="K79" s="79" t="str">
        <f>IF(LEN(B79)=0,"",SUMIFS(Tbl_Transactions[Amount],Tbl_Transactions[Account],I_CHOSEN_ACCT,Tbl_Transactions[Type],"Income",Tbl_Transactions[Date],"&lt;="&amp;Monthly_Summary_Table!$B79,Tbl_Transactions[Date],"&gt;"&amp;EOMONTH(Monthly_Summary_Table!$B79,-1)))</f>
        <v/>
      </c>
      <c r="L79" s="79" t="str">
        <f>IF(LEN(B79)=0,"",SUMIFS(Tbl_Transactions[Amount],Tbl_Transactions[Account],I_CHOSEN_ACCT,Tbl_Transactions[Type],"Expense",Tbl_Transactions[Date],"&lt;="&amp;Monthly_Summary_Table!$B79,Tbl_Transactions[Date],"&gt;"&amp;EOMONTH(Monthly_Summary_Table!$B79,-1)))</f>
        <v/>
      </c>
      <c r="M79" s="79" t="str">
        <f>IF(LEN(B79)=0,"",SUMIFS(Tbl_Transactions[Amount],Tbl_Transactions[Account],I_CHOSEN_ACCT,Tbl_Transactions[Type],"Transfer",Tbl_Transactions[Date],"&lt;="&amp;Monthly_Summary_Table!$B79,Tbl_Transactions[Date],"&gt;"&amp;EOMONTH(Monthly_Summary_Table!$B79,-1)))</f>
        <v/>
      </c>
      <c r="N79" s="79" t="str">
        <f>IFERROR(Table3[[#This Row],[ACCT INCOME]]-Table3[[#This Row],[ACCT EXPENSE]]+Table3[[#This Row],[ACCT TRANSFERS]],"")</f>
        <v/>
      </c>
      <c r="O79" s="79" t="str">
        <f>IF(LEN(Table3[[#This Row],[Date]])=0,"",SUM(N79:$N$123)+IF(I_CHOSEN_ACCTTYPE="BANK",INDEX(T_BANK_ACCTS[STARTING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79" t="s">
        <v>18</v>
      </c>
      <c r="T79" s="84" t="str">
        <f>IFERROR(IF(INDEX(T_CASH_ACCTS[ACCOUNT NAME],ROW(T79)-ROW($T$63))=0," ",INDEX(T_CASH_ACCTS[ACCOUNT NAME],ROW(T79)-ROW($T$63)))," ")</f>
        <v xml:space="preserve"> </v>
      </c>
      <c r="U79" t="str">
        <f t="shared" si="6"/>
        <v xml:space="preserve"> </v>
      </c>
      <c r="V79" t="str">
        <f t="shared" si="7"/>
        <v/>
      </c>
      <c r="W79" t="str">
        <f t="shared" si="8"/>
        <v/>
      </c>
      <c r="X79" t="str">
        <f t="shared" si="9"/>
        <v/>
      </c>
    </row>
    <row r="80" spans="2:24" x14ac:dyDescent="0.3">
      <c r="B80" s="9" t="str">
        <f>IFERROR(IF(EOMONTH(MAX(Tbl_Transactions[Date]),ROW($B$4)-ROW($B80))&lt;MIN(Tbl_Transactions[Date]),"",EOMONTH(MAX(Tbl_Transactions[Date]),ROW($B$4)-ROW($B80))),"")</f>
        <v/>
      </c>
      <c r="C80" s="10" t="str">
        <f>IFERROR(YEAR(Table3[[#This Row],[Date]]),"")</f>
        <v/>
      </c>
      <c r="D80" s="10" t="str">
        <f>IFERROR(TEXT(Table3[[#This Row],[Date]],"mmm"),"")</f>
        <v/>
      </c>
      <c r="E80" s="78" t="str">
        <f>IF(LEN(B80)=0,"",SUMIFS(Tbl_Transactions[Amount],Tbl_Transactions[Type],"Income",Tbl_Transactions[Date],"&lt;="&amp;Monthly_Summary_Table!$B80,Tbl_Transactions[Date],"&gt;"&amp;EOMONTH(Monthly_Summary_Table!$B80,-1)))</f>
        <v/>
      </c>
      <c r="F80" s="78" t="str">
        <f>IF(LEN(B80)=0,"",SUMIFS(Tbl_Transactions[Amount],Tbl_Transactions[Type],"Expense",Tbl_Transactions[Date],"&lt;="&amp;Monthly_Summary_Table!$B80,Tbl_Transactions[Date],"&gt;"&amp;EOMONTH(Monthly_Summary_Table!$B80,-1)))</f>
        <v/>
      </c>
      <c r="G80" s="78" t="str">
        <f>IFERROR(Table3[[#This Row],[Income]]-Table3[[#This Row],[Expense]],"")</f>
        <v/>
      </c>
      <c r="H80" s="78" t="str">
        <f xml:space="preserve"> IF(LEN(Table3[[#This Row],[Date]])=0,"",MonthlyBudget)</f>
        <v/>
      </c>
      <c r="I80" s="79" t="str">
        <f>IF(LEN(Table3[[#This Row],[Date]])=0,"",SUM(G80:$G$123))</f>
        <v/>
      </c>
      <c r="J80" s="79" t="str">
        <f>IF(LEN(Table3[[#This Row],[Date]])=0,"",Table3[[#This Row],[Cumulative Savings]]+Starting_Worth)</f>
        <v/>
      </c>
      <c r="K80" s="79" t="str">
        <f>IF(LEN(B80)=0,"",SUMIFS(Tbl_Transactions[Amount],Tbl_Transactions[Account],I_CHOSEN_ACCT,Tbl_Transactions[Type],"Income",Tbl_Transactions[Date],"&lt;="&amp;Monthly_Summary_Table!$B80,Tbl_Transactions[Date],"&gt;"&amp;EOMONTH(Monthly_Summary_Table!$B80,-1)))</f>
        <v/>
      </c>
      <c r="L80" s="79" t="str">
        <f>IF(LEN(B80)=0,"",SUMIFS(Tbl_Transactions[Amount],Tbl_Transactions[Account],I_CHOSEN_ACCT,Tbl_Transactions[Type],"Expense",Tbl_Transactions[Date],"&lt;="&amp;Monthly_Summary_Table!$B80,Tbl_Transactions[Date],"&gt;"&amp;EOMONTH(Monthly_Summary_Table!$B80,-1)))</f>
        <v/>
      </c>
      <c r="M80" s="79" t="str">
        <f>IF(LEN(B80)=0,"",SUMIFS(Tbl_Transactions[Amount],Tbl_Transactions[Account],I_CHOSEN_ACCT,Tbl_Transactions[Type],"Transfer",Tbl_Transactions[Date],"&lt;="&amp;Monthly_Summary_Table!$B80,Tbl_Transactions[Date],"&gt;"&amp;EOMONTH(Monthly_Summary_Table!$B80,-1)))</f>
        <v/>
      </c>
      <c r="N80" s="79" t="str">
        <f>IFERROR(Table3[[#This Row],[ACCT INCOME]]-Table3[[#This Row],[ACCT EXPENSE]]+Table3[[#This Row],[ACCT TRANSFERS]],"")</f>
        <v/>
      </c>
      <c r="O80" s="79" t="str">
        <f>IF(LEN(Table3[[#This Row],[Date]])=0,"",SUM(N80:$N$123)+IF(I_CHOSEN_ACCTTYPE="BANK",INDEX(T_BANK_ACCTS[STARTING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0" t="s">
        <v>18</v>
      </c>
      <c r="T80" s="84" t="str">
        <f>IFERROR(IF(INDEX(T_CASH_ACCTS[ACCOUNT NAME],ROW(T80)-ROW($T$63))=0," ",INDEX(T_CASH_ACCTS[ACCOUNT NAME],ROW(T80)-ROW($T$63)))," ")</f>
        <v xml:space="preserve"> </v>
      </c>
      <c r="U80" t="str">
        <f t="shared" si="6"/>
        <v xml:space="preserve"> </v>
      </c>
      <c r="V80" t="str">
        <f t="shared" si="7"/>
        <v/>
      </c>
      <c r="W80" t="str">
        <f t="shared" si="8"/>
        <v/>
      </c>
      <c r="X80" t="str">
        <f t="shared" si="9"/>
        <v/>
      </c>
    </row>
    <row r="81" spans="2:24" x14ac:dyDescent="0.3">
      <c r="B81" s="9" t="str">
        <f>IFERROR(IF(EOMONTH(MAX(Tbl_Transactions[Date]),ROW($B$4)-ROW($B81))&lt;MIN(Tbl_Transactions[Date]),"",EOMONTH(MAX(Tbl_Transactions[Date]),ROW($B$4)-ROW($B81))),"")</f>
        <v/>
      </c>
      <c r="C81" s="10" t="str">
        <f>IFERROR(YEAR(Table3[[#This Row],[Date]]),"")</f>
        <v/>
      </c>
      <c r="D81" s="10" t="str">
        <f>IFERROR(TEXT(Table3[[#This Row],[Date]],"mmm"),"")</f>
        <v/>
      </c>
      <c r="E81" s="78" t="str">
        <f>IF(LEN(B81)=0,"",SUMIFS(Tbl_Transactions[Amount],Tbl_Transactions[Type],"Income",Tbl_Transactions[Date],"&lt;="&amp;Monthly_Summary_Table!$B81,Tbl_Transactions[Date],"&gt;"&amp;EOMONTH(Monthly_Summary_Table!$B81,-1)))</f>
        <v/>
      </c>
      <c r="F81" s="78" t="str">
        <f>IF(LEN(B81)=0,"",SUMIFS(Tbl_Transactions[Amount],Tbl_Transactions[Type],"Expense",Tbl_Transactions[Date],"&lt;="&amp;Monthly_Summary_Table!$B81,Tbl_Transactions[Date],"&gt;"&amp;EOMONTH(Monthly_Summary_Table!$B81,-1)))</f>
        <v/>
      </c>
      <c r="G81" s="78" t="str">
        <f>IFERROR(Table3[[#This Row],[Income]]-Table3[[#This Row],[Expense]],"")</f>
        <v/>
      </c>
      <c r="H81" s="78" t="str">
        <f xml:space="preserve"> IF(LEN(Table3[[#This Row],[Date]])=0,"",MonthlyBudget)</f>
        <v/>
      </c>
      <c r="I81" s="79" t="str">
        <f>IF(LEN(Table3[[#This Row],[Date]])=0,"",SUM(G81:$G$123))</f>
        <v/>
      </c>
      <c r="J81" s="79" t="str">
        <f>IF(LEN(Table3[[#This Row],[Date]])=0,"",Table3[[#This Row],[Cumulative Savings]]+Starting_Worth)</f>
        <v/>
      </c>
      <c r="K81" s="79" t="str">
        <f>IF(LEN(B81)=0,"",SUMIFS(Tbl_Transactions[Amount],Tbl_Transactions[Account],I_CHOSEN_ACCT,Tbl_Transactions[Type],"Income",Tbl_Transactions[Date],"&lt;="&amp;Monthly_Summary_Table!$B81,Tbl_Transactions[Date],"&gt;"&amp;EOMONTH(Monthly_Summary_Table!$B81,-1)))</f>
        <v/>
      </c>
      <c r="L81" s="79" t="str">
        <f>IF(LEN(B81)=0,"",SUMIFS(Tbl_Transactions[Amount],Tbl_Transactions[Account],I_CHOSEN_ACCT,Tbl_Transactions[Type],"Expense",Tbl_Transactions[Date],"&lt;="&amp;Monthly_Summary_Table!$B81,Tbl_Transactions[Date],"&gt;"&amp;EOMONTH(Monthly_Summary_Table!$B81,-1)))</f>
        <v/>
      </c>
      <c r="M81" s="79" t="str">
        <f>IF(LEN(B81)=0,"",SUMIFS(Tbl_Transactions[Amount],Tbl_Transactions[Account],I_CHOSEN_ACCT,Tbl_Transactions[Type],"Transfer",Tbl_Transactions[Date],"&lt;="&amp;Monthly_Summary_Table!$B81,Tbl_Transactions[Date],"&gt;"&amp;EOMONTH(Monthly_Summary_Table!$B81,-1)))</f>
        <v/>
      </c>
      <c r="N81" s="79" t="str">
        <f>IFERROR(Table3[[#This Row],[ACCT INCOME]]-Table3[[#This Row],[ACCT EXPENSE]]+Table3[[#This Row],[ACCT TRANSFERS]],"")</f>
        <v/>
      </c>
      <c r="O81" s="79" t="str">
        <f>IF(LEN(Table3[[#This Row],[Date]])=0,"",SUM(N81:$N$123)+IF(I_CHOSEN_ACCTTYPE="BANK",INDEX(T_BANK_ACCTS[STARTING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1" t="s">
        <v>18</v>
      </c>
      <c r="T81" s="84" t="str">
        <f>IFERROR(IF(INDEX(T_CASH_ACCTS[ACCOUNT NAME],ROW(T81)-ROW($T$63))=0," ",INDEX(T_CASH_ACCTS[ACCOUNT NAME],ROW(T81)-ROW($T$63)))," ")</f>
        <v xml:space="preserve"> </v>
      </c>
      <c r="U81" t="str">
        <f t="shared" si="6"/>
        <v xml:space="preserve"> </v>
      </c>
      <c r="V81" t="str">
        <f t="shared" si="7"/>
        <v/>
      </c>
      <c r="W81" t="str">
        <f t="shared" si="8"/>
        <v/>
      </c>
      <c r="X81" t="str">
        <f t="shared" si="9"/>
        <v/>
      </c>
    </row>
    <row r="82" spans="2:24" x14ac:dyDescent="0.3">
      <c r="B82" s="9" t="str">
        <f>IFERROR(IF(EOMONTH(MAX(Tbl_Transactions[Date]),ROW($B$4)-ROW($B82))&lt;MIN(Tbl_Transactions[Date]),"",EOMONTH(MAX(Tbl_Transactions[Date]),ROW($B$4)-ROW($B82))),"")</f>
        <v/>
      </c>
      <c r="C82" s="10" t="str">
        <f>IFERROR(YEAR(Table3[[#This Row],[Date]]),"")</f>
        <v/>
      </c>
      <c r="D82" s="10" t="str">
        <f>IFERROR(TEXT(Table3[[#This Row],[Date]],"mmm"),"")</f>
        <v/>
      </c>
      <c r="E82" s="78" t="str">
        <f>IF(LEN(B82)=0,"",SUMIFS(Tbl_Transactions[Amount],Tbl_Transactions[Type],"Income",Tbl_Transactions[Date],"&lt;="&amp;Monthly_Summary_Table!$B82,Tbl_Transactions[Date],"&gt;"&amp;EOMONTH(Monthly_Summary_Table!$B82,-1)))</f>
        <v/>
      </c>
      <c r="F82" s="78" t="str">
        <f>IF(LEN(B82)=0,"",SUMIFS(Tbl_Transactions[Amount],Tbl_Transactions[Type],"Expense",Tbl_Transactions[Date],"&lt;="&amp;Monthly_Summary_Table!$B82,Tbl_Transactions[Date],"&gt;"&amp;EOMONTH(Monthly_Summary_Table!$B82,-1)))</f>
        <v/>
      </c>
      <c r="G82" s="78" t="str">
        <f>IFERROR(Table3[[#This Row],[Income]]-Table3[[#This Row],[Expense]],"")</f>
        <v/>
      </c>
      <c r="H82" s="78" t="str">
        <f xml:space="preserve"> IF(LEN(Table3[[#This Row],[Date]])=0,"",MonthlyBudget)</f>
        <v/>
      </c>
      <c r="I82" s="79" t="str">
        <f>IF(LEN(Table3[[#This Row],[Date]])=0,"",SUM(G82:$G$123))</f>
        <v/>
      </c>
      <c r="J82" s="79" t="str">
        <f>IF(LEN(Table3[[#This Row],[Date]])=0,"",Table3[[#This Row],[Cumulative Savings]]+Starting_Worth)</f>
        <v/>
      </c>
      <c r="K82" s="79" t="str">
        <f>IF(LEN(B82)=0,"",SUMIFS(Tbl_Transactions[Amount],Tbl_Transactions[Account],I_CHOSEN_ACCT,Tbl_Transactions[Type],"Income",Tbl_Transactions[Date],"&lt;="&amp;Monthly_Summary_Table!$B82,Tbl_Transactions[Date],"&gt;"&amp;EOMONTH(Monthly_Summary_Table!$B82,-1)))</f>
        <v/>
      </c>
      <c r="L82" s="79" t="str">
        <f>IF(LEN(B82)=0,"",SUMIFS(Tbl_Transactions[Amount],Tbl_Transactions[Account],I_CHOSEN_ACCT,Tbl_Transactions[Type],"Expense",Tbl_Transactions[Date],"&lt;="&amp;Monthly_Summary_Table!$B82,Tbl_Transactions[Date],"&gt;"&amp;EOMONTH(Monthly_Summary_Table!$B82,-1)))</f>
        <v/>
      </c>
      <c r="M82" s="79" t="str">
        <f>IF(LEN(B82)=0,"",SUMIFS(Tbl_Transactions[Amount],Tbl_Transactions[Account],I_CHOSEN_ACCT,Tbl_Transactions[Type],"Transfer",Tbl_Transactions[Date],"&lt;="&amp;Monthly_Summary_Table!$B82,Tbl_Transactions[Date],"&gt;"&amp;EOMONTH(Monthly_Summary_Table!$B82,-1)))</f>
        <v/>
      </c>
      <c r="N82" s="79" t="str">
        <f>IFERROR(Table3[[#This Row],[ACCT INCOME]]-Table3[[#This Row],[ACCT EXPENSE]]+Table3[[#This Row],[ACCT TRANSFERS]],"")</f>
        <v/>
      </c>
      <c r="O82" s="79" t="str">
        <f>IF(LEN(Table3[[#This Row],[Date]])=0,"",SUM(N82:$N$123)+IF(I_CHOSEN_ACCTTYPE="BANK",INDEX(T_BANK_ACCTS[STARTING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2" t="s">
        <v>18</v>
      </c>
      <c r="T82" s="84" t="str">
        <f>IFERROR(IF(INDEX(T_CASH_ACCTS[ACCOUNT NAME],ROW(T82)-ROW($T$63))=0," ",INDEX(T_CASH_ACCTS[ACCOUNT NAME],ROW(T82)-ROW($T$63)))," ")</f>
        <v xml:space="preserve"> </v>
      </c>
      <c r="U82" t="str">
        <f t="shared" si="6"/>
        <v xml:space="preserve"> </v>
      </c>
      <c r="V82" t="str">
        <f t="shared" si="7"/>
        <v/>
      </c>
      <c r="W82" t="str">
        <f t="shared" si="8"/>
        <v/>
      </c>
      <c r="X82" t="str">
        <f t="shared" si="9"/>
        <v/>
      </c>
    </row>
    <row r="83" spans="2:24" x14ac:dyDescent="0.3">
      <c r="B83" s="9" t="str">
        <f>IFERROR(IF(EOMONTH(MAX(Tbl_Transactions[Date]),ROW($B$4)-ROW($B83))&lt;MIN(Tbl_Transactions[Date]),"",EOMONTH(MAX(Tbl_Transactions[Date]),ROW($B$4)-ROW($B83))),"")</f>
        <v/>
      </c>
      <c r="C83" s="10" t="str">
        <f>IFERROR(YEAR(Table3[[#This Row],[Date]]),"")</f>
        <v/>
      </c>
      <c r="D83" s="10" t="str">
        <f>IFERROR(TEXT(Table3[[#This Row],[Date]],"mmm"),"")</f>
        <v/>
      </c>
      <c r="E83" s="78" t="str">
        <f>IF(LEN(B83)=0,"",SUMIFS(Tbl_Transactions[Amount],Tbl_Transactions[Type],"Income",Tbl_Transactions[Date],"&lt;="&amp;Monthly_Summary_Table!$B83,Tbl_Transactions[Date],"&gt;"&amp;EOMONTH(Monthly_Summary_Table!$B83,-1)))</f>
        <v/>
      </c>
      <c r="F83" s="78" t="str">
        <f>IF(LEN(B83)=0,"",SUMIFS(Tbl_Transactions[Amount],Tbl_Transactions[Type],"Expense",Tbl_Transactions[Date],"&lt;="&amp;Monthly_Summary_Table!$B83,Tbl_Transactions[Date],"&gt;"&amp;EOMONTH(Monthly_Summary_Table!$B83,-1)))</f>
        <v/>
      </c>
      <c r="G83" s="78" t="str">
        <f>IFERROR(Table3[[#This Row],[Income]]-Table3[[#This Row],[Expense]],"")</f>
        <v/>
      </c>
      <c r="H83" s="78" t="str">
        <f xml:space="preserve"> IF(LEN(Table3[[#This Row],[Date]])=0,"",MonthlyBudget)</f>
        <v/>
      </c>
      <c r="I83" s="79" t="str">
        <f>IF(LEN(Table3[[#This Row],[Date]])=0,"",SUM(G83:$G$123))</f>
        <v/>
      </c>
      <c r="J83" s="79" t="str">
        <f>IF(LEN(Table3[[#This Row],[Date]])=0,"",Table3[[#This Row],[Cumulative Savings]]+Starting_Worth)</f>
        <v/>
      </c>
      <c r="K83" s="79" t="str">
        <f>IF(LEN(B83)=0,"",SUMIFS(Tbl_Transactions[Amount],Tbl_Transactions[Account],I_CHOSEN_ACCT,Tbl_Transactions[Type],"Income",Tbl_Transactions[Date],"&lt;="&amp;Monthly_Summary_Table!$B83,Tbl_Transactions[Date],"&gt;"&amp;EOMONTH(Monthly_Summary_Table!$B83,-1)))</f>
        <v/>
      </c>
      <c r="L83" s="79" t="str">
        <f>IF(LEN(B83)=0,"",SUMIFS(Tbl_Transactions[Amount],Tbl_Transactions[Account],I_CHOSEN_ACCT,Tbl_Transactions[Type],"Expense",Tbl_Transactions[Date],"&lt;="&amp;Monthly_Summary_Table!$B83,Tbl_Transactions[Date],"&gt;"&amp;EOMONTH(Monthly_Summary_Table!$B83,-1)))</f>
        <v/>
      </c>
      <c r="M83" s="79" t="str">
        <f>IF(LEN(B83)=0,"",SUMIFS(Tbl_Transactions[Amount],Tbl_Transactions[Account],I_CHOSEN_ACCT,Tbl_Transactions[Type],"Transfer",Tbl_Transactions[Date],"&lt;="&amp;Monthly_Summary_Table!$B83,Tbl_Transactions[Date],"&gt;"&amp;EOMONTH(Monthly_Summary_Table!$B83,-1)))</f>
        <v/>
      </c>
      <c r="N83" s="79" t="str">
        <f>IFERROR(Table3[[#This Row],[ACCT INCOME]]-Table3[[#This Row],[ACCT EXPENSE]]+Table3[[#This Row],[ACCT TRANSFERS]],"")</f>
        <v/>
      </c>
      <c r="O83" s="79" t="str">
        <f>IF(LEN(Table3[[#This Row],[Date]])=0,"",SUM(N83:$N$123)+IF(I_CHOSEN_ACCTTYPE="BANK",INDEX(T_BANK_ACCTS[STARTING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3" t="s">
        <v>18</v>
      </c>
      <c r="T83" s="84" t="str">
        <f>IFERROR(IF(INDEX(T_CASH_ACCTS[ACCOUNT NAME],ROW(T83)-ROW($T$63))=0," ",INDEX(T_CASH_ACCTS[ACCOUNT NAME],ROW(T83)-ROW($T$63)))," ")</f>
        <v xml:space="preserve"> </v>
      </c>
      <c r="U83" t="str">
        <f t="shared" si="6"/>
        <v xml:space="preserve"> </v>
      </c>
      <c r="V83" t="str">
        <f t="shared" si="7"/>
        <v/>
      </c>
      <c r="W83" t="str">
        <f t="shared" si="8"/>
        <v/>
      </c>
      <c r="X83" t="str">
        <f t="shared" si="9"/>
        <v/>
      </c>
    </row>
    <row r="84" spans="2:24" x14ac:dyDescent="0.3">
      <c r="B84" s="9" t="str">
        <f>IFERROR(IF(EOMONTH(MAX(Tbl_Transactions[Date]),ROW($B$4)-ROW($B84))&lt;MIN(Tbl_Transactions[Date]),"",EOMONTH(MAX(Tbl_Transactions[Date]),ROW($B$4)-ROW($B84))),"")</f>
        <v/>
      </c>
      <c r="C84" s="10" t="str">
        <f>IFERROR(YEAR(Table3[[#This Row],[Date]]),"")</f>
        <v/>
      </c>
      <c r="D84" s="10" t="str">
        <f>IFERROR(TEXT(Table3[[#This Row],[Date]],"mmm"),"")</f>
        <v/>
      </c>
      <c r="E84" s="78" t="str">
        <f>IF(LEN(B84)=0,"",SUMIFS(Tbl_Transactions[Amount],Tbl_Transactions[Type],"Income",Tbl_Transactions[Date],"&lt;="&amp;Monthly_Summary_Table!$B84,Tbl_Transactions[Date],"&gt;"&amp;EOMONTH(Monthly_Summary_Table!$B84,-1)))</f>
        <v/>
      </c>
      <c r="F84" s="78" t="str">
        <f>IF(LEN(B84)=0,"",SUMIFS(Tbl_Transactions[Amount],Tbl_Transactions[Type],"Expense",Tbl_Transactions[Date],"&lt;="&amp;Monthly_Summary_Table!$B84,Tbl_Transactions[Date],"&gt;"&amp;EOMONTH(Monthly_Summary_Table!$B84,-1)))</f>
        <v/>
      </c>
      <c r="G84" s="78" t="str">
        <f>IFERROR(Table3[[#This Row],[Income]]-Table3[[#This Row],[Expense]],"")</f>
        <v/>
      </c>
      <c r="H84" s="78" t="str">
        <f xml:space="preserve"> IF(LEN(Table3[[#This Row],[Date]])=0,"",MonthlyBudget)</f>
        <v/>
      </c>
      <c r="I84" s="79" t="str">
        <f>IF(LEN(Table3[[#This Row],[Date]])=0,"",SUM(G84:$G$123))</f>
        <v/>
      </c>
      <c r="J84" s="79" t="str">
        <f>IF(LEN(Table3[[#This Row],[Date]])=0,"",Table3[[#This Row],[Cumulative Savings]]+Starting_Worth)</f>
        <v/>
      </c>
      <c r="K84" s="79" t="str">
        <f>IF(LEN(B84)=0,"",SUMIFS(Tbl_Transactions[Amount],Tbl_Transactions[Account],I_CHOSEN_ACCT,Tbl_Transactions[Type],"Income",Tbl_Transactions[Date],"&lt;="&amp;Monthly_Summary_Table!$B84,Tbl_Transactions[Date],"&gt;"&amp;EOMONTH(Monthly_Summary_Table!$B84,-1)))</f>
        <v/>
      </c>
      <c r="L84" s="79" t="str">
        <f>IF(LEN(B84)=0,"",SUMIFS(Tbl_Transactions[Amount],Tbl_Transactions[Account],I_CHOSEN_ACCT,Tbl_Transactions[Type],"Expense",Tbl_Transactions[Date],"&lt;="&amp;Monthly_Summary_Table!$B84,Tbl_Transactions[Date],"&gt;"&amp;EOMONTH(Monthly_Summary_Table!$B84,-1)))</f>
        <v/>
      </c>
      <c r="M84" s="79" t="str">
        <f>IF(LEN(B84)=0,"",SUMIFS(Tbl_Transactions[Amount],Tbl_Transactions[Account],I_CHOSEN_ACCT,Tbl_Transactions[Type],"Transfer",Tbl_Transactions[Date],"&lt;="&amp;Monthly_Summary_Table!$B84,Tbl_Transactions[Date],"&gt;"&amp;EOMONTH(Monthly_Summary_Table!$B84,-1)))</f>
        <v/>
      </c>
      <c r="N84" s="79" t="str">
        <f>IFERROR(Table3[[#This Row],[ACCT INCOME]]-Table3[[#This Row],[ACCT EXPENSE]]+Table3[[#This Row],[ACCT TRANSFERS]],"")</f>
        <v/>
      </c>
      <c r="O84" s="79" t="str">
        <f>IF(LEN(Table3[[#This Row],[Date]])=0,"",SUM(N84:$N$123)+IF(I_CHOSEN_ACCTTYPE="BANK",INDEX(T_BANK_ACCTS[STARTING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4" t="s">
        <v>18</v>
      </c>
      <c r="T84" s="84" t="str">
        <f>IFERROR(IF(INDEX(T_CASH_ACCTS[ACCOUNT NAME],ROW(T84)-ROW($T$63))=0," ",INDEX(T_CASH_ACCTS[ACCOUNT NAME],ROW(T84)-ROW($T$63)))," ")</f>
        <v xml:space="preserve"> </v>
      </c>
      <c r="U84" t="str">
        <f t="shared" si="6"/>
        <v xml:space="preserve"> </v>
      </c>
      <c r="V84" t="str">
        <f t="shared" si="7"/>
        <v/>
      </c>
      <c r="W84" t="str">
        <f t="shared" si="8"/>
        <v/>
      </c>
      <c r="X84" t="str">
        <f t="shared" si="9"/>
        <v/>
      </c>
    </row>
    <row r="85" spans="2:24" x14ac:dyDescent="0.3">
      <c r="B85" s="9" t="str">
        <f>IFERROR(IF(EOMONTH(MAX(Tbl_Transactions[Date]),ROW($B$4)-ROW($B85))&lt;MIN(Tbl_Transactions[Date]),"",EOMONTH(MAX(Tbl_Transactions[Date]),ROW($B$4)-ROW($B85))),"")</f>
        <v/>
      </c>
      <c r="C85" s="10" t="str">
        <f>IFERROR(YEAR(Table3[[#This Row],[Date]]),"")</f>
        <v/>
      </c>
      <c r="D85" s="10" t="str">
        <f>IFERROR(TEXT(Table3[[#This Row],[Date]],"mmm"),"")</f>
        <v/>
      </c>
      <c r="E85" s="78" t="str">
        <f>IF(LEN(B85)=0,"",SUMIFS(Tbl_Transactions[Amount],Tbl_Transactions[Type],"Income",Tbl_Transactions[Date],"&lt;="&amp;Monthly_Summary_Table!$B85,Tbl_Transactions[Date],"&gt;"&amp;EOMONTH(Monthly_Summary_Table!$B85,-1)))</f>
        <v/>
      </c>
      <c r="F85" s="78" t="str">
        <f>IF(LEN(B85)=0,"",SUMIFS(Tbl_Transactions[Amount],Tbl_Transactions[Type],"Expense",Tbl_Transactions[Date],"&lt;="&amp;Monthly_Summary_Table!$B85,Tbl_Transactions[Date],"&gt;"&amp;EOMONTH(Monthly_Summary_Table!$B85,-1)))</f>
        <v/>
      </c>
      <c r="G85" s="78" t="str">
        <f>IFERROR(Table3[[#This Row],[Income]]-Table3[[#This Row],[Expense]],"")</f>
        <v/>
      </c>
      <c r="H85" s="78" t="str">
        <f xml:space="preserve"> IF(LEN(Table3[[#This Row],[Date]])=0,"",MonthlyBudget)</f>
        <v/>
      </c>
      <c r="I85" s="79" t="str">
        <f>IF(LEN(Table3[[#This Row],[Date]])=0,"",SUM(G85:$G$123))</f>
        <v/>
      </c>
      <c r="J85" s="79" t="str">
        <f>IF(LEN(Table3[[#This Row],[Date]])=0,"",Table3[[#This Row],[Cumulative Savings]]+Starting_Worth)</f>
        <v/>
      </c>
      <c r="K85" s="79" t="str">
        <f>IF(LEN(B85)=0,"",SUMIFS(Tbl_Transactions[Amount],Tbl_Transactions[Account],I_CHOSEN_ACCT,Tbl_Transactions[Type],"Income",Tbl_Transactions[Date],"&lt;="&amp;Monthly_Summary_Table!$B85,Tbl_Transactions[Date],"&gt;"&amp;EOMONTH(Monthly_Summary_Table!$B85,-1)))</f>
        <v/>
      </c>
      <c r="L85" s="79" t="str">
        <f>IF(LEN(B85)=0,"",SUMIFS(Tbl_Transactions[Amount],Tbl_Transactions[Account],I_CHOSEN_ACCT,Tbl_Transactions[Type],"Expense",Tbl_Transactions[Date],"&lt;="&amp;Monthly_Summary_Table!$B85,Tbl_Transactions[Date],"&gt;"&amp;EOMONTH(Monthly_Summary_Table!$B85,-1)))</f>
        <v/>
      </c>
      <c r="M85" s="79" t="str">
        <f>IF(LEN(B85)=0,"",SUMIFS(Tbl_Transactions[Amount],Tbl_Transactions[Account],I_CHOSEN_ACCT,Tbl_Transactions[Type],"Transfer",Tbl_Transactions[Date],"&lt;="&amp;Monthly_Summary_Table!$B85,Tbl_Transactions[Date],"&gt;"&amp;EOMONTH(Monthly_Summary_Table!$B85,-1)))</f>
        <v/>
      </c>
      <c r="N85" s="79" t="str">
        <f>IFERROR(Table3[[#This Row],[ACCT INCOME]]-Table3[[#This Row],[ACCT EXPENSE]]+Table3[[#This Row],[ACCT TRANSFERS]],"")</f>
        <v/>
      </c>
      <c r="O85" s="79" t="str">
        <f>IF(LEN(Table3[[#This Row],[Date]])=0,"",SUM(N85:$N$123)+IF(I_CHOSEN_ACCTTYPE="BANK",INDEX(T_BANK_ACCTS[STARTING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5" t="s">
        <v>18</v>
      </c>
      <c r="T85" s="84" t="str">
        <f>IFERROR(IF(INDEX(T_CASH_ACCTS[ACCOUNT NAME],ROW(T85)-ROW($T$63))=0," ",INDEX(T_CASH_ACCTS[ACCOUNT NAME],ROW(T85)-ROW($T$63)))," ")</f>
        <v xml:space="preserve"> </v>
      </c>
      <c r="U85" t="str">
        <f t="shared" si="6"/>
        <v xml:space="preserve"> </v>
      </c>
      <c r="V85" t="str">
        <f t="shared" si="7"/>
        <v/>
      </c>
      <c r="W85" t="str">
        <f t="shared" si="8"/>
        <v/>
      </c>
      <c r="X85" t="str">
        <f t="shared" si="9"/>
        <v/>
      </c>
    </row>
    <row r="86" spans="2:24" x14ac:dyDescent="0.3">
      <c r="B86" s="9" t="str">
        <f>IFERROR(IF(EOMONTH(MAX(Tbl_Transactions[Date]),ROW($B$4)-ROW($B86))&lt;MIN(Tbl_Transactions[Date]),"",EOMONTH(MAX(Tbl_Transactions[Date]),ROW($B$4)-ROW($B86))),"")</f>
        <v/>
      </c>
      <c r="C86" s="10" t="str">
        <f>IFERROR(YEAR(Table3[[#This Row],[Date]]),"")</f>
        <v/>
      </c>
      <c r="D86" s="10" t="str">
        <f>IFERROR(TEXT(Table3[[#This Row],[Date]],"mmm"),"")</f>
        <v/>
      </c>
      <c r="E86" s="78" t="str">
        <f>IF(LEN(B86)=0,"",SUMIFS(Tbl_Transactions[Amount],Tbl_Transactions[Type],"Income",Tbl_Transactions[Date],"&lt;="&amp;Monthly_Summary_Table!$B86,Tbl_Transactions[Date],"&gt;"&amp;EOMONTH(Monthly_Summary_Table!$B86,-1)))</f>
        <v/>
      </c>
      <c r="F86" s="78" t="str">
        <f>IF(LEN(B86)=0,"",SUMIFS(Tbl_Transactions[Amount],Tbl_Transactions[Type],"Expense",Tbl_Transactions[Date],"&lt;="&amp;Monthly_Summary_Table!$B86,Tbl_Transactions[Date],"&gt;"&amp;EOMONTH(Monthly_Summary_Table!$B86,-1)))</f>
        <v/>
      </c>
      <c r="G86" s="78" t="str">
        <f>IFERROR(Table3[[#This Row],[Income]]-Table3[[#This Row],[Expense]],"")</f>
        <v/>
      </c>
      <c r="H86" s="78" t="str">
        <f xml:space="preserve"> IF(LEN(Table3[[#This Row],[Date]])=0,"",MonthlyBudget)</f>
        <v/>
      </c>
      <c r="I86" s="79" t="str">
        <f>IF(LEN(Table3[[#This Row],[Date]])=0,"",SUM(G86:$G$123))</f>
        <v/>
      </c>
      <c r="J86" s="79" t="str">
        <f>IF(LEN(Table3[[#This Row],[Date]])=0,"",Table3[[#This Row],[Cumulative Savings]]+Starting_Worth)</f>
        <v/>
      </c>
      <c r="K86" s="79" t="str">
        <f>IF(LEN(B86)=0,"",SUMIFS(Tbl_Transactions[Amount],Tbl_Transactions[Account],I_CHOSEN_ACCT,Tbl_Transactions[Type],"Income",Tbl_Transactions[Date],"&lt;="&amp;Monthly_Summary_Table!$B86,Tbl_Transactions[Date],"&gt;"&amp;EOMONTH(Monthly_Summary_Table!$B86,-1)))</f>
        <v/>
      </c>
      <c r="L86" s="79" t="str">
        <f>IF(LEN(B86)=0,"",SUMIFS(Tbl_Transactions[Amount],Tbl_Transactions[Account],I_CHOSEN_ACCT,Tbl_Transactions[Type],"Expense",Tbl_Transactions[Date],"&lt;="&amp;Monthly_Summary_Table!$B86,Tbl_Transactions[Date],"&gt;"&amp;EOMONTH(Monthly_Summary_Table!$B86,-1)))</f>
        <v/>
      </c>
      <c r="M86" s="79" t="str">
        <f>IF(LEN(B86)=0,"",SUMIFS(Tbl_Transactions[Amount],Tbl_Transactions[Account],I_CHOSEN_ACCT,Tbl_Transactions[Type],"Transfer",Tbl_Transactions[Date],"&lt;="&amp;Monthly_Summary_Table!$B86,Tbl_Transactions[Date],"&gt;"&amp;EOMONTH(Monthly_Summary_Table!$B86,-1)))</f>
        <v/>
      </c>
      <c r="N86" s="79" t="str">
        <f>IFERROR(Table3[[#This Row],[ACCT INCOME]]-Table3[[#This Row],[ACCT EXPENSE]]+Table3[[#This Row],[ACCT TRANSFERS]],"")</f>
        <v/>
      </c>
      <c r="O86" s="79" t="str">
        <f>IF(LEN(Table3[[#This Row],[Date]])=0,"",SUM(N86:$N$123)+IF(I_CHOSEN_ACCTTYPE="BANK",INDEX(T_BANK_ACCTS[STARTING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6" t="s">
        <v>18</v>
      </c>
      <c r="T86" s="84" t="str">
        <f>IFERROR(IF(INDEX(T_CASH_ACCTS[ACCOUNT NAME],ROW(T86)-ROW($T$63))=0," ",INDEX(T_CASH_ACCTS[ACCOUNT NAME],ROW(T86)-ROW($T$63)))," ")</f>
        <v xml:space="preserve"> </v>
      </c>
      <c r="U86" t="str">
        <f t="shared" si="6"/>
        <v xml:space="preserve"> </v>
      </c>
      <c r="V86" t="str">
        <f t="shared" si="7"/>
        <v/>
      </c>
      <c r="W86" t="str">
        <f t="shared" si="8"/>
        <v/>
      </c>
      <c r="X86" t="str">
        <f t="shared" si="9"/>
        <v/>
      </c>
    </row>
    <row r="87" spans="2:24" x14ac:dyDescent="0.3">
      <c r="B87" s="9" t="str">
        <f>IFERROR(IF(EOMONTH(MAX(Tbl_Transactions[Date]),ROW($B$4)-ROW($B87))&lt;MIN(Tbl_Transactions[Date]),"",EOMONTH(MAX(Tbl_Transactions[Date]),ROW($B$4)-ROW($B87))),"")</f>
        <v/>
      </c>
      <c r="C87" s="10" t="str">
        <f>IFERROR(YEAR(Table3[[#This Row],[Date]]),"")</f>
        <v/>
      </c>
      <c r="D87" s="10" t="str">
        <f>IFERROR(TEXT(Table3[[#This Row],[Date]],"mmm"),"")</f>
        <v/>
      </c>
      <c r="E87" s="78" t="str">
        <f>IF(LEN(B87)=0,"",SUMIFS(Tbl_Transactions[Amount],Tbl_Transactions[Type],"Income",Tbl_Transactions[Date],"&lt;="&amp;Monthly_Summary_Table!$B87,Tbl_Transactions[Date],"&gt;"&amp;EOMONTH(Monthly_Summary_Table!$B87,-1)))</f>
        <v/>
      </c>
      <c r="F87" s="78" t="str">
        <f>IF(LEN(B87)=0,"",SUMIFS(Tbl_Transactions[Amount],Tbl_Transactions[Type],"Expense",Tbl_Transactions[Date],"&lt;="&amp;Monthly_Summary_Table!$B87,Tbl_Transactions[Date],"&gt;"&amp;EOMONTH(Monthly_Summary_Table!$B87,-1)))</f>
        <v/>
      </c>
      <c r="G87" s="78" t="str">
        <f>IFERROR(Table3[[#This Row],[Income]]-Table3[[#This Row],[Expense]],"")</f>
        <v/>
      </c>
      <c r="H87" s="78" t="str">
        <f xml:space="preserve"> IF(LEN(Table3[[#This Row],[Date]])=0,"",MonthlyBudget)</f>
        <v/>
      </c>
      <c r="I87" s="79" t="str">
        <f>IF(LEN(Table3[[#This Row],[Date]])=0,"",SUM(G87:$G$123))</f>
        <v/>
      </c>
      <c r="J87" s="79" t="str">
        <f>IF(LEN(Table3[[#This Row],[Date]])=0,"",Table3[[#This Row],[Cumulative Savings]]+Starting_Worth)</f>
        <v/>
      </c>
      <c r="K87" s="79" t="str">
        <f>IF(LEN(B87)=0,"",SUMIFS(Tbl_Transactions[Amount],Tbl_Transactions[Account],I_CHOSEN_ACCT,Tbl_Transactions[Type],"Income",Tbl_Transactions[Date],"&lt;="&amp;Monthly_Summary_Table!$B87,Tbl_Transactions[Date],"&gt;"&amp;EOMONTH(Monthly_Summary_Table!$B87,-1)))</f>
        <v/>
      </c>
      <c r="L87" s="79" t="str">
        <f>IF(LEN(B87)=0,"",SUMIFS(Tbl_Transactions[Amount],Tbl_Transactions[Account],I_CHOSEN_ACCT,Tbl_Transactions[Type],"Expense",Tbl_Transactions[Date],"&lt;="&amp;Monthly_Summary_Table!$B87,Tbl_Transactions[Date],"&gt;"&amp;EOMONTH(Monthly_Summary_Table!$B87,-1)))</f>
        <v/>
      </c>
      <c r="M87" s="79" t="str">
        <f>IF(LEN(B87)=0,"",SUMIFS(Tbl_Transactions[Amount],Tbl_Transactions[Account],I_CHOSEN_ACCT,Tbl_Transactions[Type],"Transfer",Tbl_Transactions[Date],"&lt;="&amp;Monthly_Summary_Table!$B87,Tbl_Transactions[Date],"&gt;"&amp;EOMONTH(Monthly_Summary_Table!$B87,-1)))</f>
        <v/>
      </c>
      <c r="N87" s="79" t="str">
        <f>IFERROR(Table3[[#This Row],[ACCT INCOME]]-Table3[[#This Row],[ACCT EXPENSE]]+Table3[[#This Row],[ACCT TRANSFERS]],"")</f>
        <v/>
      </c>
      <c r="O87" s="79" t="str">
        <f>IF(LEN(Table3[[#This Row],[Date]])=0,"",SUM(N87:$N$123)+IF(I_CHOSEN_ACCTTYPE="BANK",INDEX(T_BANK_ACCTS[STARTING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7" t="s">
        <v>18</v>
      </c>
      <c r="T87" s="84" t="str">
        <f>IFERROR(IF(INDEX(T_CASH_ACCTS[ACCOUNT NAME],ROW(T87)-ROW($T$63))=0," ",INDEX(T_CASH_ACCTS[ACCOUNT NAME],ROW(T87)-ROW($T$63)))," ")</f>
        <v xml:space="preserve"> </v>
      </c>
      <c r="U87" t="str">
        <f t="shared" si="6"/>
        <v xml:space="preserve"> </v>
      </c>
      <c r="V87" t="str">
        <f t="shared" si="7"/>
        <v/>
      </c>
      <c r="W87" t="str">
        <f t="shared" si="8"/>
        <v/>
      </c>
      <c r="X87" t="str">
        <f t="shared" si="9"/>
        <v/>
      </c>
    </row>
    <row r="88" spans="2:24" x14ac:dyDescent="0.3">
      <c r="B88" s="9" t="str">
        <f>IFERROR(IF(EOMONTH(MAX(Tbl_Transactions[Date]),ROW($B$4)-ROW($B88))&lt;MIN(Tbl_Transactions[Date]),"",EOMONTH(MAX(Tbl_Transactions[Date]),ROW($B$4)-ROW($B88))),"")</f>
        <v/>
      </c>
      <c r="C88" s="10" t="str">
        <f>IFERROR(YEAR(Table3[[#This Row],[Date]]),"")</f>
        <v/>
      </c>
      <c r="D88" s="10" t="str">
        <f>IFERROR(TEXT(Table3[[#This Row],[Date]],"mmm"),"")</f>
        <v/>
      </c>
      <c r="E88" s="78" t="str">
        <f>IF(LEN(B88)=0,"",SUMIFS(Tbl_Transactions[Amount],Tbl_Transactions[Type],"Income",Tbl_Transactions[Date],"&lt;="&amp;Monthly_Summary_Table!$B88,Tbl_Transactions[Date],"&gt;"&amp;EOMONTH(Monthly_Summary_Table!$B88,-1)))</f>
        <v/>
      </c>
      <c r="F88" s="78" t="str">
        <f>IF(LEN(B88)=0,"",SUMIFS(Tbl_Transactions[Amount],Tbl_Transactions[Type],"Expense",Tbl_Transactions[Date],"&lt;="&amp;Monthly_Summary_Table!$B88,Tbl_Transactions[Date],"&gt;"&amp;EOMONTH(Monthly_Summary_Table!$B88,-1)))</f>
        <v/>
      </c>
      <c r="G88" s="78" t="str">
        <f>IFERROR(Table3[[#This Row],[Income]]-Table3[[#This Row],[Expense]],"")</f>
        <v/>
      </c>
      <c r="H88" s="78" t="str">
        <f xml:space="preserve"> IF(LEN(Table3[[#This Row],[Date]])=0,"",MonthlyBudget)</f>
        <v/>
      </c>
      <c r="I88" s="79" t="str">
        <f>IF(LEN(Table3[[#This Row],[Date]])=0,"",SUM(G88:$G$123))</f>
        <v/>
      </c>
      <c r="J88" s="79" t="str">
        <f>IF(LEN(Table3[[#This Row],[Date]])=0,"",Table3[[#This Row],[Cumulative Savings]]+Starting_Worth)</f>
        <v/>
      </c>
      <c r="K88" s="79" t="str">
        <f>IF(LEN(B88)=0,"",SUMIFS(Tbl_Transactions[Amount],Tbl_Transactions[Account],I_CHOSEN_ACCT,Tbl_Transactions[Type],"Income",Tbl_Transactions[Date],"&lt;="&amp;Monthly_Summary_Table!$B88,Tbl_Transactions[Date],"&gt;"&amp;EOMONTH(Monthly_Summary_Table!$B88,-1)))</f>
        <v/>
      </c>
      <c r="L88" s="79" t="str">
        <f>IF(LEN(B88)=0,"",SUMIFS(Tbl_Transactions[Amount],Tbl_Transactions[Account],I_CHOSEN_ACCT,Tbl_Transactions[Type],"Expense",Tbl_Transactions[Date],"&lt;="&amp;Monthly_Summary_Table!$B88,Tbl_Transactions[Date],"&gt;"&amp;EOMONTH(Monthly_Summary_Table!$B88,-1)))</f>
        <v/>
      </c>
      <c r="M88" s="79" t="str">
        <f>IF(LEN(B88)=0,"",SUMIFS(Tbl_Transactions[Amount],Tbl_Transactions[Account],I_CHOSEN_ACCT,Tbl_Transactions[Type],"Transfer",Tbl_Transactions[Date],"&lt;="&amp;Monthly_Summary_Table!$B88,Tbl_Transactions[Date],"&gt;"&amp;EOMONTH(Monthly_Summary_Table!$B88,-1)))</f>
        <v/>
      </c>
      <c r="N88" s="79" t="str">
        <f>IFERROR(Table3[[#This Row],[ACCT INCOME]]-Table3[[#This Row],[ACCT EXPENSE]]+Table3[[#This Row],[ACCT TRANSFERS]],"")</f>
        <v/>
      </c>
      <c r="O88" s="79" t="str">
        <f>IF(LEN(Table3[[#This Row],[Date]])=0,"",SUM(N88:$N$123)+IF(I_CHOSEN_ACCTTYPE="BANK",INDEX(T_BANK_ACCTS[STARTING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8" t="s">
        <v>18</v>
      </c>
      <c r="T88" s="84" t="str">
        <f>IFERROR(IF(INDEX(T_CASH_ACCTS[ACCOUNT NAME],ROW(T88)-ROW($T$63))=0," ",INDEX(T_CASH_ACCTS[ACCOUNT NAME],ROW(T88)-ROW($T$63)))," ")</f>
        <v xml:space="preserve"> </v>
      </c>
      <c r="U88" t="str">
        <f t="shared" si="6"/>
        <v xml:space="preserve"> </v>
      </c>
      <c r="V88" t="str">
        <f t="shared" si="7"/>
        <v/>
      </c>
      <c r="W88" t="str">
        <f t="shared" si="8"/>
        <v/>
      </c>
      <c r="X88" t="str">
        <f t="shared" si="9"/>
        <v/>
      </c>
    </row>
    <row r="89" spans="2:24" x14ac:dyDescent="0.3">
      <c r="B89" s="9" t="str">
        <f>IFERROR(IF(EOMONTH(MAX(Tbl_Transactions[Date]),ROW($B$4)-ROW($B89))&lt;MIN(Tbl_Transactions[Date]),"",EOMONTH(MAX(Tbl_Transactions[Date]),ROW($B$4)-ROW($B89))),"")</f>
        <v/>
      </c>
      <c r="C89" s="10" t="str">
        <f>IFERROR(YEAR(Table3[[#This Row],[Date]]),"")</f>
        <v/>
      </c>
      <c r="D89" s="10" t="str">
        <f>IFERROR(TEXT(Table3[[#This Row],[Date]],"mmm"),"")</f>
        <v/>
      </c>
      <c r="E89" s="78" t="str">
        <f>IF(LEN(B89)=0,"",SUMIFS(Tbl_Transactions[Amount],Tbl_Transactions[Type],"Income",Tbl_Transactions[Date],"&lt;="&amp;Monthly_Summary_Table!$B89,Tbl_Transactions[Date],"&gt;"&amp;EOMONTH(Monthly_Summary_Table!$B89,-1)))</f>
        <v/>
      </c>
      <c r="F89" s="78" t="str">
        <f>IF(LEN(B89)=0,"",SUMIFS(Tbl_Transactions[Amount],Tbl_Transactions[Type],"Expense",Tbl_Transactions[Date],"&lt;="&amp;Monthly_Summary_Table!$B89,Tbl_Transactions[Date],"&gt;"&amp;EOMONTH(Monthly_Summary_Table!$B89,-1)))</f>
        <v/>
      </c>
      <c r="G89" s="78" t="str">
        <f>IFERROR(Table3[[#This Row],[Income]]-Table3[[#This Row],[Expense]],"")</f>
        <v/>
      </c>
      <c r="H89" s="78" t="str">
        <f xml:space="preserve"> IF(LEN(Table3[[#This Row],[Date]])=0,"",MonthlyBudget)</f>
        <v/>
      </c>
      <c r="I89" s="79" t="str">
        <f>IF(LEN(Table3[[#This Row],[Date]])=0,"",SUM(G89:$G$123))</f>
        <v/>
      </c>
      <c r="J89" s="79" t="str">
        <f>IF(LEN(Table3[[#This Row],[Date]])=0,"",Table3[[#This Row],[Cumulative Savings]]+Starting_Worth)</f>
        <v/>
      </c>
      <c r="K89" s="79" t="str">
        <f>IF(LEN(B89)=0,"",SUMIFS(Tbl_Transactions[Amount],Tbl_Transactions[Account],I_CHOSEN_ACCT,Tbl_Transactions[Type],"Income",Tbl_Transactions[Date],"&lt;="&amp;Monthly_Summary_Table!$B89,Tbl_Transactions[Date],"&gt;"&amp;EOMONTH(Monthly_Summary_Table!$B89,-1)))</f>
        <v/>
      </c>
      <c r="L89" s="79" t="str">
        <f>IF(LEN(B89)=0,"",SUMIFS(Tbl_Transactions[Amount],Tbl_Transactions[Account],I_CHOSEN_ACCT,Tbl_Transactions[Type],"Expense",Tbl_Transactions[Date],"&lt;="&amp;Monthly_Summary_Table!$B89,Tbl_Transactions[Date],"&gt;"&amp;EOMONTH(Monthly_Summary_Table!$B89,-1)))</f>
        <v/>
      </c>
      <c r="M89" s="79" t="str">
        <f>IF(LEN(B89)=0,"",SUMIFS(Tbl_Transactions[Amount],Tbl_Transactions[Account],I_CHOSEN_ACCT,Tbl_Transactions[Type],"Transfer",Tbl_Transactions[Date],"&lt;="&amp;Monthly_Summary_Table!$B89,Tbl_Transactions[Date],"&gt;"&amp;EOMONTH(Monthly_Summary_Table!$B89,-1)))</f>
        <v/>
      </c>
      <c r="N89" s="79" t="str">
        <f>IFERROR(Table3[[#This Row],[ACCT INCOME]]-Table3[[#This Row],[ACCT EXPENSE]]+Table3[[#This Row],[ACCT TRANSFERS]],"")</f>
        <v/>
      </c>
      <c r="O89" s="79" t="str">
        <f>IF(LEN(Table3[[#This Row],[Date]])=0,"",SUM(N89:$N$123)+IF(I_CHOSEN_ACCTTYPE="BANK",INDEX(T_BANK_ACCTS[STARTING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89" t="s">
        <v>18</v>
      </c>
      <c r="T89" s="84" t="str">
        <f>IFERROR(IF(INDEX(T_CASH_ACCTS[ACCOUNT NAME],ROW(T89)-ROW($T$63))=0," ",INDEX(T_CASH_ACCTS[ACCOUNT NAME],ROW(T89)-ROW($T$63)))," ")</f>
        <v xml:space="preserve"> </v>
      </c>
      <c r="U89" t="str">
        <f t="shared" si="6"/>
        <v xml:space="preserve"> </v>
      </c>
      <c r="V89" t="str">
        <f t="shared" si="7"/>
        <v/>
      </c>
      <c r="W89" t="str">
        <f t="shared" si="8"/>
        <v/>
      </c>
      <c r="X89" t="str">
        <f t="shared" si="9"/>
        <v/>
      </c>
    </row>
    <row r="90" spans="2:24" x14ac:dyDescent="0.3">
      <c r="B90" s="9" t="str">
        <f>IFERROR(IF(EOMONTH(MAX(Tbl_Transactions[Date]),ROW($B$4)-ROW($B90))&lt;MIN(Tbl_Transactions[Date]),"",EOMONTH(MAX(Tbl_Transactions[Date]),ROW($B$4)-ROW($B90))),"")</f>
        <v/>
      </c>
      <c r="C90" s="10" t="str">
        <f>IFERROR(YEAR(Table3[[#This Row],[Date]]),"")</f>
        <v/>
      </c>
      <c r="D90" s="10" t="str">
        <f>IFERROR(TEXT(Table3[[#This Row],[Date]],"mmm"),"")</f>
        <v/>
      </c>
      <c r="E90" s="78" t="str">
        <f>IF(LEN(B90)=0,"",SUMIFS(Tbl_Transactions[Amount],Tbl_Transactions[Type],"Income",Tbl_Transactions[Date],"&lt;="&amp;Monthly_Summary_Table!$B90,Tbl_Transactions[Date],"&gt;"&amp;EOMONTH(Monthly_Summary_Table!$B90,-1)))</f>
        <v/>
      </c>
      <c r="F90" s="78" t="str">
        <f>IF(LEN(B90)=0,"",SUMIFS(Tbl_Transactions[Amount],Tbl_Transactions[Type],"Expense",Tbl_Transactions[Date],"&lt;="&amp;Monthly_Summary_Table!$B90,Tbl_Transactions[Date],"&gt;"&amp;EOMONTH(Monthly_Summary_Table!$B90,-1)))</f>
        <v/>
      </c>
      <c r="G90" s="78" t="str">
        <f>IFERROR(Table3[[#This Row],[Income]]-Table3[[#This Row],[Expense]],"")</f>
        <v/>
      </c>
      <c r="H90" s="78" t="str">
        <f xml:space="preserve"> IF(LEN(Table3[[#This Row],[Date]])=0,"",MonthlyBudget)</f>
        <v/>
      </c>
      <c r="I90" s="79" t="str">
        <f>IF(LEN(Table3[[#This Row],[Date]])=0,"",SUM(G90:$G$123))</f>
        <v/>
      </c>
      <c r="J90" s="79" t="str">
        <f>IF(LEN(Table3[[#This Row],[Date]])=0,"",Table3[[#This Row],[Cumulative Savings]]+Starting_Worth)</f>
        <v/>
      </c>
      <c r="K90" s="79" t="str">
        <f>IF(LEN(B90)=0,"",SUMIFS(Tbl_Transactions[Amount],Tbl_Transactions[Account],I_CHOSEN_ACCT,Tbl_Transactions[Type],"Income",Tbl_Transactions[Date],"&lt;="&amp;Monthly_Summary_Table!$B90,Tbl_Transactions[Date],"&gt;"&amp;EOMONTH(Monthly_Summary_Table!$B90,-1)))</f>
        <v/>
      </c>
      <c r="L90" s="79" t="str">
        <f>IF(LEN(B90)=0,"",SUMIFS(Tbl_Transactions[Amount],Tbl_Transactions[Account],I_CHOSEN_ACCT,Tbl_Transactions[Type],"Expense",Tbl_Transactions[Date],"&lt;="&amp;Monthly_Summary_Table!$B90,Tbl_Transactions[Date],"&gt;"&amp;EOMONTH(Monthly_Summary_Table!$B90,-1)))</f>
        <v/>
      </c>
      <c r="M90" s="79" t="str">
        <f>IF(LEN(B90)=0,"",SUMIFS(Tbl_Transactions[Amount],Tbl_Transactions[Account],I_CHOSEN_ACCT,Tbl_Transactions[Type],"Transfer",Tbl_Transactions[Date],"&lt;="&amp;Monthly_Summary_Table!$B90,Tbl_Transactions[Date],"&gt;"&amp;EOMONTH(Monthly_Summary_Table!$B90,-1)))</f>
        <v/>
      </c>
      <c r="N90" s="79" t="str">
        <f>IFERROR(Table3[[#This Row],[ACCT INCOME]]-Table3[[#This Row],[ACCT EXPENSE]]+Table3[[#This Row],[ACCT TRANSFERS]],"")</f>
        <v/>
      </c>
      <c r="O90" s="79" t="str">
        <f>IF(LEN(Table3[[#This Row],[Date]])=0,"",SUM(N90:$N$123)+IF(I_CHOSEN_ACCTTYPE="BANK",INDEX(T_BANK_ACCTS[STARTING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90" t="s">
        <v>18</v>
      </c>
      <c r="T90" s="84" t="str">
        <f>IFERROR(IF(INDEX(T_CASH_ACCTS[ACCOUNT NAME],ROW(T90)-ROW($T$63))=0," ",INDEX(T_CASH_ACCTS[ACCOUNT NAME],ROW(T90)-ROW($T$63)))," ")</f>
        <v xml:space="preserve"> </v>
      </c>
      <c r="U90" t="str">
        <f t="shared" si="6"/>
        <v xml:space="preserve"> </v>
      </c>
      <c r="V90" t="str">
        <f t="shared" si="7"/>
        <v/>
      </c>
      <c r="W90" t="str">
        <f t="shared" si="8"/>
        <v/>
      </c>
      <c r="X90" t="str">
        <f t="shared" si="9"/>
        <v/>
      </c>
    </row>
    <row r="91" spans="2:24" x14ac:dyDescent="0.3">
      <c r="B91" s="9" t="str">
        <f>IFERROR(IF(EOMONTH(MAX(Tbl_Transactions[Date]),ROW($B$4)-ROW($B91))&lt;MIN(Tbl_Transactions[Date]),"",EOMONTH(MAX(Tbl_Transactions[Date]),ROW($B$4)-ROW($B91))),"")</f>
        <v/>
      </c>
      <c r="C91" s="10" t="str">
        <f>IFERROR(YEAR(Table3[[#This Row],[Date]]),"")</f>
        <v/>
      </c>
      <c r="D91" s="10" t="str">
        <f>IFERROR(TEXT(Table3[[#This Row],[Date]],"mmm"),"")</f>
        <v/>
      </c>
      <c r="E91" s="78" t="str">
        <f>IF(LEN(B91)=0,"",SUMIFS(Tbl_Transactions[Amount],Tbl_Transactions[Type],"Income",Tbl_Transactions[Date],"&lt;="&amp;Monthly_Summary_Table!$B91,Tbl_Transactions[Date],"&gt;"&amp;EOMONTH(Monthly_Summary_Table!$B91,-1)))</f>
        <v/>
      </c>
      <c r="F91" s="78" t="str">
        <f>IF(LEN(B91)=0,"",SUMIFS(Tbl_Transactions[Amount],Tbl_Transactions[Type],"Expense",Tbl_Transactions[Date],"&lt;="&amp;Monthly_Summary_Table!$B91,Tbl_Transactions[Date],"&gt;"&amp;EOMONTH(Monthly_Summary_Table!$B91,-1)))</f>
        <v/>
      </c>
      <c r="G91" s="78" t="str">
        <f>IFERROR(Table3[[#This Row],[Income]]-Table3[[#This Row],[Expense]],"")</f>
        <v/>
      </c>
      <c r="H91" s="78" t="str">
        <f xml:space="preserve"> IF(LEN(Table3[[#This Row],[Date]])=0,"",MonthlyBudget)</f>
        <v/>
      </c>
      <c r="I91" s="79" t="str">
        <f>IF(LEN(Table3[[#This Row],[Date]])=0,"",SUM(G91:$G$123))</f>
        <v/>
      </c>
      <c r="J91" s="79" t="str">
        <f>IF(LEN(Table3[[#This Row],[Date]])=0,"",Table3[[#This Row],[Cumulative Savings]]+Starting_Worth)</f>
        <v/>
      </c>
      <c r="K91" s="79" t="str">
        <f>IF(LEN(B91)=0,"",SUMIFS(Tbl_Transactions[Amount],Tbl_Transactions[Account],I_CHOSEN_ACCT,Tbl_Transactions[Type],"Income",Tbl_Transactions[Date],"&lt;="&amp;Monthly_Summary_Table!$B91,Tbl_Transactions[Date],"&gt;"&amp;EOMONTH(Monthly_Summary_Table!$B91,-1)))</f>
        <v/>
      </c>
      <c r="L91" s="79" t="str">
        <f>IF(LEN(B91)=0,"",SUMIFS(Tbl_Transactions[Amount],Tbl_Transactions[Account],I_CHOSEN_ACCT,Tbl_Transactions[Type],"Expense",Tbl_Transactions[Date],"&lt;="&amp;Monthly_Summary_Table!$B91,Tbl_Transactions[Date],"&gt;"&amp;EOMONTH(Monthly_Summary_Table!$B91,-1)))</f>
        <v/>
      </c>
      <c r="M91" s="79" t="str">
        <f>IF(LEN(B91)=0,"",SUMIFS(Tbl_Transactions[Amount],Tbl_Transactions[Account],I_CHOSEN_ACCT,Tbl_Transactions[Type],"Transfer",Tbl_Transactions[Date],"&lt;="&amp;Monthly_Summary_Table!$B91,Tbl_Transactions[Date],"&gt;"&amp;EOMONTH(Monthly_Summary_Table!$B91,-1)))</f>
        <v/>
      </c>
      <c r="N91" s="79" t="str">
        <f>IFERROR(Table3[[#This Row],[ACCT INCOME]]-Table3[[#This Row],[ACCT EXPENSE]]+Table3[[#This Row],[ACCT TRANSFERS]],"")</f>
        <v/>
      </c>
      <c r="O91" s="79" t="str">
        <f>IF(LEN(Table3[[#This Row],[Date]])=0,"",SUM(N91:$N$123)+IF(I_CHOSEN_ACCTTYPE="BANK",INDEX(T_BANK_ACCTS[STARTING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91" t="s">
        <v>18</v>
      </c>
      <c r="T91" s="84" t="str">
        <f>IFERROR(IF(INDEX(T_CASH_ACCTS[ACCOUNT NAME],ROW(T91)-ROW($T$63))=0," ",INDEX(T_CASH_ACCTS[ACCOUNT NAME],ROW(T91)-ROW($T$63)))," ")</f>
        <v xml:space="preserve"> </v>
      </c>
      <c r="U91" t="str">
        <f t="shared" si="6"/>
        <v xml:space="preserve"> </v>
      </c>
      <c r="V91" t="str">
        <f t="shared" si="7"/>
        <v/>
      </c>
      <c r="W91" t="str">
        <f t="shared" si="8"/>
        <v/>
      </c>
      <c r="X91" t="str">
        <f t="shared" si="9"/>
        <v/>
      </c>
    </row>
    <row r="92" spans="2:24" x14ac:dyDescent="0.3">
      <c r="B92" s="9" t="str">
        <f>IFERROR(IF(EOMONTH(MAX(Tbl_Transactions[Date]),ROW($B$4)-ROW($B92))&lt;MIN(Tbl_Transactions[Date]),"",EOMONTH(MAX(Tbl_Transactions[Date]),ROW($B$4)-ROW($B92))),"")</f>
        <v/>
      </c>
      <c r="C92" s="10" t="str">
        <f>IFERROR(YEAR(Table3[[#This Row],[Date]]),"")</f>
        <v/>
      </c>
      <c r="D92" s="10" t="str">
        <f>IFERROR(TEXT(Table3[[#This Row],[Date]],"mmm"),"")</f>
        <v/>
      </c>
      <c r="E92" s="78" t="str">
        <f>IF(LEN(B92)=0,"",SUMIFS(Tbl_Transactions[Amount],Tbl_Transactions[Type],"Income",Tbl_Transactions[Date],"&lt;="&amp;Monthly_Summary_Table!$B92,Tbl_Transactions[Date],"&gt;"&amp;EOMONTH(Monthly_Summary_Table!$B92,-1)))</f>
        <v/>
      </c>
      <c r="F92" s="78" t="str">
        <f>IF(LEN(B92)=0,"",SUMIFS(Tbl_Transactions[Amount],Tbl_Transactions[Type],"Expense",Tbl_Transactions[Date],"&lt;="&amp;Monthly_Summary_Table!$B92,Tbl_Transactions[Date],"&gt;"&amp;EOMONTH(Monthly_Summary_Table!$B92,-1)))</f>
        <v/>
      </c>
      <c r="G92" s="78" t="str">
        <f>IFERROR(Table3[[#This Row],[Income]]-Table3[[#This Row],[Expense]],"")</f>
        <v/>
      </c>
      <c r="H92" s="78" t="str">
        <f xml:space="preserve"> IF(LEN(Table3[[#This Row],[Date]])=0,"",MonthlyBudget)</f>
        <v/>
      </c>
      <c r="I92" s="79" t="str">
        <f>IF(LEN(Table3[[#This Row],[Date]])=0,"",SUM(G92:$G$123))</f>
        <v/>
      </c>
      <c r="J92" s="79" t="str">
        <f>IF(LEN(Table3[[#This Row],[Date]])=0,"",Table3[[#This Row],[Cumulative Savings]]+Starting_Worth)</f>
        <v/>
      </c>
      <c r="K92" s="79" t="str">
        <f>IF(LEN(B92)=0,"",SUMIFS(Tbl_Transactions[Amount],Tbl_Transactions[Account],I_CHOSEN_ACCT,Tbl_Transactions[Type],"Income",Tbl_Transactions[Date],"&lt;="&amp;Monthly_Summary_Table!$B92,Tbl_Transactions[Date],"&gt;"&amp;EOMONTH(Monthly_Summary_Table!$B92,-1)))</f>
        <v/>
      </c>
      <c r="L92" s="79" t="str">
        <f>IF(LEN(B92)=0,"",SUMIFS(Tbl_Transactions[Amount],Tbl_Transactions[Account],I_CHOSEN_ACCT,Tbl_Transactions[Type],"Expense",Tbl_Transactions[Date],"&lt;="&amp;Monthly_Summary_Table!$B92,Tbl_Transactions[Date],"&gt;"&amp;EOMONTH(Monthly_Summary_Table!$B92,-1)))</f>
        <v/>
      </c>
      <c r="M92" s="79" t="str">
        <f>IF(LEN(B92)=0,"",SUMIFS(Tbl_Transactions[Amount],Tbl_Transactions[Account],I_CHOSEN_ACCT,Tbl_Transactions[Type],"Transfer",Tbl_Transactions[Date],"&lt;="&amp;Monthly_Summary_Table!$B92,Tbl_Transactions[Date],"&gt;"&amp;EOMONTH(Monthly_Summary_Table!$B92,-1)))</f>
        <v/>
      </c>
      <c r="N92" s="79" t="str">
        <f>IFERROR(Table3[[#This Row],[ACCT INCOME]]-Table3[[#This Row],[ACCT EXPENSE]]+Table3[[#This Row],[ACCT TRANSFERS]],"")</f>
        <v/>
      </c>
      <c r="O92" s="79" t="str">
        <f>IF(LEN(Table3[[#This Row],[Date]])=0,"",SUM(N92:$N$123)+IF(I_CHOSEN_ACCTTYPE="BANK",INDEX(T_BANK_ACCTS[STARTING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92" t="s">
        <v>18</v>
      </c>
      <c r="T92" s="84" t="str">
        <f>IFERROR(IF(INDEX(T_CASH_ACCTS[ACCOUNT NAME],ROW(T92)-ROW($T$63))=0," ",INDEX(T_CASH_ACCTS[ACCOUNT NAME],ROW(T92)-ROW($T$63)))," ")</f>
        <v xml:space="preserve"> </v>
      </c>
      <c r="U92" t="str">
        <f t="shared" si="6"/>
        <v xml:space="preserve"> </v>
      </c>
      <c r="V92" t="str">
        <f t="shared" si="7"/>
        <v/>
      </c>
      <c r="W92" t="str">
        <f t="shared" si="8"/>
        <v/>
      </c>
      <c r="X92" t="str">
        <f t="shared" si="9"/>
        <v/>
      </c>
    </row>
    <row r="93" spans="2:24" x14ac:dyDescent="0.3">
      <c r="B93" s="9" t="str">
        <f>IFERROR(IF(EOMONTH(MAX(Tbl_Transactions[Date]),ROW($B$4)-ROW($B93))&lt;MIN(Tbl_Transactions[Date]),"",EOMONTH(MAX(Tbl_Transactions[Date]),ROW($B$4)-ROW($B93))),"")</f>
        <v/>
      </c>
      <c r="C93" s="10" t="str">
        <f>IFERROR(YEAR(Table3[[#This Row],[Date]]),"")</f>
        <v/>
      </c>
      <c r="D93" s="10" t="str">
        <f>IFERROR(TEXT(Table3[[#This Row],[Date]],"mmm"),"")</f>
        <v/>
      </c>
      <c r="E93" s="78" t="str">
        <f>IF(LEN(B93)=0,"",SUMIFS(Tbl_Transactions[Amount],Tbl_Transactions[Type],"Income",Tbl_Transactions[Date],"&lt;="&amp;Monthly_Summary_Table!$B93,Tbl_Transactions[Date],"&gt;"&amp;EOMONTH(Monthly_Summary_Table!$B93,-1)))</f>
        <v/>
      </c>
      <c r="F93" s="78" t="str">
        <f>IF(LEN(B93)=0,"",SUMIFS(Tbl_Transactions[Amount],Tbl_Transactions[Type],"Expense",Tbl_Transactions[Date],"&lt;="&amp;Monthly_Summary_Table!$B93,Tbl_Transactions[Date],"&gt;"&amp;EOMONTH(Monthly_Summary_Table!$B93,-1)))</f>
        <v/>
      </c>
      <c r="G93" s="78" t="str">
        <f>IFERROR(Table3[[#This Row],[Income]]-Table3[[#This Row],[Expense]],"")</f>
        <v/>
      </c>
      <c r="H93" s="78" t="str">
        <f xml:space="preserve"> IF(LEN(Table3[[#This Row],[Date]])=0,"",MonthlyBudget)</f>
        <v/>
      </c>
      <c r="I93" s="79" t="str">
        <f>IF(LEN(Table3[[#This Row],[Date]])=0,"",SUM(G93:$G$123))</f>
        <v/>
      </c>
      <c r="J93" s="79" t="str">
        <f>IF(LEN(Table3[[#This Row],[Date]])=0,"",Table3[[#This Row],[Cumulative Savings]]+Starting_Worth)</f>
        <v/>
      </c>
      <c r="K93" s="79" t="str">
        <f>IF(LEN(B93)=0,"",SUMIFS(Tbl_Transactions[Amount],Tbl_Transactions[Account],I_CHOSEN_ACCT,Tbl_Transactions[Type],"Income",Tbl_Transactions[Date],"&lt;="&amp;Monthly_Summary_Table!$B93,Tbl_Transactions[Date],"&gt;"&amp;EOMONTH(Monthly_Summary_Table!$B93,-1)))</f>
        <v/>
      </c>
      <c r="L93" s="79" t="str">
        <f>IF(LEN(B93)=0,"",SUMIFS(Tbl_Transactions[Amount],Tbl_Transactions[Account],I_CHOSEN_ACCT,Tbl_Transactions[Type],"Expense",Tbl_Transactions[Date],"&lt;="&amp;Monthly_Summary_Table!$B93,Tbl_Transactions[Date],"&gt;"&amp;EOMONTH(Monthly_Summary_Table!$B93,-1)))</f>
        <v/>
      </c>
      <c r="M93" s="79" t="str">
        <f>IF(LEN(B93)=0,"",SUMIFS(Tbl_Transactions[Amount],Tbl_Transactions[Account],I_CHOSEN_ACCT,Tbl_Transactions[Type],"Transfer",Tbl_Transactions[Date],"&lt;="&amp;Monthly_Summary_Table!$B93,Tbl_Transactions[Date],"&gt;"&amp;EOMONTH(Monthly_Summary_Table!$B93,-1)))</f>
        <v/>
      </c>
      <c r="N93" s="79" t="str">
        <f>IFERROR(Table3[[#This Row],[ACCT INCOME]]-Table3[[#This Row],[ACCT EXPENSE]]+Table3[[#This Row],[ACCT TRANSFERS]],"")</f>
        <v/>
      </c>
      <c r="O93" s="79" t="str">
        <f>IF(LEN(Table3[[#This Row],[Date]])=0,"",SUM(N93:$N$123)+IF(I_CHOSEN_ACCTTYPE="BANK",INDEX(T_BANK_ACCTS[STARTING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c r="S93" t="s">
        <v>18</v>
      </c>
      <c r="T93" s="84" t="str">
        <f>IFERROR(IF(INDEX(T_CASH_ACCTS[ACCOUNT NAME],ROW(T93)-ROW($T$63))=0," ",INDEX(T_CASH_ACCTS[ACCOUNT NAME],ROW(T93)-ROW($T$63)))," ")</f>
        <v xml:space="preserve"> </v>
      </c>
      <c r="U93" t="str">
        <f t="shared" si="6"/>
        <v xml:space="preserve"> </v>
      </c>
      <c r="V93" t="str">
        <f t="shared" si="7"/>
        <v/>
      </c>
      <c r="W93" t="str">
        <f t="shared" si="8"/>
        <v/>
      </c>
      <c r="X93" t="str">
        <f t="shared" si="9"/>
        <v/>
      </c>
    </row>
    <row r="94" spans="2:24" x14ac:dyDescent="0.3">
      <c r="B94" s="9" t="str">
        <f>IFERROR(IF(EOMONTH(MAX(Tbl_Transactions[Date]),ROW($B$4)-ROW($B94))&lt;MIN(Tbl_Transactions[Date]),"",EOMONTH(MAX(Tbl_Transactions[Date]),ROW($B$4)-ROW($B94))),"")</f>
        <v/>
      </c>
      <c r="C94" s="10" t="str">
        <f>IFERROR(YEAR(Table3[[#This Row],[Date]]),"")</f>
        <v/>
      </c>
      <c r="D94" s="10" t="str">
        <f>IFERROR(TEXT(Table3[[#This Row],[Date]],"mmm"),"")</f>
        <v/>
      </c>
      <c r="E94" s="78" t="str">
        <f>IF(LEN(B94)=0,"",SUMIFS(Tbl_Transactions[Amount],Tbl_Transactions[Type],"Income",Tbl_Transactions[Date],"&lt;="&amp;Monthly_Summary_Table!$B94,Tbl_Transactions[Date],"&gt;"&amp;EOMONTH(Monthly_Summary_Table!$B94,-1)))</f>
        <v/>
      </c>
      <c r="F94" s="78" t="str">
        <f>IF(LEN(B94)=0,"",SUMIFS(Tbl_Transactions[Amount],Tbl_Transactions[Type],"Expense",Tbl_Transactions[Date],"&lt;="&amp;Monthly_Summary_Table!$B94,Tbl_Transactions[Date],"&gt;"&amp;EOMONTH(Monthly_Summary_Table!$B94,-1)))</f>
        <v/>
      </c>
      <c r="G94" s="78" t="str">
        <f>IFERROR(Table3[[#This Row],[Income]]-Table3[[#This Row],[Expense]],"")</f>
        <v/>
      </c>
      <c r="H94" s="78" t="str">
        <f xml:space="preserve"> IF(LEN(Table3[[#This Row],[Date]])=0,"",MonthlyBudget)</f>
        <v/>
      </c>
      <c r="I94" s="79" t="str">
        <f>IF(LEN(Table3[[#This Row],[Date]])=0,"",SUM(G94:$G$123))</f>
        <v/>
      </c>
      <c r="J94" s="79" t="str">
        <f>IF(LEN(Table3[[#This Row],[Date]])=0,"",Table3[[#This Row],[Cumulative Savings]]+Starting_Worth)</f>
        <v/>
      </c>
      <c r="K94" s="79" t="str">
        <f>IF(LEN(B94)=0,"",SUMIFS(Tbl_Transactions[Amount],Tbl_Transactions[Account],I_CHOSEN_ACCT,Tbl_Transactions[Type],"Income",Tbl_Transactions[Date],"&lt;="&amp;Monthly_Summary_Table!$B94,Tbl_Transactions[Date],"&gt;"&amp;EOMONTH(Monthly_Summary_Table!$B94,-1)))</f>
        <v/>
      </c>
      <c r="L94" s="79" t="str">
        <f>IF(LEN(B94)=0,"",SUMIFS(Tbl_Transactions[Amount],Tbl_Transactions[Account],I_CHOSEN_ACCT,Tbl_Transactions[Type],"Expense",Tbl_Transactions[Date],"&lt;="&amp;Monthly_Summary_Table!$B94,Tbl_Transactions[Date],"&gt;"&amp;EOMONTH(Monthly_Summary_Table!$B94,-1)))</f>
        <v/>
      </c>
      <c r="M94" s="79" t="str">
        <f>IF(LEN(B94)=0,"",SUMIFS(Tbl_Transactions[Amount],Tbl_Transactions[Account],I_CHOSEN_ACCT,Tbl_Transactions[Type],"Transfer",Tbl_Transactions[Date],"&lt;="&amp;Monthly_Summary_Table!$B94,Tbl_Transactions[Date],"&gt;"&amp;EOMONTH(Monthly_Summary_Table!$B94,-1)))</f>
        <v/>
      </c>
      <c r="N94" s="79" t="str">
        <f>IFERROR(Table3[[#This Row],[ACCT INCOME]]-Table3[[#This Row],[ACCT EXPENSE]]+Table3[[#This Row],[ACCT TRANSFERS]],"")</f>
        <v/>
      </c>
      <c r="O94" s="79" t="str">
        <f>IF(LEN(Table3[[#This Row],[Date]])=0,"",SUM(N94:$N$123)+IF(I_CHOSEN_ACCTTYPE="BANK",INDEX(T_BANK_ACCTS[STARTING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95" spans="2:24" x14ac:dyDescent="0.3">
      <c r="B95" s="9" t="str">
        <f>IFERROR(IF(EOMONTH(MAX(Tbl_Transactions[Date]),ROW($B$4)-ROW($B95))&lt;MIN(Tbl_Transactions[Date]),"",EOMONTH(MAX(Tbl_Transactions[Date]),ROW($B$4)-ROW($B95))),"")</f>
        <v/>
      </c>
      <c r="C95" s="10" t="str">
        <f>IFERROR(YEAR(Table3[[#This Row],[Date]]),"")</f>
        <v/>
      </c>
      <c r="D95" s="10" t="str">
        <f>IFERROR(TEXT(Table3[[#This Row],[Date]],"mmm"),"")</f>
        <v/>
      </c>
      <c r="E95" s="78" t="str">
        <f>IF(LEN(B95)=0,"",SUMIFS(Tbl_Transactions[Amount],Tbl_Transactions[Type],"Income",Tbl_Transactions[Date],"&lt;="&amp;Monthly_Summary_Table!$B95,Tbl_Transactions[Date],"&gt;"&amp;EOMONTH(Monthly_Summary_Table!$B95,-1)))</f>
        <v/>
      </c>
      <c r="F95" s="78" t="str">
        <f>IF(LEN(B95)=0,"",SUMIFS(Tbl_Transactions[Amount],Tbl_Transactions[Type],"Expense",Tbl_Transactions[Date],"&lt;="&amp;Monthly_Summary_Table!$B95,Tbl_Transactions[Date],"&gt;"&amp;EOMONTH(Monthly_Summary_Table!$B95,-1)))</f>
        <v/>
      </c>
      <c r="G95" s="78" t="str">
        <f>IFERROR(Table3[[#This Row],[Income]]-Table3[[#This Row],[Expense]],"")</f>
        <v/>
      </c>
      <c r="H95" s="78" t="str">
        <f xml:space="preserve"> IF(LEN(Table3[[#This Row],[Date]])=0,"",MonthlyBudget)</f>
        <v/>
      </c>
      <c r="I95" s="79" t="str">
        <f>IF(LEN(Table3[[#This Row],[Date]])=0,"",SUM(G95:$G$123))</f>
        <v/>
      </c>
      <c r="J95" s="79" t="str">
        <f>IF(LEN(Table3[[#This Row],[Date]])=0,"",Table3[[#This Row],[Cumulative Savings]]+Starting_Worth)</f>
        <v/>
      </c>
      <c r="K95" s="79" t="str">
        <f>IF(LEN(B95)=0,"",SUMIFS(Tbl_Transactions[Amount],Tbl_Transactions[Account],I_CHOSEN_ACCT,Tbl_Transactions[Type],"Income",Tbl_Transactions[Date],"&lt;="&amp;Monthly_Summary_Table!$B95,Tbl_Transactions[Date],"&gt;"&amp;EOMONTH(Monthly_Summary_Table!$B95,-1)))</f>
        <v/>
      </c>
      <c r="L95" s="79" t="str">
        <f>IF(LEN(B95)=0,"",SUMIFS(Tbl_Transactions[Amount],Tbl_Transactions[Account],I_CHOSEN_ACCT,Tbl_Transactions[Type],"Expense",Tbl_Transactions[Date],"&lt;="&amp;Monthly_Summary_Table!$B95,Tbl_Transactions[Date],"&gt;"&amp;EOMONTH(Monthly_Summary_Table!$B95,-1)))</f>
        <v/>
      </c>
      <c r="M95" s="79" t="str">
        <f>IF(LEN(B95)=0,"",SUMIFS(Tbl_Transactions[Amount],Tbl_Transactions[Account],I_CHOSEN_ACCT,Tbl_Transactions[Type],"Transfer",Tbl_Transactions[Date],"&lt;="&amp;Monthly_Summary_Table!$B95,Tbl_Transactions[Date],"&gt;"&amp;EOMONTH(Monthly_Summary_Table!$B95,-1)))</f>
        <v/>
      </c>
      <c r="N95" s="79" t="str">
        <f>IFERROR(Table3[[#This Row],[ACCT INCOME]]-Table3[[#This Row],[ACCT EXPENSE]]+Table3[[#This Row],[ACCT TRANSFERS]],"")</f>
        <v/>
      </c>
      <c r="O95" s="79" t="str">
        <f>IF(LEN(Table3[[#This Row],[Date]])=0,"",SUM(N95:$N$123)+IF(I_CHOSEN_ACCTTYPE="BANK",INDEX(T_BANK_ACCTS[STARTING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96" spans="2:24" x14ac:dyDescent="0.3">
      <c r="B96" s="9" t="str">
        <f>IFERROR(IF(EOMONTH(MAX(Tbl_Transactions[Date]),ROW($B$4)-ROW($B96))&lt;MIN(Tbl_Transactions[Date]),"",EOMONTH(MAX(Tbl_Transactions[Date]),ROW($B$4)-ROW($B96))),"")</f>
        <v/>
      </c>
      <c r="C96" s="10" t="str">
        <f>IFERROR(YEAR(Table3[[#This Row],[Date]]),"")</f>
        <v/>
      </c>
      <c r="D96" s="10" t="str">
        <f>IFERROR(TEXT(Table3[[#This Row],[Date]],"mmm"),"")</f>
        <v/>
      </c>
      <c r="E96" s="78" t="str">
        <f>IF(LEN(B96)=0,"",SUMIFS(Tbl_Transactions[Amount],Tbl_Transactions[Type],"Income",Tbl_Transactions[Date],"&lt;="&amp;Monthly_Summary_Table!$B96,Tbl_Transactions[Date],"&gt;"&amp;EOMONTH(Monthly_Summary_Table!$B96,-1)))</f>
        <v/>
      </c>
      <c r="F96" s="78" t="str">
        <f>IF(LEN(B96)=0,"",SUMIFS(Tbl_Transactions[Amount],Tbl_Transactions[Type],"Expense",Tbl_Transactions[Date],"&lt;="&amp;Monthly_Summary_Table!$B96,Tbl_Transactions[Date],"&gt;"&amp;EOMONTH(Monthly_Summary_Table!$B96,-1)))</f>
        <v/>
      </c>
      <c r="G96" s="78" t="str">
        <f>IFERROR(Table3[[#This Row],[Income]]-Table3[[#This Row],[Expense]],"")</f>
        <v/>
      </c>
      <c r="H96" s="78" t="str">
        <f xml:space="preserve"> IF(LEN(Table3[[#This Row],[Date]])=0,"",MonthlyBudget)</f>
        <v/>
      </c>
      <c r="I96" s="79" t="str">
        <f>IF(LEN(Table3[[#This Row],[Date]])=0,"",SUM(G96:$G$123))</f>
        <v/>
      </c>
      <c r="J96" s="79" t="str">
        <f>IF(LEN(Table3[[#This Row],[Date]])=0,"",Table3[[#This Row],[Cumulative Savings]]+Starting_Worth)</f>
        <v/>
      </c>
      <c r="K96" s="79" t="str">
        <f>IF(LEN(B96)=0,"",SUMIFS(Tbl_Transactions[Amount],Tbl_Transactions[Account],I_CHOSEN_ACCT,Tbl_Transactions[Type],"Income",Tbl_Transactions[Date],"&lt;="&amp;Monthly_Summary_Table!$B96,Tbl_Transactions[Date],"&gt;"&amp;EOMONTH(Monthly_Summary_Table!$B96,-1)))</f>
        <v/>
      </c>
      <c r="L96" s="79" t="str">
        <f>IF(LEN(B96)=0,"",SUMIFS(Tbl_Transactions[Amount],Tbl_Transactions[Account],I_CHOSEN_ACCT,Tbl_Transactions[Type],"Expense",Tbl_Transactions[Date],"&lt;="&amp;Monthly_Summary_Table!$B96,Tbl_Transactions[Date],"&gt;"&amp;EOMONTH(Monthly_Summary_Table!$B96,-1)))</f>
        <v/>
      </c>
      <c r="M96" s="79" t="str">
        <f>IF(LEN(B96)=0,"",SUMIFS(Tbl_Transactions[Amount],Tbl_Transactions[Account],I_CHOSEN_ACCT,Tbl_Transactions[Type],"Transfer",Tbl_Transactions[Date],"&lt;="&amp;Monthly_Summary_Table!$B96,Tbl_Transactions[Date],"&gt;"&amp;EOMONTH(Monthly_Summary_Table!$B96,-1)))</f>
        <v/>
      </c>
      <c r="N96" s="79" t="str">
        <f>IFERROR(Table3[[#This Row],[ACCT INCOME]]-Table3[[#This Row],[ACCT EXPENSE]]+Table3[[#This Row],[ACCT TRANSFERS]],"")</f>
        <v/>
      </c>
      <c r="O96" s="79" t="str">
        <f>IF(LEN(Table3[[#This Row],[Date]])=0,"",SUM(N96:$N$123)+IF(I_CHOSEN_ACCTTYPE="BANK",INDEX(T_BANK_ACCTS[STARTING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97" spans="2:15" x14ac:dyDescent="0.3">
      <c r="B97" s="9" t="str">
        <f>IFERROR(IF(EOMONTH(MAX(Tbl_Transactions[Date]),ROW($B$4)-ROW($B97))&lt;MIN(Tbl_Transactions[Date]),"",EOMONTH(MAX(Tbl_Transactions[Date]),ROW($B$4)-ROW($B97))),"")</f>
        <v/>
      </c>
      <c r="C97" s="10" t="str">
        <f>IFERROR(YEAR(Table3[[#This Row],[Date]]),"")</f>
        <v/>
      </c>
      <c r="D97" s="10" t="str">
        <f>IFERROR(TEXT(Table3[[#This Row],[Date]],"mmm"),"")</f>
        <v/>
      </c>
      <c r="E97" s="78" t="str">
        <f>IF(LEN(B97)=0,"",SUMIFS(Tbl_Transactions[Amount],Tbl_Transactions[Type],"Income",Tbl_Transactions[Date],"&lt;="&amp;Monthly_Summary_Table!$B97,Tbl_Transactions[Date],"&gt;"&amp;EOMONTH(Monthly_Summary_Table!$B97,-1)))</f>
        <v/>
      </c>
      <c r="F97" s="78" t="str">
        <f>IF(LEN(B97)=0,"",SUMIFS(Tbl_Transactions[Amount],Tbl_Transactions[Type],"Expense",Tbl_Transactions[Date],"&lt;="&amp;Monthly_Summary_Table!$B97,Tbl_Transactions[Date],"&gt;"&amp;EOMONTH(Monthly_Summary_Table!$B97,-1)))</f>
        <v/>
      </c>
      <c r="G97" s="78" t="str">
        <f>IFERROR(Table3[[#This Row],[Income]]-Table3[[#This Row],[Expense]],"")</f>
        <v/>
      </c>
      <c r="H97" s="78" t="str">
        <f xml:space="preserve"> IF(LEN(Table3[[#This Row],[Date]])=0,"",MonthlyBudget)</f>
        <v/>
      </c>
      <c r="I97" s="79" t="str">
        <f>IF(LEN(Table3[[#This Row],[Date]])=0,"",SUM(G97:$G$123))</f>
        <v/>
      </c>
      <c r="J97" s="79" t="str">
        <f>IF(LEN(Table3[[#This Row],[Date]])=0,"",Table3[[#This Row],[Cumulative Savings]]+Starting_Worth)</f>
        <v/>
      </c>
      <c r="K97" s="79" t="str">
        <f>IF(LEN(B97)=0,"",SUMIFS(Tbl_Transactions[Amount],Tbl_Transactions[Account],I_CHOSEN_ACCT,Tbl_Transactions[Type],"Income",Tbl_Transactions[Date],"&lt;="&amp;Monthly_Summary_Table!$B97,Tbl_Transactions[Date],"&gt;"&amp;EOMONTH(Monthly_Summary_Table!$B97,-1)))</f>
        <v/>
      </c>
      <c r="L97" s="79" t="str">
        <f>IF(LEN(B97)=0,"",SUMIFS(Tbl_Transactions[Amount],Tbl_Transactions[Account],I_CHOSEN_ACCT,Tbl_Transactions[Type],"Expense",Tbl_Transactions[Date],"&lt;="&amp;Monthly_Summary_Table!$B97,Tbl_Transactions[Date],"&gt;"&amp;EOMONTH(Monthly_Summary_Table!$B97,-1)))</f>
        <v/>
      </c>
      <c r="M97" s="79" t="str">
        <f>IF(LEN(B97)=0,"",SUMIFS(Tbl_Transactions[Amount],Tbl_Transactions[Account],I_CHOSEN_ACCT,Tbl_Transactions[Type],"Transfer",Tbl_Transactions[Date],"&lt;="&amp;Monthly_Summary_Table!$B97,Tbl_Transactions[Date],"&gt;"&amp;EOMONTH(Monthly_Summary_Table!$B97,-1)))</f>
        <v/>
      </c>
      <c r="N97" s="79" t="str">
        <f>IFERROR(Table3[[#This Row],[ACCT INCOME]]-Table3[[#This Row],[ACCT EXPENSE]]+Table3[[#This Row],[ACCT TRANSFERS]],"")</f>
        <v/>
      </c>
      <c r="O97" s="79" t="str">
        <f>IF(LEN(Table3[[#This Row],[Date]])=0,"",SUM(N97:$N$123)+IF(I_CHOSEN_ACCTTYPE="BANK",INDEX(T_BANK_ACCTS[STARTING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98" spans="2:15" x14ac:dyDescent="0.3">
      <c r="B98" s="9" t="str">
        <f>IFERROR(IF(EOMONTH(MAX(Tbl_Transactions[Date]),ROW($B$4)-ROW($B98))&lt;MIN(Tbl_Transactions[Date]),"",EOMONTH(MAX(Tbl_Transactions[Date]),ROW($B$4)-ROW($B98))),"")</f>
        <v/>
      </c>
      <c r="C98" s="10" t="str">
        <f>IFERROR(YEAR(Table3[[#This Row],[Date]]),"")</f>
        <v/>
      </c>
      <c r="D98" s="10" t="str">
        <f>IFERROR(TEXT(Table3[[#This Row],[Date]],"mmm"),"")</f>
        <v/>
      </c>
      <c r="E98" s="78" t="str">
        <f>IF(LEN(B98)=0,"",SUMIFS(Tbl_Transactions[Amount],Tbl_Transactions[Type],"Income",Tbl_Transactions[Date],"&lt;="&amp;Monthly_Summary_Table!$B98,Tbl_Transactions[Date],"&gt;"&amp;EOMONTH(Monthly_Summary_Table!$B98,-1)))</f>
        <v/>
      </c>
      <c r="F98" s="78" t="str">
        <f>IF(LEN(B98)=0,"",SUMIFS(Tbl_Transactions[Amount],Tbl_Transactions[Type],"Expense",Tbl_Transactions[Date],"&lt;="&amp;Monthly_Summary_Table!$B98,Tbl_Transactions[Date],"&gt;"&amp;EOMONTH(Monthly_Summary_Table!$B98,-1)))</f>
        <v/>
      </c>
      <c r="G98" s="78" t="str">
        <f>IFERROR(Table3[[#This Row],[Income]]-Table3[[#This Row],[Expense]],"")</f>
        <v/>
      </c>
      <c r="H98" s="78" t="str">
        <f xml:space="preserve"> IF(LEN(Table3[[#This Row],[Date]])=0,"",MonthlyBudget)</f>
        <v/>
      </c>
      <c r="I98" s="79" t="str">
        <f>IF(LEN(Table3[[#This Row],[Date]])=0,"",SUM(G98:$G$123))</f>
        <v/>
      </c>
      <c r="J98" s="79" t="str">
        <f>IF(LEN(Table3[[#This Row],[Date]])=0,"",Table3[[#This Row],[Cumulative Savings]]+Starting_Worth)</f>
        <v/>
      </c>
      <c r="K98" s="79" t="str">
        <f>IF(LEN(B98)=0,"",SUMIFS(Tbl_Transactions[Amount],Tbl_Transactions[Account],I_CHOSEN_ACCT,Tbl_Transactions[Type],"Income",Tbl_Transactions[Date],"&lt;="&amp;Monthly_Summary_Table!$B98,Tbl_Transactions[Date],"&gt;"&amp;EOMONTH(Monthly_Summary_Table!$B98,-1)))</f>
        <v/>
      </c>
      <c r="L98" s="79" t="str">
        <f>IF(LEN(B98)=0,"",SUMIFS(Tbl_Transactions[Amount],Tbl_Transactions[Account],I_CHOSEN_ACCT,Tbl_Transactions[Type],"Expense",Tbl_Transactions[Date],"&lt;="&amp;Monthly_Summary_Table!$B98,Tbl_Transactions[Date],"&gt;"&amp;EOMONTH(Monthly_Summary_Table!$B98,-1)))</f>
        <v/>
      </c>
      <c r="M98" s="79" t="str">
        <f>IF(LEN(B98)=0,"",SUMIFS(Tbl_Transactions[Amount],Tbl_Transactions[Account],I_CHOSEN_ACCT,Tbl_Transactions[Type],"Transfer",Tbl_Transactions[Date],"&lt;="&amp;Monthly_Summary_Table!$B98,Tbl_Transactions[Date],"&gt;"&amp;EOMONTH(Monthly_Summary_Table!$B98,-1)))</f>
        <v/>
      </c>
      <c r="N98" s="79" t="str">
        <f>IFERROR(Table3[[#This Row],[ACCT INCOME]]-Table3[[#This Row],[ACCT EXPENSE]]+Table3[[#This Row],[ACCT TRANSFERS]],"")</f>
        <v/>
      </c>
      <c r="O98" s="79" t="str">
        <f>IF(LEN(Table3[[#This Row],[Date]])=0,"",SUM(N98:$N$123)+IF(I_CHOSEN_ACCTTYPE="BANK",INDEX(T_BANK_ACCTS[STARTING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99" spans="2:15" x14ac:dyDescent="0.3">
      <c r="B99" s="9" t="str">
        <f>IFERROR(IF(EOMONTH(MAX(Tbl_Transactions[Date]),ROW($B$4)-ROW($B99))&lt;MIN(Tbl_Transactions[Date]),"",EOMONTH(MAX(Tbl_Transactions[Date]),ROW($B$4)-ROW($B99))),"")</f>
        <v/>
      </c>
      <c r="C99" s="10" t="str">
        <f>IFERROR(YEAR(Table3[[#This Row],[Date]]),"")</f>
        <v/>
      </c>
      <c r="D99" s="10" t="str">
        <f>IFERROR(TEXT(Table3[[#This Row],[Date]],"mmm"),"")</f>
        <v/>
      </c>
      <c r="E99" s="78" t="str">
        <f>IF(LEN(B99)=0,"",SUMIFS(Tbl_Transactions[Amount],Tbl_Transactions[Type],"Income",Tbl_Transactions[Date],"&lt;="&amp;Monthly_Summary_Table!$B99,Tbl_Transactions[Date],"&gt;"&amp;EOMONTH(Monthly_Summary_Table!$B99,-1)))</f>
        <v/>
      </c>
      <c r="F99" s="78" t="str">
        <f>IF(LEN(B99)=0,"",SUMIFS(Tbl_Transactions[Amount],Tbl_Transactions[Type],"Expense",Tbl_Transactions[Date],"&lt;="&amp;Monthly_Summary_Table!$B99,Tbl_Transactions[Date],"&gt;"&amp;EOMONTH(Monthly_Summary_Table!$B99,-1)))</f>
        <v/>
      </c>
      <c r="G99" s="78" t="str">
        <f>IFERROR(Table3[[#This Row],[Income]]-Table3[[#This Row],[Expense]],"")</f>
        <v/>
      </c>
      <c r="H99" s="78" t="str">
        <f xml:space="preserve"> IF(LEN(Table3[[#This Row],[Date]])=0,"",MonthlyBudget)</f>
        <v/>
      </c>
      <c r="I99" s="79" t="str">
        <f>IF(LEN(Table3[[#This Row],[Date]])=0,"",SUM(G99:$G$123))</f>
        <v/>
      </c>
      <c r="J99" s="79" t="str">
        <f>IF(LEN(Table3[[#This Row],[Date]])=0,"",Table3[[#This Row],[Cumulative Savings]]+Starting_Worth)</f>
        <v/>
      </c>
      <c r="K99" s="79" t="str">
        <f>IF(LEN(B99)=0,"",SUMIFS(Tbl_Transactions[Amount],Tbl_Transactions[Account],I_CHOSEN_ACCT,Tbl_Transactions[Type],"Income",Tbl_Transactions[Date],"&lt;="&amp;Monthly_Summary_Table!$B99,Tbl_Transactions[Date],"&gt;"&amp;EOMONTH(Monthly_Summary_Table!$B99,-1)))</f>
        <v/>
      </c>
      <c r="L99" s="79" t="str">
        <f>IF(LEN(B99)=0,"",SUMIFS(Tbl_Transactions[Amount],Tbl_Transactions[Account],I_CHOSEN_ACCT,Tbl_Transactions[Type],"Expense",Tbl_Transactions[Date],"&lt;="&amp;Monthly_Summary_Table!$B99,Tbl_Transactions[Date],"&gt;"&amp;EOMONTH(Monthly_Summary_Table!$B99,-1)))</f>
        <v/>
      </c>
      <c r="M99" s="79" t="str">
        <f>IF(LEN(B99)=0,"",SUMIFS(Tbl_Transactions[Amount],Tbl_Transactions[Account],I_CHOSEN_ACCT,Tbl_Transactions[Type],"Transfer",Tbl_Transactions[Date],"&lt;="&amp;Monthly_Summary_Table!$B99,Tbl_Transactions[Date],"&gt;"&amp;EOMONTH(Monthly_Summary_Table!$B99,-1)))</f>
        <v/>
      </c>
      <c r="N99" s="79" t="str">
        <f>IFERROR(Table3[[#This Row],[ACCT INCOME]]-Table3[[#This Row],[ACCT EXPENSE]]+Table3[[#This Row],[ACCT TRANSFERS]],"")</f>
        <v/>
      </c>
      <c r="O99" s="79" t="str">
        <f>IF(LEN(Table3[[#This Row],[Date]])=0,"",SUM(N99:$N$123)+IF(I_CHOSEN_ACCTTYPE="BANK",INDEX(T_BANK_ACCTS[STARTING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0" spans="2:15" x14ac:dyDescent="0.3">
      <c r="B100" s="9" t="str">
        <f>IFERROR(IF(EOMONTH(MAX(Tbl_Transactions[Date]),ROW($B$4)-ROW($B100))&lt;MIN(Tbl_Transactions[Date]),"",EOMONTH(MAX(Tbl_Transactions[Date]),ROW($B$4)-ROW($B100))),"")</f>
        <v/>
      </c>
      <c r="C100" s="10" t="str">
        <f>IFERROR(YEAR(Table3[[#This Row],[Date]]),"")</f>
        <v/>
      </c>
      <c r="D100" s="10" t="str">
        <f>IFERROR(TEXT(Table3[[#This Row],[Date]],"mmm"),"")</f>
        <v/>
      </c>
      <c r="E100" s="78" t="str">
        <f>IF(LEN(B100)=0,"",SUMIFS(Tbl_Transactions[Amount],Tbl_Transactions[Type],"Income",Tbl_Transactions[Date],"&lt;="&amp;Monthly_Summary_Table!$B100,Tbl_Transactions[Date],"&gt;"&amp;EOMONTH(Monthly_Summary_Table!$B100,-1)))</f>
        <v/>
      </c>
      <c r="F100" s="78" t="str">
        <f>IF(LEN(B100)=0,"",SUMIFS(Tbl_Transactions[Amount],Tbl_Transactions[Type],"Expense",Tbl_Transactions[Date],"&lt;="&amp;Monthly_Summary_Table!$B100,Tbl_Transactions[Date],"&gt;"&amp;EOMONTH(Monthly_Summary_Table!$B100,-1)))</f>
        <v/>
      </c>
      <c r="G100" s="78" t="str">
        <f>IFERROR(Table3[[#This Row],[Income]]-Table3[[#This Row],[Expense]],"")</f>
        <v/>
      </c>
      <c r="H100" s="78" t="str">
        <f xml:space="preserve"> IF(LEN(Table3[[#This Row],[Date]])=0,"",MonthlyBudget)</f>
        <v/>
      </c>
      <c r="I100" s="79" t="str">
        <f>IF(LEN(Table3[[#This Row],[Date]])=0,"",SUM(G100:$G$123))</f>
        <v/>
      </c>
      <c r="J100" s="79" t="str">
        <f>IF(LEN(Table3[[#This Row],[Date]])=0,"",Table3[[#This Row],[Cumulative Savings]]+Starting_Worth)</f>
        <v/>
      </c>
      <c r="K100" s="79" t="str">
        <f>IF(LEN(B100)=0,"",SUMIFS(Tbl_Transactions[Amount],Tbl_Transactions[Account],I_CHOSEN_ACCT,Tbl_Transactions[Type],"Income",Tbl_Transactions[Date],"&lt;="&amp;Monthly_Summary_Table!$B100,Tbl_Transactions[Date],"&gt;"&amp;EOMONTH(Monthly_Summary_Table!$B100,-1)))</f>
        <v/>
      </c>
      <c r="L100" s="79" t="str">
        <f>IF(LEN(B100)=0,"",SUMIFS(Tbl_Transactions[Amount],Tbl_Transactions[Account],I_CHOSEN_ACCT,Tbl_Transactions[Type],"Expense",Tbl_Transactions[Date],"&lt;="&amp;Monthly_Summary_Table!$B100,Tbl_Transactions[Date],"&gt;"&amp;EOMONTH(Monthly_Summary_Table!$B100,-1)))</f>
        <v/>
      </c>
      <c r="M100" s="79" t="str">
        <f>IF(LEN(B100)=0,"",SUMIFS(Tbl_Transactions[Amount],Tbl_Transactions[Account],I_CHOSEN_ACCT,Tbl_Transactions[Type],"Transfer",Tbl_Transactions[Date],"&lt;="&amp;Monthly_Summary_Table!$B100,Tbl_Transactions[Date],"&gt;"&amp;EOMONTH(Monthly_Summary_Table!$B100,-1)))</f>
        <v/>
      </c>
      <c r="N100" s="79" t="str">
        <f>IFERROR(Table3[[#This Row],[ACCT INCOME]]-Table3[[#This Row],[ACCT EXPENSE]]+Table3[[#This Row],[ACCT TRANSFERS]],"")</f>
        <v/>
      </c>
      <c r="O100" s="79" t="str">
        <f>IF(LEN(Table3[[#This Row],[Date]])=0,"",SUM(N100:$N$123)+IF(I_CHOSEN_ACCTTYPE="BANK",INDEX(T_BANK_ACCTS[STARTING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1" spans="2:15" x14ac:dyDescent="0.3">
      <c r="B101" s="9" t="str">
        <f>IFERROR(IF(EOMONTH(MAX(Tbl_Transactions[Date]),ROW($B$4)-ROW($B101))&lt;MIN(Tbl_Transactions[Date]),"",EOMONTH(MAX(Tbl_Transactions[Date]),ROW($B$4)-ROW($B101))),"")</f>
        <v/>
      </c>
      <c r="C101" s="10" t="str">
        <f>IFERROR(YEAR(Table3[[#This Row],[Date]]),"")</f>
        <v/>
      </c>
      <c r="D101" s="10" t="str">
        <f>IFERROR(TEXT(Table3[[#This Row],[Date]],"mmm"),"")</f>
        <v/>
      </c>
      <c r="E101" s="78" t="str">
        <f>IF(LEN(B101)=0,"",SUMIFS(Tbl_Transactions[Amount],Tbl_Transactions[Type],"Income",Tbl_Transactions[Date],"&lt;="&amp;Monthly_Summary_Table!$B101,Tbl_Transactions[Date],"&gt;"&amp;EOMONTH(Monthly_Summary_Table!$B101,-1)))</f>
        <v/>
      </c>
      <c r="F101" s="78" t="str">
        <f>IF(LEN(B101)=0,"",SUMIFS(Tbl_Transactions[Amount],Tbl_Transactions[Type],"Expense",Tbl_Transactions[Date],"&lt;="&amp;Monthly_Summary_Table!$B101,Tbl_Transactions[Date],"&gt;"&amp;EOMONTH(Monthly_Summary_Table!$B101,-1)))</f>
        <v/>
      </c>
      <c r="G101" s="78" t="str">
        <f>IFERROR(Table3[[#This Row],[Income]]-Table3[[#This Row],[Expense]],"")</f>
        <v/>
      </c>
      <c r="H101" s="78" t="str">
        <f xml:space="preserve"> IF(LEN(Table3[[#This Row],[Date]])=0,"",MonthlyBudget)</f>
        <v/>
      </c>
      <c r="I101" s="79" t="str">
        <f>IF(LEN(Table3[[#This Row],[Date]])=0,"",SUM(G101:$G$123))</f>
        <v/>
      </c>
      <c r="J101" s="79" t="str">
        <f>IF(LEN(Table3[[#This Row],[Date]])=0,"",Table3[[#This Row],[Cumulative Savings]]+Starting_Worth)</f>
        <v/>
      </c>
      <c r="K101" s="79" t="str">
        <f>IF(LEN(B101)=0,"",SUMIFS(Tbl_Transactions[Amount],Tbl_Transactions[Account],I_CHOSEN_ACCT,Tbl_Transactions[Type],"Income",Tbl_Transactions[Date],"&lt;="&amp;Monthly_Summary_Table!$B101,Tbl_Transactions[Date],"&gt;"&amp;EOMONTH(Monthly_Summary_Table!$B101,-1)))</f>
        <v/>
      </c>
      <c r="L101" s="79" t="str">
        <f>IF(LEN(B101)=0,"",SUMIFS(Tbl_Transactions[Amount],Tbl_Transactions[Account],I_CHOSEN_ACCT,Tbl_Transactions[Type],"Expense",Tbl_Transactions[Date],"&lt;="&amp;Monthly_Summary_Table!$B101,Tbl_Transactions[Date],"&gt;"&amp;EOMONTH(Monthly_Summary_Table!$B101,-1)))</f>
        <v/>
      </c>
      <c r="M101" s="79" t="str">
        <f>IF(LEN(B101)=0,"",SUMIFS(Tbl_Transactions[Amount],Tbl_Transactions[Account],I_CHOSEN_ACCT,Tbl_Transactions[Type],"Transfer",Tbl_Transactions[Date],"&lt;="&amp;Monthly_Summary_Table!$B101,Tbl_Transactions[Date],"&gt;"&amp;EOMONTH(Monthly_Summary_Table!$B101,-1)))</f>
        <v/>
      </c>
      <c r="N101" s="79" t="str">
        <f>IFERROR(Table3[[#This Row],[ACCT INCOME]]-Table3[[#This Row],[ACCT EXPENSE]]+Table3[[#This Row],[ACCT TRANSFERS]],"")</f>
        <v/>
      </c>
      <c r="O101" s="79" t="str">
        <f>IF(LEN(Table3[[#This Row],[Date]])=0,"",SUM(N101:$N$123)+IF(I_CHOSEN_ACCTTYPE="BANK",INDEX(T_BANK_ACCTS[STARTING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2" spans="2:15" x14ac:dyDescent="0.3">
      <c r="B102" s="9" t="str">
        <f>IFERROR(IF(EOMONTH(MAX(Tbl_Transactions[Date]),ROW($B$4)-ROW($B102))&lt;MIN(Tbl_Transactions[Date]),"",EOMONTH(MAX(Tbl_Transactions[Date]),ROW($B$4)-ROW($B102))),"")</f>
        <v/>
      </c>
      <c r="C102" s="10" t="str">
        <f>IFERROR(YEAR(Table3[[#This Row],[Date]]),"")</f>
        <v/>
      </c>
      <c r="D102" s="10" t="str">
        <f>IFERROR(TEXT(Table3[[#This Row],[Date]],"mmm"),"")</f>
        <v/>
      </c>
      <c r="E102" s="78" t="str">
        <f>IF(LEN(B102)=0,"",SUMIFS(Tbl_Transactions[Amount],Tbl_Transactions[Type],"Income",Tbl_Transactions[Date],"&lt;="&amp;Monthly_Summary_Table!$B102,Tbl_Transactions[Date],"&gt;"&amp;EOMONTH(Monthly_Summary_Table!$B102,-1)))</f>
        <v/>
      </c>
      <c r="F102" s="78" t="str">
        <f>IF(LEN(B102)=0,"",SUMIFS(Tbl_Transactions[Amount],Tbl_Transactions[Type],"Expense",Tbl_Transactions[Date],"&lt;="&amp;Monthly_Summary_Table!$B102,Tbl_Transactions[Date],"&gt;"&amp;EOMONTH(Monthly_Summary_Table!$B102,-1)))</f>
        <v/>
      </c>
      <c r="G102" s="78" t="str">
        <f>IFERROR(Table3[[#This Row],[Income]]-Table3[[#This Row],[Expense]],"")</f>
        <v/>
      </c>
      <c r="H102" s="78" t="str">
        <f xml:space="preserve"> IF(LEN(Table3[[#This Row],[Date]])=0,"",MonthlyBudget)</f>
        <v/>
      </c>
      <c r="I102" s="79" t="str">
        <f>IF(LEN(Table3[[#This Row],[Date]])=0,"",SUM(G102:$G$123))</f>
        <v/>
      </c>
      <c r="J102" s="79" t="str">
        <f>IF(LEN(Table3[[#This Row],[Date]])=0,"",Table3[[#This Row],[Cumulative Savings]]+Starting_Worth)</f>
        <v/>
      </c>
      <c r="K102" s="79" t="str">
        <f>IF(LEN(B102)=0,"",SUMIFS(Tbl_Transactions[Amount],Tbl_Transactions[Account],I_CHOSEN_ACCT,Tbl_Transactions[Type],"Income",Tbl_Transactions[Date],"&lt;="&amp;Monthly_Summary_Table!$B102,Tbl_Transactions[Date],"&gt;"&amp;EOMONTH(Monthly_Summary_Table!$B102,-1)))</f>
        <v/>
      </c>
      <c r="L102" s="79" t="str">
        <f>IF(LEN(B102)=0,"",SUMIFS(Tbl_Transactions[Amount],Tbl_Transactions[Account],I_CHOSEN_ACCT,Tbl_Transactions[Type],"Expense",Tbl_Transactions[Date],"&lt;="&amp;Monthly_Summary_Table!$B102,Tbl_Transactions[Date],"&gt;"&amp;EOMONTH(Monthly_Summary_Table!$B102,-1)))</f>
        <v/>
      </c>
      <c r="M102" s="79" t="str">
        <f>IF(LEN(B102)=0,"",SUMIFS(Tbl_Transactions[Amount],Tbl_Transactions[Account],I_CHOSEN_ACCT,Tbl_Transactions[Type],"Transfer",Tbl_Transactions[Date],"&lt;="&amp;Monthly_Summary_Table!$B102,Tbl_Transactions[Date],"&gt;"&amp;EOMONTH(Monthly_Summary_Table!$B102,-1)))</f>
        <v/>
      </c>
      <c r="N102" s="79" t="str">
        <f>IFERROR(Table3[[#This Row],[ACCT INCOME]]-Table3[[#This Row],[ACCT EXPENSE]]+Table3[[#This Row],[ACCT TRANSFERS]],"")</f>
        <v/>
      </c>
      <c r="O102" s="79" t="str">
        <f>IF(LEN(Table3[[#This Row],[Date]])=0,"",SUM(N102:$N$123)+IF(I_CHOSEN_ACCTTYPE="BANK",INDEX(T_BANK_ACCTS[STARTING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3" spans="2:15" x14ac:dyDescent="0.3">
      <c r="B103" s="9" t="str">
        <f>IFERROR(IF(EOMONTH(MAX(Tbl_Transactions[Date]),ROW($B$4)-ROW($B103))&lt;MIN(Tbl_Transactions[Date]),"",EOMONTH(MAX(Tbl_Transactions[Date]),ROW($B$4)-ROW($B103))),"")</f>
        <v/>
      </c>
      <c r="C103" s="10" t="str">
        <f>IFERROR(YEAR(Table3[[#This Row],[Date]]),"")</f>
        <v/>
      </c>
      <c r="D103" s="10" t="str">
        <f>IFERROR(TEXT(Table3[[#This Row],[Date]],"mmm"),"")</f>
        <v/>
      </c>
      <c r="E103" s="78" t="str">
        <f>IF(LEN(B103)=0,"",SUMIFS(Tbl_Transactions[Amount],Tbl_Transactions[Type],"Income",Tbl_Transactions[Date],"&lt;="&amp;Monthly_Summary_Table!$B103,Tbl_Transactions[Date],"&gt;"&amp;EOMONTH(Monthly_Summary_Table!$B103,-1)))</f>
        <v/>
      </c>
      <c r="F103" s="78" t="str">
        <f>IF(LEN(B103)=0,"",SUMIFS(Tbl_Transactions[Amount],Tbl_Transactions[Type],"Expense",Tbl_Transactions[Date],"&lt;="&amp;Monthly_Summary_Table!$B103,Tbl_Transactions[Date],"&gt;"&amp;EOMONTH(Monthly_Summary_Table!$B103,-1)))</f>
        <v/>
      </c>
      <c r="G103" s="78" t="str">
        <f>IFERROR(Table3[[#This Row],[Income]]-Table3[[#This Row],[Expense]],"")</f>
        <v/>
      </c>
      <c r="H103" s="78" t="str">
        <f xml:space="preserve"> IF(LEN(Table3[[#This Row],[Date]])=0,"",MonthlyBudget)</f>
        <v/>
      </c>
      <c r="I103" s="79" t="str">
        <f>IF(LEN(Table3[[#This Row],[Date]])=0,"",SUM(G103:$G$123))</f>
        <v/>
      </c>
      <c r="J103" s="79" t="str">
        <f>IF(LEN(Table3[[#This Row],[Date]])=0,"",Table3[[#This Row],[Cumulative Savings]]+Starting_Worth)</f>
        <v/>
      </c>
      <c r="K103" s="79" t="str">
        <f>IF(LEN(B103)=0,"",SUMIFS(Tbl_Transactions[Amount],Tbl_Transactions[Account],I_CHOSEN_ACCT,Tbl_Transactions[Type],"Income",Tbl_Transactions[Date],"&lt;="&amp;Monthly_Summary_Table!$B103,Tbl_Transactions[Date],"&gt;"&amp;EOMONTH(Monthly_Summary_Table!$B103,-1)))</f>
        <v/>
      </c>
      <c r="L103" s="79" t="str">
        <f>IF(LEN(B103)=0,"",SUMIFS(Tbl_Transactions[Amount],Tbl_Transactions[Account],I_CHOSEN_ACCT,Tbl_Transactions[Type],"Expense",Tbl_Transactions[Date],"&lt;="&amp;Monthly_Summary_Table!$B103,Tbl_Transactions[Date],"&gt;"&amp;EOMONTH(Monthly_Summary_Table!$B103,-1)))</f>
        <v/>
      </c>
      <c r="M103" s="79" t="str">
        <f>IF(LEN(B103)=0,"",SUMIFS(Tbl_Transactions[Amount],Tbl_Transactions[Account],I_CHOSEN_ACCT,Tbl_Transactions[Type],"Transfer",Tbl_Transactions[Date],"&lt;="&amp;Monthly_Summary_Table!$B103,Tbl_Transactions[Date],"&gt;"&amp;EOMONTH(Monthly_Summary_Table!$B103,-1)))</f>
        <v/>
      </c>
      <c r="N103" s="79" t="str">
        <f>IFERROR(Table3[[#This Row],[ACCT INCOME]]-Table3[[#This Row],[ACCT EXPENSE]]+Table3[[#This Row],[ACCT TRANSFERS]],"")</f>
        <v/>
      </c>
      <c r="O103" s="79" t="str">
        <f>IF(LEN(Table3[[#This Row],[Date]])=0,"",SUM(N103:$N$123)+IF(I_CHOSEN_ACCTTYPE="BANK",INDEX(T_BANK_ACCTS[STARTING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4" spans="2:15" x14ac:dyDescent="0.3">
      <c r="B104" s="9" t="str">
        <f>IFERROR(IF(EOMONTH(MAX(Tbl_Transactions[Date]),ROW($B$4)-ROW($B104))&lt;MIN(Tbl_Transactions[Date]),"",EOMONTH(MAX(Tbl_Transactions[Date]),ROW($B$4)-ROW($B104))),"")</f>
        <v/>
      </c>
      <c r="C104" s="10" t="str">
        <f>IFERROR(YEAR(Table3[[#This Row],[Date]]),"")</f>
        <v/>
      </c>
      <c r="D104" s="10" t="str">
        <f>IFERROR(TEXT(Table3[[#This Row],[Date]],"mmm"),"")</f>
        <v/>
      </c>
      <c r="E104" s="78" t="str">
        <f>IF(LEN(B104)=0,"",SUMIFS(Tbl_Transactions[Amount],Tbl_Transactions[Type],"Income",Tbl_Transactions[Date],"&lt;="&amp;Monthly_Summary_Table!$B104,Tbl_Transactions[Date],"&gt;"&amp;EOMONTH(Monthly_Summary_Table!$B104,-1)))</f>
        <v/>
      </c>
      <c r="F104" s="78" t="str">
        <f>IF(LEN(B104)=0,"",SUMIFS(Tbl_Transactions[Amount],Tbl_Transactions[Type],"Expense",Tbl_Transactions[Date],"&lt;="&amp;Monthly_Summary_Table!$B104,Tbl_Transactions[Date],"&gt;"&amp;EOMONTH(Monthly_Summary_Table!$B104,-1)))</f>
        <v/>
      </c>
      <c r="G104" s="78" t="str">
        <f>IFERROR(Table3[[#This Row],[Income]]-Table3[[#This Row],[Expense]],"")</f>
        <v/>
      </c>
      <c r="H104" s="78" t="str">
        <f xml:space="preserve"> IF(LEN(Table3[[#This Row],[Date]])=0,"",MonthlyBudget)</f>
        <v/>
      </c>
      <c r="I104" s="79" t="str">
        <f>IF(LEN(Table3[[#This Row],[Date]])=0,"",SUM(G104:$G$123))</f>
        <v/>
      </c>
      <c r="J104" s="79" t="str">
        <f>IF(LEN(Table3[[#This Row],[Date]])=0,"",Table3[[#This Row],[Cumulative Savings]]+Starting_Worth)</f>
        <v/>
      </c>
      <c r="K104" s="79" t="str">
        <f>IF(LEN(B104)=0,"",SUMIFS(Tbl_Transactions[Amount],Tbl_Transactions[Account],I_CHOSEN_ACCT,Tbl_Transactions[Type],"Income",Tbl_Transactions[Date],"&lt;="&amp;Monthly_Summary_Table!$B104,Tbl_Transactions[Date],"&gt;"&amp;EOMONTH(Monthly_Summary_Table!$B104,-1)))</f>
        <v/>
      </c>
      <c r="L104" s="79" t="str">
        <f>IF(LEN(B104)=0,"",SUMIFS(Tbl_Transactions[Amount],Tbl_Transactions[Account],I_CHOSEN_ACCT,Tbl_Transactions[Type],"Expense",Tbl_Transactions[Date],"&lt;="&amp;Monthly_Summary_Table!$B104,Tbl_Transactions[Date],"&gt;"&amp;EOMONTH(Monthly_Summary_Table!$B104,-1)))</f>
        <v/>
      </c>
      <c r="M104" s="79" t="str">
        <f>IF(LEN(B104)=0,"",SUMIFS(Tbl_Transactions[Amount],Tbl_Transactions[Account],I_CHOSEN_ACCT,Tbl_Transactions[Type],"Transfer",Tbl_Transactions[Date],"&lt;="&amp;Monthly_Summary_Table!$B104,Tbl_Transactions[Date],"&gt;"&amp;EOMONTH(Monthly_Summary_Table!$B104,-1)))</f>
        <v/>
      </c>
      <c r="N104" s="79" t="str">
        <f>IFERROR(Table3[[#This Row],[ACCT INCOME]]-Table3[[#This Row],[ACCT EXPENSE]]+Table3[[#This Row],[ACCT TRANSFERS]],"")</f>
        <v/>
      </c>
      <c r="O104" s="79" t="str">
        <f>IF(LEN(Table3[[#This Row],[Date]])=0,"",SUM(N104:$N$123)+IF(I_CHOSEN_ACCTTYPE="BANK",INDEX(T_BANK_ACCTS[STARTING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5" spans="2:15" x14ac:dyDescent="0.3">
      <c r="B105" s="9" t="str">
        <f>IFERROR(IF(EOMONTH(MAX(Tbl_Transactions[Date]),ROW($B$4)-ROW($B105))&lt;MIN(Tbl_Transactions[Date]),"",EOMONTH(MAX(Tbl_Transactions[Date]),ROW($B$4)-ROW($B105))),"")</f>
        <v/>
      </c>
      <c r="C105" s="10" t="str">
        <f>IFERROR(YEAR(Table3[[#This Row],[Date]]),"")</f>
        <v/>
      </c>
      <c r="D105" s="10" t="str">
        <f>IFERROR(TEXT(Table3[[#This Row],[Date]],"mmm"),"")</f>
        <v/>
      </c>
      <c r="E105" s="78" t="str">
        <f>IF(LEN(B105)=0,"",SUMIFS(Tbl_Transactions[Amount],Tbl_Transactions[Type],"Income",Tbl_Transactions[Date],"&lt;="&amp;Monthly_Summary_Table!$B105,Tbl_Transactions[Date],"&gt;"&amp;EOMONTH(Monthly_Summary_Table!$B105,-1)))</f>
        <v/>
      </c>
      <c r="F105" s="78" t="str">
        <f>IF(LEN(B105)=0,"",SUMIFS(Tbl_Transactions[Amount],Tbl_Transactions[Type],"Expense",Tbl_Transactions[Date],"&lt;="&amp;Monthly_Summary_Table!$B105,Tbl_Transactions[Date],"&gt;"&amp;EOMONTH(Monthly_Summary_Table!$B105,-1)))</f>
        <v/>
      </c>
      <c r="G105" s="78" t="str">
        <f>IFERROR(Table3[[#This Row],[Income]]-Table3[[#This Row],[Expense]],"")</f>
        <v/>
      </c>
      <c r="H105" s="78" t="str">
        <f xml:space="preserve"> IF(LEN(Table3[[#This Row],[Date]])=0,"",MonthlyBudget)</f>
        <v/>
      </c>
      <c r="I105" s="79" t="str">
        <f>IF(LEN(Table3[[#This Row],[Date]])=0,"",SUM(G105:$G$123))</f>
        <v/>
      </c>
      <c r="J105" s="79" t="str">
        <f>IF(LEN(Table3[[#This Row],[Date]])=0,"",Table3[[#This Row],[Cumulative Savings]]+Starting_Worth)</f>
        <v/>
      </c>
      <c r="K105" s="79" t="str">
        <f>IF(LEN(B105)=0,"",SUMIFS(Tbl_Transactions[Amount],Tbl_Transactions[Account],I_CHOSEN_ACCT,Tbl_Transactions[Type],"Income",Tbl_Transactions[Date],"&lt;="&amp;Monthly_Summary_Table!$B105,Tbl_Transactions[Date],"&gt;"&amp;EOMONTH(Monthly_Summary_Table!$B105,-1)))</f>
        <v/>
      </c>
      <c r="L105" s="79" t="str">
        <f>IF(LEN(B105)=0,"",SUMIFS(Tbl_Transactions[Amount],Tbl_Transactions[Account],I_CHOSEN_ACCT,Tbl_Transactions[Type],"Expense",Tbl_Transactions[Date],"&lt;="&amp;Monthly_Summary_Table!$B105,Tbl_Transactions[Date],"&gt;"&amp;EOMONTH(Monthly_Summary_Table!$B105,-1)))</f>
        <v/>
      </c>
      <c r="M105" s="79" t="str">
        <f>IF(LEN(B105)=0,"",SUMIFS(Tbl_Transactions[Amount],Tbl_Transactions[Account],I_CHOSEN_ACCT,Tbl_Transactions[Type],"Transfer",Tbl_Transactions[Date],"&lt;="&amp;Monthly_Summary_Table!$B105,Tbl_Transactions[Date],"&gt;"&amp;EOMONTH(Monthly_Summary_Table!$B105,-1)))</f>
        <v/>
      </c>
      <c r="N105" s="79" t="str">
        <f>IFERROR(Table3[[#This Row],[ACCT INCOME]]-Table3[[#This Row],[ACCT EXPENSE]]+Table3[[#This Row],[ACCT TRANSFERS]],"")</f>
        <v/>
      </c>
      <c r="O105" s="79" t="str">
        <f>IF(LEN(Table3[[#This Row],[Date]])=0,"",SUM(N105:$N$123)+IF(I_CHOSEN_ACCTTYPE="BANK",INDEX(T_BANK_ACCTS[STARTING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6" spans="2:15" x14ac:dyDescent="0.3">
      <c r="B106" s="9" t="str">
        <f>IFERROR(IF(EOMONTH(MAX(Tbl_Transactions[Date]),ROW($B$4)-ROW($B106))&lt;MIN(Tbl_Transactions[Date]),"",EOMONTH(MAX(Tbl_Transactions[Date]),ROW($B$4)-ROW($B106))),"")</f>
        <v/>
      </c>
      <c r="C106" s="10" t="str">
        <f>IFERROR(YEAR(Table3[[#This Row],[Date]]),"")</f>
        <v/>
      </c>
      <c r="D106" s="10" t="str">
        <f>IFERROR(TEXT(Table3[[#This Row],[Date]],"mmm"),"")</f>
        <v/>
      </c>
      <c r="E106" s="78" t="str">
        <f>IF(LEN(B106)=0,"",SUMIFS(Tbl_Transactions[Amount],Tbl_Transactions[Type],"Income",Tbl_Transactions[Date],"&lt;="&amp;Monthly_Summary_Table!$B106,Tbl_Transactions[Date],"&gt;"&amp;EOMONTH(Monthly_Summary_Table!$B106,-1)))</f>
        <v/>
      </c>
      <c r="F106" s="78" t="str">
        <f>IF(LEN(B106)=0,"",SUMIFS(Tbl_Transactions[Amount],Tbl_Transactions[Type],"Expense",Tbl_Transactions[Date],"&lt;="&amp;Monthly_Summary_Table!$B106,Tbl_Transactions[Date],"&gt;"&amp;EOMONTH(Monthly_Summary_Table!$B106,-1)))</f>
        <v/>
      </c>
      <c r="G106" s="78" t="str">
        <f>IFERROR(Table3[[#This Row],[Income]]-Table3[[#This Row],[Expense]],"")</f>
        <v/>
      </c>
      <c r="H106" s="78" t="str">
        <f xml:space="preserve"> IF(LEN(Table3[[#This Row],[Date]])=0,"",MonthlyBudget)</f>
        <v/>
      </c>
      <c r="I106" s="79" t="str">
        <f>IF(LEN(Table3[[#This Row],[Date]])=0,"",SUM(G106:$G$123))</f>
        <v/>
      </c>
      <c r="J106" s="79" t="str">
        <f>IF(LEN(Table3[[#This Row],[Date]])=0,"",Table3[[#This Row],[Cumulative Savings]]+Starting_Worth)</f>
        <v/>
      </c>
      <c r="K106" s="79" t="str">
        <f>IF(LEN(B106)=0,"",SUMIFS(Tbl_Transactions[Amount],Tbl_Transactions[Account],I_CHOSEN_ACCT,Tbl_Transactions[Type],"Income",Tbl_Transactions[Date],"&lt;="&amp;Monthly_Summary_Table!$B106,Tbl_Transactions[Date],"&gt;"&amp;EOMONTH(Monthly_Summary_Table!$B106,-1)))</f>
        <v/>
      </c>
      <c r="L106" s="79" t="str">
        <f>IF(LEN(B106)=0,"",SUMIFS(Tbl_Transactions[Amount],Tbl_Transactions[Account],I_CHOSEN_ACCT,Tbl_Transactions[Type],"Expense",Tbl_Transactions[Date],"&lt;="&amp;Monthly_Summary_Table!$B106,Tbl_Transactions[Date],"&gt;"&amp;EOMONTH(Monthly_Summary_Table!$B106,-1)))</f>
        <v/>
      </c>
      <c r="M106" s="79" t="str">
        <f>IF(LEN(B106)=0,"",SUMIFS(Tbl_Transactions[Amount],Tbl_Transactions[Account],I_CHOSEN_ACCT,Tbl_Transactions[Type],"Transfer",Tbl_Transactions[Date],"&lt;="&amp;Monthly_Summary_Table!$B106,Tbl_Transactions[Date],"&gt;"&amp;EOMONTH(Monthly_Summary_Table!$B106,-1)))</f>
        <v/>
      </c>
      <c r="N106" s="79" t="str">
        <f>IFERROR(Table3[[#This Row],[ACCT INCOME]]-Table3[[#This Row],[ACCT EXPENSE]]+Table3[[#This Row],[ACCT TRANSFERS]],"")</f>
        <v/>
      </c>
      <c r="O106" s="79" t="str">
        <f>IF(LEN(Table3[[#This Row],[Date]])=0,"",SUM(N106:$N$123)+IF(I_CHOSEN_ACCTTYPE="BANK",INDEX(T_BANK_ACCTS[STARTING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7" spans="2:15" x14ac:dyDescent="0.3">
      <c r="B107" s="9" t="str">
        <f>IFERROR(IF(EOMONTH(MAX(Tbl_Transactions[Date]),ROW($B$4)-ROW($B107))&lt;MIN(Tbl_Transactions[Date]),"",EOMONTH(MAX(Tbl_Transactions[Date]),ROW($B$4)-ROW($B107))),"")</f>
        <v/>
      </c>
      <c r="C107" s="10" t="str">
        <f>IFERROR(YEAR(Table3[[#This Row],[Date]]),"")</f>
        <v/>
      </c>
      <c r="D107" s="10" t="str">
        <f>IFERROR(TEXT(Table3[[#This Row],[Date]],"mmm"),"")</f>
        <v/>
      </c>
      <c r="E107" s="78" t="str">
        <f>IF(LEN(B107)=0,"",SUMIFS(Tbl_Transactions[Amount],Tbl_Transactions[Type],"Income",Tbl_Transactions[Date],"&lt;="&amp;Monthly_Summary_Table!$B107,Tbl_Transactions[Date],"&gt;"&amp;EOMONTH(Monthly_Summary_Table!$B107,-1)))</f>
        <v/>
      </c>
      <c r="F107" s="78" t="str">
        <f>IF(LEN(B107)=0,"",SUMIFS(Tbl_Transactions[Amount],Tbl_Transactions[Type],"Expense",Tbl_Transactions[Date],"&lt;="&amp;Monthly_Summary_Table!$B107,Tbl_Transactions[Date],"&gt;"&amp;EOMONTH(Monthly_Summary_Table!$B107,-1)))</f>
        <v/>
      </c>
      <c r="G107" s="78" t="str">
        <f>IFERROR(Table3[[#This Row],[Income]]-Table3[[#This Row],[Expense]],"")</f>
        <v/>
      </c>
      <c r="H107" s="78" t="str">
        <f xml:space="preserve"> IF(LEN(Table3[[#This Row],[Date]])=0,"",MonthlyBudget)</f>
        <v/>
      </c>
      <c r="I107" s="79" t="str">
        <f>IF(LEN(Table3[[#This Row],[Date]])=0,"",SUM(G107:$G$123))</f>
        <v/>
      </c>
      <c r="J107" s="79" t="str">
        <f>IF(LEN(Table3[[#This Row],[Date]])=0,"",Table3[[#This Row],[Cumulative Savings]]+Starting_Worth)</f>
        <v/>
      </c>
      <c r="K107" s="79" t="str">
        <f>IF(LEN(B107)=0,"",SUMIFS(Tbl_Transactions[Amount],Tbl_Transactions[Account],I_CHOSEN_ACCT,Tbl_Transactions[Type],"Income",Tbl_Transactions[Date],"&lt;="&amp;Monthly_Summary_Table!$B107,Tbl_Transactions[Date],"&gt;"&amp;EOMONTH(Monthly_Summary_Table!$B107,-1)))</f>
        <v/>
      </c>
      <c r="L107" s="79" t="str">
        <f>IF(LEN(B107)=0,"",SUMIFS(Tbl_Transactions[Amount],Tbl_Transactions[Account],I_CHOSEN_ACCT,Tbl_Transactions[Type],"Expense",Tbl_Transactions[Date],"&lt;="&amp;Monthly_Summary_Table!$B107,Tbl_Transactions[Date],"&gt;"&amp;EOMONTH(Monthly_Summary_Table!$B107,-1)))</f>
        <v/>
      </c>
      <c r="M107" s="79" t="str">
        <f>IF(LEN(B107)=0,"",SUMIFS(Tbl_Transactions[Amount],Tbl_Transactions[Account],I_CHOSEN_ACCT,Tbl_Transactions[Type],"Transfer",Tbl_Transactions[Date],"&lt;="&amp;Monthly_Summary_Table!$B107,Tbl_Transactions[Date],"&gt;"&amp;EOMONTH(Monthly_Summary_Table!$B107,-1)))</f>
        <v/>
      </c>
      <c r="N107" s="79" t="str">
        <f>IFERROR(Table3[[#This Row],[ACCT INCOME]]-Table3[[#This Row],[ACCT EXPENSE]]+Table3[[#This Row],[ACCT TRANSFERS]],"")</f>
        <v/>
      </c>
      <c r="O107" s="79" t="str">
        <f>IF(LEN(Table3[[#This Row],[Date]])=0,"",SUM(N107:$N$123)+IF(I_CHOSEN_ACCTTYPE="BANK",INDEX(T_BANK_ACCTS[STARTING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8" spans="2:15" x14ac:dyDescent="0.3">
      <c r="B108" s="9" t="str">
        <f>IFERROR(IF(EOMONTH(MAX(Tbl_Transactions[Date]),ROW($B$4)-ROW($B108))&lt;MIN(Tbl_Transactions[Date]),"",EOMONTH(MAX(Tbl_Transactions[Date]),ROW($B$4)-ROW($B108))),"")</f>
        <v/>
      </c>
      <c r="C108" s="10" t="str">
        <f>IFERROR(YEAR(Table3[[#This Row],[Date]]),"")</f>
        <v/>
      </c>
      <c r="D108" s="10" t="str">
        <f>IFERROR(TEXT(Table3[[#This Row],[Date]],"mmm"),"")</f>
        <v/>
      </c>
      <c r="E108" s="78" t="str">
        <f>IF(LEN(B108)=0,"",SUMIFS(Tbl_Transactions[Amount],Tbl_Transactions[Type],"Income",Tbl_Transactions[Date],"&lt;="&amp;Monthly_Summary_Table!$B108,Tbl_Transactions[Date],"&gt;"&amp;EOMONTH(Monthly_Summary_Table!$B108,-1)))</f>
        <v/>
      </c>
      <c r="F108" s="78" t="str">
        <f>IF(LEN(B108)=0,"",SUMIFS(Tbl_Transactions[Amount],Tbl_Transactions[Type],"Expense",Tbl_Transactions[Date],"&lt;="&amp;Monthly_Summary_Table!$B108,Tbl_Transactions[Date],"&gt;"&amp;EOMONTH(Monthly_Summary_Table!$B108,-1)))</f>
        <v/>
      </c>
      <c r="G108" s="78" t="str">
        <f>IFERROR(Table3[[#This Row],[Income]]-Table3[[#This Row],[Expense]],"")</f>
        <v/>
      </c>
      <c r="H108" s="78" t="str">
        <f xml:space="preserve"> IF(LEN(Table3[[#This Row],[Date]])=0,"",MonthlyBudget)</f>
        <v/>
      </c>
      <c r="I108" s="79" t="str">
        <f>IF(LEN(Table3[[#This Row],[Date]])=0,"",SUM(G108:$G$123))</f>
        <v/>
      </c>
      <c r="J108" s="79" t="str">
        <f>IF(LEN(Table3[[#This Row],[Date]])=0,"",Table3[[#This Row],[Cumulative Savings]]+Starting_Worth)</f>
        <v/>
      </c>
      <c r="K108" s="79" t="str">
        <f>IF(LEN(B108)=0,"",SUMIFS(Tbl_Transactions[Amount],Tbl_Transactions[Account],I_CHOSEN_ACCT,Tbl_Transactions[Type],"Income",Tbl_Transactions[Date],"&lt;="&amp;Monthly_Summary_Table!$B108,Tbl_Transactions[Date],"&gt;"&amp;EOMONTH(Monthly_Summary_Table!$B108,-1)))</f>
        <v/>
      </c>
      <c r="L108" s="79" t="str">
        <f>IF(LEN(B108)=0,"",SUMIFS(Tbl_Transactions[Amount],Tbl_Transactions[Account],I_CHOSEN_ACCT,Tbl_Transactions[Type],"Expense",Tbl_Transactions[Date],"&lt;="&amp;Monthly_Summary_Table!$B108,Tbl_Transactions[Date],"&gt;"&amp;EOMONTH(Monthly_Summary_Table!$B108,-1)))</f>
        <v/>
      </c>
      <c r="M108" s="79" t="str">
        <f>IF(LEN(B108)=0,"",SUMIFS(Tbl_Transactions[Amount],Tbl_Transactions[Account],I_CHOSEN_ACCT,Tbl_Transactions[Type],"Transfer",Tbl_Transactions[Date],"&lt;="&amp;Monthly_Summary_Table!$B108,Tbl_Transactions[Date],"&gt;"&amp;EOMONTH(Monthly_Summary_Table!$B108,-1)))</f>
        <v/>
      </c>
      <c r="N108" s="79" t="str">
        <f>IFERROR(Table3[[#This Row],[ACCT INCOME]]-Table3[[#This Row],[ACCT EXPENSE]]+Table3[[#This Row],[ACCT TRANSFERS]],"")</f>
        <v/>
      </c>
      <c r="O108" s="79" t="str">
        <f>IF(LEN(Table3[[#This Row],[Date]])=0,"",SUM(N108:$N$123)+IF(I_CHOSEN_ACCTTYPE="BANK",INDEX(T_BANK_ACCTS[STARTING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09" spans="2:15" x14ac:dyDescent="0.3">
      <c r="B109" s="9" t="str">
        <f>IFERROR(IF(EOMONTH(MAX(Tbl_Transactions[Date]),ROW($B$4)-ROW($B109))&lt;MIN(Tbl_Transactions[Date]),"",EOMONTH(MAX(Tbl_Transactions[Date]),ROW($B$4)-ROW($B109))),"")</f>
        <v/>
      </c>
      <c r="C109" s="10" t="str">
        <f>IFERROR(YEAR(Table3[[#This Row],[Date]]),"")</f>
        <v/>
      </c>
      <c r="D109" s="10" t="str">
        <f>IFERROR(TEXT(Table3[[#This Row],[Date]],"mmm"),"")</f>
        <v/>
      </c>
      <c r="E109" s="78" t="str">
        <f>IF(LEN(B109)=0,"",SUMIFS(Tbl_Transactions[Amount],Tbl_Transactions[Type],"Income",Tbl_Transactions[Date],"&lt;="&amp;Monthly_Summary_Table!$B109,Tbl_Transactions[Date],"&gt;"&amp;EOMONTH(Monthly_Summary_Table!$B109,-1)))</f>
        <v/>
      </c>
      <c r="F109" s="78" t="str">
        <f>IF(LEN(B109)=0,"",SUMIFS(Tbl_Transactions[Amount],Tbl_Transactions[Type],"Expense",Tbl_Transactions[Date],"&lt;="&amp;Monthly_Summary_Table!$B109,Tbl_Transactions[Date],"&gt;"&amp;EOMONTH(Monthly_Summary_Table!$B109,-1)))</f>
        <v/>
      </c>
      <c r="G109" s="78" t="str">
        <f>IFERROR(Table3[[#This Row],[Income]]-Table3[[#This Row],[Expense]],"")</f>
        <v/>
      </c>
      <c r="H109" s="78" t="str">
        <f xml:space="preserve"> IF(LEN(Table3[[#This Row],[Date]])=0,"",MonthlyBudget)</f>
        <v/>
      </c>
      <c r="I109" s="79" t="str">
        <f>IF(LEN(Table3[[#This Row],[Date]])=0,"",SUM(G109:$G$123))</f>
        <v/>
      </c>
      <c r="J109" s="79" t="str">
        <f>IF(LEN(Table3[[#This Row],[Date]])=0,"",Table3[[#This Row],[Cumulative Savings]]+Starting_Worth)</f>
        <v/>
      </c>
      <c r="K109" s="79" t="str">
        <f>IF(LEN(B109)=0,"",SUMIFS(Tbl_Transactions[Amount],Tbl_Transactions[Account],I_CHOSEN_ACCT,Tbl_Transactions[Type],"Income",Tbl_Transactions[Date],"&lt;="&amp;Monthly_Summary_Table!$B109,Tbl_Transactions[Date],"&gt;"&amp;EOMONTH(Monthly_Summary_Table!$B109,-1)))</f>
        <v/>
      </c>
      <c r="L109" s="79" t="str">
        <f>IF(LEN(B109)=0,"",SUMIFS(Tbl_Transactions[Amount],Tbl_Transactions[Account],I_CHOSEN_ACCT,Tbl_Transactions[Type],"Expense",Tbl_Transactions[Date],"&lt;="&amp;Monthly_Summary_Table!$B109,Tbl_Transactions[Date],"&gt;"&amp;EOMONTH(Monthly_Summary_Table!$B109,-1)))</f>
        <v/>
      </c>
      <c r="M109" s="79" t="str">
        <f>IF(LEN(B109)=0,"",SUMIFS(Tbl_Transactions[Amount],Tbl_Transactions[Account],I_CHOSEN_ACCT,Tbl_Transactions[Type],"Transfer",Tbl_Transactions[Date],"&lt;="&amp;Monthly_Summary_Table!$B109,Tbl_Transactions[Date],"&gt;"&amp;EOMONTH(Monthly_Summary_Table!$B109,-1)))</f>
        <v/>
      </c>
      <c r="N109" s="79" t="str">
        <f>IFERROR(Table3[[#This Row],[ACCT INCOME]]-Table3[[#This Row],[ACCT EXPENSE]]+Table3[[#This Row],[ACCT TRANSFERS]],"")</f>
        <v/>
      </c>
      <c r="O109" s="79" t="str">
        <f>IF(LEN(Table3[[#This Row],[Date]])=0,"",SUM(N109:$N$123)+IF(I_CHOSEN_ACCTTYPE="BANK",INDEX(T_BANK_ACCTS[STARTING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0" spans="2:15" x14ac:dyDescent="0.3">
      <c r="B110" s="9" t="str">
        <f>IFERROR(IF(EOMONTH(MAX(Tbl_Transactions[Date]),ROW($B$4)-ROW($B110))&lt;MIN(Tbl_Transactions[Date]),"",EOMONTH(MAX(Tbl_Transactions[Date]),ROW($B$4)-ROW($B110))),"")</f>
        <v/>
      </c>
      <c r="C110" s="10" t="str">
        <f>IFERROR(YEAR(Table3[[#This Row],[Date]]),"")</f>
        <v/>
      </c>
      <c r="D110" s="10" t="str">
        <f>IFERROR(TEXT(Table3[[#This Row],[Date]],"mmm"),"")</f>
        <v/>
      </c>
      <c r="E110" s="78" t="str">
        <f>IF(LEN(B110)=0,"",SUMIFS(Tbl_Transactions[Amount],Tbl_Transactions[Type],"Income",Tbl_Transactions[Date],"&lt;="&amp;Monthly_Summary_Table!$B110,Tbl_Transactions[Date],"&gt;"&amp;EOMONTH(Monthly_Summary_Table!$B110,-1)))</f>
        <v/>
      </c>
      <c r="F110" s="78" t="str">
        <f>IF(LEN(B110)=0,"",SUMIFS(Tbl_Transactions[Amount],Tbl_Transactions[Type],"Expense",Tbl_Transactions[Date],"&lt;="&amp;Monthly_Summary_Table!$B110,Tbl_Transactions[Date],"&gt;"&amp;EOMONTH(Monthly_Summary_Table!$B110,-1)))</f>
        <v/>
      </c>
      <c r="G110" s="78" t="str">
        <f>IFERROR(Table3[[#This Row],[Income]]-Table3[[#This Row],[Expense]],"")</f>
        <v/>
      </c>
      <c r="H110" s="78" t="str">
        <f xml:space="preserve"> IF(LEN(Table3[[#This Row],[Date]])=0,"",MonthlyBudget)</f>
        <v/>
      </c>
      <c r="I110" s="79" t="str">
        <f>IF(LEN(Table3[[#This Row],[Date]])=0,"",SUM(G110:$G$123))</f>
        <v/>
      </c>
      <c r="J110" s="79" t="str">
        <f>IF(LEN(Table3[[#This Row],[Date]])=0,"",Table3[[#This Row],[Cumulative Savings]]+Starting_Worth)</f>
        <v/>
      </c>
      <c r="K110" s="79" t="str">
        <f>IF(LEN(B110)=0,"",SUMIFS(Tbl_Transactions[Amount],Tbl_Transactions[Account],I_CHOSEN_ACCT,Tbl_Transactions[Type],"Income",Tbl_Transactions[Date],"&lt;="&amp;Monthly_Summary_Table!$B110,Tbl_Transactions[Date],"&gt;"&amp;EOMONTH(Monthly_Summary_Table!$B110,-1)))</f>
        <v/>
      </c>
      <c r="L110" s="79" t="str">
        <f>IF(LEN(B110)=0,"",SUMIFS(Tbl_Transactions[Amount],Tbl_Transactions[Account],I_CHOSEN_ACCT,Tbl_Transactions[Type],"Expense",Tbl_Transactions[Date],"&lt;="&amp;Monthly_Summary_Table!$B110,Tbl_Transactions[Date],"&gt;"&amp;EOMONTH(Monthly_Summary_Table!$B110,-1)))</f>
        <v/>
      </c>
      <c r="M110" s="79" t="str">
        <f>IF(LEN(B110)=0,"",SUMIFS(Tbl_Transactions[Amount],Tbl_Transactions[Account],I_CHOSEN_ACCT,Tbl_Transactions[Type],"Transfer",Tbl_Transactions[Date],"&lt;="&amp;Monthly_Summary_Table!$B110,Tbl_Transactions[Date],"&gt;"&amp;EOMONTH(Monthly_Summary_Table!$B110,-1)))</f>
        <v/>
      </c>
      <c r="N110" s="79" t="str">
        <f>IFERROR(Table3[[#This Row],[ACCT INCOME]]-Table3[[#This Row],[ACCT EXPENSE]]+Table3[[#This Row],[ACCT TRANSFERS]],"")</f>
        <v/>
      </c>
      <c r="O110" s="79" t="str">
        <f>IF(LEN(Table3[[#This Row],[Date]])=0,"",SUM(N110:$N$123)+IF(I_CHOSEN_ACCTTYPE="BANK",INDEX(T_BANK_ACCTS[STARTING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1" spans="2:15" x14ac:dyDescent="0.3">
      <c r="B111" s="9" t="str">
        <f>IFERROR(IF(EOMONTH(MAX(Tbl_Transactions[Date]),ROW($B$4)-ROW($B111))&lt;MIN(Tbl_Transactions[Date]),"",EOMONTH(MAX(Tbl_Transactions[Date]),ROW($B$4)-ROW($B111))),"")</f>
        <v/>
      </c>
      <c r="C111" s="10" t="str">
        <f>IFERROR(YEAR(Table3[[#This Row],[Date]]),"")</f>
        <v/>
      </c>
      <c r="D111" s="10" t="str">
        <f>IFERROR(TEXT(Table3[[#This Row],[Date]],"mmm"),"")</f>
        <v/>
      </c>
      <c r="E111" s="78" t="str">
        <f>IF(LEN(B111)=0,"",SUMIFS(Tbl_Transactions[Amount],Tbl_Transactions[Type],"Income",Tbl_Transactions[Date],"&lt;="&amp;Monthly_Summary_Table!$B111,Tbl_Transactions[Date],"&gt;"&amp;EOMONTH(Monthly_Summary_Table!$B111,-1)))</f>
        <v/>
      </c>
      <c r="F111" s="78" t="str">
        <f>IF(LEN(B111)=0,"",SUMIFS(Tbl_Transactions[Amount],Tbl_Transactions[Type],"Expense",Tbl_Transactions[Date],"&lt;="&amp;Monthly_Summary_Table!$B111,Tbl_Transactions[Date],"&gt;"&amp;EOMONTH(Monthly_Summary_Table!$B111,-1)))</f>
        <v/>
      </c>
      <c r="G111" s="78" t="str">
        <f>IFERROR(Table3[[#This Row],[Income]]-Table3[[#This Row],[Expense]],"")</f>
        <v/>
      </c>
      <c r="H111" s="78" t="str">
        <f xml:space="preserve"> IF(LEN(Table3[[#This Row],[Date]])=0,"",MonthlyBudget)</f>
        <v/>
      </c>
      <c r="I111" s="79" t="str">
        <f>IF(LEN(Table3[[#This Row],[Date]])=0,"",SUM(G111:$G$123))</f>
        <v/>
      </c>
      <c r="J111" s="79" t="str">
        <f>IF(LEN(Table3[[#This Row],[Date]])=0,"",Table3[[#This Row],[Cumulative Savings]]+Starting_Worth)</f>
        <v/>
      </c>
      <c r="K111" s="79" t="str">
        <f>IF(LEN(B111)=0,"",SUMIFS(Tbl_Transactions[Amount],Tbl_Transactions[Account],I_CHOSEN_ACCT,Tbl_Transactions[Type],"Income",Tbl_Transactions[Date],"&lt;="&amp;Monthly_Summary_Table!$B111,Tbl_Transactions[Date],"&gt;"&amp;EOMONTH(Monthly_Summary_Table!$B111,-1)))</f>
        <v/>
      </c>
      <c r="L111" s="79" t="str">
        <f>IF(LEN(B111)=0,"",SUMIFS(Tbl_Transactions[Amount],Tbl_Transactions[Account],I_CHOSEN_ACCT,Tbl_Transactions[Type],"Expense",Tbl_Transactions[Date],"&lt;="&amp;Monthly_Summary_Table!$B111,Tbl_Transactions[Date],"&gt;"&amp;EOMONTH(Monthly_Summary_Table!$B111,-1)))</f>
        <v/>
      </c>
      <c r="M111" s="79" t="str">
        <f>IF(LEN(B111)=0,"",SUMIFS(Tbl_Transactions[Amount],Tbl_Transactions[Account],I_CHOSEN_ACCT,Tbl_Transactions[Type],"Transfer",Tbl_Transactions[Date],"&lt;="&amp;Monthly_Summary_Table!$B111,Tbl_Transactions[Date],"&gt;"&amp;EOMONTH(Monthly_Summary_Table!$B111,-1)))</f>
        <v/>
      </c>
      <c r="N111" s="79" t="str">
        <f>IFERROR(Table3[[#This Row],[ACCT INCOME]]-Table3[[#This Row],[ACCT EXPENSE]]+Table3[[#This Row],[ACCT TRANSFERS]],"")</f>
        <v/>
      </c>
      <c r="O111" s="79" t="str">
        <f>IF(LEN(Table3[[#This Row],[Date]])=0,"",SUM(N111:$N$123)+IF(I_CHOSEN_ACCTTYPE="BANK",INDEX(T_BANK_ACCTS[STARTING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2" spans="2:15" x14ac:dyDescent="0.3">
      <c r="B112" s="9" t="str">
        <f>IFERROR(IF(EOMONTH(MAX(Tbl_Transactions[Date]),ROW($B$4)-ROW($B112))&lt;MIN(Tbl_Transactions[Date]),"",EOMONTH(MAX(Tbl_Transactions[Date]),ROW($B$4)-ROW($B112))),"")</f>
        <v/>
      </c>
      <c r="C112" s="10" t="str">
        <f>IFERROR(YEAR(Table3[[#This Row],[Date]]),"")</f>
        <v/>
      </c>
      <c r="D112" s="10" t="str">
        <f>IFERROR(TEXT(Table3[[#This Row],[Date]],"mmm"),"")</f>
        <v/>
      </c>
      <c r="E112" s="78" t="str">
        <f>IF(LEN(B112)=0,"",SUMIFS(Tbl_Transactions[Amount],Tbl_Transactions[Type],"Income",Tbl_Transactions[Date],"&lt;="&amp;Monthly_Summary_Table!$B112,Tbl_Transactions[Date],"&gt;"&amp;EOMONTH(Monthly_Summary_Table!$B112,-1)))</f>
        <v/>
      </c>
      <c r="F112" s="78" t="str">
        <f>IF(LEN(B112)=0,"",SUMIFS(Tbl_Transactions[Amount],Tbl_Transactions[Type],"Expense",Tbl_Transactions[Date],"&lt;="&amp;Monthly_Summary_Table!$B112,Tbl_Transactions[Date],"&gt;"&amp;EOMONTH(Monthly_Summary_Table!$B112,-1)))</f>
        <v/>
      </c>
      <c r="G112" s="78" t="str">
        <f>IFERROR(Table3[[#This Row],[Income]]-Table3[[#This Row],[Expense]],"")</f>
        <v/>
      </c>
      <c r="H112" s="78" t="str">
        <f xml:space="preserve"> IF(LEN(Table3[[#This Row],[Date]])=0,"",MonthlyBudget)</f>
        <v/>
      </c>
      <c r="I112" s="79" t="str">
        <f>IF(LEN(Table3[[#This Row],[Date]])=0,"",SUM(G112:$G$123))</f>
        <v/>
      </c>
      <c r="J112" s="79" t="str">
        <f>IF(LEN(Table3[[#This Row],[Date]])=0,"",Table3[[#This Row],[Cumulative Savings]]+Starting_Worth)</f>
        <v/>
      </c>
      <c r="K112" s="79" t="str">
        <f>IF(LEN(B112)=0,"",SUMIFS(Tbl_Transactions[Amount],Tbl_Transactions[Account],I_CHOSEN_ACCT,Tbl_Transactions[Type],"Income",Tbl_Transactions[Date],"&lt;="&amp;Monthly_Summary_Table!$B112,Tbl_Transactions[Date],"&gt;"&amp;EOMONTH(Monthly_Summary_Table!$B112,-1)))</f>
        <v/>
      </c>
      <c r="L112" s="79" t="str">
        <f>IF(LEN(B112)=0,"",SUMIFS(Tbl_Transactions[Amount],Tbl_Transactions[Account],I_CHOSEN_ACCT,Tbl_Transactions[Type],"Expense",Tbl_Transactions[Date],"&lt;="&amp;Monthly_Summary_Table!$B112,Tbl_Transactions[Date],"&gt;"&amp;EOMONTH(Monthly_Summary_Table!$B112,-1)))</f>
        <v/>
      </c>
      <c r="M112" s="79" t="str">
        <f>IF(LEN(B112)=0,"",SUMIFS(Tbl_Transactions[Amount],Tbl_Transactions[Account],I_CHOSEN_ACCT,Tbl_Transactions[Type],"Transfer",Tbl_Transactions[Date],"&lt;="&amp;Monthly_Summary_Table!$B112,Tbl_Transactions[Date],"&gt;"&amp;EOMONTH(Monthly_Summary_Table!$B112,-1)))</f>
        <v/>
      </c>
      <c r="N112" s="79" t="str">
        <f>IFERROR(Table3[[#This Row],[ACCT INCOME]]-Table3[[#This Row],[ACCT EXPENSE]]+Table3[[#This Row],[ACCT TRANSFERS]],"")</f>
        <v/>
      </c>
      <c r="O112" s="79" t="str">
        <f>IF(LEN(Table3[[#This Row],[Date]])=0,"",SUM(N112:$N$123)+IF(I_CHOSEN_ACCTTYPE="BANK",INDEX(T_BANK_ACCTS[STARTING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3" spans="2:15" x14ac:dyDescent="0.3">
      <c r="B113" s="9" t="str">
        <f>IFERROR(IF(EOMONTH(MAX(Tbl_Transactions[Date]),ROW($B$4)-ROW($B113))&lt;MIN(Tbl_Transactions[Date]),"",EOMONTH(MAX(Tbl_Transactions[Date]),ROW($B$4)-ROW($B113))),"")</f>
        <v/>
      </c>
      <c r="C113" s="10" t="str">
        <f>IFERROR(YEAR(Table3[[#This Row],[Date]]),"")</f>
        <v/>
      </c>
      <c r="D113" s="10" t="str">
        <f>IFERROR(TEXT(Table3[[#This Row],[Date]],"mmm"),"")</f>
        <v/>
      </c>
      <c r="E113" s="78" t="str">
        <f>IF(LEN(B113)=0,"",SUMIFS(Tbl_Transactions[Amount],Tbl_Transactions[Type],"Income",Tbl_Transactions[Date],"&lt;="&amp;Monthly_Summary_Table!$B113,Tbl_Transactions[Date],"&gt;"&amp;EOMONTH(Monthly_Summary_Table!$B113,-1)))</f>
        <v/>
      </c>
      <c r="F113" s="78" t="str">
        <f>IF(LEN(B113)=0,"",SUMIFS(Tbl_Transactions[Amount],Tbl_Transactions[Type],"Expense",Tbl_Transactions[Date],"&lt;="&amp;Monthly_Summary_Table!$B113,Tbl_Transactions[Date],"&gt;"&amp;EOMONTH(Monthly_Summary_Table!$B113,-1)))</f>
        <v/>
      </c>
      <c r="G113" s="78" t="str">
        <f>IFERROR(Table3[[#This Row],[Income]]-Table3[[#This Row],[Expense]],"")</f>
        <v/>
      </c>
      <c r="H113" s="78" t="str">
        <f xml:space="preserve"> IF(LEN(Table3[[#This Row],[Date]])=0,"",MonthlyBudget)</f>
        <v/>
      </c>
      <c r="I113" s="79" t="str">
        <f>IF(LEN(Table3[[#This Row],[Date]])=0,"",SUM(G113:$G$123))</f>
        <v/>
      </c>
      <c r="J113" s="79" t="str">
        <f>IF(LEN(Table3[[#This Row],[Date]])=0,"",Table3[[#This Row],[Cumulative Savings]]+Starting_Worth)</f>
        <v/>
      </c>
      <c r="K113" s="79" t="str">
        <f>IF(LEN(B113)=0,"",SUMIFS(Tbl_Transactions[Amount],Tbl_Transactions[Account],I_CHOSEN_ACCT,Tbl_Transactions[Type],"Income",Tbl_Transactions[Date],"&lt;="&amp;Monthly_Summary_Table!$B113,Tbl_Transactions[Date],"&gt;"&amp;EOMONTH(Monthly_Summary_Table!$B113,-1)))</f>
        <v/>
      </c>
      <c r="L113" s="79" t="str">
        <f>IF(LEN(B113)=0,"",SUMIFS(Tbl_Transactions[Amount],Tbl_Transactions[Account],I_CHOSEN_ACCT,Tbl_Transactions[Type],"Expense",Tbl_Transactions[Date],"&lt;="&amp;Monthly_Summary_Table!$B113,Tbl_Transactions[Date],"&gt;"&amp;EOMONTH(Monthly_Summary_Table!$B113,-1)))</f>
        <v/>
      </c>
      <c r="M113" s="79" t="str">
        <f>IF(LEN(B113)=0,"",SUMIFS(Tbl_Transactions[Amount],Tbl_Transactions[Account],I_CHOSEN_ACCT,Tbl_Transactions[Type],"Transfer",Tbl_Transactions[Date],"&lt;="&amp;Monthly_Summary_Table!$B113,Tbl_Transactions[Date],"&gt;"&amp;EOMONTH(Monthly_Summary_Table!$B113,-1)))</f>
        <v/>
      </c>
      <c r="N113" s="79" t="str">
        <f>IFERROR(Table3[[#This Row],[ACCT INCOME]]-Table3[[#This Row],[ACCT EXPENSE]]+Table3[[#This Row],[ACCT TRANSFERS]],"")</f>
        <v/>
      </c>
      <c r="O113" s="79" t="str">
        <f>IF(LEN(Table3[[#This Row],[Date]])=0,"",SUM(N113:$N$123)+IF(I_CHOSEN_ACCTTYPE="BANK",INDEX(T_BANK_ACCTS[STARTING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4" spans="2:15" x14ac:dyDescent="0.3">
      <c r="B114" s="9" t="str">
        <f>IFERROR(IF(EOMONTH(MAX(Tbl_Transactions[Date]),ROW($B$4)-ROW($B114))&lt;MIN(Tbl_Transactions[Date]),"",EOMONTH(MAX(Tbl_Transactions[Date]),ROW($B$4)-ROW($B114))),"")</f>
        <v/>
      </c>
      <c r="C114" s="10" t="str">
        <f>IFERROR(YEAR(Table3[[#This Row],[Date]]),"")</f>
        <v/>
      </c>
      <c r="D114" s="10" t="str">
        <f>IFERROR(TEXT(Table3[[#This Row],[Date]],"mmm"),"")</f>
        <v/>
      </c>
      <c r="E114" s="78" t="str">
        <f>IF(LEN(B114)=0,"",SUMIFS(Tbl_Transactions[Amount],Tbl_Transactions[Type],"Income",Tbl_Transactions[Date],"&lt;="&amp;Monthly_Summary_Table!$B114,Tbl_Transactions[Date],"&gt;"&amp;EOMONTH(Monthly_Summary_Table!$B114,-1)))</f>
        <v/>
      </c>
      <c r="F114" s="78" t="str">
        <f>IF(LEN(B114)=0,"",SUMIFS(Tbl_Transactions[Amount],Tbl_Transactions[Type],"Expense",Tbl_Transactions[Date],"&lt;="&amp;Monthly_Summary_Table!$B114,Tbl_Transactions[Date],"&gt;"&amp;EOMONTH(Monthly_Summary_Table!$B114,-1)))</f>
        <v/>
      </c>
      <c r="G114" s="78" t="str">
        <f>IFERROR(Table3[[#This Row],[Income]]-Table3[[#This Row],[Expense]],"")</f>
        <v/>
      </c>
      <c r="H114" s="78" t="str">
        <f xml:space="preserve"> IF(LEN(Table3[[#This Row],[Date]])=0,"",MonthlyBudget)</f>
        <v/>
      </c>
      <c r="I114" s="79" t="str">
        <f>IF(LEN(Table3[[#This Row],[Date]])=0,"",SUM(G114:$G$123))</f>
        <v/>
      </c>
      <c r="J114" s="79" t="str">
        <f>IF(LEN(Table3[[#This Row],[Date]])=0,"",Table3[[#This Row],[Cumulative Savings]]+Starting_Worth)</f>
        <v/>
      </c>
      <c r="K114" s="79" t="str">
        <f>IF(LEN(B114)=0,"",SUMIFS(Tbl_Transactions[Amount],Tbl_Transactions[Account],I_CHOSEN_ACCT,Tbl_Transactions[Type],"Income",Tbl_Transactions[Date],"&lt;="&amp;Monthly_Summary_Table!$B114,Tbl_Transactions[Date],"&gt;"&amp;EOMONTH(Monthly_Summary_Table!$B114,-1)))</f>
        <v/>
      </c>
      <c r="L114" s="79" t="str">
        <f>IF(LEN(B114)=0,"",SUMIFS(Tbl_Transactions[Amount],Tbl_Transactions[Account],I_CHOSEN_ACCT,Tbl_Transactions[Type],"Expense",Tbl_Transactions[Date],"&lt;="&amp;Monthly_Summary_Table!$B114,Tbl_Transactions[Date],"&gt;"&amp;EOMONTH(Monthly_Summary_Table!$B114,-1)))</f>
        <v/>
      </c>
      <c r="M114" s="79" t="str">
        <f>IF(LEN(B114)=0,"",SUMIFS(Tbl_Transactions[Amount],Tbl_Transactions[Account],I_CHOSEN_ACCT,Tbl_Transactions[Type],"Transfer",Tbl_Transactions[Date],"&lt;="&amp;Monthly_Summary_Table!$B114,Tbl_Transactions[Date],"&gt;"&amp;EOMONTH(Monthly_Summary_Table!$B114,-1)))</f>
        <v/>
      </c>
      <c r="N114" s="79" t="str">
        <f>IFERROR(Table3[[#This Row],[ACCT INCOME]]-Table3[[#This Row],[ACCT EXPENSE]]+Table3[[#This Row],[ACCT TRANSFERS]],"")</f>
        <v/>
      </c>
      <c r="O114" s="79" t="str">
        <f>IF(LEN(Table3[[#This Row],[Date]])=0,"",SUM(N114:$N$123)+IF(I_CHOSEN_ACCTTYPE="BANK",INDEX(T_BANK_ACCTS[STARTING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5" spans="2:15" x14ac:dyDescent="0.3">
      <c r="B115" s="9" t="str">
        <f>IFERROR(IF(EOMONTH(MAX(Tbl_Transactions[Date]),ROW($B$4)-ROW($B115))&lt;MIN(Tbl_Transactions[Date]),"",EOMONTH(MAX(Tbl_Transactions[Date]),ROW($B$4)-ROW($B115))),"")</f>
        <v/>
      </c>
      <c r="C115" s="10" t="str">
        <f>IFERROR(YEAR(Table3[[#This Row],[Date]]),"")</f>
        <v/>
      </c>
      <c r="D115" s="10" t="str">
        <f>IFERROR(TEXT(Table3[[#This Row],[Date]],"mmm"),"")</f>
        <v/>
      </c>
      <c r="E115" s="78" t="str">
        <f>IF(LEN(B115)=0,"",SUMIFS(Tbl_Transactions[Amount],Tbl_Transactions[Type],"Income",Tbl_Transactions[Date],"&lt;="&amp;Monthly_Summary_Table!$B115,Tbl_Transactions[Date],"&gt;"&amp;EOMONTH(Monthly_Summary_Table!$B115,-1)))</f>
        <v/>
      </c>
      <c r="F115" s="78" t="str">
        <f>IF(LEN(B115)=0,"",SUMIFS(Tbl_Transactions[Amount],Tbl_Transactions[Type],"Expense",Tbl_Transactions[Date],"&lt;="&amp;Monthly_Summary_Table!$B115,Tbl_Transactions[Date],"&gt;"&amp;EOMONTH(Monthly_Summary_Table!$B115,-1)))</f>
        <v/>
      </c>
      <c r="G115" s="78" t="str">
        <f>IFERROR(Table3[[#This Row],[Income]]-Table3[[#This Row],[Expense]],"")</f>
        <v/>
      </c>
      <c r="H115" s="78" t="str">
        <f xml:space="preserve"> IF(LEN(Table3[[#This Row],[Date]])=0,"",MonthlyBudget)</f>
        <v/>
      </c>
      <c r="I115" s="79" t="str">
        <f>IF(LEN(Table3[[#This Row],[Date]])=0,"",SUM(G115:$G$123))</f>
        <v/>
      </c>
      <c r="J115" s="79" t="str">
        <f>IF(LEN(Table3[[#This Row],[Date]])=0,"",Table3[[#This Row],[Cumulative Savings]]+Starting_Worth)</f>
        <v/>
      </c>
      <c r="K115" s="79" t="str">
        <f>IF(LEN(B115)=0,"",SUMIFS(Tbl_Transactions[Amount],Tbl_Transactions[Account],I_CHOSEN_ACCT,Tbl_Transactions[Type],"Income",Tbl_Transactions[Date],"&lt;="&amp;Monthly_Summary_Table!$B115,Tbl_Transactions[Date],"&gt;"&amp;EOMONTH(Monthly_Summary_Table!$B115,-1)))</f>
        <v/>
      </c>
      <c r="L115" s="79" t="str">
        <f>IF(LEN(B115)=0,"",SUMIFS(Tbl_Transactions[Amount],Tbl_Transactions[Account],I_CHOSEN_ACCT,Tbl_Transactions[Type],"Expense",Tbl_Transactions[Date],"&lt;="&amp;Monthly_Summary_Table!$B115,Tbl_Transactions[Date],"&gt;"&amp;EOMONTH(Monthly_Summary_Table!$B115,-1)))</f>
        <v/>
      </c>
      <c r="M115" s="79" t="str">
        <f>IF(LEN(B115)=0,"",SUMIFS(Tbl_Transactions[Amount],Tbl_Transactions[Account],I_CHOSEN_ACCT,Tbl_Transactions[Type],"Transfer",Tbl_Transactions[Date],"&lt;="&amp;Monthly_Summary_Table!$B115,Tbl_Transactions[Date],"&gt;"&amp;EOMONTH(Monthly_Summary_Table!$B115,-1)))</f>
        <v/>
      </c>
      <c r="N115" s="79" t="str">
        <f>IFERROR(Table3[[#This Row],[ACCT INCOME]]-Table3[[#This Row],[ACCT EXPENSE]]+Table3[[#This Row],[ACCT TRANSFERS]],"")</f>
        <v/>
      </c>
      <c r="O115" s="79" t="str">
        <f>IF(LEN(Table3[[#This Row],[Date]])=0,"",SUM(N115:$N$123)+IF(I_CHOSEN_ACCTTYPE="BANK",INDEX(T_BANK_ACCTS[STARTING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6" spans="2:15" x14ac:dyDescent="0.3">
      <c r="B116" s="9" t="str">
        <f>IFERROR(IF(EOMONTH(MAX(Tbl_Transactions[Date]),ROW($B$4)-ROW($B116))&lt;MIN(Tbl_Transactions[Date]),"",EOMONTH(MAX(Tbl_Transactions[Date]),ROW($B$4)-ROW($B116))),"")</f>
        <v/>
      </c>
      <c r="C116" s="10" t="str">
        <f>IFERROR(YEAR(Table3[[#This Row],[Date]]),"")</f>
        <v/>
      </c>
      <c r="D116" s="10" t="str">
        <f>IFERROR(TEXT(Table3[[#This Row],[Date]],"mmm"),"")</f>
        <v/>
      </c>
      <c r="E116" s="78" t="str">
        <f>IF(LEN(B116)=0,"",SUMIFS(Tbl_Transactions[Amount],Tbl_Transactions[Type],"Income",Tbl_Transactions[Date],"&lt;="&amp;Monthly_Summary_Table!$B116,Tbl_Transactions[Date],"&gt;"&amp;EOMONTH(Monthly_Summary_Table!$B116,-1)))</f>
        <v/>
      </c>
      <c r="F116" s="78" t="str">
        <f>IF(LEN(B116)=0,"",SUMIFS(Tbl_Transactions[Amount],Tbl_Transactions[Type],"Expense",Tbl_Transactions[Date],"&lt;="&amp;Monthly_Summary_Table!$B116,Tbl_Transactions[Date],"&gt;"&amp;EOMONTH(Monthly_Summary_Table!$B116,-1)))</f>
        <v/>
      </c>
      <c r="G116" s="78" t="str">
        <f>IFERROR(Table3[[#This Row],[Income]]-Table3[[#This Row],[Expense]],"")</f>
        <v/>
      </c>
      <c r="H116" s="78" t="str">
        <f xml:space="preserve"> IF(LEN(Table3[[#This Row],[Date]])=0,"",MonthlyBudget)</f>
        <v/>
      </c>
      <c r="I116" s="79" t="str">
        <f>IF(LEN(Table3[[#This Row],[Date]])=0,"",SUM(G116:$G$123))</f>
        <v/>
      </c>
      <c r="J116" s="79" t="str">
        <f>IF(LEN(Table3[[#This Row],[Date]])=0,"",Table3[[#This Row],[Cumulative Savings]]+Starting_Worth)</f>
        <v/>
      </c>
      <c r="K116" s="79" t="str">
        <f>IF(LEN(B116)=0,"",SUMIFS(Tbl_Transactions[Amount],Tbl_Transactions[Account],I_CHOSEN_ACCT,Tbl_Transactions[Type],"Income",Tbl_Transactions[Date],"&lt;="&amp;Monthly_Summary_Table!$B116,Tbl_Transactions[Date],"&gt;"&amp;EOMONTH(Monthly_Summary_Table!$B116,-1)))</f>
        <v/>
      </c>
      <c r="L116" s="79" t="str">
        <f>IF(LEN(B116)=0,"",SUMIFS(Tbl_Transactions[Amount],Tbl_Transactions[Account],I_CHOSEN_ACCT,Tbl_Transactions[Type],"Expense",Tbl_Transactions[Date],"&lt;="&amp;Monthly_Summary_Table!$B116,Tbl_Transactions[Date],"&gt;"&amp;EOMONTH(Monthly_Summary_Table!$B116,-1)))</f>
        <v/>
      </c>
      <c r="M116" s="79" t="str">
        <f>IF(LEN(B116)=0,"",SUMIFS(Tbl_Transactions[Amount],Tbl_Transactions[Account],I_CHOSEN_ACCT,Tbl_Transactions[Type],"Transfer",Tbl_Transactions[Date],"&lt;="&amp;Monthly_Summary_Table!$B116,Tbl_Transactions[Date],"&gt;"&amp;EOMONTH(Monthly_Summary_Table!$B116,-1)))</f>
        <v/>
      </c>
      <c r="N116" s="79" t="str">
        <f>IFERROR(Table3[[#This Row],[ACCT INCOME]]-Table3[[#This Row],[ACCT EXPENSE]]+Table3[[#This Row],[ACCT TRANSFERS]],"")</f>
        <v/>
      </c>
      <c r="O116" s="79" t="str">
        <f>IF(LEN(Table3[[#This Row],[Date]])=0,"",SUM(N116:$N$123)+IF(I_CHOSEN_ACCTTYPE="BANK",INDEX(T_BANK_ACCTS[STARTING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7" spans="2:15" x14ac:dyDescent="0.3">
      <c r="B117" s="9" t="str">
        <f>IFERROR(IF(EOMONTH(MAX(Tbl_Transactions[Date]),ROW($B$4)-ROW($B117))&lt;MIN(Tbl_Transactions[Date]),"",EOMONTH(MAX(Tbl_Transactions[Date]),ROW($B$4)-ROW($B117))),"")</f>
        <v/>
      </c>
      <c r="C117" s="10" t="str">
        <f>IFERROR(YEAR(Table3[[#This Row],[Date]]),"")</f>
        <v/>
      </c>
      <c r="D117" s="10" t="str">
        <f>IFERROR(TEXT(Table3[[#This Row],[Date]],"mmm"),"")</f>
        <v/>
      </c>
      <c r="E117" s="78" t="str">
        <f>IF(LEN(B117)=0,"",SUMIFS(Tbl_Transactions[Amount],Tbl_Transactions[Type],"Income",Tbl_Transactions[Date],"&lt;="&amp;Monthly_Summary_Table!$B117,Tbl_Transactions[Date],"&gt;"&amp;EOMONTH(Monthly_Summary_Table!$B117,-1)))</f>
        <v/>
      </c>
      <c r="F117" s="78" t="str">
        <f>IF(LEN(B117)=0,"",SUMIFS(Tbl_Transactions[Amount],Tbl_Transactions[Type],"Expense",Tbl_Transactions[Date],"&lt;="&amp;Monthly_Summary_Table!$B117,Tbl_Transactions[Date],"&gt;"&amp;EOMONTH(Monthly_Summary_Table!$B117,-1)))</f>
        <v/>
      </c>
      <c r="G117" s="78" t="str">
        <f>IFERROR(Table3[[#This Row],[Income]]-Table3[[#This Row],[Expense]],"")</f>
        <v/>
      </c>
      <c r="H117" s="78" t="str">
        <f xml:space="preserve"> IF(LEN(Table3[[#This Row],[Date]])=0,"",MonthlyBudget)</f>
        <v/>
      </c>
      <c r="I117" s="79" t="str">
        <f>IF(LEN(Table3[[#This Row],[Date]])=0,"",SUM(G117:$G$123))</f>
        <v/>
      </c>
      <c r="J117" s="79" t="str">
        <f>IF(LEN(Table3[[#This Row],[Date]])=0,"",Table3[[#This Row],[Cumulative Savings]]+Starting_Worth)</f>
        <v/>
      </c>
      <c r="K117" s="79" t="str">
        <f>IF(LEN(B117)=0,"",SUMIFS(Tbl_Transactions[Amount],Tbl_Transactions[Account],I_CHOSEN_ACCT,Tbl_Transactions[Type],"Income",Tbl_Transactions[Date],"&lt;="&amp;Monthly_Summary_Table!$B117,Tbl_Transactions[Date],"&gt;"&amp;EOMONTH(Monthly_Summary_Table!$B117,-1)))</f>
        <v/>
      </c>
      <c r="L117" s="79" t="str">
        <f>IF(LEN(B117)=0,"",SUMIFS(Tbl_Transactions[Amount],Tbl_Transactions[Account],I_CHOSEN_ACCT,Tbl_Transactions[Type],"Expense",Tbl_Transactions[Date],"&lt;="&amp;Monthly_Summary_Table!$B117,Tbl_Transactions[Date],"&gt;"&amp;EOMONTH(Monthly_Summary_Table!$B117,-1)))</f>
        <v/>
      </c>
      <c r="M117" s="79" t="str">
        <f>IF(LEN(B117)=0,"",SUMIFS(Tbl_Transactions[Amount],Tbl_Transactions[Account],I_CHOSEN_ACCT,Tbl_Transactions[Type],"Transfer",Tbl_Transactions[Date],"&lt;="&amp;Monthly_Summary_Table!$B117,Tbl_Transactions[Date],"&gt;"&amp;EOMONTH(Monthly_Summary_Table!$B117,-1)))</f>
        <v/>
      </c>
      <c r="N117" s="79" t="str">
        <f>IFERROR(Table3[[#This Row],[ACCT INCOME]]-Table3[[#This Row],[ACCT EXPENSE]]+Table3[[#This Row],[ACCT TRANSFERS]],"")</f>
        <v/>
      </c>
      <c r="O117" s="79" t="str">
        <f>IF(LEN(Table3[[#This Row],[Date]])=0,"",SUM(N117:$N$123)+IF(I_CHOSEN_ACCTTYPE="BANK",INDEX(T_BANK_ACCTS[STARTING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8" spans="2:15" x14ac:dyDescent="0.3">
      <c r="B118" s="9" t="str">
        <f>IFERROR(IF(EOMONTH(MAX(Tbl_Transactions[Date]),ROW($B$4)-ROW($B118))&lt;MIN(Tbl_Transactions[Date]),"",EOMONTH(MAX(Tbl_Transactions[Date]),ROW($B$4)-ROW($B118))),"")</f>
        <v/>
      </c>
      <c r="C118" s="10" t="str">
        <f>IFERROR(YEAR(Table3[[#This Row],[Date]]),"")</f>
        <v/>
      </c>
      <c r="D118" s="10" t="str">
        <f>IFERROR(TEXT(Table3[[#This Row],[Date]],"mmm"),"")</f>
        <v/>
      </c>
      <c r="E118" s="78" t="str">
        <f>IF(LEN(B118)=0,"",SUMIFS(Tbl_Transactions[Amount],Tbl_Transactions[Type],"Income",Tbl_Transactions[Date],"&lt;="&amp;Monthly_Summary_Table!$B118,Tbl_Transactions[Date],"&gt;"&amp;EOMONTH(Monthly_Summary_Table!$B118,-1)))</f>
        <v/>
      </c>
      <c r="F118" s="78" t="str">
        <f>IF(LEN(B118)=0,"",SUMIFS(Tbl_Transactions[Amount],Tbl_Transactions[Type],"Expense",Tbl_Transactions[Date],"&lt;="&amp;Monthly_Summary_Table!$B118,Tbl_Transactions[Date],"&gt;"&amp;EOMONTH(Monthly_Summary_Table!$B118,-1)))</f>
        <v/>
      </c>
      <c r="G118" s="78" t="str">
        <f>IFERROR(Table3[[#This Row],[Income]]-Table3[[#This Row],[Expense]],"")</f>
        <v/>
      </c>
      <c r="H118" s="78" t="str">
        <f xml:space="preserve"> IF(LEN(Table3[[#This Row],[Date]])=0,"",MonthlyBudget)</f>
        <v/>
      </c>
      <c r="I118" s="79" t="str">
        <f>IF(LEN(Table3[[#This Row],[Date]])=0,"",SUM(G118:$G$123))</f>
        <v/>
      </c>
      <c r="J118" s="79" t="str">
        <f>IF(LEN(Table3[[#This Row],[Date]])=0,"",Table3[[#This Row],[Cumulative Savings]]+Starting_Worth)</f>
        <v/>
      </c>
      <c r="K118" s="79" t="str">
        <f>IF(LEN(B118)=0,"",SUMIFS(Tbl_Transactions[Amount],Tbl_Transactions[Account],I_CHOSEN_ACCT,Tbl_Transactions[Type],"Income",Tbl_Transactions[Date],"&lt;="&amp;Monthly_Summary_Table!$B118,Tbl_Transactions[Date],"&gt;"&amp;EOMONTH(Monthly_Summary_Table!$B118,-1)))</f>
        <v/>
      </c>
      <c r="L118" s="79" t="str">
        <f>IF(LEN(B118)=0,"",SUMIFS(Tbl_Transactions[Amount],Tbl_Transactions[Account],I_CHOSEN_ACCT,Tbl_Transactions[Type],"Expense",Tbl_Transactions[Date],"&lt;="&amp;Monthly_Summary_Table!$B118,Tbl_Transactions[Date],"&gt;"&amp;EOMONTH(Monthly_Summary_Table!$B118,-1)))</f>
        <v/>
      </c>
      <c r="M118" s="79" t="str">
        <f>IF(LEN(B118)=0,"",SUMIFS(Tbl_Transactions[Amount],Tbl_Transactions[Account],I_CHOSEN_ACCT,Tbl_Transactions[Type],"Transfer",Tbl_Transactions[Date],"&lt;="&amp;Monthly_Summary_Table!$B118,Tbl_Transactions[Date],"&gt;"&amp;EOMONTH(Monthly_Summary_Table!$B118,-1)))</f>
        <v/>
      </c>
      <c r="N118" s="79" t="str">
        <f>IFERROR(Table3[[#This Row],[ACCT INCOME]]-Table3[[#This Row],[ACCT EXPENSE]]+Table3[[#This Row],[ACCT TRANSFERS]],"")</f>
        <v/>
      </c>
      <c r="O118" s="79" t="str">
        <f>IF(LEN(Table3[[#This Row],[Date]])=0,"",SUM(N118:$N$123)+IF(I_CHOSEN_ACCTTYPE="BANK",INDEX(T_BANK_ACCTS[STARTING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19" spans="2:15" x14ac:dyDescent="0.3">
      <c r="B119" s="9" t="str">
        <f>IFERROR(IF(EOMONTH(MAX(Tbl_Transactions[Date]),ROW($B$4)-ROW($B119))&lt;MIN(Tbl_Transactions[Date]),"",EOMONTH(MAX(Tbl_Transactions[Date]),ROW($B$4)-ROW($B119))),"")</f>
        <v/>
      </c>
      <c r="C119" s="10" t="str">
        <f>IFERROR(YEAR(Table3[[#This Row],[Date]]),"")</f>
        <v/>
      </c>
      <c r="D119" s="10" t="str">
        <f>IFERROR(TEXT(Table3[[#This Row],[Date]],"mmm"),"")</f>
        <v/>
      </c>
      <c r="E119" s="78" t="str">
        <f>IF(LEN(B119)=0,"",SUMIFS(Tbl_Transactions[Amount],Tbl_Transactions[Type],"Income",Tbl_Transactions[Date],"&lt;="&amp;Monthly_Summary_Table!$B119,Tbl_Transactions[Date],"&gt;"&amp;EOMONTH(Monthly_Summary_Table!$B119,-1)))</f>
        <v/>
      </c>
      <c r="F119" s="78" t="str">
        <f>IF(LEN(B119)=0,"",SUMIFS(Tbl_Transactions[Amount],Tbl_Transactions[Type],"Expense",Tbl_Transactions[Date],"&lt;="&amp;Monthly_Summary_Table!$B119,Tbl_Transactions[Date],"&gt;"&amp;EOMONTH(Monthly_Summary_Table!$B119,-1)))</f>
        <v/>
      </c>
      <c r="G119" s="78" t="str">
        <f>IFERROR(Table3[[#This Row],[Income]]-Table3[[#This Row],[Expense]],"")</f>
        <v/>
      </c>
      <c r="H119" s="78" t="str">
        <f xml:space="preserve"> IF(LEN(Table3[[#This Row],[Date]])=0,"",MonthlyBudget)</f>
        <v/>
      </c>
      <c r="I119" s="79" t="str">
        <f>IF(LEN(Table3[[#This Row],[Date]])=0,"",SUM(G119:$G$123))</f>
        <v/>
      </c>
      <c r="J119" s="79" t="str">
        <f>IF(LEN(Table3[[#This Row],[Date]])=0,"",Table3[[#This Row],[Cumulative Savings]]+Starting_Worth)</f>
        <v/>
      </c>
      <c r="K119" s="79" t="str">
        <f>IF(LEN(B119)=0,"",SUMIFS(Tbl_Transactions[Amount],Tbl_Transactions[Account],I_CHOSEN_ACCT,Tbl_Transactions[Type],"Income",Tbl_Transactions[Date],"&lt;="&amp;Monthly_Summary_Table!$B119,Tbl_Transactions[Date],"&gt;"&amp;EOMONTH(Monthly_Summary_Table!$B119,-1)))</f>
        <v/>
      </c>
      <c r="L119" s="79" t="str">
        <f>IF(LEN(B119)=0,"",SUMIFS(Tbl_Transactions[Amount],Tbl_Transactions[Account],I_CHOSEN_ACCT,Tbl_Transactions[Type],"Expense",Tbl_Transactions[Date],"&lt;="&amp;Monthly_Summary_Table!$B119,Tbl_Transactions[Date],"&gt;"&amp;EOMONTH(Monthly_Summary_Table!$B119,-1)))</f>
        <v/>
      </c>
      <c r="M119" s="79" t="str">
        <f>IF(LEN(B119)=0,"",SUMIFS(Tbl_Transactions[Amount],Tbl_Transactions[Account],I_CHOSEN_ACCT,Tbl_Transactions[Type],"Transfer",Tbl_Transactions[Date],"&lt;="&amp;Monthly_Summary_Table!$B119,Tbl_Transactions[Date],"&gt;"&amp;EOMONTH(Monthly_Summary_Table!$B119,-1)))</f>
        <v/>
      </c>
      <c r="N119" s="79" t="str">
        <f>IFERROR(Table3[[#This Row],[ACCT INCOME]]-Table3[[#This Row],[ACCT EXPENSE]]+Table3[[#This Row],[ACCT TRANSFERS]],"")</f>
        <v/>
      </c>
      <c r="O119" s="79" t="str">
        <f>IF(LEN(Table3[[#This Row],[Date]])=0,"",SUM(N119:$N$123)+IF(I_CHOSEN_ACCTTYPE="BANK",INDEX(T_BANK_ACCTS[STARTING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20" spans="2:15" x14ac:dyDescent="0.3">
      <c r="B120" s="9" t="str">
        <f>IFERROR(IF(EOMONTH(MAX(Tbl_Transactions[Date]),ROW($B$4)-ROW($B120))&lt;MIN(Tbl_Transactions[Date]),"",EOMONTH(MAX(Tbl_Transactions[Date]),ROW($B$4)-ROW($B120))),"")</f>
        <v/>
      </c>
      <c r="C120" s="10" t="str">
        <f>IFERROR(YEAR(Table3[[#This Row],[Date]]),"")</f>
        <v/>
      </c>
      <c r="D120" s="10" t="str">
        <f>IFERROR(TEXT(Table3[[#This Row],[Date]],"mmm"),"")</f>
        <v/>
      </c>
      <c r="E120" s="78" t="str">
        <f>IF(LEN(B120)=0,"",SUMIFS(Tbl_Transactions[Amount],Tbl_Transactions[Type],"Income",Tbl_Transactions[Date],"&lt;="&amp;Monthly_Summary_Table!$B120,Tbl_Transactions[Date],"&gt;"&amp;EOMONTH(Monthly_Summary_Table!$B120,-1)))</f>
        <v/>
      </c>
      <c r="F120" s="78" t="str">
        <f>IF(LEN(B120)=0,"",SUMIFS(Tbl_Transactions[Amount],Tbl_Transactions[Type],"Expense",Tbl_Transactions[Date],"&lt;="&amp;Monthly_Summary_Table!$B120,Tbl_Transactions[Date],"&gt;"&amp;EOMONTH(Monthly_Summary_Table!$B120,-1)))</f>
        <v/>
      </c>
      <c r="G120" s="78" t="str">
        <f>IFERROR(Table3[[#This Row],[Income]]-Table3[[#This Row],[Expense]],"")</f>
        <v/>
      </c>
      <c r="H120" s="78" t="str">
        <f xml:space="preserve"> IF(LEN(Table3[[#This Row],[Date]])=0,"",MonthlyBudget)</f>
        <v/>
      </c>
      <c r="I120" s="79" t="str">
        <f>IF(LEN(Table3[[#This Row],[Date]])=0,"",SUM(G120:$G$123))</f>
        <v/>
      </c>
      <c r="J120" s="79" t="str">
        <f>IF(LEN(Table3[[#This Row],[Date]])=0,"",Table3[[#This Row],[Cumulative Savings]]+Starting_Worth)</f>
        <v/>
      </c>
      <c r="K120" s="79" t="str">
        <f>IF(LEN(B120)=0,"",SUMIFS(Tbl_Transactions[Amount],Tbl_Transactions[Account],I_CHOSEN_ACCT,Tbl_Transactions[Type],"Income",Tbl_Transactions[Date],"&lt;="&amp;Monthly_Summary_Table!$B120,Tbl_Transactions[Date],"&gt;"&amp;EOMONTH(Monthly_Summary_Table!$B120,-1)))</f>
        <v/>
      </c>
      <c r="L120" s="79" t="str">
        <f>IF(LEN(B120)=0,"",SUMIFS(Tbl_Transactions[Amount],Tbl_Transactions[Account],I_CHOSEN_ACCT,Tbl_Transactions[Type],"Expense",Tbl_Transactions[Date],"&lt;="&amp;Monthly_Summary_Table!$B120,Tbl_Transactions[Date],"&gt;"&amp;EOMONTH(Monthly_Summary_Table!$B120,-1)))</f>
        <v/>
      </c>
      <c r="M120" s="79" t="str">
        <f>IF(LEN(B120)=0,"",SUMIFS(Tbl_Transactions[Amount],Tbl_Transactions[Account],I_CHOSEN_ACCT,Tbl_Transactions[Type],"Transfer",Tbl_Transactions[Date],"&lt;="&amp;Monthly_Summary_Table!$B120,Tbl_Transactions[Date],"&gt;"&amp;EOMONTH(Monthly_Summary_Table!$B120,-1)))</f>
        <v/>
      </c>
      <c r="N120" s="79" t="str">
        <f>IFERROR(Table3[[#This Row],[ACCT INCOME]]-Table3[[#This Row],[ACCT EXPENSE]]+Table3[[#This Row],[ACCT TRANSFERS]],"")</f>
        <v/>
      </c>
      <c r="O120" s="79" t="str">
        <f>IF(LEN(Table3[[#This Row],[Date]])=0,"",SUM(N120:$N$123)+IF(I_CHOSEN_ACCTTYPE="BANK",INDEX(T_BANK_ACCTS[STARTING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21" spans="2:15" x14ac:dyDescent="0.3">
      <c r="B121" s="9" t="str">
        <f>IFERROR(IF(EOMONTH(MAX(Tbl_Transactions[Date]),ROW($B$4)-ROW($B121))&lt;MIN(Tbl_Transactions[Date]),"",EOMONTH(MAX(Tbl_Transactions[Date]),ROW($B$4)-ROW($B121))),"")</f>
        <v/>
      </c>
      <c r="C121" s="10" t="str">
        <f>IFERROR(YEAR(Table3[[#This Row],[Date]]),"")</f>
        <v/>
      </c>
      <c r="D121" s="10" t="str">
        <f>IFERROR(TEXT(Table3[[#This Row],[Date]],"mmm"),"")</f>
        <v/>
      </c>
      <c r="E121" s="78" t="str">
        <f>IF(LEN(B121)=0,"",SUMIFS(Tbl_Transactions[Amount],Tbl_Transactions[Type],"Income",Tbl_Transactions[Date],"&lt;="&amp;Monthly_Summary_Table!$B121,Tbl_Transactions[Date],"&gt;"&amp;EOMONTH(Monthly_Summary_Table!$B121,-1)))</f>
        <v/>
      </c>
      <c r="F121" s="78" t="str">
        <f>IF(LEN(B121)=0,"",SUMIFS(Tbl_Transactions[Amount],Tbl_Transactions[Type],"Expense",Tbl_Transactions[Date],"&lt;="&amp;Monthly_Summary_Table!$B121,Tbl_Transactions[Date],"&gt;"&amp;EOMONTH(Monthly_Summary_Table!$B121,-1)))</f>
        <v/>
      </c>
      <c r="G121" s="78" t="str">
        <f>IFERROR(Table3[[#This Row],[Income]]-Table3[[#This Row],[Expense]],"")</f>
        <v/>
      </c>
      <c r="H121" s="78" t="str">
        <f xml:space="preserve"> IF(LEN(Table3[[#This Row],[Date]])=0,"",MonthlyBudget)</f>
        <v/>
      </c>
      <c r="I121" s="79" t="str">
        <f>IF(LEN(Table3[[#This Row],[Date]])=0,"",SUM(G121:$G$123))</f>
        <v/>
      </c>
      <c r="J121" s="79" t="str">
        <f>IF(LEN(Table3[[#This Row],[Date]])=0,"",Table3[[#This Row],[Cumulative Savings]]+Starting_Worth)</f>
        <v/>
      </c>
      <c r="K121" s="79" t="str">
        <f>IF(LEN(B121)=0,"",SUMIFS(Tbl_Transactions[Amount],Tbl_Transactions[Account],I_CHOSEN_ACCT,Tbl_Transactions[Type],"Income",Tbl_Transactions[Date],"&lt;="&amp;Monthly_Summary_Table!$B121,Tbl_Transactions[Date],"&gt;"&amp;EOMONTH(Monthly_Summary_Table!$B121,-1)))</f>
        <v/>
      </c>
      <c r="L121" s="79" t="str">
        <f>IF(LEN(B121)=0,"",SUMIFS(Tbl_Transactions[Amount],Tbl_Transactions[Account],I_CHOSEN_ACCT,Tbl_Transactions[Type],"Expense",Tbl_Transactions[Date],"&lt;="&amp;Monthly_Summary_Table!$B121,Tbl_Transactions[Date],"&gt;"&amp;EOMONTH(Monthly_Summary_Table!$B121,-1)))</f>
        <v/>
      </c>
      <c r="M121" s="79" t="str">
        <f>IF(LEN(B121)=0,"",SUMIFS(Tbl_Transactions[Amount],Tbl_Transactions[Account],I_CHOSEN_ACCT,Tbl_Transactions[Type],"Transfer",Tbl_Transactions[Date],"&lt;="&amp;Monthly_Summary_Table!$B121,Tbl_Transactions[Date],"&gt;"&amp;EOMONTH(Monthly_Summary_Table!$B121,-1)))</f>
        <v/>
      </c>
      <c r="N121" s="79" t="str">
        <f>IFERROR(Table3[[#This Row],[ACCT INCOME]]-Table3[[#This Row],[ACCT EXPENSE]]+Table3[[#This Row],[ACCT TRANSFERS]],"")</f>
        <v/>
      </c>
      <c r="O121" s="79" t="str">
        <f>IF(LEN(Table3[[#This Row],[Date]])=0,"",SUM(N121:$N$123)+IF(I_CHOSEN_ACCTTYPE="BANK",INDEX(T_BANK_ACCTS[STARTING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22" spans="2:15" x14ac:dyDescent="0.3">
      <c r="B122" s="9" t="str">
        <f>IFERROR(IF(EOMONTH(MAX(Tbl_Transactions[Date]),ROW($B$4)-ROW($B122))&lt;MIN(Tbl_Transactions[Date]),"",EOMONTH(MAX(Tbl_Transactions[Date]),ROW($B$4)-ROW($B122))),"")</f>
        <v/>
      </c>
      <c r="C122" s="10" t="str">
        <f>IFERROR(YEAR(Table3[[#This Row],[Date]]),"")</f>
        <v/>
      </c>
      <c r="D122" s="10" t="str">
        <f>IFERROR(TEXT(Table3[[#This Row],[Date]],"mmm"),"")</f>
        <v/>
      </c>
      <c r="E122" s="78" t="str">
        <f>IF(LEN(B122)=0,"",SUMIFS(Tbl_Transactions[Amount],Tbl_Transactions[Type],"Income",Tbl_Transactions[Date],"&lt;="&amp;Monthly_Summary_Table!$B122,Tbl_Transactions[Date],"&gt;"&amp;EOMONTH(Monthly_Summary_Table!$B122,-1)))</f>
        <v/>
      </c>
      <c r="F122" s="78" t="str">
        <f>IF(LEN(B122)=0,"",SUMIFS(Tbl_Transactions[Amount],Tbl_Transactions[Type],"Expense",Tbl_Transactions[Date],"&lt;="&amp;Monthly_Summary_Table!$B122,Tbl_Transactions[Date],"&gt;"&amp;EOMONTH(Monthly_Summary_Table!$B122,-1)))</f>
        <v/>
      </c>
      <c r="G122" s="78" t="str">
        <f>IFERROR(Table3[[#This Row],[Income]]-Table3[[#This Row],[Expense]],"")</f>
        <v/>
      </c>
      <c r="H122" s="78" t="str">
        <f xml:space="preserve"> IF(LEN(Table3[[#This Row],[Date]])=0,"",MonthlyBudget)</f>
        <v/>
      </c>
      <c r="I122" s="79" t="str">
        <f>IF(LEN(Table3[[#This Row],[Date]])=0,"",SUM(G122:$G$123))</f>
        <v/>
      </c>
      <c r="J122" s="79" t="str">
        <f>IF(LEN(Table3[[#This Row],[Date]])=0,"",Table3[[#This Row],[Cumulative Savings]]+Starting_Worth)</f>
        <v/>
      </c>
      <c r="K122" s="79" t="str">
        <f>IF(LEN(B122)=0,"",SUMIFS(Tbl_Transactions[Amount],Tbl_Transactions[Account],I_CHOSEN_ACCT,Tbl_Transactions[Type],"Income",Tbl_Transactions[Date],"&lt;="&amp;Monthly_Summary_Table!$B122,Tbl_Transactions[Date],"&gt;"&amp;EOMONTH(Monthly_Summary_Table!$B122,-1)))</f>
        <v/>
      </c>
      <c r="L122" s="79" t="str">
        <f>IF(LEN(B122)=0,"",SUMIFS(Tbl_Transactions[Amount],Tbl_Transactions[Account],I_CHOSEN_ACCT,Tbl_Transactions[Type],"Expense",Tbl_Transactions[Date],"&lt;="&amp;Monthly_Summary_Table!$B122,Tbl_Transactions[Date],"&gt;"&amp;EOMONTH(Monthly_Summary_Table!$B122,-1)))</f>
        <v/>
      </c>
      <c r="M122" s="79" t="str">
        <f>IF(LEN(B122)=0,"",SUMIFS(Tbl_Transactions[Amount],Tbl_Transactions[Account],I_CHOSEN_ACCT,Tbl_Transactions[Type],"Transfer",Tbl_Transactions[Date],"&lt;="&amp;Monthly_Summary_Table!$B122,Tbl_Transactions[Date],"&gt;"&amp;EOMONTH(Monthly_Summary_Table!$B122,-1)))</f>
        <v/>
      </c>
      <c r="N122" s="79" t="str">
        <f>IFERROR(Table3[[#This Row],[ACCT INCOME]]-Table3[[#This Row],[ACCT EXPENSE]]+Table3[[#This Row],[ACCT TRANSFERS]],"")</f>
        <v/>
      </c>
      <c r="O122" s="79" t="str">
        <f>IF(LEN(Table3[[#This Row],[Date]])=0,"",SUM(N122:$N$123)+IF(I_CHOSEN_ACCTTYPE="BANK",INDEX(T_BANK_ACCTS[STARTING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row r="123" spans="2:15" x14ac:dyDescent="0.3">
      <c r="B123" s="9" t="str">
        <f>IFERROR(IF(EOMONTH(MAX(Tbl_Transactions[Date]),ROW($B$4)-ROW($B123))&lt;MIN(Tbl_Transactions[Date]),"",EOMONTH(MAX(Tbl_Transactions[Date]),ROW($B$4)-ROW($B123))),"")</f>
        <v/>
      </c>
      <c r="C123" s="10" t="str">
        <f>IFERROR(YEAR(Table3[[#This Row],[Date]]),"")</f>
        <v/>
      </c>
      <c r="D123" s="10" t="str">
        <f>IFERROR(TEXT(Table3[[#This Row],[Date]],"mmm"),"")</f>
        <v/>
      </c>
      <c r="E123" s="78" t="str">
        <f>IF(LEN(B123)=0,"",SUMIFS(Tbl_Transactions[Amount],Tbl_Transactions[Type],"Income",Tbl_Transactions[Date],"&lt;="&amp;Monthly_Summary_Table!$B123,Tbl_Transactions[Date],"&gt;"&amp;EOMONTH(Monthly_Summary_Table!$B123,-1)))</f>
        <v/>
      </c>
      <c r="F123" s="78" t="str">
        <f>IF(LEN(B123)=0,"",SUMIFS(Tbl_Transactions[Amount],Tbl_Transactions[Type],"Expense",Tbl_Transactions[Date],"&lt;="&amp;Monthly_Summary_Table!$B123,Tbl_Transactions[Date],"&gt;"&amp;EOMONTH(Monthly_Summary_Table!$B123,-1)))</f>
        <v/>
      </c>
      <c r="G123" s="78" t="str">
        <f>IFERROR(Table3[[#This Row],[Income]]-Table3[[#This Row],[Expense]],"")</f>
        <v/>
      </c>
      <c r="H123" s="78" t="str">
        <f xml:space="preserve"> IF(LEN(Table3[[#This Row],[Date]])=0,"",MonthlyBudget)</f>
        <v/>
      </c>
      <c r="I123" s="79" t="str">
        <f>IF(LEN(Table3[[#This Row],[Date]])=0,"",SUM(G123:$G$123))</f>
        <v/>
      </c>
      <c r="J123" s="79" t="str">
        <f>IF(LEN(Table3[[#This Row],[Date]])=0,"",Table3[[#This Row],[Cumulative Savings]]+Starting_Worth)</f>
        <v/>
      </c>
      <c r="K123" s="79" t="str">
        <f>IF(LEN(B123)=0,"",SUMIFS(Tbl_Transactions[Amount],Tbl_Transactions[Account],I_CHOSEN_ACCT,Tbl_Transactions[Type],"Income",Tbl_Transactions[Date],"&lt;="&amp;Monthly_Summary_Table!$B123,Tbl_Transactions[Date],"&gt;"&amp;EOMONTH(Monthly_Summary_Table!$B123,-1)))</f>
        <v/>
      </c>
      <c r="L123" s="79" t="str">
        <f>IF(LEN(B123)=0,"",SUMIFS(Tbl_Transactions[Amount],Tbl_Transactions[Account],I_CHOSEN_ACCT,Tbl_Transactions[Type],"Expense",Tbl_Transactions[Date],"&lt;="&amp;Monthly_Summary_Table!$B123,Tbl_Transactions[Date],"&gt;"&amp;EOMONTH(Monthly_Summary_Table!$B123,-1)))</f>
        <v/>
      </c>
      <c r="M123" s="79" t="str">
        <f>IF(LEN(B123)=0,"",SUMIFS(Tbl_Transactions[Amount],Tbl_Transactions[Account],I_CHOSEN_ACCT,Tbl_Transactions[Type],"Transfer",Tbl_Transactions[Date],"&lt;="&amp;Monthly_Summary_Table!$B123,Tbl_Transactions[Date],"&gt;"&amp;EOMONTH(Monthly_Summary_Table!$B123,-1)))</f>
        <v/>
      </c>
      <c r="N123" s="79" t="str">
        <f>IFERROR(Table3[[#This Row],[ACCT INCOME]]-Table3[[#This Row],[ACCT EXPENSE]]+Table3[[#This Row],[ACCT TRANSFERS]],"")</f>
        <v/>
      </c>
      <c r="O123" s="79" t="str">
        <f>IF(LEN(Table3[[#This Row],[Date]])=0,"",SUM(N123:$N$123)+IF(I_CHOSEN_ACCTTYPE="BANK",INDEX(T_BANK_ACCTS[STARTING BALANCE],MATCH(I_CHOSEN_ACCT,T_BANK_ACCTS[ACCOUNT NAME],0)),
IF(I_CHOSEN_ACCTTYPE="CREDIT",INDEX(T_CREDIT_ACCTS[STARTING BALANCE],MATCH(I_CHOSEN_ACCT,T_CREDIT_ACCTS[ACCOUNT NAME],0)),
IF(I_CHOSEN_ACCTTYPE="CASH",INDEX(T_CASH_ACCTS[STARTING BALANCE],MATCH(I_CHOSEN_ACCT,T_CASH_ACCTS[ACCOUNT NAME],0)),0)))
)</f>
        <v/>
      </c>
    </row>
  </sheetData>
  <sheetProtection selectLockedCells="1" selectUnlockedCell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23"/>
  <sheetViews>
    <sheetView zoomScaleNormal="100" workbookViewId="0">
      <selection activeCell="BF1" sqref="BF1:BU1"/>
    </sheetView>
  </sheetViews>
  <sheetFormatPr defaultRowHeight="14.4" x14ac:dyDescent="0.3"/>
  <cols>
    <col min="1" max="1" width="12.6640625" bestFit="1" customWidth="1"/>
    <col min="2" max="2" width="14.44140625" bestFit="1" customWidth="1"/>
    <col min="4" max="8" width="1.77734375" customWidth="1"/>
    <col min="10" max="10" width="12.5546875" bestFit="1" customWidth="1"/>
    <col min="11" max="11" width="14.44140625" bestFit="1" customWidth="1"/>
    <col min="13" max="19" width="1.77734375" customWidth="1"/>
    <col min="20" max="20" width="8.33203125" customWidth="1"/>
    <col min="21" max="22" width="9.109375" hidden="1" customWidth="1"/>
    <col min="23" max="23" width="12.5546875" bestFit="1" customWidth="1"/>
    <col min="24" max="24" width="14.44140625" bestFit="1" customWidth="1"/>
    <col min="25" max="25" width="14.88671875" customWidth="1"/>
    <col min="26" max="31" width="1.77734375" customWidth="1"/>
    <col min="33" max="33" width="15" bestFit="1" customWidth="1"/>
    <col min="34" max="34" width="14.44140625" bestFit="1" customWidth="1"/>
    <col min="35" max="35" width="16.109375" customWidth="1"/>
    <col min="40" max="40" width="20.33203125" bestFit="1" customWidth="1"/>
    <col min="41" max="41" width="16.21875" bestFit="1" customWidth="1"/>
    <col min="42" max="42" width="7.6640625" customWidth="1"/>
    <col min="43" max="43" width="8.21875" customWidth="1"/>
    <col min="44" max="44" width="11.21875" bestFit="1" customWidth="1"/>
  </cols>
  <sheetData>
    <row r="1" spans="1:34" x14ac:dyDescent="0.3">
      <c r="AG1" s="2" t="s">
        <v>3</v>
      </c>
      <c r="AH1" t="s">
        <v>13</v>
      </c>
    </row>
    <row r="2" spans="1:34" x14ac:dyDescent="0.3">
      <c r="A2" s="2" t="s">
        <v>3</v>
      </c>
      <c r="B2" t="s">
        <v>13</v>
      </c>
      <c r="J2" s="2" t="s">
        <v>3</v>
      </c>
      <c r="K2" t="s">
        <v>8</v>
      </c>
      <c r="AG2" s="2" t="s">
        <v>4</v>
      </c>
      <c r="AH2" t="s">
        <v>12</v>
      </c>
    </row>
    <row r="3" spans="1:34" x14ac:dyDescent="0.3">
      <c r="A3" s="2" t="s">
        <v>30</v>
      </c>
      <c r="B3" t="s">
        <v>12</v>
      </c>
    </row>
    <row r="4" spans="1:34" x14ac:dyDescent="0.3">
      <c r="A4" s="2" t="s">
        <v>31</v>
      </c>
      <c r="B4" t="s">
        <v>12</v>
      </c>
      <c r="J4" s="2" t="s">
        <v>10</v>
      </c>
      <c r="K4" t="s">
        <v>9</v>
      </c>
      <c r="W4" s="2" t="s">
        <v>4</v>
      </c>
      <c r="X4" t="s">
        <v>12</v>
      </c>
      <c r="AG4" s="2" t="s">
        <v>10</v>
      </c>
      <c r="AH4" t="s">
        <v>9</v>
      </c>
    </row>
    <row r="5" spans="1:34" x14ac:dyDescent="0.3">
      <c r="J5" s="3" t="s">
        <v>113</v>
      </c>
      <c r="K5" s="80">
        <v>205000</v>
      </c>
      <c r="W5" s="2" t="s">
        <v>3</v>
      </c>
      <c r="X5" t="s">
        <v>12</v>
      </c>
      <c r="AG5" s="3" t="s">
        <v>97</v>
      </c>
      <c r="AH5" s="80">
        <v>980</v>
      </c>
    </row>
    <row r="6" spans="1:34" x14ac:dyDescent="0.3">
      <c r="A6" s="2" t="s">
        <v>10</v>
      </c>
      <c r="B6" t="s">
        <v>9</v>
      </c>
      <c r="J6" s="3" t="s">
        <v>115</v>
      </c>
      <c r="K6" s="80">
        <v>49500</v>
      </c>
      <c r="Q6" s="4"/>
      <c r="R6" s="4"/>
      <c r="S6" s="4"/>
      <c r="AG6" s="3" t="s">
        <v>102</v>
      </c>
      <c r="AH6" s="80">
        <v>2000</v>
      </c>
    </row>
    <row r="7" spans="1:34" x14ac:dyDescent="0.3">
      <c r="A7" s="3" t="s">
        <v>89</v>
      </c>
      <c r="B7" s="80">
        <v>4260</v>
      </c>
      <c r="J7" s="3" t="s">
        <v>11</v>
      </c>
      <c r="K7" s="80">
        <v>254500</v>
      </c>
      <c r="Q7" s="4"/>
      <c r="R7" s="4"/>
      <c r="S7" s="4"/>
      <c r="W7" s="2" t="s">
        <v>10</v>
      </c>
      <c r="X7" t="s">
        <v>9</v>
      </c>
      <c r="AG7" s="3" t="s">
        <v>101</v>
      </c>
      <c r="AH7" s="80">
        <v>330</v>
      </c>
    </row>
    <row r="8" spans="1:34" x14ac:dyDescent="0.3">
      <c r="A8" s="3" t="s">
        <v>95</v>
      </c>
      <c r="B8" s="80">
        <v>28190</v>
      </c>
      <c r="Q8" s="4"/>
      <c r="R8" s="4"/>
      <c r="S8" s="4"/>
      <c r="W8" s="3">
        <v>2021</v>
      </c>
      <c r="X8" s="80"/>
      <c r="AG8" s="3" t="s">
        <v>105</v>
      </c>
      <c r="AH8" s="80">
        <v>6410</v>
      </c>
    </row>
    <row r="9" spans="1:34" x14ac:dyDescent="0.3">
      <c r="A9" s="3" t="s">
        <v>93</v>
      </c>
      <c r="B9" s="80">
        <v>1100</v>
      </c>
      <c r="Q9" s="4"/>
      <c r="R9" s="4"/>
      <c r="S9" s="4"/>
      <c r="W9" s="112" t="s">
        <v>42</v>
      </c>
      <c r="X9" s="80">
        <v>-2065</v>
      </c>
      <c r="AG9" s="3" t="s">
        <v>103</v>
      </c>
      <c r="AH9" s="80">
        <v>6200</v>
      </c>
    </row>
    <row r="10" spans="1:34" x14ac:dyDescent="0.3">
      <c r="A10" s="3" t="s">
        <v>92</v>
      </c>
      <c r="B10" s="80">
        <v>1445</v>
      </c>
      <c r="Q10" s="4"/>
      <c r="R10" s="4"/>
      <c r="S10" s="4"/>
      <c r="W10" s="112" t="s">
        <v>84</v>
      </c>
      <c r="X10" s="80">
        <v>3910</v>
      </c>
      <c r="AG10" s="3" t="s">
        <v>98</v>
      </c>
      <c r="AH10" s="80">
        <v>3280</v>
      </c>
    </row>
    <row r="11" spans="1:34" x14ac:dyDescent="0.3">
      <c r="A11" s="3" t="s">
        <v>90</v>
      </c>
      <c r="B11" s="80">
        <v>1280</v>
      </c>
      <c r="Q11" s="4"/>
      <c r="R11" s="4"/>
      <c r="S11" s="4"/>
      <c r="W11" s="112" t="s">
        <v>131</v>
      </c>
      <c r="X11" s="80">
        <v>31370</v>
      </c>
      <c r="AG11" s="3" t="s">
        <v>92</v>
      </c>
      <c r="AH11" s="80">
        <v>1445</v>
      </c>
    </row>
    <row r="12" spans="1:34" x14ac:dyDescent="0.3">
      <c r="A12" s="3" t="s">
        <v>94</v>
      </c>
      <c r="B12" s="80">
        <v>8200</v>
      </c>
      <c r="W12" s="3" t="s">
        <v>11</v>
      </c>
      <c r="X12" s="80">
        <v>33215</v>
      </c>
      <c r="AG12" s="3" t="s">
        <v>104</v>
      </c>
      <c r="AH12" s="80">
        <v>4000</v>
      </c>
    </row>
    <row r="13" spans="1:34" x14ac:dyDescent="0.3">
      <c r="A13" s="3" t="s">
        <v>91</v>
      </c>
      <c r="B13" s="80">
        <v>1100</v>
      </c>
      <c r="AG13" s="3" t="s">
        <v>107</v>
      </c>
      <c r="AH13" s="80">
        <v>5250</v>
      </c>
    </row>
    <row r="14" spans="1:34" x14ac:dyDescent="0.3">
      <c r="A14" s="3" t="s">
        <v>11</v>
      </c>
      <c r="B14" s="80">
        <v>45575</v>
      </c>
      <c r="AG14" s="3" t="s">
        <v>93</v>
      </c>
      <c r="AH14" s="80">
        <v>1100</v>
      </c>
    </row>
    <row r="15" spans="1:34" x14ac:dyDescent="0.3">
      <c r="AG15" s="3" t="s">
        <v>100</v>
      </c>
      <c r="AH15" s="80">
        <v>1100</v>
      </c>
    </row>
    <row r="16" spans="1:34" x14ac:dyDescent="0.3">
      <c r="AG16" s="3" t="s">
        <v>108</v>
      </c>
      <c r="AH16" s="80">
        <v>8320</v>
      </c>
    </row>
    <row r="17" spans="33:34" x14ac:dyDescent="0.3">
      <c r="AG17" s="3" t="s">
        <v>99</v>
      </c>
      <c r="AH17" s="80">
        <v>950</v>
      </c>
    </row>
    <row r="18" spans="33:34" x14ac:dyDescent="0.3">
      <c r="AG18" s="3" t="s">
        <v>106</v>
      </c>
      <c r="AH18" s="80">
        <v>4210</v>
      </c>
    </row>
    <row r="19" spans="33:34" x14ac:dyDescent="0.3">
      <c r="AG19" s="3" t="s">
        <v>11</v>
      </c>
      <c r="AH19" s="80">
        <v>45575</v>
      </c>
    </row>
    <row r="123" ht="3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SETTINGS</vt:lpstr>
      <vt:lpstr>TRANSACTIONS</vt:lpstr>
      <vt:lpstr>REPORTING SUMMARY</vt:lpstr>
      <vt:lpstr>Monthly_Summary_Table</vt:lpstr>
      <vt:lpstr>pivot_tables</vt:lpstr>
      <vt:lpstr>BankAccounts</vt:lpstr>
      <vt:lpstr>CategoriesBudget</vt:lpstr>
      <vt:lpstr>CreditCardAccounts</vt:lpstr>
      <vt:lpstr>Expense_Budgets</vt:lpstr>
      <vt:lpstr>ExpenseCategories</vt:lpstr>
      <vt:lpstr>I_BankAccounts</vt:lpstr>
      <vt:lpstr>I_CHOSEN_ACCT</vt:lpstr>
      <vt:lpstr>I_CHOSEN_ACCTTYPE</vt:lpstr>
      <vt:lpstr>I_CreditAccounts</vt:lpstr>
      <vt:lpstr>IncomeCategories</vt:lpstr>
      <vt:lpstr>'REPORTING SUMMARY'!Print_Area</vt:lpstr>
      <vt:lpstr>SETTINGS!Print_Area</vt:lpstr>
      <vt:lpstr>SubCategories</vt:lpstr>
      <vt:lpstr>TransferCategories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Alfan</dc:creator>
  <cp:lastModifiedBy>Mohammed Alfan</cp:lastModifiedBy>
  <cp:lastPrinted>2015-03-07T22:46:36Z</cp:lastPrinted>
  <dcterms:created xsi:type="dcterms:W3CDTF">2013-05-03T16:38:52Z</dcterms:created>
  <dcterms:modified xsi:type="dcterms:W3CDTF">2022-08-10T06:58:14Z</dcterms:modified>
</cp:coreProperties>
</file>